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10050" firstSheet="82" activeTab="85"/>
  </bookViews>
  <sheets>
    <sheet name="Lekeitio_2_1a_raw" sheetId="5" r:id="rId1"/>
    <sheet name="Lekeitio_2_1b_raw" sheetId="11" r:id="rId2"/>
    <sheet name="Lekeitio_2_2a_raw" sheetId="17" r:id="rId3"/>
    <sheet name="Lekeitio_2_2b_raw" sheetId="23" r:id="rId4"/>
    <sheet name="Lekeitio_2_3a_raw" sheetId="29" r:id="rId5"/>
    <sheet name="Lekeitio_2_3b_raw" sheetId="35" r:id="rId6"/>
    <sheet name="Lekeitio_2_4a_raw" sheetId="41" r:id="rId7"/>
    <sheet name="Lekeitio_2_4b_raw" sheetId="47" r:id="rId8"/>
    <sheet name="Lekeitio_2_5a_raw" sheetId="53" r:id="rId9"/>
    <sheet name="Lekeitio_2_5b_raw" sheetId="59" r:id="rId10"/>
    <sheet name="Lekeitio_2_6a_raw" sheetId="65" r:id="rId11"/>
    <sheet name="Lekeitio_2_6b_raw" sheetId="71" r:id="rId12"/>
    <sheet name="Lekeitio_2_7a_raw" sheetId="77" r:id="rId13"/>
    <sheet name="Lekeitio_2_7b_raw" sheetId="83" r:id="rId14"/>
    <sheet name="Lekeitio_2_8a_raw" sheetId="89" r:id="rId15"/>
    <sheet name="Lekeitio_2_8b_raw" sheetId="95" r:id="rId16"/>
    <sheet name="Lekeitio_2_9a_raw" sheetId="101" r:id="rId17"/>
    <sheet name="Lekeitio_2_1a_imgsummary" sheetId="6" r:id="rId18"/>
    <sheet name="Lekeitio_2_1b_imgsummary" sheetId="12" r:id="rId19"/>
    <sheet name="Lekeitio_2_2a_imgsummary" sheetId="18" r:id="rId20"/>
    <sheet name="Lekeitio_2_2b_imgsummary" sheetId="24" r:id="rId21"/>
    <sheet name="Lekeitio_2_3a_imgsummary" sheetId="30" r:id="rId22"/>
    <sheet name="Lekeitio_2_3b_imgsummary" sheetId="36" r:id="rId23"/>
    <sheet name="Lekeitio_2_4a_imgsummary" sheetId="42" r:id="rId24"/>
    <sheet name="Lekeitio_2_4b_imgsummary" sheetId="48" r:id="rId25"/>
    <sheet name="Lekeitio_2_5a_imgsummary" sheetId="54" r:id="rId26"/>
    <sheet name="Lekeitio_2_5b_imgsummary" sheetId="60" r:id="rId27"/>
    <sheet name="Lekeitio_2_6a_imgsummary" sheetId="66" r:id="rId28"/>
    <sheet name="Lekeitio_2_6b_imgsummary" sheetId="72" r:id="rId29"/>
    <sheet name="Lekeitio_2_7a_imgsummary" sheetId="78" r:id="rId30"/>
    <sheet name="Lekeitio_2_7b_imgsummary" sheetId="84" r:id="rId31"/>
    <sheet name="Lekeitio_2_8a_imgsummary" sheetId="90" r:id="rId32"/>
    <sheet name="Lekeitio_2_8b_imgsummary" sheetId="96" r:id="rId33"/>
    <sheet name="Lekeitio_2_9a_imgsummary" sheetId="102" r:id="rId34"/>
    <sheet name="Lekeitio_2_1a_%cover" sheetId="7" r:id="rId35"/>
    <sheet name="Lekeitio_2_1b_%cover" sheetId="13" r:id="rId36"/>
    <sheet name="Lekeitio_2_2a_%cover" sheetId="19" r:id="rId37"/>
    <sheet name="Lekeitio_2_2b_%cover" sheetId="25" r:id="rId38"/>
    <sheet name="Lekeitio_2_3a_%cover" sheetId="31" r:id="rId39"/>
    <sheet name="Lekeitio_2_3b_%cover" sheetId="37" r:id="rId40"/>
    <sheet name="Lekeitio_2_4a_%cover" sheetId="43" r:id="rId41"/>
    <sheet name="Lekeitio_2_4b_%cover" sheetId="49" r:id="rId42"/>
    <sheet name="Lekeitio_2_5a_%cover" sheetId="55" r:id="rId43"/>
    <sheet name="Lekeitio_2_5b_%cover" sheetId="61" r:id="rId44"/>
    <sheet name="Lekeitio_2_6a_%cover" sheetId="67" r:id="rId45"/>
    <sheet name="Lekeitio_2_6b_%cover" sheetId="73" r:id="rId46"/>
    <sheet name="Lekeitio_2_7a_%cover" sheetId="79" r:id="rId47"/>
    <sheet name="Lekeitio_2_7b_%cover" sheetId="85" r:id="rId48"/>
    <sheet name="Lekeitio_2_8a_%cover" sheetId="91" r:id="rId49"/>
    <sheet name="Lekeitio_2_8b_%cover" sheetId="97" r:id="rId50"/>
    <sheet name="Lekeitio_2_9a_%cover" sheetId="103" r:id="rId51"/>
    <sheet name="Lekeitio_2_1a" sheetId="8" r:id="rId52"/>
    <sheet name="Lekeitio_2_1b" sheetId="14" r:id="rId53"/>
    <sheet name="Lekeitio_2_2a" sheetId="20" r:id="rId54"/>
    <sheet name="Lekeitio_2_2b" sheetId="26" r:id="rId55"/>
    <sheet name="Lekeitio_2_3a" sheetId="32" r:id="rId56"/>
    <sheet name="Lekeitio_2_3b" sheetId="38" r:id="rId57"/>
    <sheet name="Lekeitio_2_4a" sheetId="44" r:id="rId58"/>
    <sheet name="Lekeitio_2_4b" sheetId="50" r:id="rId59"/>
    <sheet name="Lekeitio_2_5a" sheetId="56" r:id="rId60"/>
    <sheet name="Lekeitio_2_5b" sheetId="62" r:id="rId61"/>
    <sheet name="Lekeitio_2_6a" sheetId="68" r:id="rId62"/>
    <sheet name="Lekeitio_2_6b" sheetId="74" r:id="rId63"/>
    <sheet name="Lekeitio_2_7a" sheetId="80" r:id="rId64"/>
    <sheet name="Lekeitio_2_7b" sheetId="86" r:id="rId65"/>
    <sheet name="Lekeitio_2_8a" sheetId="92" r:id="rId66"/>
    <sheet name="Lekeitio_2_8b" sheetId="98" r:id="rId67"/>
    <sheet name="Lekeitio_2_9a" sheetId="104" r:id="rId68"/>
    <sheet name="Lekeitio_2_1a_archive" sheetId="9" r:id="rId69"/>
    <sheet name="Lekeitio_2_1b_archive" sheetId="15" r:id="rId70"/>
    <sheet name="Lekeitio_2_2a_archive" sheetId="21" r:id="rId71"/>
    <sheet name="Lekeitio_2_2b_archive" sheetId="27" r:id="rId72"/>
    <sheet name="Lekeitio_2_3a_archive" sheetId="33" r:id="rId73"/>
    <sheet name="Lekeitio_2_3b_archive" sheetId="39" r:id="rId74"/>
    <sheet name="Lekeitio_2_4a_archive" sheetId="45" r:id="rId75"/>
    <sheet name="Lekeitio_2_4b_archive" sheetId="51" r:id="rId76"/>
    <sheet name="Lekeitio_2_5a_archive" sheetId="57" r:id="rId77"/>
    <sheet name="Lekeitio_2_5b_archive" sheetId="63" r:id="rId78"/>
    <sheet name="Lekeitio_2_6a_archive" sheetId="69" r:id="rId79"/>
    <sheet name="Lekeitio_2_6b_archive" sheetId="75" r:id="rId80"/>
    <sheet name="Lekeitio_2_7a_archive" sheetId="81" r:id="rId81"/>
    <sheet name="Lekeitio_2_7b_archive" sheetId="87" r:id="rId82"/>
    <sheet name="Lekeitio_2_8a_archive" sheetId="93" r:id="rId83"/>
    <sheet name="Lekeitio_2_8b_archive" sheetId="99" r:id="rId84"/>
    <sheet name="Lekeitio_2_9a_archive" sheetId="105" r:id="rId85"/>
    <sheet name="Data Summary" sheetId="106" r:id="rId86"/>
  </sheets>
  <calcPr calcId="144525"/>
</workbook>
</file>

<file path=xl/calcChain.xml><?xml version="1.0" encoding="utf-8"?>
<calcChain xmlns="http://schemas.openxmlformats.org/spreadsheetml/2006/main">
  <c r="R7" i="106" l="1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D25" i="104"/>
  <c r="B25" i="104"/>
  <c r="R97" i="106" s="1"/>
  <c r="B24" i="104"/>
  <c r="R96" i="106" s="1"/>
  <c r="B23" i="104"/>
  <c r="R95" i="106" s="1"/>
  <c r="B22" i="104"/>
  <c r="R94" i="106" s="1"/>
  <c r="B21" i="104"/>
  <c r="R93" i="106" s="1"/>
  <c r="B20" i="104"/>
  <c r="R92" i="106" s="1"/>
  <c r="B19" i="104"/>
  <c r="R91" i="106" s="1"/>
  <c r="B18" i="104"/>
  <c r="R90" i="106" s="1"/>
  <c r="B17" i="104"/>
  <c r="R89" i="106" s="1"/>
  <c r="B16" i="104"/>
  <c r="R88" i="106" s="1"/>
  <c r="B10" i="104"/>
  <c r="H74" i="104"/>
  <c r="R159" i="106" s="1"/>
  <c r="H72" i="104"/>
  <c r="R157" i="106" s="1"/>
  <c r="H71" i="104"/>
  <c r="H70" i="104"/>
  <c r="H69" i="104"/>
  <c r="H68" i="104"/>
  <c r="H66" i="104"/>
  <c r="H65" i="104"/>
  <c r="H63" i="104"/>
  <c r="H62" i="104"/>
  <c r="H61" i="104"/>
  <c r="H60" i="104"/>
  <c r="H59" i="104"/>
  <c r="H57" i="104"/>
  <c r="H56" i="104"/>
  <c r="H55" i="104"/>
  <c r="H54" i="104"/>
  <c r="H52" i="104"/>
  <c r="H51" i="104"/>
  <c r="H50" i="104"/>
  <c r="R135" i="106" s="1"/>
  <c r="H49" i="104"/>
  <c r="R134" i="106" s="1"/>
  <c r="H47" i="104"/>
  <c r="H46" i="104"/>
  <c r="H44" i="104"/>
  <c r="H43" i="104"/>
  <c r="H42" i="104"/>
  <c r="R127" i="106" s="1"/>
  <c r="H41" i="104"/>
  <c r="H40" i="104"/>
  <c r="H39" i="104"/>
  <c r="H37" i="104"/>
  <c r="H36" i="104"/>
  <c r="H34" i="104"/>
  <c r="H33" i="104"/>
  <c r="R118" i="106" s="1"/>
  <c r="H32" i="104"/>
  <c r="H31" i="104"/>
  <c r="H30" i="104"/>
  <c r="H29" i="104"/>
  <c r="H28" i="104"/>
  <c r="H27" i="104"/>
  <c r="H26" i="104"/>
  <c r="H25" i="104"/>
  <c r="R110" i="106" s="1"/>
  <c r="H24" i="104"/>
  <c r="R109" i="106" s="1"/>
  <c r="H23" i="104"/>
  <c r="H22" i="104"/>
  <c r="H21" i="104"/>
  <c r="R106" i="106" s="1"/>
  <c r="H20" i="104"/>
  <c r="H19" i="104"/>
  <c r="H18" i="104"/>
  <c r="H17" i="104"/>
  <c r="P3" i="103"/>
  <c r="BX3" i="103" s="1"/>
  <c r="R102" i="106" l="1"/>
  <c r="H75" i="104"/>
  <c r="J19" i="104"/>
  <c r="R104" i="106"/>
  <c r="J23" i="104"/>
  <c r="R108" i="106"/>
  <c r="J27" i="104"/>
  <c r="R112" i="106"/>
  <c r="J31" i="104"/>
  <c r="R116" i="106"/>
  <c r="J36" i="104"/>
  <c r="R121" i="106"/>
  <c r="J41" i="104"/>
  <c r="R126" i="106"/>
  <c r="J46" i="104"/>
  <c r="R131" i="106"/>
  <c r="J51" i="104"/>
  <c r="R136" i="106"/>
  <c r="J56" i="104"/>
  <c r="R141" i="106"/>
  <c r="J61" i="104"/>
  <c r="R146" i="106"/>
  <c r="J66" i="104"/>
  <c r="R151" i="106"/>
  <c r="J71" i="104"/>
  <c r="R156" i="106"/>
  <c r="R98" i="106"/>
  <c r="K28" i="104"/>
  <c r="R113" i="106"/>
  <c r="K32" i="104"/>
  <c r="R117" i="106"/>
  <c r="K37" i="104"/>
  <c r="R122" i="106"/>
  <c r="K47" i="104"/>
  <c r="R132" i="106"/>
  <c r="K52" i="104"/>
  <c r="R137" i="106"/>
  <c r="K57" i="104"/>
  <c r="R142" i="106"/>
  <c r="K62" i="104"/>
  <c r="R147" i="106"/>
  <c r="K68" i="104"/>
  <c r="R153" i="106"/>
  <c r="R166" i="106"/>
  <c r="R177" i="106"/>
  <c r="R170" i="106"/>
  <c r="R181" i="106"/>
  <c r="R174" i="106"/>
  <c r="R185" i="106"/>
  <c r="J29" i="104"/>
  <c r="R114" i="106"/>
  <c r="J39" i="104"/>
  <c r="R124" i="106"/>
  <c r="J43" i="104"/>
  <c r="R128" i="106"/>
  <c r="J54" i="104"/>
  <c r="R139" i="106"/>
  <c r="J59" i="104"/>
  <c r="R144" i="106"/>
  <c r="J63" i="104"/>
  <c r="R148" i="106"/>
  <c r="J69" i="104"/>
  <c r="R154" i="106"/>
  <c r="R182" i="106"/>
  <c r="R171" i="106"/>
  <c r="K20" i="104"/>
  <c r="R105" i="106"/>
  <c r="K18" i="104"/>
  <c r="R103" i="106"/>
  <c r="K22" i="104"/>
  <c r="R107" i="106"/>
  <c r="K26" i="104"/>
  <c r="R111" i="106"/>
  <c r="K30" i="104"/>
  <c r="R115" i="106"/>
  <c r="K34" i="104"/>
  <c r="R119" i="106"/>
  <c r="K40" i="104"/>
  <c r="R125" i="106"/>
  <c r="K44" i="104"/>
  <c r="R129" i="106"/>
  <c r="K55" i="104"/>
  <c r="R140" i="106"/>
  <c r="K60" i="104"/>
  <c r="R145" i="106"/>
  <c r="K65" i="104"/>
  <c r="R150" i="106"/>
  <c r="J70" i="104"/>
  <c r="R155" i="106"/>
  <c r="R179" i="106"/>
  <c r="R168" i="106"/>
  <c r="R183" i="106"/>
  <c r="R172" i="106"/>
  <c r="K50" i="104"/>
  <c r="K24" i="104"/>
  <c r="K72" i="104"/>
  <c r="J33" i="104"/>
  <c r="J49" i="104"/>
  <c r="K42" i="104"/>
  <c r="J50" i="104"/>
  <c r="J30" i="104"/>
  <c r="K70" i="104"/>
  <c r="J40" i="104"/>
  <c r="J18" i="104"/>
  <c r="J60" i="104"/>
  <c r="K23" i="104"/>
  <c r="J26" i="104"/>
  <c r="J34" i="104"/>
  <c r="J44" i="104"/>
  <c r="J55" i="104"/>
  <c r="J65" i="104"/>
  <c r="D23" i="104" s="1"/>
  <c r="K27" i="104"/>
  <c r="K31" i="104"/>
  <c r="K36" i="104"/>
  <c r="K41" i="104"/>
  <c r="K46" i="104"/>
  <c r="K51" i="104"/>
  <c r="K56" i="104"/>
  <c r="K61" i="104"/>
  <c r="K66" i="104"/>
  <c r="K71" i="104"/>
  <c r="K19" i="104"/>
  <c r="J22" i="104"/>
  <c r="I74" i="104"/>
  <c r="R82" i="106" s="1"/>
  <c r="K74" i="104"/>
  <c r="E25" i="104" s="1"/>
  <c r="M3" i="103"/>
  <c r="AF3" i="103"/>
  <c r="BO3" i="103"/>
  <c r="F3" i="103"/>
  <c r="U3" i="103"/>
  <c r="AQ3" i="103"/>
  <c r="BA3" i="103"/>
  <c r="BU3" i="103"/>
  <c r="B26" i="104"/>
  <c r="R8" i="106" s="1"/>
  <c r="I3" i="103"/>
  <c r="X3" i="103"/>
  <c r="AJ3" i="103"/>
  <c r="AT3" i="103"/>
  <c r="BJ3" i="103"/>
  <c r="J3" i="103"/>
  <c r="AC3" i="103"/>
  <c r="AL3" i="103"/>
  <c r="BF3" i="103"/>
  <c r="J21" i="104"/>
  <c r="J25" i="104"/>
  <c r="G3" i="103"/>
  <c r="K3" i="103"/>
  <c r="O3" i="103"/>
  <c r="V3" i="103"/>
  <c r="Z3" i="103"/>
  <c r="AD3" i="103"/>
  <c r="AH3" i="103"/>
  <c r="AM3" i="103"/>
  <c r="AR3" i="103"/>
  <c r="AW3" i="103"/>
  <c r="BB3" i="103"/>
  <c r="BG3" i="103"/>
  <c r="BL3" i="103"/>
  <c r="BR3" i="103"/>
  <c r="BV3" i="103"/>
  <c r="K17" i="104"/>
  <c r="J20" i="104"/>
  <c r="K21" i="104"/>
  <c r="J24" i="104"/>
  <c r="K25" i="104"/>
  <c r="J28" i="104"/>
  <c r="K29" i="104"/>
  <c r="J32" i="104"/>
  <c r="K33" i="104"/>
  <c r="J37" i="104"/>
  <c r="D17" i="104" s="1"/>
  <c r="K39" i="104"/>
  <c r="J42" i="104"/>
  <c r="K43" i="104"/>
  <c r="J47" i="104"/>
  <c r="D19" i="104" s="1"/>
  <c r="K49" i="104"/>
  <c r="J52" i="104"/>
  <c r="K54" i="104"/>
  <c r="J57" i="104"/>
  <c r="K59" i="104"/>
  <c r="J62" i="104"/>
  <c r="K63" i="104"/>
  <c r="J68" i="104"/>
  <c r="K69" i="104"/>
  <c r="J72" i="104"/>
  <c r="T3" i="103"/>
  <c r="AB3" i="103"/>
  <c r="AP3" i="103"/>
  <c r="AZ3" i="103"/>
  <c r="BE3" i="103"/>
  <c r="BT3" i="103"/>
  <c r="N3" i="103"/>
  <c r="Y3" i="103"/>
  <c r="AG3" i="103"/>
  <c r="AV3" i="103"/>
  <c r="BK3" i="103"/>
  <c r="BP3" i="103"/>
  <c r="J17" i="104"/>
  <c r="H3" i="103"/>
  <c r="L3" i="103"/>
  <c r="S3" i="103"/>
  <c r="W3" i="103"/>
  <c r="AA3" i="103"/>
  <c r="AE3" i="103"/>
  <c r="AI3" i="103"/>
  <c r="AO3" i="103"/>
  <c r="AS3" i="103"/>
  <c r="AY3" i="103"/>
  <c r="BD3" i="103"/>
  <c r="BI3" i="103"/>
  <c r="BM3" i="103"/>
  <c r="BS3" i="103"/>
  <c r="D25" i="98"/>
  <c r="B25" i="98"/>
  <c r="Q97" i="106" s="1"/>
  <c r="B24" i="98"/>
  <c r="Q96" i="106" s="1"/>
  <c r="B23" i="98"/>
  <c r="Q95" i="106" s="1"/>
  <c r="B22" i="98"/>
  <c r="Q94" i="106" s="1"/>
  <c r="B21" i="98"/>
  <c r="Q93" i="106" s="1"/>
  <c r="B20" i="98"/>
  <c r="Q92" i="106" s="1"/>
  <c r="B19" i="98"/>
  <c r="Q91" i="106" s="1"/>
  <c r="B18" i="98"/>
  <c r="Q90" i="106" s="1"/>
  <c r="B17" i="98"/>
  <c r="Q89" i="106" s="1"/>
  <c r="B16" i="98"/>
  <c r="Q88" i="106" s="1"/>
  <c r="B10" i="98"/>
  <c r="H74" i="98"/>
  <c r="Q159" i="106" s="1"/>
  <c r="H72" i="98"/>
  <c r="Q157" i="106" s="1"/>
  <c r="H71" i="98"/>
  <c r="Q156" i="106" s="1"/>
  <c r="H70" i="98"/>
  <c r="Q155" i="106" s="1"/>
  <c r="H69" i="98"/>
  <c r="Q154" i="106" s="1"/>
  <c r="H68" i="98"/>
  <c r="Q153" i="106" s="1"/>
  <c r="H66" i="98"/>
  <c r="Q151" i="106" s="1"/>
  <c r="H65" i="98"/>
  <c r="Q150" i="106" s="1"/>
  <c r="H63" i="98"/>
  <c r="Q148" i="106" s="1"/>
  <c r="H62" i="98"/>
  <c r="Q147" i="106" s="1"/>
  <c r="H61" i="98"/>
  <c r="Q146" i="106" s="1"/>
  <c r="H60" i="98"/>
  <c r="Q145" i="106" s="1"/>
  <c r="H59" i="98"/>
  <c r="Q144" i="106" s="1"/>
  <c r="H57" i="98"/>
  <c r="Q142" i="106" s="1"/>
  <c r="H56" i="98"/>
  <c r="Q141" i="106" s="1"/>
  <c r="H55" i="98"/>
  <c r="Q140" i="106" s="1"/>
  <c r="H54" i="98"/>
  <c r="Q139" i="106" s="1"/>
  <c r="H52" i="98"/>
  <c r="Q137" i="106" s="1"/>
  <c r="H51" i="98"/>
  <c r="Q136" i="106" s="1"/>
  <c r="H50" i="98"/>
  <c r="Q135" i="106" s="1"/>
  <c r="H49" i="98"/>
  <c r="Q134" i="106" s="1"/>
  <c r="H47" i="98"/>
  <c r="Q132" i="106" s="1"/>
  <c r="H46" i="98"/>
  <c r="Q131" i="106" s="1"/>
  <c r="H44" i="98"/>
  <c r="Q129" i="106" s="1"/>
  <c r="H43" i="98"/>
  <c r="Q128" i="106" s="1"/>
  <c r="H42" i="98"/>
  <c r="Q127" i="106" s="1"/>
  <c r="H41" i="98"/>
  <c r="Q126" i="106" s="1"/>
  <c r="H40" i="98"/>
  <c r="Q125" i="106" s="1"/>
  <c r="H39" i="98"/>
  <c r="Q124" i="106" s="1"/>
  <c r="H37" i="98"/>
  <c r="Q122" i="106" s="1"/>
  <c r="H36" i="98"/>
  <c r="Q121" i="106" s="1"/>
  <c r="H34" i="98"/>
  <c r="Q119" i="106" s="1"/>
  <c r="H33" i="98"/>
  <c r="Q118" i="106" s="1"/>
  <c r="H32" i="98"/>
  <c r="Q117" i="106" s="1"/>
  <c r="H31" i="98"/>
  <c r="Q116" i="106" s="1"/>
  <c r="H30" i="98"/>
  <c r="Q115" i="106" s="1"/>
  <c r="H29" i="98"/>
  <c r="Q114" i="106" s="1"/>
  <c r="H28" i="98"/>
  <c r="Q113" i="106" s="1"/>
  <c r="H27" i="98"/>
  <c r="Q112" i="106" s="1"/>
  <c r="H26" i="98"/>
  <c r="Q111" i="106" s="1"/>
  <c r="H25" i="98"/>
  <c r="Q110" i="106" s="1"/>
  <c r="H24" i="98"/>
  <c r="Q109" i="106" s="1"/>
  <c r="H23" i="98"/>
  <c r="Q108" i="106" s="1"/>
  <c r="H22" i="98"/>
  <c r="Q107" i="106" s="1"/>
  <c r="H21" i="98"/>
  <c r="Q106" i="106" s="1"/>
  <c r="H20" i="98"/>
  <c r="Q105" i="106" s="1"/>
  <c r="H19" i="98"/>
  <c r="Q104" i="106" s="1"/>
  <c r="H18" i="98"/>
  <c r="Q103" i="106" s="1"/>
  <c r="H17" i="98"/>
  <c r="P3" i="97"/>
  <c r="BX3" i="97" s="1"/>
  <c r="E17" i="104" l="1"/>
  <c r="Q102" i="106"/>
  <c r="H75" i="98"/>
  <c r="E23" i="104"/>
  <c r="E19" i="104"/>
  <c r="Q177" i="106"/>
  <c r="Q166" i="106"/>
  <c r="Q185" i="106"/>
  <c r="Q174" i="106"/>
  <c r="Q171" i="106"/>
  <c r="Q182" i="106"/>
  <c r="I21" i="104"/>
  <c r="R29" i="106" s="1"/>
  <c r="R9" i="106"/>
  <c r="Q179" i="106"/>
  <c r="Q168" i="106"/>
  <c r="Q183" i="106"/>
  <c r="Q172" i="106"/>
  <c r="Q98" i="106"/>
  <c r="D22" i="104"/>
  <c r="E21" i="104"/>
  <c r="D20" i="104"/>
  <c r="D18" i="104"/>
  <c r="D21" i="104"/>
  <c r="E22" i="104"/>
  <c r="E18" i="104"/>
  <c r="I72" i="104"/>
  <c r="R80" i="106" s="1"/>
  <c r="I52" i="104"/>
  <c r="R60" i="106" s="1"/>
  <c r="I42" i="104"/>
  <c r="R50" i="106" s="1"/>
  <c r="I68" i="104"/>
  <c r="R76" i="106" s="1"/>
  <c r="I32" i="104"/>
  <c r="R40" i="106" s="1"/>
  <c r="I62" i="104"/>
  <c r="R70" i="106" s="1"/>
  <c r="I28" i="104"/>
  <c r="R36" i="106" s="1"/>
  <c r="E24" i="104"/>
  <c r="E20" i="104"/>
  <c r="I47" i="104"/>
  <c r="R55" i="106" s="1"/>
  <c r="I24" i="104"/>
  <c r="R32" i="106" s="1"/>
  <c r="I41" i="104"/>
  <c r="R49" i="106" s="1"/>
  <c r="I29" i="104"/>
  <c r="R37" i="106" s="1"/>
  <c r="I44" i="104"/>
  <c r="R52" i="106" s="1"/>
  <c r="I23" i="104"/>
  <c r="R31" i="106" s="1"/>
  <c r="I26" i="104"/>
  <c r="R34" i="106" s="1"/>
  <c r="C20" i="104"/>
  <c r="R15" i="106" s="1"/>
  <c r="I69" i="104"/>
  <c r="R77" i="106" s="1"/>
  <c r="I17" i="104"/>
  <c r="I57" i="104"/>
  <c r="R65" i="106" s="1"/>
  <c r="I37" i="104"/>
  <c r="R45" i="106" s="1"/>
  <c r="I20" i="104"/>
  <c r="R28" i="106" s="1"/>
  <c r="I61" i="104"/>
  <c r="R69" i="106" s="1"/>
  <c r="C18" i="104"/>
  <c r="R13" i="106" s="1"/>
  <c r="I49" i="104"/>
  <c r="R57" i="106" s="1"/>
  <c r="I65" i="104"/>
  <c r="R73" i="106" s="1"/>
  <c r="I56" i="104"/>
  <c r="R64" i="106" s="1"/>
  <c r="I36" i="104"/>
  <c r="R44" i="106" s="1"/>
  <c r="I19" i="104"/>
  <c r="R27" i="106" s="1"/>
  <c r="C25" i="104"/>
  <c r="R20" i="106" s="1"/>
  <c r="I63" i="104"/>
  <c r="R71" i="106" s="1"/>
  <c r="I43" i="104"/>
  <c r="R51" i="106" s="1"/>
  <c r="I18" i="104"/>
  <c r="R26" i="106" s="1"/>
  <c r="C16" i="104"/>
  <c r="R11" i="106" s="1"/>
  <c r="C23" i="104"/>
  <c r="R18" i="106" s="1"/>
  <c r="I60" i="104"/>
  <c r="R68" i="106" s="1"/>
  <c r="I40" i="104"/>
  <c r="R48" i="106" s="1"/>
  <c r="D16" i="104"/>
  <c r="D24" i="104"/>
  <c r="I71" i="104"/>
  <c r="R79" i="106" s="1"/>
  <c r="I51" i="104"/>
  <c r="R59" i="106" s="1"/>
  <c r="I31" i="104"/>
  <c r="R39" i="106" s="1"/>
  <c r="C21" i="104"/>
  <c r="R16" i="106" s="1"/>
  <c r="I59" i="104"/>
  <c r="R67" i="106" s="1"/>
  <c r="I39" i="104"/>
  <c r="R47" i="106" s="1"/>
  <c r="I34" i="104"/>
  <c r="R42" i="106" s="1"/>
  <c r="C19" i="104"/>
  <c r="R14" i="106" s="1"/>
  <c r="I55" i="104"/>
  <c r="R63" i="106" s="1"/>
  <c r="I30" i="104"/>
  <c r="R38" i="106" s="1"/>
  <c r="E16" i="104"/>
  <c r="I66" i="104"/>
  <c r="R74" i="106" s="1"/>
  <c r="I46" i="104"/>
  <c r="R54" i="106" s="1"/>
  <c r="I27" i="104"/>
  <c r="R35" i="106" s="1"/>
  <c r="C22" i="104"/>
  <c r="R17" i="106" s="1"/>
  <c r="I25" i="104"/>
  <c r="R33" i="106" s="1"/>
  <c r="C17" i="104"/>
  <c r="R12" i="106" s="1"/>
  <c r="I54" i="104"/>
  <c r="R62" i="106" s="1"/>
  <c r="I33" i="104"/>
  <c r="R41" i="106" s="1"/>
  <c r="C24" i="104"/>
  <c r="R19" i="106" s="1"/>
  <c r="I22" i="104"/>
  <c r="R30" i="106" s="1"/>
  <c r="I70" i="104"/>
  <c r="R78" i="106" s="1"/>
  <c r="I50" i="104"/>
  <c r="R58" i="106" s="1"/>
  <c r="J19" i="98"/>
  <c r="J23" i="98"/>
  <c r="J27" i="98"/>
  <c r="J31" i="98"/>
  <c r="J36" i="98"/>
  <c r="J41" i="98"/>
  <c r="J46" i="98"/>
  <c r="J51" i="98"/>
  <c r="J61" i="98"/>
  <c r="J66" i="98"/>
  <c r="J71" i="98"/>
  <c r="K28" i="98"/>
  <c r="K32" i="98"/>
  <c r="K37" i="98"/>
  <c r="K47" i="98"/>
  <c r="K52" i="98"/>
  <c r="K62" i="98"/>
  <c r="K68" i="98"/>
  <c r="J17" i="98"/>
  <c r="J21" i="98"/>
  <c r="J25" i="98"/>
  <c r="J29" i="98"/>
  <c r="J39" i="98"/>
  <c r="J43" i="98"/>
  <c r="J54" i="98"/>
  <c r="J59" i="98"/>
  <c r="J63" i="98"/>
  <c r="J69" i="98"/>
  <c r="K20" i="98"/>
  <c r="K18" i="98"/>
  <c r="K22" i="98"/>
  <c r="K26" i="98"/>
  <c r="K30" i="98"/>
  <c r="K34" i="98"/>
  <c r="K40" i="98"/>
  <c r="K44" i="98"/>
  <c r="K50" i="98"/>
  <c r="K55" i="98"/>
  <c r="K60" i="98"/>
  <c r="K65" i="98"/>
  <c r="K70" i="98"/>
  <c r="K57" i="98"/>
  <c r="J56" i="98"/>
  <c r="K42" i="98"/>
  <c r="K24" i="98"/>
  <c r="K72" i="98"/>
  <c r="J33" i="98"/>
  <c r="J49" i="98"/>
  <c r="K36" i="98"/>
  <c r="K56" i="98"/>
  <c r="K46" i="98"/>
  <c r="K66" i="98"/>
  <c r="K23" i="98"/>
  <c r="K31" i="98"/>
  <c r="K51" i="98"/>
  <c r="K71" i="98"/>
  <c r="K19" i="98"/>
  <c r="K27" i="98"/>
  <c r="K41" i="98"/>
  <c r="K61" i="98"/>
  <c r="J18" i="98"/>
  <c r="J22" i="98"/>
  <c r="J26" i="98"/>
  <c r="J30" i="98"/>
  <c r="J34" i="98"/>
  <c r="J40" i="98"/>
  <c r="J44" i="98"/>
  <c r="J50" i="98"/>
  <c r="J55" i="98"/>
  <c r="J60" i="98"/>
  <c r="J65" i="98"/>
  <c r="J70" i="98"/>
  <c r="I74" i="98"/>
  <c r="Q82" i="106" s="1"/>
  <c r="K74" i="98"/>
  <c r="E25" i="98" s="1"/>
  <c r="I3" i="97"/>
  <c r="M3" i="97"/>
  <c r="T3" i="97"/>
  <c r="X3" i="97"/>
  <c r="AB3" i="97"/>
  <c r="AF3" i="97"/>
  <c r="AJ3" i="97"/>
  <c r="AP3" i="97"/>
  <c r="AT3" i="97"/>
  <c r="AZ3" i="97"/>
  <c r="BE3" i="97"/>
  <c r="BJ3" i="97"/>
  <c r="BO3" i="97"/>
  <c r="BT3" i="97"/>
  <c r="AG3" i="97"/>
  <c r="B26" i="98"/>
  <c r="Q8" i="106" s="1"/>
  <c r="J3" i="97"/>
  <c r="U3" i="97"/>
  <c r="AC3" i="97"/>
  <c r="AL3" i="97"/>
  <c r="AV3" i="97"/>
  <c r="BF3" i="97"/>
  <c r="BK3" i="97"/>
  <c r="BU3" i="97"/>
  <c r="G3" i="97"/>
  <c r="K3" i="97"/>
  <c r="O3" i="97"/>
  <c r="V3" i="97"/>
  <c r="Z3" i="97"/>
  <c r="AD3" i="97"/>
  <c r="AH3" i="97"/>
  <c r="AM3" i="97"/>
  <c r="AR3" i="97"/>
  <c r="AW3" i="97"/>
  <c r="BB3" i="97"/>
  <c r="BG3" i="97"/>
  <c r="BL3" i="97"/>
  <c r="BR3" i="97"/>
  <c r="BV3" i="97"/>
  <c r="K17" i="98"/>
  <c r="J20" i="98"/>
  <c r="K21" i="98"/>
  <c r="J24" i="98"/>
  <c r="K25" i="98"/>
  <c r="J28" i="98"/>
  <c r="K29" i="98"/>
  <c r="J32" i="98"/>
  <c r="K33" i="98"/>
  <c r="J37" i="98"/>
  <c r="K39" i="98"/>
  <c r="J42" i="98"/>
  <c r="K43" i="98"/>
  <c r="J47" i="98"/>
  <c r="K49" i="98"/>
  <c r="J52" i="98"/>
  <c r="K54" i="98"/>
  <c r="J57" i="98"/>
  <c r="K59" i="98"/>
  <c r="J62" i="98"/>
  <c r="K63" i="98"/>
  <c r="J68" i="98"/>
  <c r="K69" i="98"/>
  <c r="J72" i="98"/>
  <c r="Q9" i="106"/>
  <c r="Q176" i="106" s="1"/>
  <c r="F3" i="97"/>
  <c r="N3" i="97"/>
  <c r="Y3" i="97"/>
  <c r="AQ3" i="97"/>
  <c r="BA3" i="97"/>
  <c r="BP3" i="97"/>
  <c r="H3" i="97"/>
  <c r="L3" i="97"/>
  <c r="S3" i="97"/>
  <c r="W3" i="97"/>
  <c r="AA3" i="97"/>
  <c r="AE3" i="97"/>
  <c r="AI3" i="97"/>
  <c r="AO3" i="97"/>
  <c r="AS3" i="97"/>
  <c r="AY3" i="97"/>
  <c r="BD3" i="97"/>
  <c r="BI3" i="97"/>
  <c r="BM3" i="97"/>
  <c r="BS3" i="97"/>
  <c r="D25" i="92"/>
  <c r="B25" i="92"/>
  <c r="P97" i="106" s="1"/>
  <c r="B24" i="92"/>
  <c r="P96" i="106" s="1"/>
  <c r="B23" i="92"/>
  <c r="P95" i="106" s="1"/>
  <c r="B22" i="92"/>
  <c r="P94" i="106" s="1"/>
  <c r="B21" i="92"/>
  <c r="P93" i="106" s="1"/>
  <c r="B20" i="92"/>
  <c r="P92" i="106" s="1"/>
  <c r="B19" i="92"/>
  <c r="P91" i="106" s="1"/>
  <c r="B18" i="92"/>
  <c r="P90" i="106" s="1"/>
  <c r="B17" i="92"/>
  <c r="P89" i="106" s="1"/>
  <c r="B16" i="92"/>
  <c r="P88" i="106" s="1"/>
  <c r="B10" i="92"/>
  <c r="H74" i="92"/>
  <c r="P159" i="106" s="1"/>
  <c r="H72" i="92"/>
  <c r="P157" i="106" s="1"/>
  <c r="H71" i="92"/>
  <c r="P156" i="106" s="1"/>
  <c r="H70" i="92"/>
  <c r="P155" i="106" s="1"/>
  <c r="H69" i="92"/>
  <c r="P154" i="106" s="1"/>
  <c r="H68" i="92"/>
  <c r="P153" i="106" s="1"/>
  <c r="H66" i="92"/>
  <c r="P151" i="106" s="1"/>
  <c r="H65" i="92"/>
  <c r="P150" i="106" s="1"/>
  <c r="H63" i="92"/>
  <c r="P148" i="106" s="1"/>
  <c r="H62" i="92"/>
  <c r="P147" i="106" s="1"/>
  <c r="H61" i="92"/>
  <c r="P146" i="106" s="1"/>
  <c r="H60" i="92"/>
  <c r="P145" i="106" s="1"/>
  <c r="H59" i="92"/>
  <c r="P144" i="106" s="1"/>
  <c r="H57" i="92"/>
  <c r="P142" i="106" s="1"/>
  <c r="H56" i="92"/>
  <c r="P141" i="106" s="1"/>
  <c r="H55" i="92"/>
  <c r="P140" i="106" s="1"/>
  <c r="H54" i="92"/>
  <c r="P139" i="106" s="1"/>
  <c r="H52" i="92"/>
  <c r="P137" i="106" s="1"/>
  <c r="H51" i="92"/>
  <c r="P136" i="106" s="1"/>
  <c r="H50" i="92"/>
  <c r="P135" i="106" s="1"/>
  <c r="H49" i="92"/>
  <c r="P134" i="106" s="1"/>
  <c r="H47" i="92"/>
  <c r="P132" i="106" s="1"/>
  <c r="H46" i="92"/>
  <c r="P131" i="106" s="1"/>
  <c r="H44" i="92"/>
  <c r="P129" i="106" s="1"/>
  <c r="H43" i="92"/>
  <c r="P128" i="106" s="1"/>
  <c r="H42" i="92"/>
  <c r="P127" i="106" s="1"/>
  <c r="H41" i="92"/>
  <c r="P126" i="106" s="1"/>
  <c r="H40" i="92"/>
  <c r="P125" i="106" s="1"/>
  <c r="H39" i="92"/>
  <c r="P124" i="106" s="1"/>
  <c r="H37" i="92"/>
  <c r="P122" i="106" s="1"/>
  <c r="H36" i="92"/>
  <c r="P121" i="106" s="1"/>
  <c r="H34" i="92"/>
  <c r="P119" i="106" s="1"/>
  <c r="H33" i="92"/>
  <c r="P118" i="106" s="1"/>
  <c r="H32" i="92"/>
  <c r="P117" i="106" s="1"/>
  <c r="H31" i="92"/>
  <c r="P116" i="106" s="1"/>
  <c r="H30" i="92"/>
  <c r="P115" i="106" s="1"/>
  <c r="H29" i="92"/>
  <c r="P114" i="106" s="1"/>
  <c r="H28" i="92"/>
  <c r="P113" i="106" s="1"/>
  <c r="H27" i="92"/>
  <c r="P112" i="106" s="1"/>
  <c r="H26" i="92"/>
  <c r="P111" i="106" s="1"/>
  <c r="H25" i="92"/>
  <c r="P110" i="106" s="1"/>
  <c r="H24" i="92"/>
  <c r="P109" i="106" s="1"/>
  <c r="H23" i="92"/>
  <c r="P108" i="106" s="1"/>
  <c r="H22" i="92"/>
  <c r="P107" i="106" s="1"/>
  <c r="H21" i="92"/>
  <c r="P106" i="106" s="1"/>
  <c r="H20" i="92"/>
  <c r="P105" i="106" s="1"/>
  <c r="H19" i="92"/>
  <c r="P104" i="106" s="1"/>
  <c r="H18" i="92"/>
  <c r="P103" i="106" s="1"/>
  <c r="H17" i="92"/>
  <c r="P3" i="91"/>
  <c r="BE3" i="91" s="1"/>
  <c r="R25" i="106" l="1"/>
  <c r="I75" i="104"/>
  <c r="P102" i="106"/>
  <c r="H75" i="92"/>
  <c r="D23" i="98"/>
  <c r="P177" i="106"/>
  <c r="P166" i="106"/>
  <c r="P185" i="106"/>
  <c r="P174" i="106"/>
  <c r="R21" i="106"/>
  <c r="Q180" i="106"/>
  <c r="R176" i="106"/>
  <c r="R169" i="106"/>
  <c r="R167" i="106"/>
  <c r="R165" i="106"/>
  <c r="R184" i="106"/>
  <c r="R173" i="106"/>
  <c r="R180" i="106"/>
  <c r="R178" i="106"/>
  <c r="Q178" i="106"/>
  <c r="Q170" i="106"/>
  <c r="P182" i="106"/>
  <c r="P171" i="106"/>
  <c r="Q173" i="106"/>
  <c r="Q167" i="106"/>
  <c r="Q181" i="106"/>
  <c r="P168" i="106"/>
  <c r="P179" i="106"/>
  <c r="P172" i="106"/>
  <c r="P183" i="106"/>
  <c r="Q184" i="106"/>
  <c r="Q165" i="106"/>
  <c r="P98" i="106"/>
  <c r="Q169" i="106"/>
  <c r="E23" i="98"/>
  <c r="E19" i="98"/>
  <c r="C26" i="104"/>
  <c r="D19" i="98"/>
  <c r="D17" i="98"/>
  <c r="E17" i="98"/>
  <c r="I21" i="98"/>
  <c r="Q29" i="106" s="1"/>
  <c r="D22" i="98"/>
  <c r="D18" i="98"/>
  <c r="E20" i="98"/>
  <c r="E21" i="98"/>
  <c r="D21" i="98"/>
  <c r="I72" i="98"/>
  <c r="Q80" i="106" s="1"/>
  <c r="E24" i="98"/>
  <c r="I68" i="98"/>
  <c r="Q76" i="106" s="1"/>
  <c r="I47" i="98"/>
  <c r="Q55" i="106" s="1"/>
  <c r="I28" i="98"/>
  <c r="Q36" i="106" s="1"/>
  <c r="D20" i="98"/>
  <c r="I52" i="98"/>
  <c r="Q60" i="106" s="1"/>
  <c r="I32" i="98"/>
  <c r="Q40" i="106" s="1"/>
  <c r="I62" i="98"/>
  <c r="Q70" i="106" s="1"/>
  <c r="I42" i="98"/>
  <c r="Q50" i="106" s="1"/>
  <c r="I24" i="98"/>
  <c r="Q32" i="106" s="1"/>
  <c r="E22" i="98"/>
  <c r="E18" i="98"/>
  <c r="I57" i="98"/>
  <c r="Q65" i="106" s="1"/>
  <c r="I37" i="98"/>
  <c r="Q45" i="106" s="1"/>
  <c r="I20" i="98"/>
  <c r="Q28" i="106" s="1"/>
  <c r="D24" i="98"/>
  <c r="D16" i="98"/>
  <c r="E16" i="98"/>
  <c r="I71" i="98"/>
  <c r="Q79" i="106" s="1"/>
  <c r="I51" i="98"/>
  <c r="Q59" i="106" s="1"/>
  <c r="I31" i="98"/>
  <c r="Q39" i="106" s="1"/>
  <c r="C22" i="98"/>
  <c r="Q17" i="106" s="1"/>
  <c r="I39" i="98"/>
  <c r="Q47" i="106" s="1"/>
  <c r="C17" i="98"/>
  <c r="Q12" i="106" s="1"/>
  <c r="I54" i="98"/>
  <c r="Q62" i="106" s="1"/>
  <c r="C20" i="98"/>
  <c r="Q15" i="106" s="1"/>
  <c r="C19" i="98"/>
  <c r="Q14" i="106" s="1"/>
  <c r="I55" i="98"/>
  <c r="Q63" i="106" s="1"/>
  <c r="I40" i="98"/>
  <c r="Q48" i="106" s="1"/>
  <c r="I26" i="98"/>
  <c r="Q34" i="106" s="1"/>
  <c r="I49" i="98"/>
  <c r="Q57" i="106" s="1"/>
  <c r="I66" i="98"/>
  <c r="Q74" i="106" s="1"/>
  <c r="I46" i="98"/>
  <c r="Q54" i="106" s="1"/>
  <c r="I27" i="98"/>
  <c r="Q35" i="106" s="1"/>
  <c r="C18" i="98"/>
  <c r="Q13" i="106" s="1"/>
  <c r="I17" i="98"/>
  <c r="I69" i="98"/>
  <c r="Q77" i="106" s="1"/>
  <c r="I43" i="98"/>
  <c r="Q51" i="106" s="1"/>
  <c r="C16" i="98"/>
  <c r="Q11" i="106" s="1"/>
  <c r="I70" i="98"/>
  <c r="Q78" i="106" s="1"/>
  <c r="I50" i="98"/>
  <c r="Q58" i="106" s="1"/>
  <c r="I22" i="98"/>
  <c r="Q30" i="106" s="1"/>
  <c r="I33" i="98"/>
  <c r="Q41" i="106" s="1"/>
  <c r="I61" i="98"/>
  <c r="Q69" i="106" s="1"/>
  <c r="I41" i="98"/>
  <c r="Q49" i="106" s="1"/>
  <c r="I23" i="98"/>
  <c r="Q31" i="106" s="1"/>
  <c r="C25" i="98"/>
  <c r="Q20" i="106" s="1"/>
  <c r="I63" i="98"/>
  <c r="Q71" i="106" s="1"/>
  <c r="I29" i="98"/>
  <c r="Q37" i="106" s="1"/>
  <c r="I65" i="98"/>
  <c r="Q73" i="106" s="1"/>
  <c r="I34" i="98"/>
  <c r="Q42" i="106" s="1"/>
  <c r="I18" i="98"/>
  <c r="Q26" i="106" s="1"/>
  <c r="I25" i="98"/>
  <c r="Q33" i="106" s="1"/>
  <c r="I56" i="98"/>
  <c r="Q64" i="106" s="1"/>
  <c r="I36" i="98"/>
  <c r="Q44" i="106" s="1"/>
  <c r="I19" i="98"/>
  <c r="Q27" i="106" s="1"/>
  <c r="C21" i="98"/>
  <c r="Q16" i="106" s="1"/>
  <c r="I59" i="98"/>
  <c r="Q67" i="106" s="1"/>
  <c r="C24" i="98"/>
  <c r="Q19" i="106" s="1"/>
  <c r="C23" i="98"/>
  <c r="Q18" i="106" s="1"/>
  <c r="I60" i="98"/>
  <c r="Q68" i="106" s="1"/>
  <c r="I44" i="98"/>
  <c r="Q52" i="106" s="1"/>
  <c r="I30" i="98"/>
  <c r="Q38" i="106" s="1"/>
  <c r="K20" i="92"/>
  <c r="J19" i="92"/>
  <c r="J23" i="92"/>
  <c r="J27" i="92"/>
  <c r="J31" i="92"/>
  <c r="J36" i="92"/>
  <c r="J41" i="92"/>
  <c r="J46" i="92"/>
  <c r="J51" i="92"/>
  <c r="J61" i="92"/>
  <c r="J66" i="92"/>
  <c r="J71" i="92"/>
  <c r="K28" i="92"/>
  <c r="K32" i="92"/>
  <c r="K37" i="92"/>
  <c r="K47" i="92"/>
  <c r="K52" i="92"/>
  <c r="K62" i="92"/>
  <c r="K68" i="92"/>
  <c r="K18" i="92"/>
  <c r="K22" i="92"/>
  <c r="J26" i="92"/>
  <c r="K30" i="92"/>
  <c r="K34" i="92"/>
  <c r="K40" i="92"/>
  <c r="J44" i="92"/>
  <c r="K55" i="92"/>
  <c r="J60" i="92"/>
  <c r="J65" i="92"/>
  <c r="K70" i="92"/>
  <c r="K57" i="92"/>
  <c r="J56" i="92"/>
  <c r="K42" i="92"/>
  <c r="K50" i="92"/>
  <c r="K72" i="92"/>
  <c r="K24" i="92"/>
  <c r="J40" i="92"/>
  <c r="K60" i="92"/>
  <c r="J22" i="92"/>
  <c r="J55" i="92"/>
  <c r="J30" i="92"/>
  <c r="K19" i="92"/>
  <c r="K26" i="92"/>
  <c r="K36" i="92"/>
  <c r="K44" i="92"/>
  <c r="K56" i="92"/>
  <c r="K65" i="92"/>
  <c r="J18" i="92"/>
  <c r="K31" i="92"/>
  <c r="J34" i="92"/>
  <c r="K51" i="92"/>
  <c r="K71" i="92"/>
  <c r="K27" i="92"/>
  <c r="K46" i="92"/>
  <c r="J50" i="92"/>
  <c r="K66" i="92"/>
  <c r="J70" i="92"/>
  <c r="K23" i="92"/>
  <c r="K41" i="92"/>
  <c r="K61" i="92"/>
  <c r="I74" i="92"/>
  <c r="P82" i="106" s="1"/>
  <c r="I3" i="91"/>
  <c r="AB3" i="91"/>
  <c r="AT3" i="91"/>
  <c r="M3" i="91"/>
  <c r="AF3" i="91"/>
  <c r="AZ3" i="91"/>
  <c r="T3" i="91"/>
  <c r="AJ3" i="91"/>
  <c r="BX3" i="91"/>
  <c r="BS3" i="91"/>
  <c r="BM3" i="91"/>
  <c r="BI3" i="91"/>
  <c r="BD3" i="91"/>
  <c r="AY3" i="91"/>
  <c r="AS3" i="91"/>
  <c r="AO3" i="91"/>
  <c r="AI3" i="91"/>
  <c r="AE3" i="91"/>
  <c r="AA3" i="91"/>
  <c r="W3" i="91"/>
  <c r="S3" i="91"/>
  <c r="L3" i="91"/>
  <c r="H3" i="91"/>
  <c r="U3" i="91"/>
  <c r="BV3" i="91"/>
  <c r="BR3" i="91"/>
  <c r="BL3" i="91"/>
  <c r="BG3" i="91"/>
  <c r="BB3" i="91"/>
  <c r="AW3" i="91"/>
  <c r="AR3" i="91"/>
  <c r="AM3" i="91"/>
  <c r="AH3" i="91"/>
  <c r="AD3" i="91"/>
  <c r="Z3" i="91"/>
  <c r="V3" i="91"/>
  <c r="O3" i="91"/>
  <c r="K3" i="91"/>
  <c r="G3" i="91"/>
  <c r="BP3" i="91"/>
  <c r="BA3" i="91"/>
  <c r="AQ3" i="91"/>
  <c r="AG3" i="91"/>
  <c r="Y3" i="91"/>
  <c r="N3" i="91"/>
  <c r="F3" i="91"/>
  <c r="BT3" i="91"/>
  <c r="BO3" i="91"/>
  <c r="BJ3" i="91"/>
  <c r="BU3" i="91"/>
  <c r="BK3" i="91"/>
  <c r="BF3" i="91"/>
  <c r="AV3" i="91"/>
  <c r="AL3" i="91"/>
  <c r="AC3" i="91"/>
  <c r="J3" i="91"/>
  <c r="X3" i="91"/>
  <c r="AP3" i="91"/>
  <c r="J17" i="92"/>
  <c r="J33" i="92"/>
  <c r="J54" i="92"/>
  <c r="J59" i="92"/>
  <c r="J63" i="92"/>
  <c r="J69" i="92"/>
  <c r="K74" i="92"/>
  <c r="E25" i="92" s="1"/>
  <c r="B26" i="92"/>
  <c r="P8" i="106" s="1"/>
  <c r="J25" i="92"/>
  <c r="J29" i="92"/>
  <c r="J39" i="92"/>
  <c r="J43" i="92"/>
  <c r="K17" i="92"/>
  <c r="J20" i="92"/>
  <c r="K21" i="92"/>
  <c r="J24" i="92"/>
  <c r="K25" i="92"/>
  <c r="J28" i="92"/>
  <c r="K29" i="92"/>
  <c r="J32" i="92"/>
  <c r="K33" i="92"/>
  <c r="J37" i="92"/>
  <c r="K39" i="92"/>
  <c r="J42" i="92"/>
  <c r="K43" i="92"/>
  <c r="J47" i="92"/>
  <c r="K49" i="92"/>
  <c r="J52" i="92"/>
  <c r="K54" i="92"/>
  <c r="J57" i="92"/>
  <c r="K59" i="92"/>
  <c r="J62" i="92"/>
  <c r="K63" i="92"/>
  <c r="J68" i="92"/>
  <c r="K69" i="92"/>
  <c r="J72" i="92"/>
  <c r="P9" i="106"/>
  <c r="P170" i="106" s="1"/>
  <c r="J21" i="92"/>
  <c r="J49" i="92"/>
  <c r="D25" i="86"/>
  <c r="B25" i="86"/>
  <c r="O97" i="106" s="1"/>
  <c r="B24" i="86"/>
  <c r="O96" i="106" s="1"/>
  <c r="B23" i="86"/>
  <c r="O95" i="106" s="1"/>
  <c r="B22" i="86"/>
  <c r="O94" i="106" s="1"/>
  <c r="B21" i="86"/>
  <c r="O93" i="106" s="1"/>
  <c r="B20" i="86"/>
  <c r="O92" i="106" s="1"/>
  <c r="B19" i="86"/>
  <c r="O91" i="106" s="1"/>
  <c r="B18" i="86"/>
  <c r="O90" i="106" s="1"/>
  <c r="B17" i="86"/>
  <c r="O89" i="106" s="1"/>
  <c r="B16" i="86"/>
  <c r="O88" i="106" s="1"/>
  <c r="B10" i="86"/>
  <c r="H74" i="86"/>
  <c r="O159" i="106" s="1"/>
  <c r="H72" i="86"/>
  <c r="O157" i="106" s="1"/>
  <c r="H71" i="86"/>
  <c r="O156" i="106" s="1"/>
  <c r="H70" i="86"/>
  <c r="O155" i="106" s="1"/>
  <c r="H69" i="86"/>
  <c r="O154" i="106" s="1"/>
  <c r="H68" i="86"/>
  <c r="O153" i="106" s="1"/>
  <c r="H66" i="86"/>
  <c r="O151" i="106" s="1"/>
  <c r="H65" i="86"/>
  <c r="O150" i="106" s="1"/>
  <c r="H63" i="86"/>
  <c r="O148" i="106" s="1"/>
  <c r="H62" i="86"/>
  <c r="O147" i="106" s="1"/>
  <c r="H61" i="86"/>
  <c r="O146" i="106" s="1"/>
  <c r="H60" i="86"/>
  <c r="O145" i="106" s="1"/>
  <c r="H59" i="86"/>
  <c r="O144" i="106" s="1"/>
  <c r="H57" i="86"/>
  <c r="O142" i="106" s="1"/>
  <c r="H56" i="86"/>
  <c r="O141" i="106" s="1"/>
  <c r="H55" i="86"/>
  <c r="O140" i="106" s="1"/>
  <c r="H54" i="86"/>
  <c r="O139" i="106" s="1"/>
  <c r="H52" i="86"/>
  <c r="O137" i="106" s="1"/>
  <c r="H51" i="86"/>
  <c r="O136" i="106" s="1"/>
  <c r="H50" i="86"/>
  <c r="O135" i="106" s="1"/>
  <c r="H49" i="86"/>
  <c r="O134" i="106" s="1"/>
  <c r="H47" i="86"/>
  <c r="O132" i="106" s="1"/>
  <c r="H46" i="86"/>
  <c r="O131" i="106" s="1"/>
  <c r="H44" i="86"/>
  <c r="O129" i="106" s="1"/>
  <c r="H43" i="86"/>
  <c r="O128" i="106" s="1"/>
  <c r="H42" i="86"/>
  <c r="O127" i="106" s="1"/>
  <c r="H41" i="86"/>
  <c r="O126" i="106" s="1"/>
  <c r="H40" i="86"/>
  <c r="O125" i="106" s="1"/>
  <c r="H39" i="86"/>
  <c r="O124" i="106" s="1"/>
  <c r="H37" i="86"/>
  <c r="O122" i="106" s="1"/>
  <c r="H36" i="86"/>
  <c r="O121" i="106" s="1"/>
  <c r="H34" i="86"/>
  <c r="O119" i="106" s="1"/>
  <c r="H33" i="86"/>
  <c r="O118" i="106" s="1"/>
  <c r="H32" i="86"/>
  <c r="O117" i="106" s="1"/>
  <c r="H31" i="86"/>
  <c r="O116" i="106" s="1"/>
  <c r="H30" i="86"/>
  <c r="O115" i="106" s="1"/>
  <c r="H29" i="86"/>
  <c r="O114" i="106" s="1"/>
  <c r="H28" i="86"/>
  <c r="O113" i="106" s="1"/>
  <c r="H27" i="86"/>
  <c r="O112" i="106" s="1"/>
  <c r="H26" i="86"/>
  <c r="O111" i="106" s="1"/>
  <c r="H25" i="86"/>
  <c r="O110" i="106" s="1"/>
  <c r="H24" i="86"/>
  <c r="O109" i="106" s="1"/>
  <c r="H23" i="86"/>
  <c r="O108" i="106" s="1"/>
  <c r="H22" i="86"/>
  <c r="O107" i="106" s="1"/>
  <c r="H21" i="86"/>
  <c r="O106" i="106" s="1"/>
  <c r="H20" i="86"/>
  <c r="O105" i="106" s="1"/>
  <c r="H19" i="86"/>
  <c r="O104" i="106" s="1"/>
  <c r="H18" i="86"/>
  <c r="O103" i="106" s="1"/>
  <c r="H17" i="86"/>
  <c r="P3" i="85"/>
  <c r="BX3" i="85" s="1"/>
  <c r="Q25" i="106" l="1"/>
  <c r="I75" i="98"/>
  <c r="O102" i="106"/>
  <c r="H75" i="86"/>
  <c r="Q175" i="106"/>
  <c r="O178" i="106"/>
  <c r="O167" i="106"/>
  <c r="P180" i="106"/>
  <c r="Q164" i="106"/>
  <c r="P178" i="106"/>
  <c r="P181" i="106"/>
  <c r="O179" i="106"/>
  <c r="O168" i="106"/>
  <c r="O183" i="106"/>
  <c r="O172" i="106"/>
  <c r="P173" i="106"/>
  <c r="O98" i="106"/>
  <c r="P184" i="106"/>
  <c r="P165" i="106"/>
  <c r="R175" i="106"/>
  <c r="O177" i="106"/>
  <c r="O166" i="106"/>
  <c r="O185" i="106"/>
  <c r="O174" i="106"/>
  <c r="Q21" i="106"/>
  <c r="P169" i="106"/>
  <c r="P176" i="106"/>
  <c r="P167" i="106"/>
  <c r="R164" i="106"/>
  <c r="D19" i="92"/>
  <c r="D17" i="92"/>
  <c r="E19" i="92"/>
  <c r="E17" i="92"/>
  <c r="D23" i="92"/>
  <c r="C26" i="98"/>
  <c r="C22" i="92"/>
  <c r="P17" i="106" s="1"/>
  <c r="E20" i="92"/>
  <c r="E23" i="92"/>
  <c r="E21" i="92"/>
  <c r="E24" i="92"/>
  <c r="I52" i="92"/>
  <c r="P60" i="106" s="1"/>
  <c r="I47" i="92"/>
  <c r="P55" i="106" s="1"/>
  <c r="I71" i="92"/>
  <c r="P79" i="106" s="1"/>
  <c r="I72" i="92"/>
  <c r="P80" i="106" s="1"/>
  <c r="I32" i="92"/>
  <c r="P40" i="106" s="1"/>
  <c r="I51" i="92"/>
  <c r="P59" i="106" s="1"/>
  <c r="I68" i="92"/>
  <c r="P76" i="106" s="1"/>
  <c r="I28" i="92"/>
  <c r="P36" i="106" s="1"/>
  <c r="I31" i="92"/>
  <c r="P39" i="106" s="1"/>
  <c r="I60" i="92"/>
  <c r="P68" i="106" s="1"/>
  <c r="I40" i="92"/>
  <c r="P48" i="106" s="1"/>
  <c r="I30" i="92"/>
  <c r="P38" i="106" s="1"/>
  <c r="I18" i="92"/>
  <c r="P26" i="106" s="1"/>
  <c r="I70" i="92"/>
  <c r="P78" i="106" s="1"/>
  <c r="I55" i="92"/>
  <c r="P63" i="106" s="1"/>
  <c r="I50" i="92"/>
  <c r="P58" i="106" s="1"/>
  <c r="I34" i="92"/>
  <c r="P42" i="106" s="1"/>
  <c r="I22" i="92"/>
  <c r="P30" i="106" s="1"/>
  <c r="I65" i="92"/>
  <c r="P73" i="106" s="1"/>
  <c r="I44" i="92"/>
  <c r="P52" i="106" s="1"/>
  <c r="I26" i="92"/>
  <c r="P34" i="106" s="1"/>
  <c r="E16" i="92"/>
  <c r="I56" i="92"/>
  <c r="P64" i="106" s="1"/>
  <c r="I36" i="92"/>
  <c r="P44" i="106" s="1"/>
  <c r="I19" i="92"/>
  <c r="P27" i="106" s="1"/>
  <c r="D16" i="92"/>
  <c r="I54" i="92"/>
  <c r="P62" i="106" s="1"/>
  <c r="C17" i="92"/>
  <c r="P12" i="106" s="1"/>
  <c r="C16" i="92"/>
  <c r="P11" i="106" s="1"/>
  <c r="I25" i="92"/>
  <c r="P33" i="106" s="1"/>
  <c r="C23" i="92"/>
  <c r="P18" i="106" s="1"/>
  <c r="I29" i="92"/>
  <c r="P37" i="106" s="1"/>
  <c r="D22" i="92"/>
  <c r="I59" i="92"/>
  <c r="P67" i="106" s="1"/>
  <c r="I63" i="92"/>
  <c r="P71" i="106" s="1"/>
  <c r="C19" i="92"/>
  <c r="P14" i="106" s="1"/>
  <c r="D20" i="92"/>
  <c r="I62" i="92"/>
  <c r="P70" i="106" s="1"/>
  <c r="I42" i="92"/>
  <c r="P50" i="106" s="1"/>
  <c r="I24" i="92"/>
  <c r="P32" i="106" s="1"/>
  <c r="E22" i="92"/>
  <c r="E18" i="92"/>
  <c r="D18" i="92"/>
  <c r="I66" i="92"/>
  <c r="P74" i="106" s="1"/>
  <c r="I46" i="92"/>
  <c r="P54" i="106" s="1"/>
  <c r="I27" i="92"/>
  <c r="P35" i="106" s="1"/>
  <c r="D21" i="92"/>
  <c r="C18" i="92"/>
  <c r="P13" i="106" s="1"/>
  <c r="I33" i="92"/>
  <c r="P41" i="106" s="1"/>
  <c r="C25" i="92"/>
  <c r="P20" i="106" s="1"/>
  <c r="I39" i="92"/>
  <c r="P47" i="106" s="1"/>
  <c r="C24" i="92"/>
  <c r="P19" i="106" s="1"/>
  <c r="I69" i="92"/>
  <c r="P77" i="106" s="1"/>
  <c r="I57" i="92"/>
  <c r="P65" i="106" s="1"/>
  <c r="I37" i="92"/>
  <c r="P45" i="106" s="1"/>
  <c r="I20" i="92"/>
  <c r="P28" i="106" s="1"/>
  <c r="D24" i="92"/>
  <c r="I61" i="92"/>
  <c r="P69" i="106" s="1"/>
  <c r="I41" i="92"/>
  <c r="P49" i="106" s="1"/>
  <c r="I23" i="92"/>
  <c r="P31" i="106" s="1"/>
  <c r="I17" i="92"/>
  <c r="C21" i="92"/>
  <c r="P16" i="106" s="1"/>
  <c r="I21" i="92"/>
  <c r="P29" i="106" s="1"/>
  <c r="C20" i="92"/>
  <c r="P15" i="106" s="1"/>
  <c r="I43" i="92"/>
  <c r="P51" i="106" s="1"/>
  <c r="I49" i="92"/>
  <c r="P57" i="106" s="1"/>
  <c r="K20" i="86"/>
  <c r="K28" i="86"/>
  <c r="J17" i="86"/>
  <c r="J21" i="86"/>
  <c r="J25" i="86"/>
  <c r="J29" i="86"/>
  <c r="J39" i="86"/>
  <c r="J43" i="86"/>
  <c r="J54" i="86"/>
  <c r="J59" i="86"/>
  <c r="J63" i="86"/>
  <c r="J69" i="86"/>
  <c r="K18" i="86"/>
  <c r="K26" i="86"/>
  <c r="K34" i="86"/>
  <c r="K40" i="86"/>
  <c r="K44" i="86"/>
  <c r="K50" i="86"/>
  <c r="K55" i="86"/>
  <c r="K60" i="86"/>
  <c r="K65" i="86"/>
  <c r="K70" i="86"/>
  <c r="K22" i="86"/>
  <c r="K30" i="86"/>
  <c r="J19" i="86"/>
  <c r="J23" i="86"/>
  <c r="J27" i="86"/>
  <c r="J31" i="86"/>
  <c r="J36" i="86"/>
  <c r="J41" i="86"/>
  <c r="J46" i="86"/>
  <c r="J51" i="86"/>
  <c r="J66" i="86"/>
  <c r="J71" i="86"/>
  <c r="K24" i="86"/>
  <c r="K32" i="86"/>
  <c r="K37" i="86"/>
  <c r="K42" i="86"/>
  <c r="K47" i="86"/>
  <c r="K52" i="86"/>
  <c r="K57" i="86"/>
  <c r="K62" i="86"/>
  <c r="K68" i="86"/>
  <c r="J56" i="86"/>
  <c r="J61" i="86"/>
  <c r="J55" i="86"/>
  <c r="J33" i="86"/>
  <c r="J49" i="86"/>
  <c r="K72" i="86"/>
  <c r="J18" i="86"/>
  <c r="J26" i="86"/>
  <c r="J34" i="86"/>
  <c r="J44" i="86"/>
  <c r="J22" i="86"/>
  <c r="J30" i="86"/>
  <c r="J40" i="86"/>
  <c r="J50" i="86"/>
  <c r="K19" i="86"/>
  <c r="K23" i="86"/>
  <c r="K27" i="86"/>
  <c r="K31" i="86"/>
  <c r="K36" i="86"/>
  <c r="K41" i="86"/>
  <c r="K46" i="86"/>
  <c r="K51" i="86"/>
  <c r="K56" i="86"/>
  <c r="K61" i="86"/>
  <c r="K66" i="86"/>
  <c r="K71" i="86"/>
  <c r="J60" i="86"/>
  <c r="J65" i="86"/>
  <c r="J70" i="86"/>
  <c r="I74" i="86"/>
  <c r="O82" i="106" s="1"/>
  <c r="K74" i="86"/>
  <c r="E25" i="86" s="1"/>
  <c r="I3" i="85"/>
  <c r="M3" i="85"/>
  <c r="T3" i="85"/>
  <c r="X3" i="85"/>
  <c r="AB3" i="85"/>
  <c r="AF3" i="85"/>
  <c r="AJ3" i="85"/>
  <c r="AP3" i="85"/>
  <c r="AT3" i="85"/>
  <c r="AZ3" i="85"/>
  <c r="BE3" i="85"/>
  <c r="BJ3" i="85"/>
  <c r="BO3" i="85"/>
  <c r="BT3" i="85"/>
  <c r="N3" i="85"/>
  <c r="Y3" i="85"/>
  <c r="AQ3" i="85"/>
  <c r="BA3" i="85"/>
  <c r="BP3" i="85"/>
  <c r="B26" i="86"/>
  <c r="O8" i="106" s="1"/>
  <c r="F3" i="85"/>
  <c r="U3" i="85"/>
  <c r="AC3" i="85"/>
  <c r="AL3" i="85"/>
  <c r="AV3" i="85"/>
  <c r="BF3" i="85"/>
  <c r="BK3" i="85"/>
  <c r="BU3" i="85"/>
  <c r="G3" i="85"/>
  <c r="K3" i="85"/>
  <c r="O3" i="85"/>
  <c r="V3" i="85"/>
  <c r="Z3" i="85"/>
  <c r="AD3" i="85"/>
  <c r="AH3" i="85"/>
  <c r="AM3" i="85"/>
  <c r="AR3" i="85"/>
  <c r="AW3" i="85"/>
  <c r="BB3" i="85"/>
  <c r="BG3" i="85"/>
  <c r="BL3" i="85"/>
  <c r="BR3" i="85"/>
  <c r="BV3" i="85"/>
  <c r="K17" i="86"/>
  <c r="J20" i="86"/>
  <c r="K21" i="86"/>
  <c r="J24" i="86"/>
  <c r="K25" i="86"/>
  <c r="J28" i="86"/>
  <c r="K29" i="86"/>
  <c r="J32" i="86"/>
  <c r="K33" i="86"/>
  <c r="J37" i="86"/>
  <c r="K39" i="86"/>
  <c r="J42" i="86"/>
  <c r="K43" i="86"/>
  <c r="J47" i="86"/>
  <c r="K49" i="86"/>
  <c r="J52" i="86"/>
  <c r="K54" i="86"/>
  <c r="J57" i="86"/>
  <c r="K59" i="86"/>
  <c r="J62" i="86"/>
  <c r="K63" i="86"/>
  <c r="J68" i="86"/>
  <c r="K69" i="86"/>
  <c r="J72" i="86"/>
  <c r="O9" i="106"/>
  <c r="O169" i="106" s="1"/>
  <c r="J3" i="85"/>
  <c r="AG3" i="85"/>
  <c r="H3" i="85"/>
  <c r="L3" i="85"/>
  <c r="S3" i="85"/>
  <c r="W3" i="85"/>
  <c r="AA3" i="85"/>
  <c r="AE3" i="85"/>
  <c r="AI3" i="85"/>
  <c r="AO3" i="85"/>
  <c r="AS3" i="85"/>
  <c r="AY3" i="85"/>
  <c r="BD3" i="85"/>
  <c r="BI3" i="85"/>
  <c r="BM3" i="85"/>
  <c r="BS3" i="85"/>
  <c r="D25" i="80"/>
  <c r="B25" i="80"/>
  <c r="N97" i="106" s="1"/>
  <c r="B24" i="80"/>
  <c r="N96" i="106" s="1"/>
  <c r="B23" i="80"/>
  <c r="N95" i="106" s="1"/>
  <c r="B22" i="80"/>
  <c r="N94" i="106" s="1"/>
  <c r="B21" i="80"/>
  <c r="N93" i="106" s="1"/>
  <c r="B20" i="80"/>
  <c r="N92" i="106" s="1"/>
  <c r="B19" i="80"/>
  <c r="N91" i="106" s="1"/>
  <c r="B18" i="80"/>
  <c r="N90" i="106" s="1"/>
  <c r="B17" i="80"/>
  <c r="N89" i="106" s="1"/>
  <c r="B16" i="80"/>
  <c r="N88" i="106" s="1"/>
  <c r="B10" i="80"/>
  <c r="H74" i="80"/>
  <c r="N159" i="106" s="1"/>
  <c r="H72" i="80"/>
  <c r="N157" i="106" s="1"/>
  <c r="H71" i="80"/>
  <c r="N156" i="106" s="1"/>
  <c r="H70" i="80"/>
  <c r="N155" i="106" s="1"/>
  <c r="H69" i="80"/>
  <c r="N154" i="106" s="1"/>
  <c r="H68" i="80"/>
  <c r="N153" i="106" s="1"/>
  <c r="H66" i="80"/>
  <c r="N151" i="106" s="1"/>
  <c r="H65" i="80"/>
  <c r="N150" i="106" s="1"/>
  <c r="H63" i="80"/>
  <c r="N148" i="106" s="1"/>
  <c r="H62" i="80"/>
  <c r="N147" i="106" s="1"/>
  <c r="H61" i="80"/>
  <c r="N146" i="106" s="1"/>
  <c r="H60" i="80"/>
  <c r="N145" i="106" s="1"/>
  <c r="H59" i="80"/>
  <c r="N144" i="106" s="1"/>
  <c r="H57" i="80"/>
  <c r="N142" i="106" s="1"/>
  <c r="H56" i="80"/>
  <c r="N141" i="106" s="1"/>
  <c r="H55" i="80"/>
  <c r="N140" i="106" s="1"/>
  <c r="H54" i="80"/>
  <c r="N139" i="106" s="1"/>
  <c r="H52" i="80"/>
  <c r="N137" i="106" s="1"/>
  <c r="H51" i="80"/>
  <c r="N136" i="106" s="1"/>
  <c r="H50" i="80"/>
  <c r="N135" i="106" s="1"/>
  <c r="H49" i="80"/>
  <c r="N134" i="106" s="1"/>
  <c r="H47" i="80"/>
  <c r="N132" i="106" s="1"/>
  <c r="H46" i="80"/>
  <c r="N131" i="106" s="1"/>
  <c r="H44" i="80"/>
  <c r="N129" i="106" s="1"/>
  <c r="H43" i="80"/>
  <c r="N128" i="106" s="1"/>
  <c r="H42" i="80"/>
  <c r="N127" i="106" s="1"/>
  <c r="H41" i="80"/>
  <c r="N126" i="106" s="1"/>
  <c r="H40" i="80"/>
  <c r="N125" i="106" s="1"/>
  <c r="H39" i="80"/>
  <c r="N124" i="106" s="1"/>
  <c r="H37" i="80"/>
  <c r="N122" i="106" s="1"/>
  <c r="H36" i="80"/>
  <c r="N121" i="106" s="1"/>
  <c r="H34" i="80"/>
  <c r="N119" i="106" s="1"/>
  <c r="H33" i="80"/>
  <c r="N118" i="106" s="1"/>
  <c r="H32" i="80"/>
  <c r="N117" i="106" s="1"/>
  <c r="H31" i="80"/>
  <c r="N116" i="106" s="1"/>
  <c r="H30" i="80"/>
  <c r="N115" i="106" s="1"/>
  <c r="H29" i="80"/>
  <c r="N114" i="106" s="1"/>
  <c r="H28" i="80"/>
  <c r="N113" i="106" s="1"/>
  <c r="H27" i="80"/>
  <c r="N112" i="106" s="1"/>
  <c r="H26" i="80"/>
  <c r="N111" i="106" s="1"/>
  <c r="H25" i="80"/>
  <c r="N110" i="106" s="1"/>
  <c r="H24" i="80"/>
  <c r="N109" i="106" s="1"/>
  <c r="H23" i="80"/>
  <c r="N108" i="106" s="1"/>
  <c r="H22" i="80"/>
  <c r="N107" i="106" s="1"/>
  <c r="H21" i="80"/>
  <c r="N106" i="106" s="1"/>
  <c r="H20" i="80"/>
  <c r="N105" i="106" s="1"/>
  <c r="H19" i="80"/>
  <c r="N104" i="106" s="1"/>
  <c r="H18" i="80"/>
  <c r="N103" i="106" s="1"/>
  <c r="H17" i="80"/>
  <c r="P3" i="79"/>
  <c r="BX3" i="79" s="1"/>
  <c r="P25" i="106" l="1"/>
  <c r="I75" i="92"/>
  <c r="N102" i="106"/>
  <c r="H75" i="80"/>
  <c r="N9" i="106" s="1"/>
  <c r="N178" i="106" s="1"/>
  <c r="P175" i="106"/>
  <c r="N166" i="106"/>
  <c r="N177" i="106"/>
  <c r="N174" i="106"/>
  <c r="N185" i="106"/>
  <c r="O184" i="106"/>
  <c r="O171" i="106"/>
  <c r="N182" i="106"/>
  <c r="N171" i="106"/>
  <c r="P21" i="106"/>
  <c r="O170" i="106"/>
  <c r="O173" i="106"/>
  <c r="O176" i="106"/>
  <c r="O182" i="106"/>
  <c r="N179" i="106"/>
  <c r="N168" i="106"/>
  <c r="N183" i="106"/>
  <c r="N172" i="106"/>
  <c r="O181" i="106"/>
  <c r="P164" i="106"/>
  <c r="O180" i="106"/>
  <c r="O165" i="106"/>
  <c r="N98" i="106"/>
  <c r="E17" i="86"/>
  <c r="E23" i="86"/>
  <c r="D19" i="86"/>
  <c r="D17" i="86"/>
  <c r="D23" i="86"/>
  <c r="E19" i="86"/>
  <c r="C26" i="92"/>
  <c r="I17" i="86"/>
  <c r="D21" i="86"/>
  <c r="I57" i="86"/>
  <c r="O65" i="106" s="1"/>
  <c r="I20" i="86"/>
  <c r="O28" i="106" s="1"/>
  <c r="E21" i="86"/>
  <c r="D22" i="86"/>
  <c r="I72" i="86"/>
  <c r="O80" i="106" s="1"/>
  <c r="I52" i="86"/>
  <c r="O60" i="106" s="1"/>
  <c r="I68" i="86"/>
  <c r="O76" i="106" s="1"/>
  <c r="I37" i="86"/>
  <c r="O45" i="106" s="1"/>
  <c r="I62" i="86"/>
  <c r="O70" i="106" s="1"/>
  <c r="I32" i="86"/>
  <c r="O40" i="106" s="1"/>
  <c r="I47" i="86"/>
  <c r="O55" i="106" s="1"/>
  <c r="I28" i="86"/>
  <c r="O36" i="106" s="1"/>
  <c r="D20" i="86"/>
  <c r="D18" i="86"/>
  <c r="I42" i="86"/>
  <c r="O50" i="106" s="1"/>
  <c r="I24" i="86"/>
  <c r="O32" i="106" s="1"/>
  <c r="E24" i="86"/>
  <c r="E20" i="86"/>
  <c r="E22" i="86"/>
  <c r="E18" i="86"/>
  <c r="D24" i="86"/>
  <c r="D16" i="86"/>
  <c r="E16" i="86"/>
  <c r="I71" i="86"/>
  <c r="O79" i="106" s="1"/>
  <c r="I51" i="86"/>
  <c r="O59" i="106" s="1"/>
  <c r="I31" i="86"/>
  <c r="O39" i="106" s="1"/>
  <c r="C22" i="86"/>
  <c r="O17" i="106" s="1"/>
  <c r="C25" i="86"/>
  <c r="O20" i="106" s="1"/>
  <c r="I63" i="86"/>
  <c r="O71" i="106" s="1"/>
  <c r="I25" i="86"/>
  <c r="O33" i="106" s="1"/>
  <c r="I65" i="86"/>
  <c r="O73" i="106" s="1"/>
  <c r="I34" i="86"/>
  <c r="O42" i="106" s="1"/>
  <c r="I18" i="86"/>
  <c r="O26" i="106" s="1"/>
  <c r="I49" i="86"/>
  <c r="O57" i="106" s="1"/>
  <c r="I66" i="86"/>
  <c r="O74" i="106" s="1"/>
  <c r="I46" i="86"/>
  <c r="O54" i="106" s="1"/>
  <c r="I27" i="86"/>
  <c r="O35" i="106" s="1"/>
  <c r="C18" i="86"/>
  <c r="O13" i="106" s="1"/>
  <c r="C21" i="86"/>
  <c r="O16" i="106" s="1"/>
  <c r="I59" i="86"/>
  <c r="O67" i="106" s="1"/>
  <c r="C24" i="86"/>
  <c r="O19" i="106" s="1"/>
  <c r="C23" i="86"/>
  <c r="O18" i="106" s="1"/>
  <c r="I60" i="86"/>
  <c r="O68" i="106" s="1"/>
  <c r="I44" i="86"/>
  <c r="O52" i="106" s="1"/>
  <c r="I30" i="86"/>
  <c r="O38" i="106" s="1"/>
  <c r="I39" i="86"/>
  <c r="O47" i="106" s="1"/>
  <c r="I61" i="86"/>
  <c r="O69" i="106" s="1"/>
  <c r="I41" i="86"/>
  <c r="O49" i="106" s="1"/>
  <c r="I23" i="86"/>
  <c r="O31" i="106" s="1"/>
  <c r="I43" i="86"/>
  <c r="O51" i="106" s="1"/>
  <c r="C17" i="86"/>
  <c r="O12" i="106" s="1"/>
  <c r="I54" i="86"/>
  <c r="O62" i="106" s="1"/>
  <c r="C20" i="86"/>
  <c r="O15" i="106" s="1"/>
  <c r="C19" i="86"/>
  <c r="O14" i="106" s="1"/>
  <c r="I55" i="86"/>
  <c r="O63" i="106" s="1"/>
  <c r="I40" i="86"/>
  <c r="O48" i="106" s="1"/>
  <c r="I26" i="86"/>
  <c r="O34" i="106" s="1"/>
  <c r="I29" i="86"/>
  <c r="O37" i="106" s="1"/>
  <c r="I56" i="86"/>
  <c r="O64" i="106" s="1"/>
  <c r="I36" i="86"/>
  <c r="O44" i="106" s="1"/>
  <c r="I19" i="86"/>
  <c r="O27" i="106" s="1"/>
  <c r="I21" i="86"/>
  <c r="O29" i="106" s="1"/>
  <c r="I69" i="86"/>
  <c r="O77" i="106" s="1"/>
  <c r="I33" i="86"/>
  <c r="O41" i="106" s="1"/>
  <c r="C16" i="86"/>
  <c r="O11" i="106" s="1"/>
  <c r="I70" i="86"/>
  <c r="O78" i="106" s="1"/>
  <c r="I50" i="86"/>
  <c r="O58" i="106" s="1"/>
  <c r="I22" i="86"/>
  <c r="O30" i="106" s="1"/>
  <c r="J29" i="80"/>
  <c r="J39" i="80"/>
  <c r="J43" i="80"/>
  <c r="J54" i="80"/>
  <c r="J59" i="80"/>
  <c r="J63" i="80"/>
  <c r="J69" i="80"/>
  <c r="K20" i="80"/>
  <c r="J18" i="80"/>
  <c r="K22" i="80"/>
  <c r="K26" i="80"/>
  <c r="K30" i="80"/>
  <c r="K34" i="80"/>
  <c r="K40" i="80"/>
  <c r="K44" i="80"/>
  <c r="K50" i="80"/>
  <c r="K55" i="80"/>
  <c r="K60" i="80"/>
  <c r="K65" i="80"/>
  <c r="K70" i="80"/>
  <c r="J19" i="80"/>
  <c r="J23" i="80"/>
  <c r="J27" i="80"/>
  <c r="J31" i="80"/>
  <c r="J36" i="80"/>
  <c r="J41" i="80"/>
  <c r="J46" i="80"/>
  <c r="J51" i="80"/>
  <c r="J61" i="80"/>
  <c r="J66" i="80"/>
  <c r="J71" i="80"/>
  <c r="K28" i="80"/>
  <c r="K32" i="80"/>
  <c r="K37" i="80"/>
  <c r="K47" i="80"/>
  <c r="K52" i="80"/>
  <c r="K57" i="80"/>
  <c r="K62" i="80"/>
  <c r="K68" i="80"/>
  <c r="J56" i="80"/>
  <c r="K42" i="80"/>
  <c r="K24" i="80"/>
  <c r="J33" i="80"/>
  <c r="K72" i="80"/>
  <c r="J49" i="80"/>
  <c r="K27" i="80"/>
  <c r="K36" i="80"/>
  <c r="K56" i="80"/>
  <c r="K31" i="80"/>
  <c r="K18" i="80"/>
  <c r="K46" i="80"/>
  <c r="K66" i="80"/>
  <c r="K51" i="80"/>
  <c r="K71" i="80"/>
  <c r="K41" i="80"/>
  <c r="K61" i="80"/>
  <c r="K23" i="80"/>
  <c r="J26" i="80"/>
  <c r="J30" i="80"/>
  <c r="J34" i="80"/>
  <c r="J40" i="80"/>
  <c r="J44" i="80"/>
  <c r="J50" i="80"/>
  <c r="J55" i="80"/>
  <c r="J60" i="80"/>
  <c r="J65" i="80"/>
  <c r="J70" i="80"/>
  <c r="K19" i="80"/>
  <c r="J22" i="80"/>
  <c r="I74" i="80"/>
  <c r="N82" i="106" s="1"/>
  <c r="K74" i="80"/>
  <c r="E25" i="80" s="1"/>
  <c r="T3" i="79"/>
  <c r="AF3" i="79"/>
  <c r="AT3" i="79"/>
  <c r="BT3" i="79"/>
  <c r="N3" i="79"/>
  <c r="Y3" i="79"/>
  <c r="AG3" i="79"/>
  <c r="AQ3" i="79"/>
  <c r="BF3" i="79"/>
  <c r="BU3" i="79"/>
  <c r="J25" i="80"/>
  <c r="B26" i="80"/>
  <c r="N8" i="106" s="1"/>
  <c r="M3" i="79"/>
  <c r="AB3" i="79"/>
  <c r="AP3" i="79"/>
  <c r="AZ3" i="79"/>
  <c r="BJ3" i="79"/>
  <c r="F3" i="79"/>
  <c r="U3" i="79"/>
  <c r="AC3" i="79"/>
  <c r="AL3" i="79"/>
  <c r="AV3" i="79"/>
  <c r="BA3" i="79"/>
  <c r="BK3" i="79"/>
  <c r="BP3" i="79"/>
  <c r="J17" i="80"/>
  <c r="J21" i="80"/>
  <c r="G3" i="79"/>
  <c r="K3" i="79"/>
  <c r="O3" i="79"/>
  <c r="V3" i="79"/>
  <c r="Z3" i="79"/>
  <c r="AD3" i="79"/>
  <c r="AH3" i="79"/>
  <c r="AM3" i="79"/>
  <c r="AR3" i="79"/>
  <c r="AW3" i="79"/>
  <c r="BB3" i="79"/>
  <c r="BG3" i="79"/>
  <c r="BL3" i="79"/>
  <c r="BR3" i="79"/>
  <c r="BV3" i="79"/>
  <c r="K17" i="80"/>
  <c r="J20" i="80"/>
  <c r="K21" i="80"/>
  <c r="J24" i="80"/>
  <c r="K25" i="80"/>
  <c r="J28" i="80"/>
  <c r="K29" i="80"/>
  <c r="J32" i="80"/>
  <c r="K33" i="80"/>
  <c r="J37" i="80"/>
  <c r="K39" i="80"/>
  <c r="J42" i="80"/>
  <c r="K43" i="80"/>
  <c r="J47" i="80"/>
  <c r="K49" i="80"/>
  <c r="J52" i="80"/>
  <c r="K54" i="80"/>
  <c r="J57" i="80"/>
  <c r="K59" i="80"/>
  <c r="J62" i="80"/>
  <c r="K63" i="80"/>
  <c r="J68" i="80"/>
  <c r="K69" i="80"/>
  <c r="J72" i="80"/>
  <c r="I3" i="79"/>
  <c r="X3" i="79"/>
  <c r="AJ3" i="79"/>
  <c r="BE3" i="79"/>
  <c r="BO3" i="79"/>
  <c r="J3" i="79"/>
  <c r="H3" i="79"/>
  <c r="L3" i="79"/>
  <c r="S3" i="79"/>
  <c r="W3" i="79"/>
  <c r="AA3" i="79"/>
  <c r="AE3" i="79"/>
  <c r="AI3" i="79"/>
  <c r="AO3" i="79"/>
  <c r="AS3" i="79"/>
  <c r="AY3" i="79"/>
  <c r="BD3" i="79"/>
  <c r="BI3" i="79"/>
  <c r="BM3" i="79"/>
  <c r="BS3" i="79"/>
  <c r="D25" i="74"/>
  <c r="B25" i="74"/>
  <c r="M97" i="106" s="1"/>
  <c r="B24" i="74"/>
  <c r="M96" i="106" s="1"/>
  <c r="B23" i="74"/>
  <c r="M95" i="106" s="1"/>
  <c r="B22" i="74"/>
  <c r="M94" i="106" s="1"/>
  <c r="B21" i="74"/>
  <c r="M93" i="106" s="1"/>
  <c r="B20" i="74"/>
  <c r="M92" i="106" s="1"/>
  <c r="B19" i="74"/>
  <c r="M91" i="106" s="1"/>
  <c r="B18" i="74"/>
  <c r="M90" i="106" s="1"/>
  <c r="B17" i="74"/>
  <c r="M89" i="106" s="1"/>
  <c r="B16" i="74"/>
  <c r="M88" i="106" s="1"/>
  <c r="B10" i="74"/>
  <c r="H74" i="74"/>
  <c r="M159" i="106" s="1"/>
  <c r="H72" i="74"/>
  <c r="M157" i="106" s="1"/>
  <c r="H71" i="74"/>
  <c r="M156" i="106" s="1"/>
  <c r="H70" i="74"/>
  <c r="M155" i="106" s="1"/>
  <c r="H69" i="74"/>
  <c r="M154" i="106" s="1"/>
  <c r="H68" i="74"/>
  <c r="M153" i="106" s="1"/>
  <c r="H66" i="74"/>
  <c r="M151" i="106" s="1"/>
  <c r="H65" i="74"/>
  <c r="M150" i="106" s="1"/>
  <c r="H63" i="74"/>
  <c r="M148" i="106" s="1"/>
  <c r="H62" i="74"/>
  <c r="M147" i="106" s="1"/>
  <c r="H61" i="74"/>
  <c r="M146" i="106" s="1"/>
  <c r="H60" i="74"/>
  <c r="M145" i="106" s="1"/>
  <c r="H59" i="74"/>
  <c r="M144" i="106" s="1"/>
  <c r="H57" i="74"/>
  <c r="M142" i="106" s="1"/>
  <c r="H56" i="74"/>
  <c r="M141" i="106" s="1"/>
  <c r="H55" i="74"/>
  <c r="M140" i="106" s="1"/>
  <c r="H54" i="74"/>
  <c r="M139" i="106" s="1"/>
  <c r="H52" i="74"/>
  <c r="M137" i="106" s="1"/>
  <c r="H51" i="74"/>
  <c r="M136" i="106" s="1"/>
  <c r="H50" i="74"/>
  <c r="M135" i="106" s="1"/>
  <c r="H49" i="74"/>
  <c r="M134" i="106" s="1"/>
  <c r="H47" i="74"/>
  <c r="M132" i="106" s="1"/>
  <c r="H46" i="74"/>
  <c r="M131" i="106" s="1"/>
  <c r="H44" i="74"/>
  <c r="M129" i="106" s="1"/>
  <c r="H43" i="74"/>
  <c r="M128" i="106" s="1"/>
  <c r="H42" i="74"/>
  <c r="M127" i="106" s="1"/>
  <c r="H41" i="74"/>
  <c r="M126" i="106" s="1"/>
  <c r="H40" i="74"/>
  <c r="M125" i="106" s="1"/>
  <c r="H39" i="74"/>
  <c r="M124" i="106" s="1"/>
  <c r="H37" i="74"/>
  <c r="M122" i="106" s="1"/>
  <c r="H36" i="74"/>
  <c r="M121" i="106" s="1"/>
  <c r="H34" i="74"/>
  <c r="M119" i="106" s="1"/>
  <c r="H33" i="74"/>
  <c r="M118" i="106" s="1"/>
  <c r="H32" i="74"/>
  <c r="M117" i="106" s="1"/>
  <c r="H31" i="74"/>
  <c r="M116" i="106" s="1"/>
  <c r="H30" i="74"/>
  <c r="M115" i="106" s="1"/>
  <c r="H29" i="74"/>
  <c r="M114" i="106" s="1"/>
  <c r="H28" i="74"/>
  <c r="M113" i="106" s="1"/>
  <c r="H27" i="74"/>
  <c r="M112" i="106" s="1"/>
  <c r="H26" i="74"/>
  <c r="M111" i="106" s="1"/>
  <c r="H25" i="74"/>
  <c r="M110" i="106" s="1"/>
  <c r="H24" i="74"/>
  <c r="M109" i="106" s="1"/>
  <c r="H23" i="74"/>
  <c r="M108" i="106" s="1"/>
  <c r="H22" i="74"/>
  <c r="M107" i="106" s="1"/>
  <c r="H21" i="74"/>
  <c r="M106" i="106" s="1"/>
  <c r="H20" i="74"/>
  <c r="M105" i="106" s="1"/>
  <c r="H19" i="74"/>
  <c r="M104" i="106" s="1"/>
  <c r="H18" i="74"/>
  <c r="M103" i="106" s="1"/>
  <c r="H17" i="74"/>
  <c r="P3" i="73"/>
  <c r="BX3" i="73" s="1"/>
  <c r="O25" i="106" l="1"/>
  <c r="I75" i="86"/>
  <c r="M102" i="106"/>
  <c r="H75" i="74"/>
  <c r="O21" i="106"/>
  <c r="O164" i="106"/>
  <c r="M179" i="106"/>
  <c r="M168" i="106"/>
  <c r="M183" i="106"/>
  <c r="M172" i="106"/>
  <c r="N173" i="106"/>
  <c r="O175" i="106"/>
  <c r="N181" i="106"/>
  <c r="M98" i="106"/>
  <c r="N184" i="106"/>
  <c r="N165" i="106"/>
  <c r="N170" i="106"/>
  <c r="M177" i="106"/>
  <c r="M166" i="106"/>
  <c r="M185" i="106"/>
  <c r="M174" i="106"/>
  <c r="N169" i="106"/>
  <c r="N176" i="106"/>
  <c r="N167" i="106"/>
  <c r="M167" i="106"/>
  <c r="M178" i="106"/>
  <c r="M171" i="106"/>
  <c r="M182" i="106"/>
  <c r="N180" i="106"/>
  <c r="E17" i="80"/>
  <c r="E23" i="80"/>
  <c r="D19" i="80"/>
  <c r="D17" i="80"/>
  <c r="E19" i="80"/>
  <c r="C26" i="86"/>
  <c r="D23" i="80"/>
  <c r="I21" i="80"/>
  <c r="N29" i="106" s="1"/>
  <c r="E24" i="80"/>
  <c r="E21" i="80"/>
  <c r="D20" i="80"/>
  <c r="D22" i="80"/>
  <c r="D18" i="80"/>
  <c r="E20" i="80"/>
  <c r="D21" i="80"/>
  <c r="E22" i="80"/>
  <c r="I52" i="80"/>
  <c r="N60" i="106" s="1"/>
  <c r="E18" i="80"/>
  <c r="I42" i="80"/>
  <c r="N50" i="106" s="1"/>
  <c r="I68" i="80"/>
  <c r="N76" i="106" s="1"/>
  <c r="I32" i="80"/>
  <c r="N40" i="106" s="1"/>
  <c r="I62" i="80"/>
  <c r="N70" i="106" s="1"/>
  <c r="I28" i="80"/>
  <c r="N36" i="106" s="1"/>
  <c r="I72" i="80"/>
  <c r="N80" i="106" s="1"/>
  <c r="I47" i="80"/>
  <c r="N55" i="106" s="1"/>
  <c r="I24" i="80"/>
  <c r="N32" i="106" s="1"/>
  <c r="I57" i="80"/>
  <c r="N65" i="106" s="1"/>
  <c r="I37" i="80"/>
  <c r="N45" i="106" s="1"/>
  <c r="I20" i="80"/>
  <c r="N28" i="106" s="1"/>
  <c r="I56" i="80"/>
  <c r="N64" i="106" s="1"/>
  <c r="I36" i="80"/>
  <c r="N44" i="106" s="1"/>
  <c r="I19" i="80"/>
  <c r="N27" i="106" s="1"/>
  <c r="I39" i="80"/>
  <c r="N47" i="106" s="1"/>
  <c r="C20" i="80"/>
  <c r="N15" i="106" s="1"/>
  <c r="I17" i="80"/>
  <c r="I63" i="80"/>
  <c r="N71" i="106" s="1"/>
  <c r="I33" i="80"/>
  <c r="N41" i="106" s="1"/>
  <c r="I65" i="80"/>
  <c r="N73" i="106" s="1"/>
  <c r="I34" i="80"/>
  <c r="N42" i="106" s="1"/>
  <c r="D24" i="80"/>
  <c r="I71" i="80"/>
  <c r="N79" i="106" s="1"/>
  <c r="I51" i="80"/>
  <c r="N59" i="106" s="1"/>
  <c r="I31" i="80"/>
  <c r="N39" i="106" s="1"/>
  <c r="C22" i="80"/>
  <c r="N17" i="106" s="1"/>
  <c r="I25" i="80"/>
  <c r="N33" i="106" s="1"/>
  <c r="I29" i="80"/>
  <c r="N37" i="106" s="1"/>
  <c r="C16" i="80"/>
  <c r="N11" i="106" s="1"/>
  <c r="C25" i="80"/>
  <c r="N20" i="106" s="1"/>
  <c r="I59" i="80"/>
  <c r="N67" i="106" s="1"/>
  <c r="C23" i="80"/>
  <c r="N18" i="106" s="1"/>
  <c r="I60" i="80"/>
  <c r="N68" i="106" s="1"/>
  <c r="I44" i="80"/>
  <c r="N52" i="106" s="1"/>
  <c r="I30" i="80"/>
  <c r="N38" i="106" s="1"/>
  <c r="E16" i="80"/>
  <c r="I66" i="80"/>
  <c r="N74" i="106" s="1"/>
  <c r="I46" i="80"/>
  <c r="N54" i="106" s="1"/>
  <c r="I27" i="80"/>
  <c r="N35" i="106" s="1"/>
  <c r="C18" i="80"/>
  <c r="N13" i="106" s="1"/>
  <c r="C21" i="80"/>
  <c r="N16" i="106" s="1"/>
  <c r="I18" i="80"/>
  <c r="N26" i="106" s="1"/>
  <c r="C17" i="80"/>
  <c r="N12" i="106" s="1"/>
  <c r="I54" i="80"/>
  <c r="N62" i="106" s="1"/>
  <c r="C19" i="80"/>
  <c r="N14" i="106" s="1"/>
  <c r="I55" i="80"/>
  <c r="N63" i="106" s="1"/>
  <c r="I40" i="80"/>
  <c r="N48" i="106" s="1"/>
  <c r="I26" i="80"/>
  <c r="N34" i="106" s="1"/>
  <c r="D16" i="80"/>
  <c r="I61" i="80"/>
  <c r="N69" i="106" s="1"/>
  <c r="I41" i="80"/>
  <c r="N49" i="106" s="1"/>
  <c r="I23" i="80"/>
  <c r="N31" i="106" s="1"/>
  <c r="I49" i="80"/>
  <c r="N57" i="106" s="1"/>
  <c r="C24" i="80"/>
  <c r="N19" i="106" s="1"/>
  <c r="I22" i="80"/>
  <c r="N30" i="106" s="1"/>
  <c r="I69" i="80"/>
  <c r="N77" i="106" s="1"/>
  <c r="I43" i="80"/>
  <c r="N51" i="106" s="1"/>
  <c r="I70" i="80"/>
  <c r="N78" i="106" s="1"/>
  <c r="I50" i="80"/>
  <c r="N58" i="106" s="1"/>
  <c r="J29" i="74"/>
  <c r="J39" i="74"/>
  <c r="J43" i="74"/>
  <c r="J54" i="74"/>
  <c r="J59" i="74"/>
  <c r="J63" i="74"/>
  <c r="J69" i="74"/>
  <c r="K20" i="74"/>
  <c r="K18" i="74"/>
  <c r="K22" i="74"/>
  <c r="K26" i="74"/>
  <c r="J30" i="74"/>
  <c r="K34" i="74"/>
  <c r="J40" i="74"/>
  <c r="K44" i="74"/>
  <c r="J50" i="74"/>
  <c r="K55" i="74"/>
  <c r="J60" i="74"/>
  <c r="K65" i="74"/>
  <c r="J70" i="74"/>
  <c r="J19" i="74"/>
  <c r="J23" i="74"/>
  <c r="J27" i="74"/>
  <c r="J31" i="74"/>
  <c r="J36" i="74"/>
  <c r="J41" i="74"/>
  <c r="J46" i="74"/>
  <c r="J51" i="74"/>
  <c r="J61" i="74"/>
  <c r="J66" i="74"/>
  <c r="J71" i="74"/>
  <c r="K24" i="74"/>
  <c r="K28" i="74"/>
  <c r="K32" i="74"/>
  <c r="K37" i="74"/>
  <c r="K42" i="74"/>
  <c r="K47" i="74"/>
  <c r="K52" i="74"/>
  <c r="K57" i="74"/>
  <c r="K62" i="74"/>
  <c r="K68" i="74"/>
  <c r="J56" i="74"/>
  <c r="K72" i="74"/>
  <c r="J33" i="74"/>
  <c r="J49" i="74"/>
  <c r="J18" i="74"/>
  <c r="K30" i="74"/>
  <c r="K40" i="74"/>
  <c r="K50" i="74"/>
  <c r="K60" i="74"/>
  <c r="K70" i="74"/>
  <c r="J26" i="74"/>
  <c r="J34" i="74"/>
  <c r="J44" i="74"/>
  <c r="J55" i="74"/>
  <c r="J65" i="74"/>
  <c r="K27" i="74"/>
  <c r="K31" i="74"/>
  <c r="K36" i="74"/>
  <c r="K41" i="74"/>
  <c r="K46" i="74"/>
  <c r="K51" i="74"/>
  <c r="K56" i="74"/>
  <c r="K61" i="74"/>
  <c r="K66" i="74"/>
  <c r="K71" i="74"/>
  <c r="K23" i="74"/>
  <c r="K19" i="74"/>
  <c r="J22" i="74"/>
  <c r="I74" i="74"/>
  <c r="M82" i="106" s="1"/>
  <c r="K74" i="74"/>
  <c r="E25" i="74" s="1"/>
  <c r="I3" i="73"/>
  <c r="AB3" i="73"/>
  <c r="AT3" i="73"/>
  <c r="BO3" i="73"/>
  <c r="M3" i="73"/>
  <c r="X3" i="73"/>
  <c r="AJ3" i="73"/>
  <c r="AZ3" i="73"/>
  <c r="BJ3" i="73"/>
  <c r="BT3" i="73"/>
  <c r="F3" i="73"/>
  <c r="Y3" i="73"/>
  <c r="BA3" i="73"/>
  <c r="J21" i="74"/>
  <c r="J25" i="74"/>
  <c r="B26" i="74"/>
  <c r="M8" i="106" s="1"/>
  <c r="N3" i="73"/>
  <c r="AC3" i="73"/>
  <c r="AL3" i="73"/>
  <c r="AV3" i="73"/>
  <c r="BF3" i="73"/>
  <c r="BP3" i="73"/>
  <c r="J17" i="74"/>
  <c r="K3" i="73"/>
  <c r="Z3" i="73"/>
  <c r="AH3" i="73"/>
  <c r="AR3" i="73"/>
  <c r="BG3" i="73"/>
  <c r="BV3" i="73"/>
  <c r="K17" i="74"/>
  <c r="J20" i="74"/>
  <c r="K21" i="74"/>
  <c r="J24" i="74"/>
  <c r="K25" i="74"/>
  <c r="J28" i="74"/>
  <c r="K29" i="74"/>
  <c r="J32" i="74"/>
  <c r="K33" i="74"/>
  <c r="J37" i="74"/>
  <c r="K39" i="74"/>
  <c r="J42" i="74"/>
  <c r="K43" i="74"/>
  <c r="J47" i="74"/>
  <c r="K49" i="74"/>
  <c r="J52" i="74"/>
  <c r="K54" i="74"/>
  <c r="J57" i="74"/>
  <c r="K59" i="74"/>
  <c r="J62" i="74"/>
  <c r="K63" i="74"/>
  <c r="J68" i="74"/>
  <c r="K69" i="74"/>
  <c r="J72" i="74"/>
  <c r="M9" i="106"/>
  <c r="M165" i="106" s="1"/>
  <c r="T3" i="73"/>
  <c r="AF3" i="73"/>
  <c r="AP3" i="73"/>
  <c r="BE3" i="73"/>
  <c r="J3" i="73"/>
  <c r="U3" i="73"/>
  <c r="AG3" i="73"/>
  <c r="AQ3" i="73"/>
  <c r="BK3" i="73"/>
  <c r="BU3" i="73"/>
  <c r="G3" i="73"/>
  <c r="O3" i="73"/>
  <c r="V3" i="73"/>
  <c r="AD3" i="73"/>
  <c r="AM3" i="73"/>
  <c r="AW3" i="73"/>
  <c r="BB3" i="73"/>
  <c r="BL3" i="73"/>
  <c r="BR3" i="73"/>
  <c r="H3" i="73"/>
  <c r="L3" i="73"/>
  <c r="S3" i="73"/>
  <c r="W3" i="73"/>
  <c r="AA3" i="73"/>
  <c r="AE3" i="73"/>
  <c r="AI3" i="73"/>
  <c r="AO3" i="73"/>
  <c r="AS3" i="73"/>
  <c r="AY3" i="73"/>
  <c r="BD3" i="73"/>
  <c r="BI3" i="73"/>
  <c r="BM3" i="73"/>
  <c r="BS3" i="73"/>
  <c r="D25" i="68"/>
  <c r="B25" i="68"/>
  <c r="L97" i="106" s="1"/>
  <c r="B24" i="68"/>
  <c r="L96" i="106" s="1"/>
  <c r="B23" i="68"/>
  <c r="L95" i="106" s="1"/>
  <c r="B22" i="68"/>
  <c r="L94" i="106" s="1"/>
  <c r="B21" i="68"/>
  <c r="L93" i="106" s="1"/>
  <c r="B20" i="68"/>
  <c r="L92" i="106" s="1"/>
  <c r="B19" i="68"/>
  <c r="L91" i="106" s="1"/>
  <c r="B18" i="68"/>
  <c r="L90" i="106" s="1"/>
  <c r="B17" i="68"/>
  <c r="L89" i="106" s="1"/>
  <c r="B16" i="68"/>
  <c r="L88" i="106" s="1"/>
  <c r="B10" i="68"/>
  <c r="H74" i="68"/>
  <c r="L159" i="106" s="1"/>
  <c r="H72" i="68"/>
  <c r="L157" i="106" s="1"/>
  <c r="H71" i="68"/>
  <c r="L156" i="106" s="1"/>
  <c r="H70" i="68"/>
  <c r="L155" i="106" s="1"/>
  <c r="H69" i="68"/>
  <c r="L154" i="106" s="1"/>
  <c r="H68" i="68"/>
  <c r="L153" i="106" s="1"/>
  <c r="H66" i="68"/>
  <c r="L151" i="106" s="1"/>
  <c r="H65" i="68"/>
  <c r="L150" i="106" s="1"/>
  <c r="H63" i="68"/>
  <c r="L148" i="106" s="1"/>
  <c r="H62" i="68"/>
  <c r="L147" i="106" s="1"/>
  <c r="H61" i="68"/>
  <c r="L146" i="106" s="1"/>
  <c r="H60" i="68"/>
  <c r="L145" i="106" s="1"/>
  <c r="H59" i="68"/>
  <c r="L144" i="106" s="1"/>
  <c r="H57" i="68"/>
  <c r="L142" i="106" s="1"/>
  <c r="H56" i="68"/>
  <c r="L141" i="106" s="1"/>
  <c r="H55" i="68"/>
  <c r="L140" i="106" s="1"/>
  <c r="H54" i="68"/>
  <c r="L139" i="106" s="1"/>
  <c r="H52" i="68"/>
  <c r="L137" i="106" s="1"/>
  <c r="H51" i="68"/>
  <c r="L136" i="106" s="1"/>
  <c r="H50" i="68"/>
  <c r="L135" i="106" s="1"/>
  <c r="H49" i="68"/>
  <c r="L134" i="106" s="1"/>
  <c r="H47" i="68"/>
  <c r="L132" i="106" s="1"/>
  <c r="H46" i="68"/>
  <c r="L131" i="106" s="1"/>
  <c r="H44" i="68"/>
  <c r="L129" i="106" s="1"/>
  <c r="H43" i="68"/>
  <c r="L128" i="106" s="1"/>
  <c r="H42" i="68"/>
  <c r="L127" i="106" s="1"/>
  <c r="H41" i="68"/>
  <c r="L126" i="106" s="1"/>
  <c r="H40" i="68"/>
  <c r="L125" i="106" s="1"/>
  <c r="H39" i="68"/>
  <c r="L124" i="106" s="1"/>
  <c r="H37" i="68"/>
  <c r="L122" i="106" s="1"/>
  <c r="H36" i="68"/>
  <c r="L121" i="106" s="1"/>
  <c r="H34" i="68"/>
  <c r="L119" i="106" s="1"/>
  <c r="H33" i="68"/>
  <c r="L118" i="106" s="1"/>
  <c r="H32" i="68"/>
  <c r="L117" i="106" s="1"/>
  <c r="H31" i="68"/>
  <c r="L116" i="106" s="1"/>
  <c r="H30" i="68"/>
  <c r="L115" i="106" s="1"/>
  <c r="H29" i="68"/>
  <c r="L114" i="106" s="1"/>
  <c r="H28" i="68"/>
  <c r="L113" i="106" s="1"/>
  <c r="H27" i="68"/>
  <c r="L112" i="106" s="1"/>
  <c r="H26" i="68"/>
  <c r="L111" i="106" s="1"/>
  <c r="H25" i="68"/>
  <c r="L110" i="106" s="1"/>
  <c r="H24" i="68"/>
  <c r="L109" i="106" s="1"/>
  <c r="H23" i="68"/>
  <c r="L108" i="106" s="1"/>
  <c r="H22" i="68"/>
  <c r="L107" i="106" s="1"/>
  <c r="H21" i="68"/>
  <c r="L106" i="106" s="1"/>
  <c r="H20" i="68"/>
  <c r="L105" i="106" s="1"/>
  <c r="H19" i="68"/>
  <c r="L104" i="106" s="1"/>
  <c r="H18" i="68"/>
  <c r="L103" i="106" s="1"/>
  <c r="H17" i="68"/>
  <c r="BX3" i="67"/>
  <c r="BS3" i="67"/>
  <c r="BM3" i="67"/>
  <c r="BI3" i="67"/>
  <c r="BD3" i="67"/>
  <c r="AY3" i="67"/>
  <c r="AS3" i="67"/>
  <c r="AO3" i="67"/>
  <c r="AI3" i="67"/>
  <c r="AE3" i="67"/>
  <c r="AA3" i="67"/>
  <c r="W3" i="67"/>
  <c r="S3" i="67"/>
  <c r="L3" i="67"/>
  <c r="H3" i="67"/>
  <c r="P3" i="67"/>
  <c r="BV3" i="67" s="1"/>
  <c r="N25" i="106" l="1"/>
  <c r="I75" i="80"/>
  <c r="L102" i="106"/>
  <c r="H75" i="68"/>
  <c r="N175" i="106"/>
  <c r="L182" i="106"/>
  <c r="L171" i="106"/>
  <c r="M181" i="106"/>
  <c r="N164" i="106"/>
  <c r="M169" i="106"/>
  <c r="M176" i="106"/>
  <c r="L168" i="106"/>
  <c r="L179" i="106"/>
  <c r="L172" i="106"/>
  <c r="L183" i="106"/>
  <c r="N21" i="106"/>
  <c r="M180" i="106"/>
  <c r="L98" i="106"/>
  <c r="M173" i="106"/>
  <c r="L177" i="106"/>
  <c r="L166" i="106"/>
  <c r="L185" i="106"/>
  <c r="L174" i="106"/>
  <c r="M170" i="106"/>
  <c r="M184" i="106"/>
  <c r="D19" i="74"/>
  <c r="D17" i="74"/>
  <c r="E23" i="74"/>
  <c r="D22" i="74"/>
  <c r="E19" i="74"/>
  <c r="D23" i="74"/>
  <c r="E17" i="74"/>
  <c r="C26" i="80"/>
  <c r="I21" i="74"/>
  <c r="M29" i="106" s="1"/>
  <c r="D20" i="74"/>
  <c r="E21" i="74"/>
  <c r="D21" i="74"/>
  <c r="D18" i="74"/>
  <c r="E24" i="74"/>
  <c r="E20" i="74"/>
  <c r="I52" i="74"/>
  <c r="M60" i="106" s="1"/>
  <c r="I68" i="74"/>
  <c r="M76" i="106" s="1"/>
  <c r="I32" i="74"/>
  <c r="M40" i="106" s="1"/>
  <c r="E22" i="74"/>
  <c r="E18" i="74"/>
  <c r="I62" i="74"/>
  <c r="M70" i="106" s="1"/>
  <c r="I28" i="74"/>
  <c r="M36" i="106" s="1"/>
  <c r="I42" i="74"/>
  <c r="M50" i="106" s="1"/>
  <c r="I72" i="74"/>
  <c r="M80" i="106" s="1"/>
  <c r="I47" i="74"/>
  <c r="M55" i="106" s="1"/>
  <c r="I24" i="74"/>
  <c r="M32" i="106" s="1"/>
  <c r="I56" i="74"/>
  <c r="M64" i="106" s="1"/>
  <c r="I36" i="74"/>
  <c r="M44" i="106" s="1"/>
  <c r="I19" i="74"/>
  <c r="M27" i="106" s="1"/>
  <c r="C21" i="74"/>
  <c r="M16" i="106" s="1"/>
  <c r="I59" i="74"/>
  <c r="M67" i="106" s="1"/>
  <c r="I39" i="74"/>
  <c r="M47" i="106" s="1"/>
  <c r="C16" i="74"/>
  <c r="M11" i="106" s="1"/>
  <c r="I17" i="74"/>
  <c r="I65" i="74"/>
  <c r="M73" i="106" s="1"/>
  <c r="I34" i="74"/>
  <c r="M42" i="106" s="1"/>
  <c r="I71" i="74"/>
  <c r="M79" i="106" s="1"/>
  <c r="I51" i="74"/>
  <c r="M59" i="106" s="1"/>
  <c r="I31" i="74"/>
  <c r="M39" i="106" s="1"/>
  <c r="C22" i="74"/>
  <c r="M17" i="106" s="1"/>
  <c r="I25" i="74"/>
  <c r="M33" i="106" s="1"/>
  <c r="C17" i="74"/>
  <c r="M12" i="106" s="1"/>
  <c r="I54" i="74"/>
  <c r="M62" i="106" s="1"/>
  <c r="I33" i="74"/>
  <c r="M41" i="106" s="1"/>
  <c r="C23" i="74"/>
  <c r="M18" i="106" s="1"/>
  <c r="I60" i="74"/>
  <c r="M68" i="106" s="1"/>
  <c r="I44" i="74"/>
  <c r="M52" i="106" s="1"/>
  <c r="I30" i="74"/>
  <c r="M38" i="106" s="1"/>
  <c r="I57" i="74"/>
  <c r="M65" i="106" s="1"/>
  <c r="I37" i="74"/>
  <c r="M45" i="106" s="1"/>
  <c r="I20" i="74"/>
  <c r="M28" i="106" s="1"/>
  <c r="D24" i="74"/>
  <c r="D16" i="74"/>
  <c r="I66" i="74"/>
  <c r="M74" i="106" s="1"/>
  <c r="I46" i="74"/>
  <c r="M54" i="106" s="1"/>
  <c r="I27" i="74"/>
  <c r="M35" i="106" s="1"/>
  <c r="C18" i="74"/>
  <c r="M13" i="106" s="1"/>
  <c r="C20" i="74"/>
  <c r="M15" i="106" s="1"/>
  <c r="I69" i="74"/>
  <c r="M77" i="106" s="1"/>
  <c r="I49" i="74"/>
  <c r="M57" i="106" s="1"/>
  <c r="I29" i="74"/>
  <c r="M37" i="106" s="1"/>
  <c r="I22" i="74"/>
  <c r="M30" i="106" s="1"/>
  <c r="C19" i="74"/>
  <c r="M14" i="106" s="1"/>
  <c r="I55" i="74"/>
  <c r="M63" i="106" s="1"/>
  <c r="I40" i="74"/>
  <c r="M48" i="106" s="1"/>
  <c r="I26" i="74"/>
  <c r="M34" i="106" s="1"/>
  <c r="E16" i="74"/>
  <c r="I61" i="74"/>
  <c r="M69" i="106" s="1"/>
  <c r="I41" i="74"/>
  <c r="M49" i="106" s="1"/>
  <c r="I23" i="74"/>
  <c r="M31" i="106" s="1"/>
  <c r="C25" i="74"/>
  <c r="M20" i="106" s="1"/>
  <c r="I63" i="74"/>
  <c r="M71" i="106" s="1"/>
  <c r="I43" i="74"/>
  <c r="M51" i="106" s="1"/>
  <c r="I18" i="74"/>
  <c r="M26" i="106" s="1"/>
  <c r="C24" i="74"/>
  <c r="M19" i="106" s="1"/>
  <c r="I70" i="74"/>
  <c r="M78" i="106" s="1"/>
  <c r="I50" i="74"/>
  <c r="M58" i="106" s="1"/>
  <c r="K17" i="68"/>
  <c r="K21" i="68"/>
  <c r="K25" i="68"/>
  <c r="K29" i="68"/>
  <c r="K39" i="68"/>
  <c r="K43" i="68"/>
  <c r="K54" i="68"/>
  <c r="K59" i="68"/>
  <c r="K63" i="68"/>
  <c r="K69" i="68"/>
  <c r="K20" i="68"/>
  <c r="K18" i="68"/>
  <c r="K22" i="68"/>
  <c r="K26" i="68"/>
  <c r="K30" i="68"/>
  <c r="K34" i="68"/>
  <c r="K40" i="68"/>
  <c r="K44" i="68"/>
  <c r="K50" i="68"/>
  <c r="K55" i="68"/>
  <c r="K60" i="68"/>
  <c r="K65" i="68"/>
  <c r="K70" i="68"/>
  <c r="J19" i="68"/>
  <c r="J23" i="68"/>
  <c r="J27" i="68"/>
  <c r="J31" i="68"/>
  <c r="J36" i="68"/>
  <c r="J41" i="68"/>
  <c r="J46" i="68"/>
  <c r="J51" i="68"/>
  <c r="J56" i="68"/>
  <c r="J61" i="68"/>
  <c r="J66" i="68"/>
  <c r="J71" i="68"/>
  <c r="K24" i="68"/>
  <c r="K28" i="68"/>
  <c r="K32" i="68"/>
  <c r="K37" i="68"/>
  <c r="K47" i="68"/>
  <c r="K52" i="68"/>
  <c r="K57" i="68"/>
  <c r="K62" i="68"/>
  <c r="K68" i="68"/>
  <c r="K42" i="68"/>
  <c r="K72" i="68"/>
  <c r="K33" i="68"/>
  <c r="K49" i="68"/>
  <c r="J69" i="68"/>
  <c r="J17" i="68"/>
  <c r="J21" i="68"/>
  <c r="J25" i="68"/>
  <c r="J29" i="68"/>
  <c r="J33" i="68"/>
  <c r="J39" i="68"/>
  <c r="J43" i="68"/>
  <c r="J49" i="68"/>
  <c r="J54" i="68"/>
  <c r="J59" i="68"/>
  <c r="J63" i="68"/>
  <c r="I74" i="68"/>
  <c r="L82" i="106" s="1"/>
  <c r="K74" i="68"/>
  <c r="E25" i="68" s="1"/>
  <c r="I3" i="67"/>
  <c r="M3" i="67"/>
  <c r="T3" i="67"/>
  <c r="X3" i="67"/>
  <c r="AB3" i="67"/>
  <c r="AF3" i="67"/>
  <c r="AJ3" i="67"/>
  <c r="AP3" i="67"/>
  <c r="AT3" i="67"/>
  <c r="AZ3" i="67"/>
  <c r="BE3" i="67"/>
  <c r="BJ3" i="67"/>
  <c r="BO3" i="67"/>
  <c r="BT3" i="67"/>
  <c r="J18" i="68"/>
  <c r="K19" i="68"/>
  <c r="J22" i="68"/>
  <c r="K23" i="68"/>
  <c r="J26" i="68"/>
  <c r="K27" i="68"/>
  <c r="J30" i="68"/>
  <c r="K31" i="68"/>
  <c r="J34" i="68"/>
  <c r="K36" i="68"/>
  <c r="J40" i="68"/>
  <c r="K41" i="68"/>
  <c r="J44" i="68"/>
  <c r="K46" i="68"/>
  <c r="J50" i="68"/>
  <c r="K51" i="68"/>
  <c r="J55" i="68"/>
  <c r="K56" i="68"/>
  <c r="J60" i="68"/>
  <c r="K61" i="68"/>
  <c r="J65" i="68"/>
  <c r="K66" i="68"/>
  <c r="J70" i="68"/>
  <c r="K71" i="68"/>
  <c r="F3" i="67"/>
  <c r="N3" i="67"/>
  <c r="Y3" i="67"/>
  <c r="AL3" i="67"/>
  <c r="AV3" i="67"/>
  <c r="BF3" i="67"/>
  <c r="BU3" i="67"/>
  <c r="B26" i="68"/>
  <c r="L8" i="106" s="1"/>
  <c r="J3" i="67"/>
  <c r="U3" i="67"/>
  <c r="AC3" i="67"/>
  <c r="AG3" i="67"/>
  <c r="AQ3" i="67"/>
  <c r="BA3" i="67"/>
  <c r="BK3" i="67"/>
  <c r="BP3" i="67"/>
  <c r="G3" i="67"/>
  <c r="K3" i="67"/>
  <c r="O3" i="67"/>
  <c r="V3" i="67"/>
  <c r="Z3" i="67"/>
  <c r="AD3" i="67"/>
  <c r="AH3" i="67"/>
  <c r="AM3" i="67"/>
  <c r="AR3" i="67"/>
  <c r="AW3" i="67"/>
  <c r="BB3" i="67"/>
  <c r="BG3" i="67"/>
  <c r="BL3" i="67"/>
  <c r="BR3" i="67"/>
  <c r="J20" i="68"/>
  <c r="J24" i="68"/>
  <c r="J28" i="68"/>
  <c r="J32" i="68"/>
  <c r="J37" i="68"/>
  <c r="J42" i="68"/>
  <c r="J47" i="68"/>
  <c r="J52" i="68"/>
  <c r="J57" i="68"/>
  <c r="J62" i="68"/>
  <c r="J68" i="68"/>
  <c r="J72" i="68"/>
  <c r="L9" i="106"/>
  <c r="L165" i="106" s="1"/>
  <c r="D25" i="62"/>
  <c r="B25" i="62"/>
  <c r="K97" i="106" s="1"/>
  <c r="B24" i="62"/>
  <c r="K96" i="106" s="1"/>
  <c r="B23" i="62"/>
  <c r="K95" i="106" s="1"/>
  <c r="B22" i="62"/>
  <c r="K94" i="106" s="1"/>
  <c r="B21" i="62"/>
  <c r="K93" i="106" s="1"/>
  <c r="B20" i="62"/>
  <c r="K92" i="106" s="1"/>
  <c r="B19" i="62"/>
  <c r="K91" i="106" s="1"/>
  <c r="B18" i="62"/>
  <c r="K90" i="106" s="1"/>
  <c r="B17" i="62"/>
  <c r="K89" i="106" s="1"/>
  <c r="B16" i="62"/>
  <c r="K88" i="106" s="1"/>
  <c r="B10" i="62"/>
  <c r="H74" i="62"/>
  <c r="K159" i="106" s="1"/>
  <c r="H72" i="62"/>
  <c r="K157" i="106" s="1"/>
  <c r="H71" i="62"/>
  <c r="K156" i="106" s="1"/>
  <c r="H70" i="62"/>
  <c r="K155" i="106" s="1"/>
  <c r="H69" i="62"/>
  <c r="K154" i="106" s="1"/>
  <c r="H68" i="62"/>
  <c r="K153" i="106" s="1"/>
  <c r="H66" i="62"/>
  <c r="K151" i="106" s="1"/>
  <c r="H65" i="62"/>
  <c r="K150" i="106" s="1"/>
  <c r="H63" i="62"/>
  <c r="K148" i="106" s="1"/>
  <c r="H62" i="62"/>
  <c r="K147" i="106" s="1"/>
  <c r="H61" i="62"/>
  <c r="K146" i="106" s="1"/>
  <c r="H60" i="62"/>
  <c r="K145" i="106" s="1"/>
  <c r="H59" i="62"/>
  <c r="K144" i="106" s="1"/>
  <c r="H57" i="62"/>
  <c r="K142" i="106" s="1"/>
  <c r="H56" i="62"/>
  <c r="K141" i="106" s="1"/>
  <c r="H55" i="62"/>
  <c r="K140" i="106" s="1"/>
  <c r="H54" i="62"/>
  <c r="K139" i="106" s="1"/>
  <c r="H52" i="62"/>
  <c r="K137" i="106" s="1"/>
  <c r="H51" i="62"/>
  <c r="K136" i="106" s="1"/>
  <c r="H50" i="62"/>
  <c r="K135" i="106" s="1"/>
  <c r="H49" i="62"/>
  <c r="K134" i="106" s="1"/>
  <c r="H47" i="62"/>
  <c r="K132" i="106" s="1"/>
  <c r="H46" i="62"/>
  <c r="K131" i="106" s="1"/>
  <c r="H44" i="62"/>
  <c r="K129" i="106" s="1"/>
  <c r="H43" i="62"/>
  <c r="K128" i="106" s="1"/>
  <c r="H42" i="62"/>
  <c r="K127" i="106" s="1"/>
  <c r="H41" i="62"/>
  <c r="K126" i="106" s="1"/>
  <c r="H40" i="62"/>
  <c r="K125" i="106" s="1"/>
  <c r="H39" i="62"/>
  <c r="K124" i="106" s="1"/>
  <c r="H37" i="62"/>
  <c r="K122" i="106" s="1"/>
  <c r="H36" i="62"/>
  <c r="K121" i="106" s="1"/>
  <c r="H34" i="62"/>
  <c r="K119" i="106" s="1"/>
  <c r="H33" i="62"/>
  <c r="K118" i="106" s="1"/>
  <c r="H32" i="62"/>
  <c r="K117" i="106" s="1"/>
  <c r="H31" i="62"/>
  <c r="K116" i="106" s="1"/>
  <c r="H30" i="62"/>
  <c r="K115" i="106" s="1"/>
  <c r="H29" i="62"/>
  <c r="K114" i="106" s="1"/>
  <c r="H28" i="62"/>
  <c r="K113" i="106" s="1"/>
  <c r="H27" i="62"/>
  <c r="K112" i="106" s="1"/>
  <c r="H26" i="62"/>
  <c r="K111" i="106" s="1"/>
  <c r="H25" i="62"/>
  <c r="K110" i="106" s="1"/>
  <c r="H24" i="62"/>
  <c r="K109" i="106" s="1"/>
  <c r="H23" i="62"/>
  <c r="K108" i="106" s="1"/>
  <c r="H22" i="62"/>
  <c r="K107" i="106" s="1"/>
  <c r="H21" i="62"/>
  <c r="K106" i="106" s="1"/>
  <c r="H20" i="62"/>
  <c r="K105" i="106" s="1"/>
  <c r="H19" i="62"/>
  <c r="K104" i="106" s="1"/>
  <c r="H18" i="62"/>
  <c r="K103" i="106" s="1"/>
  <c r="H17" i="62"/>
  <c r="P3" i="61"/>
  <c r="BX3" i="61" s="1"/>
  <c r="M25" i="106" l="1"/>
  <c r="I75" i="74"/>
  <c r="K102" i="106"/>
  <c r="H75" i="62"/>
  <c r="K9" i="106" s="1"/>
  <c r="K176" i="106" s="1"/>
  <c r="M164" i="106"/>
  <c r="K179" i="106"/>
  <c r="K168" i="106"/>
  <c r="K183" i="106"/>
  <c r="K172" i="106"/>
  <c r="L169" i="106"/>
  <c r="L176" i="106"/>
  <c r="K98" i="106"/>
  <c r="L170" i="106"/>
  <c r="L180" i="106"/>
  <c r="L167" i="106"/>
  <c r="K177" i="106"/>
  <c r="K166" i="106"/>
  <c r="K181" i="106"/>
  <c r="K170" i="106"/>
  <c r="K185" i="106"/>
  <c r="K174" i="106"/>
  <c r="L181" i="106"/>
  <c r="L173" i="106"/>
  <c r="L178" i="106"/>
  <c r="K182" i="106"/>
  <c r="K171" i="106"/>
  <c r="M21" i="106"/>
  <c r="L184" i="106"/>
  <c r="M175" i="106"/>
  <c r="E23" i="68"/>
  <c r="E21" i="68"/>
  <c r="E19" i="68"/>
  <c r="E17" i="68"/>
  <c r="D19" i="68"/>
  <c r="E22" i="68"/>
  <c r="D23" i="68"/>
  <c r="D17" i="68"/>
  <c r="C26" i="74"/>
  <c r="I21" i="68"/>
  <c r="L29" i="106" s="1"/>
  <c r="E20" i="68"/>
  <c r="E18" i="68"/>
  <c r="E24" i="68"/>
  <c r="D22" i="68"/>
  <c r="D18" i="68"/>
  <c r="D24" i="68"/>
  <c r="D20" i="68"/>
  <c r="I68" i="68"/>
  <c r="L76" i="106" s="1"/>
  <c r="I71" i="68"/>
  <c r="L79" i="106" s="1"/>
  <c r="I37" i="68"/>
  <c r="L45" i="106" s="1"/>
  <c r="I49" i="68"/>
  <c r="L57" i="106" s="1"/>
  <c r="I50" i="68"/>
  <c r="L58" i="106" s="1"/>
  <c r="E16" i="68"/>
  <c r="I69" i="68"/>
  <c r="L77" i="106" s="1"/>
  <c r="I17" i="68"/>
  <c r="I39" i="68"/>
  <c r="L47" i="106" s="1"/>
  <c r="I30" i="68"/>
  <c r="L38" i="106" s="1"/>
  <c r="D21" i="68"/>
  <c r="D16" i="68"/>
  <c r="I23" i="68"/>
  <c r="L31" i="106" s="1"/>
  <c r="C19" i="68"/>
  <c r="L14" i="106" s="1"/>
  <c r="I29" i="68"/>
  <c r="L37" i="106" s="1"/>
  <c r="I72" i="68"/>
  <c r="L80" i="106" s="1"/>
  <c r="C17" i="68"/>
  <c r="L12" i="106" s="1"/>
  <c r="I59" i="68"/>
  <c r="L67" i="106" s="1"/>
  <c r="I65" i="68"/>
  <c r="L73" i="106" s="1"/>
  <c r="I44" i="68"/>
  <c r="L52" i="106" s="1"/>
  <c r="I26" i="68"/>
  <c r="L34" i="106" s="1"/>
  <c r="I19" i="68"/>
  <c r="L27" i="106" s="1"/>
  <c r="I70" i="68"/>
  <c r="L78" i="106" s="1"/>
  <c r="I32" i="68"/>
  <c r="L40" i="106" s="1"/>
  <c r="C24" i="68"/>
  <c r="L19" i="106" s="1"/>
  <c r="I66" i="68"/>
  <c r="L74" i="106" s="1"/>
  <c r="I56" i="68"/>
  <c r="L64" i="106" s="1"/>
  <c r="I46" i="68"/>
  <c r="L54" i="106" s="1"/>
  <c r="I36" i="68"/>
  <c r="L44" i="106" s="1"/>
  <c r="I27" i="68"/>
  <c r="L35" i="106" s="1"/>
  <c r="I60" i="68"/>
  <c r="L68" i="106" s="1"/>
  <c r="I40" i="68"/>
  <c r="L48" i="106" s="1"/>
  <c r="I22" i="68"/>
  <c r="L30" i="106" s="1"/>
  <c r="C22" i="68"/>
  <c r="L17" i="106" s="1"/>
  <c r="I57" i="68"/>
  <c r="L65" i="106" s="1"/>
  <c r="I24" i="68"/>
  <c r="L32" i="106" s="1"/>
  <c r="C25" i="68"/>
  <c r="L20" i="106" s="1"/>
  <c r="I47" i="68"/>
  <c r="L55" i="106" s="1"/>
  <c r="I28" i="68"/>
  <c r="L36" i="106" s="1"/>
  <c r="C20" i="68"/>
  <c r="L15" i="106" s="1"/>
  <c r="I63" i="68"/>
  <c r="L71" i="106" s="1"/>
  <c r="I54" i="68"/>
  <c r="L62" i="106" s="1"/>
  <c r="I43" i="68"/>
  <c r="L51" i="106" s="1"/>
  <c r="I33" i="68"/>
  <c r="L41" i="106" s="1"/>
  <c r="I25" i="68"/>
  <c r="L33" i="106" s="1"/>
  <c r="I55" i="68"/>
  <c r="L63" i="106" s="1"/>
  <c r="I34" i="68"/>
  <c r="L42" i="106" s="1"/>
  <c r="I18" i="68"/>
  <c r="L26" i="106" s="1"/>
  <c r="C18" i="68"/>
  <c r="L13" i="106" s="1"/>
  <c r="I52" i="68"/>
  <c r="L60" i="106" s="1"/>
  <c r="I20" i="68"/>
  <c r="L28" i="106" s="1"/>
  <c r="C21" i="68"/>
  <c r="L16" i="106" s="1"/>
  <c r="I62" i="68"/>
  <c r="L70" i="106" s="1"/>
  <c r="I42" i="68"/>
  <c r="L50" i="106" s="1"/>
  <c r="C16" i="68"/>
  <c r="L11" i="106" s="1"/>
  <c r="C23" i="68"/>
  <c r="L18" i="106" s="1"/>
  <c r="I61" i="68"/>
  <c r="L69" i="106" s="1"/>
  <c r="I51" i="68"/>
  <c r="L59" i="106" s="1"/>
  <c r="I41" i="68"/>
  <c r="L49" i="106" s="1"/>
  <c r="I31" i="68"/>
  <c r="L39" i="106" s="1"/>
  <c r="K18" i="62"/>
  <c r="K22" i="62"/>
  <c r="K26" i="62"/>
  <c r="K30" i="62"/>
  <c r="K34" i="62"/>
  <c r="K40" i="62"/>
  <c r="K44" i="62"/>
  <c r="K50" i="62"/>
  <c r="K55" i="62"/>
  <c r="K60" i="62"/>
  <c r="K65" i="62"/>
  <c r="K70" i="62"/>
  <c r="K20" i="62"/>
  <c r="K19" i="62"/>
  <c r="K23" i="62"/>
  <c r="K27" i="62"/>
  <c r="K31" i="62"/>
  <c r="K36" i="62"/>
  <c r="K41" i="62"/>
  <c r="K46" i="62"/>
  <c r="K51" i="62"/>
  <c r="K56" i="62"/>
  <c r="K61" i="62"/>
  <c r="K66" i="62"/>
  <c r="J71" i="62"/>
  <c r="K28" i="62"/>
  <c r="K32" i="62"/>
  <c r="K37" i="62"/>
  <c r="K47" i="62"/>
  <c r="K52" i="62"/>
  <c r="K57" i="62"/>
  <c r="K62" i="62"/>
  <c r="K68" i="62"/>
  <c r="J17" i="62"/>
  <c r="J21" i="62"/>
  <c r="J25" i="62"/>
  <c r="J29" i="62"/>
  <c r="J33" i="62"/>
  <c r="J39" i="62"/>
  <c r="J43" i="62"/>
  <c r="J54" i="62"/>
  <c r="J59" i="62"/>
  <c r="J63" i="62"/>
  <c r="J69" i="62"/>
  <c r="K42" i="62"/>
  <c r="K24" i="62"/>
  <c r="J49" i="62"/>
  <c r="K72" i="62"/>
  <c r="J19" i="62"/>
  <c r="J23" i="62"/>
  <c r="J27" i="62"/>
  <c r="J31" i="62"/>
  <c r="J36" i="62"/>
  <c r="J41" i="62"/>
  <c r="J46" i="62"/>
  <c r="J51" i="62"/>
  <c r="J56" i="62"/>
  <c r="J61" i="62"/>
  <c r="J66" i="62"/>
  <c r="K71" i="62"/>
  <c r="I74" i="62"/>
  <c r="K82" i="106" s="1"/>
  <c r="K74" i="62"/>
  <c r="E25" i="62" s="1"/>
  <c r="I3" i="61"/>
  <c r="M3" i="61"/>
  <c r="T3" i="61"/>
  <c r="X3" i="61"/>
  <c r="AB3" i="61"/>
  <c r="AF3" i="61"/>
  <c r="AJ3" i="61"/>
  <c r="AP3" i="61"/>
  <c r="AT3" i="61"/>
  <c r="AZ3" i="61"/>
  <c r="BE3" i="61"/>
  <c r="BJ3" i="61"/>
  <c r="BO3" i="61"/>
  <c r="BT3" i="61"/>
  <c r="J18" i="62"/>
  <c r="J22" i="62"/>
  <c r="J26" i="62"/>
  <c r="J30" i="62"/>
  <c r="J34" i="62"/>
  <c r="J40" i="62"/>
  <c r="J44" i="62"/>
  <c r="J50" i="62"/>
  <c r="J55" i="62"/>
  <c r="J60" i="62"/>
  <c r="J65" i="62"/>
  <c r="J70" i="62"/>
  <c r="J3" i="61"/>
  <c r="AC3" i="61"/>
  <c r="AL3" i="61"/>
  <c r="BA3" i="61"/>
  <c r="BP3" i="61"/>
  <c r="B26" i="62"/>
  <c r="K8" i="106" s="1"/>
  <c r="F3" i="61"/>
  <c r="N3" i="61"/>
  <c r="Y3" i="61"/>
  <c r="AG3" i="61"/>
  <c r="AQ3" i="61"/>
  <c r="AV3" i="61"/>
  <c r="BF3" i="61"/>
  <c r="BK3" i="61"/>
  <c r="BU3" i="61"/>
  <c r="G3" i="61"/>
  <c r="K3" i="61"/>
  <c r="O3" i="61"/>
  <c r="V3" i="61"/>
  <c r="Z3" i="61"/>
  <c r="AD3" i="61"/>
  <c r="AH3" i="61"/>
  <c r="AM3" i="61"/>
  <c r="AR3" i="61"/>
  <c r="AW3" i="61"/>
  <c r="BB3" i="61"/>
  <c r="BG3" i="61"/>
  <c r="BL3" i="61"/>
  <c r="BR3" i="61"/>
  <c r="BV3" i="61"/>
  <c r="K17" i="62"/>
  <c r="J20" i="62"/>
  <c r="K21" i="62"/>
  <c r="J24" i="62"/>
  <c r="K25" i="62"/>
  <c r="J28" i="62"/>
  <c r="K29" i="62"/>
  <c r="J32" i="62"/>
  <c r="K33" i="62"/>
  <c r="J37" i="62"/>
  <c r="K39" i="62"/>
  <c r="J42" i="62"/>
  <c r="K43" i="62"/>
  <c r="J47" i="62"/>
  <c r="K49" i="62"/>
  <c r="J52" i="62"/>
  <c r="K54" i="62"/>
  <c r="J57" i="62"/>
  <c r="K59" i="62"/>
  <c r="J62" i="62"/>
  <c r="K63" i="62"/>
  <c r="J68" i="62"/>
  <c r="K69" i="62"/>
  <c r="J72" i="62"/>
  <c r="U3" i="61"/>
  <c r="H3" i="61"/>
  <c r="L3" i="61"/>
  <c r="S3" i="61"/>
  <c r="W3" i="61"/>
  <c r="AA3" i="61"/>
  <c r="AE3" i="61"/>
  <c r="AI3" i="61"/>
  <c r="AO3" i="61"/>
  <c r="AS3" i="61"/>
  <c r="AY3" i="61"/>
  <c r="BD3" i="61"/>
  <c r="BI3" i="61"/>
  <c r="BM3" i="61"/>
  <c r="BS3" i="61"/>
  <c r="D25" i="56"/>
  <c r="B25" i="56"/>
  <c r="J97" i="106" s="1"/>
  <c r="B24" i="56"/>
  <c r="J96" i="106" s="1"/>
  <c r="B23" i="56"/>
  <c r="J95" i="106" s="1"/>
  <c r="B22" i="56"/>
  <c r="J94" i="106" s="1"/>
  <c r="B21" i="56"/>
  <c r="J93" i="106" s="1"/>
  <c r="B20" i="56"/>
  <c r="J92" i="106" s="1"/>
  <c r="B19" i="56"/>
  <c r="J91" i="106" s="1"/>
  <c r="B18" i="56"/>
  <c r="J90" i="106" s="1"/>
  <c r="B17" i="56"/>
  <c r="J89" i="106" s="1"/>
  <c r="B16" i="56"/>
  <c r="J88" i="106" s="1"/>
  <c r="B10" i="56"/>
  <c r="H74" i="56"/>
  <c r="J159" i="106" s="1"/>
  <c r="H72" i="56"/>
  <c r="J157" i="106" s="1"/>
  <c r="H71" i="56"/>
  <c r="J156" i="106" s="1"/>
  <c r="H70" i="56"/>
  <c r="J155" i="106" s="1"/>
  <c r="H69" i="56"/>
  <c r="J154" i="106" s="1"/>
  <c r="H68" i="56"/>
  <c r="J153" i="106" s="1"/>
  <c r="H66" i="56"/>
  <c r="J151" i="106" s="1"/>
  <c r="H65" i="56"/>
  <c r="J150" i="106" s="1"/>
  <c r="H63" i="56"/>
  <c r="J148" i="106" s="1"/>
  <c r="H62" i="56"/>
  <c r="J147" i="106" s="1"/>
  <c r="H61" i="56"/>
  <c r="J146" i="106" s="1"/>
  <c r="H60" i="56"/>
  <c r="J145" i="106" s="1"/>
  <c r="H59" i="56"/>
  <c r="J144" i="106" s="1"/>
  <c r="H57" i="56"/>
  <c r="J142" i="106" s="1"/>
  <c r="H56" i="56"/>
  <c r="J141" i="106" s="1"/>
  <c r="H55" i="56"/>
  <c r="J140" i="106" s="1"/>
  <c r="H54" i="56"/>
  <c r="J139" i="106" s="1"/>
  <c r="H52" i="56"/>
  <c r="J137" i="106" s="1"/>
  <c r="H51" i="56"/>
  <c r="J136" i="106" s="1"/>
  <c r="H50" i="56"/>
  <c r="J135" i="106" s="1"/>
  <c r="H49" i="56"/>
  <c r="J134" i="106" s="1"/>
  <c r="H47" i="56"/>
  <c r="J132" i="106" s="1"/>
  <c r="H46" i="56"/>
  <c r="J131" i="106" s="1"/>
  <c r="H44" i="56"/>
  <c r="J129" i="106" s="1"/>
  <c r="H43" i="56"/>
  <c r="J128" i="106" s="1"/>
  <c r="H42" i="56"/>
  <c r="J127" i="106" s="1"/>
  <c r="H41" i="56"/>
  <c r="J126" i="106" s="1"/>
  <c r="H40" i="56"/>
  <c r="J125" i="106" s="1"/>
  <c r="H39" i="56"/>
  <c r="J124" i="106" s="1"/>
  <c r="H37" i="56"/>
  <c r="J122" i="106" s="1"/>
  <c r="H36" i="56"/>
  <c r="J121" i="106" s="1"/>
  <c r="H34" i="56"/>
  <c r="J119" i="106" s="1"/>
  <c r="H33" i="56"/>
  <c r="J118" i="106" s="1"/>
  <c r="H32" i="56"/>
  <c r="J117" i="106" s="1"/>
  <c r="H31" i="56"/>
  <c r="J116" i="106" s="1"/>
  <c r="H30" i="56"/>
  <c r="J115" i="106" s="1"/>
  <c r="H29" i="56"/>
  <c r="J114" i="106" s="1"/>
  <c r="H28" i="56"/>
  <c r="J113" i="106" s="1"/>
  <c r="H27" i="56"/>
  <c r="J112" i="106" s="1"/>
  <c r="H26" i="56"/>
  <c r="J111" i="106" s="1"/>
  <c r="H25" i="56"/>
  <c r="J110" i="106" s="1"/>
  <c r="H24" i="56"/>
  <c r="J109" i="106" s="1"/>
  <c r="H23" i="56"/>
  <c r="J108" i="106" s="1"/>
  <c r="H22" i="56"/>
  <c r="J107" i="106" s="1"/>
  <c r="H21" i="56"/>
  <c r="J106" i="106" s="1"/>
  <c r="H20" i="56"/>
  <c r="J105" i="106" s="1"/>
  <c r="H19" i="56"/>
  <c r="J104" i="106" s="1"/>
  <c r="H18" i="56"/>
  <c r="J103" i="106" s="1"/>
  <c r="H17" i="56"/>
  <c r="P3" i="55"/>
  <c r="BX3" i="55" s="1"/>
  <c r="L25" i="106" l="1"/>
  <c r="I75" i="68"/>
  <c r="J102" i="106"/>
  <c r="H75" i="56"/>
  <c r="L164" i="106"/>
  <c r="J98" i="106"/>
  <c r="J184" i="106"/>
  <c r="J173" i="106"/>
  <c r="K167" i="106"/>
  <c r="K180" i="106"/>
  <c r="K165" i="106"/>
  <c r="J166" i="106"/>
  <c r="J177" i="106"/>
  <c r="J170" i="106"/>
  <c r="J181" i="106"/>
  <c r="J174" i="106"/>
  <c r="J185" i="106"/>
  <c r="K178" i="106"/>
  <c r="K169" i="106"/>
  <c r="L175" i="106"/>
  <c r="J182" i="106"/>
  <c r="J171" i="106"/>
  <c r="L21" i="106"/>
  <c r="K184" i="106"/>
  <c r="J179" i="106"/>
  <c r="J168" i="106"/>
  <c r="J183" i="106"/>
  <c r="J172" i="106"/>
  <c r="K173" i="106"/>
  <c r="E23" i="62"/>
  <c r="E21" i="62"/>
  <c r="C26" i="68"/>
  <c r="E19" i="62"/>
  <c r="E17" i="62"/>
  <c r="E20" i="62"/>
  <c r="C19" i="62"/>
  <c r="K14" i="106" s="1"/>
  <c r="D19" i="62"/>
  <c r="D23" i="62"/>
  <c r="E24" i="62"/>
  <c r="I72" i="62"/>
  <c r="K80" i="106" s="1"/>
  <c r="D17" i="62"/>
  <c r="I68" i="62"/>
  <c r="K76" i="106" s="1"/>
  <c r="I32" i="62"/>
  <c r="K40" i="106" s="1"/>
  <c r="I28" i="62"/>
  <c r="K36" i="106" s="1"/>
  <c r="I52" i="62"/>
  <c r="K60" i="106" s="1"/>
  <c r="D21" i="62"/>
  <c r="D16" i="62"/>
  <c r="D20" i="62"/>
  <c r="I47" i="62"/>
  <c r="K55" i="106" s="1"/>
  <c r="D22" i="62"/>
  <c r="D18" i="62"/>
  <c r="I71" i="62"/>
  <c r="K79" i="106" s="1"/>
  <c r="I66" i="62"/>
  <c r="K74" i="106" s="1"/>
  <c r="I56" i="62"/>
  <c r="K64" i="106" s="1"/>
  <c r="I46" i="62"/>
  <c r="K54" i="106" s="1"/>
  <c r="I36" i="62"/>
  <c r="K44" i="106" s="1"/>
  <c r="I27" i="62"/>
  <c r="K35" i="106" s="1"/>
  <c r="I19" i="62"/>
  <c r="K27" i="106" s="1"/>
  <c r="C21" i="62"/>
  <c r="K16" i="106" s="1"/>
  <c r="I70" i="62"/>
  <c r="K78" i="106" s="1"/>
  <c r="I50" i="62"/>
  <c r="K58" i="106" s="1"/>
  <c r="I22" i="62"/>
  <c r="K30" i="106" s="1"/>
  <c r="I62" i="62"/>
  <c r="K70" i="106" s="1"/>
  <c r="I42" i="62"/>
  <c r="K50" i="106" s="1"/>
  <c r="I24" i="62"/>
  <c r="K32" i="106" s="1"/>
  <c r="E22" i="62"/>
  <c r="E18" i="62"/>
  <c r="C22" i="62"/>
  <c r="K17" i="106" s="1"/>
  <c r="I63" i="62"/>
  <c r="K71" i="106" s="1"/>
  <c r="I54" i="62"/>
  <c r="K62" i="106" s="1"/>
  <c r="I43" i="62"/>
  <c r="K51" i="106" s="1"/>
  <c r="I33" i="62"/>
  <c r="K41" i="106" s="1"/>
  <c r="I25" i="62"/>
  <c r="K33" i="106" s="1"/>
  <c r="I17" i="62"/>
  <c r="C24" i="62"/>
  <c r="K19" i="106" s="1"/>
  <c r="I65" i="62"/>
  <c r="K73" i="106" s="1"/>
  <c r="I34" i="62"/>
  <c r="K42" i="106" s="1"/>
  <c r="I18" i="62"/>
  <c r="K26" i="106" s="1"/>
  <c r="I57" i="62"/>
  <c r="K65" i="106" s="1"/>
  <c r="I37" i="62"/>
  <c r="K45" i="106" s="1"/>
  <c r="I20" i="62"/>
  <c r="K28" i="106" s="1"/>
  <c r="D24" i="62"/>
  <c r="C18" i="62"/>
  <c r="K13" i="106" s="1"/>
  <c r="I61" i="62"/>
  <c r="K69" i="106" s="1"/>
  <c r="I51" i="62"/>
  <c r="K59" i="106" s="1"/>
  <c r="I41" i="62"/>
  <c r="K49" i="106" s="1"/>
  <c r="I31" i="62"/>
  <c r="K39" i="106" s="1"/>
  <c r="I23" i="62"/>
  <c r="K31" i="106" s="1"/>
  <c r="C25" i="62"/>
  <c r="K20" i="106" s="1"/>
  <c r="C20" i="62"/>
  <c r="K15" i="106" s="1"/>
  <c r="I60" i="62"/>
  <c r="K68" i="106" s="1"/>
  <c r="I44" i="62"/>
  <c r="K52" i="106" s="1"/>
  <c r="I30" i="62"/>
  <c r="K38" i="106" s="1"/>
  <c r="C23" i="62"/>
  <c r="K18" i="106" s="1"/>
  <c r="E16" i="62"/>
  <c r="I69" i="62"/>
  <c r="K77" i="106" s="1"/>
  <c r="I59" i="62"/>
  <c r="K67" i="106" s="1"/>
  <c r="I49" i="62"/>
  <c r="K57" i="106" s="1"/>
  <c r="I39" i="62"/>
  <c r="K47" i="106" s="1"/>
  <c r="I29" i="62"/>
  <c r="K37" i="106" s="1"/>
  <c r="I21" i="62"/>
  <c r="K29" i="106" s="1"/>
  <c r="C17" i="62"/>
  <c r="K12" i="106" s="1"/>
  <c r="C16" i="62"/>
  <c r="K11" i="106" s="1"/>
  <c r="I55" i="62"/>
  <c r="K63" i="106" s="1"/>
  <c r="I40" i="62"/>
  <c r="K48" i="106" s="1"/>
  <c r="I26" i="62"/>
  <c r="K34" i="106" s="1"/>
  <c r="J17" i="56"/>
  <c r="J21" i="56"/>
  <c r="J25" i="56"/>
  <c r="J29" i="56"/>
  <c r="J39" i="56"/>
  <c r="J43" i="56"/>
  <c r="J54" i="56"/>
  <c r="J59" i="56"/>
  <c r="J63" i="56"/>
  <c r="J69" i="56"/>
  <c r="K20" i="56"/>
  <c r="K18" i="56"/>
  <c r="K22" i="56"/>
  <c r="K26" i="56"/>
  <c r="K30" i="56"/>
  <c r="K34" i="56"/>
  <c r="K40" i="56"/>
  <c r="K44" i="56"/>
  <c r="K50" i="56"/>
  <c r="K55" i="56"/>
  <c r="K60" i="56"/>
  <c r="K65" i="56"/>
  <c r="J70" i="56"/>
  <c r="J19" i="56"/>
  <c r="J23" i="56"/>
  <c r="J27" i="56"/>
  <c r="J31" i="56"/>
  <c r="J36" i="56"/>
  <c r="J41" i="56"/>
  <c r="J46" i="56"/>
  <c r="J51" i="56"/>
  <c r="J56" i="56"/>
  <c r="J61" i="56"/>
  <c r="J66" i="56"/>
  <c r="J71" i="56"/>
  <c r="K28" i="56"/>
  <c r="K32" i="56"/>
  <c r="K37" i="56"/>
  <c r="K47" i="56"/>
  <c r="K52" i="56"/>
  <c r="K57" i="56"/>
  <c r="K62" i="56"/>
  <c r="K68" i="56"/>
  <c r="K72" i="56"/>
  <c r="K42" i="56"/>
  <c r="K24" i="56"/>
  <c r="J33" i="56"/>
  <c r="J49" i="56"/>
  <c r="J30" i="56"/>
  <c r="J40" i="56"/>
  <c r="J50" i="56"/>
  <c r="J60" i="56"/>
  <c r="K70" i="56"/>
  <c r="J18" i="56"/>
  <c r="J26" i="56"/>
  <c r="J34" i="56"/>
  <c r="J44" i="56"/>
  <c r="J55" i="56"/>
  <c r="J65" i="56"/>
  <c r="J22" i="56"/>
  <c r="K19" i="56"/>
  <c r="K23" i="56"/>
  <c r="K27" i="56"/>
  <c r="K31" i="56"/>
  <c r="K36" i="56"/>
  <c r="K41" i="56"/>
  <c r="K46" i="56"/>
  <c r="K51" i="56"/>
  <c r="K56" i="56"/>
  <c r="K61" i="56"/>
  <c r="K66" i="56"/>
  <c r="K71" i="56"/>
  <c r="I74" i="56"/>
  <c r="J82" i="106" s="1"/>
  <c r="K74" i="56"/>
  <c r="E25" i="56" s="1"/>
  <c r="I3" i="55"/>
  <c r="M3" i="55"/>
  <c r="T3" i="55"/>
  <c r="X3" i="55"/>
  <c r="AB3" i="55"/>
  <c r="AF3" i="55"/>
  <c r="AJ3" i="55"/>
  <c r="AP3" i="55"/>
  <c r="AT3" i="55"/>
  <c r="AZ3" i="55"/>
  <c r="BE3" i="55"/>
  <c r="BJ3" i="55"/>
  <c r="BO3" i="55"/>
  <c r="BT3" i="55"/>
  <c r="F3" i="55"/>
  <c r="U3" i="55"/>
  <c r="AC3" i="55"/>
  <c r="AQ3" i="55"/>
  <c r="AV3" i="55"/>
  <c r="BF3" i="55"/>
  <c r="BK3" i="55"/>
  <c r="BU3" i="55"/>
  <c r="B26" i="56"/>
  <c r="J8" i="106" s="1"/>
  <c r="N3" i="55"/>
  <c r="Y3" i="55"/>
  <c r="AL3" i="55"/>
  <c r="BA3" i="55"/>
  <c r="BP3" i="55"/>
  <c r="G3" i="55"/>
  <c r="K3" i="55"/>
  <c r="O3" i="55"/>
  <c r="V3" i="55"/>
  <c r="Z3" i="55"/>
  <c r="AD3" i="55"/>
  <c r="AH3" i="55"/>
  <c r="AM3" i="55"/>
  <c r="AR3" i="55"/>
  <c r="AW3" i="55"/>
  <c r="BB3" i="55"/>
  <c r="BG3" i="55"/>
  <c r="BL3" i="55"/>
  <c r="BR3" i="55"/>
  <c r="BV3" i="55"/>
  <c r="K17" i="56"/>
  <c r="J20" i="56"/>
  <c r="K21" i="56"/>
  <c r="J24" i="56"/>
  <c r="K25" i="56"/>
  <c r="J28" i="56"/>
  <c r="K29" i="56"/>
  <c r="J32" i="56"/>
  <c r="K33" i="56"/>
  <c r="J37" i="56"/>
  <c r="K39" i="56"/>
  <c r="J42" i="56"/>
  <c r="K43" i="56"/>
  <c r="J47" i="56"/>
  <c r="K49" i="56"/>
  <c r="J52" i="56"/>
  <c r="K54" i="56"/>
  <c r="J57" i="56"/>
  <c r="K59" i="56"/>
  <c r="J62" i="56"/>
  <c r="K63" i="56"/>
  <c r="J68" i="56"/>
  <c r="K69" i="56"/>
  <c r="J72" i="56"/>
  <c r="J9" i="106"/>
  <c r="J180" i="106" s="1"/>
  <c r="J3" i="55"/>
  <c r="AG3" i="55"/>
  <c r="H3" i="55"/>
  <c r="L3" i="55"/>
  <c r="S3" i="55"/>
  <c r="W3" i="55"/>
  <c r="AA3" i="55"/>
  <c r="AE3" i="55"/>
  <c r="AI3" i="55"/>
  <c r="AO3" i="55"/>
  <c r="AS3" i="55"/>
  <c r="AY3" i="55"/>
  <c r="BD3" i="55"/>
  <c r="BI3" i="55"/>
  <c r="BM3" i="55"/>
  <c r="BS3" i="55"/>
  <c r="D25" i="50"/>
  <c r="B25" i="50"/>
  <c r="I97" i="106" s="1"/>
  <c r="B24" i="50"/>
  <c r="I96" i="106" s="1"/>
  <c r="B23" i="50"/>
  <c r="I95" i="106" s="1"/>
  <c r="B22" i="50"/>
  <c r="I94" i="106" s="1"/>
  <c r="B21" i="50"/>
  <c r="I93" i="106" s="1"/>
  <c r="B20" i="50"/>
  <c r="I92" i="106" s="1"/>
  <c r="B19" i="50"/>
  <c r="I91" i="106" s="1"/>
  <c r="B18" i="50"/>
  <c r="I90" i="106" s="1"/>
  <c r="B17" i="50"/>
  <c r="I89" i="106" s="1"/>
  <c r="B16" i="50"/>
  <c r="I88" i="106" s="1"/>
  <c r="B10" i="50"/>
  <c r="H74" i="50"/>
  <c r="I159" i="106" s="1"/>
  <c r="H72" i="50"/>
  <c r="I157" i="106" s="1"/>
  <c r="H71" i="50"/>
  <c r="I156" i="106" s="1"/>
  <c r="H70" i="50"/>
  <c r="I155" i="106" s="1"/>
  <c r="H69" i="50"/>
  <c r="I154" i="106" s="1"/>
  <c r="H68" i="50"/>
  <c r="I153" i="106" s="1"/>
  <c r="H66" i="50"/>
  <c r="I151" i="106" s="1"/>
  <c r="H65" i="50"/>
  <c r="I150" i="106" s="1"/>
  <c r="H63" i="50"/>
  <c r="I148" i="106" s="1"/>
  <c r="H62" i="50"/>
  <c r="I147" i="106" s="1"/>
  <c r="H61" i="50"/>
  <c r="I146" i="106" s="1"/>
  <c r="H60" i="50"/>
  <c r="I145" i="106" s="1"/>
  <c r="H59" i="50"/>
  <c r="I144" i="106" s="1"/>
  <c r="H57" i="50"/>
  <c r="I142" i="106" s="1"/>
  <c r="H56" i="50"/>
  <c r="I141" i="106" s="1"/>
  <c r="H55" i="50"/>
  <c r="I140" i="106" s="1"/>
  <c r="H54" i="50"/>
  <c r="I139" i="106" s="1"/>
  <c r="H52" i="50"/>
  <c r="I137" i="106" s="1"/>
  <c r="H51" i="50"/>
  <c r="I136" i="106" s="1"/>
  <c r="H50" i="50"/>
  <c r="I135" i="106" s="1"/>
  <c r="H49" i="50"/>
  <c r="I134" i="106" s="1"/>
  <c r="H47" i="50"/>
  <c r="I132" i="106" s="1"/>
  <c r="H46" i="50"/>
  <c r="I131" i="106" s="1"/>
  <c r="H44" i="50"/>
  <c r="I129" i="106" s="1"/>
  <c r="H43" i="50"/>
  <c r="I128" i="106" s="1"/>
  <c r="H42" i="50"/>
  <c r="I127" i="106" s="1"/>
  <c r="H41" i="50"/>
  <c r="I126" i="106" s="1"/>
  <c r="H40" i="50"/>
  <c r="I125" i="106" s="1"/>
  <c r="H39" i="50"/>
  <c r="I124" i="106" s="1"/>
  <c r="H37" i="50"/>
  <c r="I122" i="106" s="1"/>
  <c r="H36" i="50"/>
  <c r="I121" i="106" s="1"/>
  <c r="H34" i="50"/>
  <c r="I119" i="106" s="1"/>
  <c r="H33" i="50"/>
  <c r="I118" i="106" s="1"/>
  <c r="H32" i="50"/>
  <c r="I117" i="106" s="1"/>
  <c r="H31" i="50"/>
  <c r="I116" i="106" s="1"/>
  <c r="H30" i="50"/>
  <c r="I115" i="106" s="1"/>
  <c r="H29" i="50"/>
  <c r="I114" i="106" s="1"/>
  <c r="H28" i="50"/>
  <c r="I113" i="106" s="1"/>
  <c r="H27" i="50"/>
  <c r="I112" i="106" s="1"/>
  <c r="H26" i="50"/>
  <c r="I111" i="106" s="1"/>
  <c r="H25" i="50"/>
  <c r="I110" i="106" s="1"/>
  <c r="H24" i="50"/>
  <c r="I109" i="106" s="1"/>
  <c r="H23" i="50"/>
  <c r="I108" i="106" s="1"/>
  <c r="H22" i="50"/>
  <c r="I107" i="106" s="1"/>
  <c r="H21" i="50"/>
  <c r="I106" i="106" s="1"/>
  <c r="H20" i="50"/>
  <c r="I105" i="106" s="1"/>
  <c r="H19" i="50"/>
  <c r="I104" i="106" s="1"/>
  <c r="H18" i="50"/>
  <c r="I103" i="106" s="1"/>
  <c r="H17" i="50"/>
  <c r="P3" i="49"/>
  <c r="BE3" i="49" s="1"/>
  <c r="K25" i="106" l="1"/>
  <c r="I75" i="62"/>
  <c r="K21" i="106"/>
  <c r="I102" i="106"/>
  <c r="H75" i="50"/>
  <c r="K175" i="106"/>
  <c r="I167" i="106"/>
  <c r="I178" i="106"/>
  <c r="I179" i="106"/>
  <c r="I168" i="106"/>
  <c r="I183" i="106"/>
  <c r="I172" i="106"/>
  <c r="K164" i="106"/>
  <c r="J165" i="106"/>
  <c r="I98" i="106"/>
  <c r="J167" i="106"/>
  <c r="J169" i="106"/>
  <c r="J176" i="106"/>
  <c r="I177" i="106"/>
  <c r="I166" i="106"/>
  <c r="J178" i="106"/>
  <c r="E17" i="56"/>
  <c r="E19" i="56"/>
  <c r="E23" i="56"/>
  <c r="D19" i="56"/>
  <c r="D17" i="56"/>
  <c r="D23" i="56"/>
  <c r="C26" i="62"/>
  <c r="C24" i="56"/>
  <c r="J19" i="106" s="1"/>
  <c r="D18" i="56"/>
  <c r="D20" i="56"/>
  <c r="D21" i="56"/>
  <c r="I62" i="56"/>
  <c r="J70" i="106" s="1"/>
  <c r="I37" i="56"/>
  <c r="J45" i="106" s="1"/>
  <c r="E22" i="56"/>
  <c r="E18" i="56"/>
  <c r="I24" i="56"/>
  <c r="J32" i="106" s="1"/>
  <c r="I52" i="56"/>
  <c r="J60" i="106" s="1"/>
  <c r="D22" i="56"/>
  <c r="I41" i="56"/>
  <c r="J49" i="106" s="1"/>
  <c r="C23" i="56"/>
  <c r="J18" i="106" s="1"/>
  <c r="E24" i="56"/>
  <c r="E20" i="56"/>
  <c r="C20" i="56"/>
  <c r="J15" i="106" s="1"/>
  <c r="I72" i="56"/>
  <c r="J80" i="106" s="1"/>
  <c r="I42" i="56"/>
  <c r="J50" i="106" s="1"/>
  <c r="I20" i="56"/>
  <c r="J28" i="106" s="1"/>
  <c r="D24" i="56"/>
  <c r="D16" i="56"/>
  <c r="I23" i="56"/>
  <c r="J31" i="106" s="1"/>
  <c r="I69" i="56"/>
  <c r="J77" i="106" s="1"/>
  <c r="I60" i="56"/>
  <c r="J68" i="106" s="1"/>
  <c r="E21" i="56"/>
  <c r="I49" i="56"/>
  <c r="J57" i="106" s="1"/>
  <c r="I40" i="56"/>
  <c r="J48" i="106" s="1"/>
  <c r="I57" i="56"/>
  <c r="J65" i="106" s="1"/>
  <c r="I32" i="56"/>
  <c r="J40" i="106" s="1"/>
  <c r="I61" i="56"/>
  <c r="J69" i="106" s="1"/>
  <c r="I29" i="56"/>
  <c r="J37" i="106" s="1"/>
  <c r="I22" i="56"/>
  <c r="J30" i="106" s="1"/>
  <c r="E16" i="56"/>
  <c r="I56" i="56"/>
  <c r="J64" i="106" s="1"/>
  <c r="I36" i="56"/>
  <c r="J44" i="106" s="1"/>
  <c r="I19" i="56"/>
  <c r="J27" i="106" s="1"/>
  <c r="C22" i="56"/>
  <c r="J17" i="106" s="1"/>
  <c r="C25" i="56"/>
  <c r="J20" i="106" s="1"/>
  <c r="I63" i="56"/>
  <c r="J71" i="106" s="1"/>
  <c r="I43" i="56"/>
  <c r="J51" i="106" s="1"/>
  <c r="I25" i="56"/>
  <c r="J33" i="106" s="1"/>
  <c r="C19" i="56"/>
  <c r="J14" i="106" s="1"/>
  <c r="I55" i="56"/>
  <c r="J63" i="106" s="1"/>
  <c r="I34" i="56"/>
  <c r="J42" i="106" s="1"/>
  <c r="I18" i="56"/>
  <c r="J26" i="106" s="1"/>
  <c r="C16" i="56"/>
  <c r="J11" i="106" s="1"/>
  <c r="I68" i="56"/>
  <c r="J76" i="106" s="1"/>
  <c r="I47" i="56"/>
  <c r="J55" i="106" s="1"/>
  <c r="I28" i="56"/>
  <c r="J36" i="106" s="1"/>
  <c r="I71" i="56"/>
  <c r="J79" i="106" s="1"/>
  <c r="I51" i="56"/>
  <c r="J59" i="106" s="1"/>
  <c r="I31" i="56"/>
  <c r="J39" i="106" s="1"/>
  <c r="C18" i="56"/>
  <c r="J13" i="106" s="1"/>
  <c r="C21" i="56"/>
  <c r="J16" i="106" s="1"/>
  <c r="I59" i="56"/>
  <c r="J67" i="106" s="1"/>
  <c r="I39" i="56"/>
  <c r="J47" i="106" s="1"/>
  <c r="I21" i="56"/>
  <c r="J29" i="106" s="1"/>
  <c r="I70" i="56"/>
  <c r="J78" i="106" s="1"/>
  <c r="I50" i="56"/>
  <c r="J58" i="106" s="1"/>
  <c r="I30" i="56"/>
  <c r="J38" i="106" s="1"/>
  <c r="I66" i="56"/>
  <c r="J74" i="106" s="1"/>
  <c r="I46" i="56"/>
  <c r="J54" i="106" s="1"/>
  <c r="I27" i="56"/>
  <c r="J35" i="106" s="1"/>
  <c r="C17" i="56"/>
  <c r="J12" i="106" s="1"/>
  <c r="I54" i="56"/>
  <c r="J62" i="106" s="1"/>
  <c r="I33" i="56"/>
  <c r="J41" i="106" s="1"/>
  <c r="I17" i="56"/>
  <c r="I65" i="56"/>
  <c r="J73" i="106" s="1"/>
  <c r="I44" i="56"/>
  <c r="J52" i="106" s="1"/>
  <c r="I26" i="56"/>
  <c r="J34" i="106" s="1"/>
  <c r="K18" i="50"/>
  <c r="K22" i="50"/>
  <c r="J26" i="50"/>
  <c r="K30" i="50"/>
  <c r="K34" i="50"/>
  <c r="K40" i="50"/>
  <c r="J44" i="50"/>
  <c r="K50" i="50"/>
  <c r="K55" i="50"/>
  <c r="K60" i="50"/>
  <c r="J65" i="50"/>
  <c r="K70" i="50"/>
  <c r="J19" i="50"/>
  <c r="J23" i="50"/>
  <c r="J27" i="50"/>
  <c r="J31" i="50"/>
  <c r="J36" i="50"/>
  <c r="J41" i="50"/>
  <c r="J46" i="50"/>
  <c r="J51" i="50"/>
  <c r="J66" i="50"/>
  <c r="J71" i="50"/>
  <c r="K20" i="50"/>
  <c r="K28" i="50"/>
  <c r="K32" i="50"/>
  <c r="K37" i="50"/>
  <c r="K42" i="50"/>
  <c r="K47" i="50"/>
  <c r="K52" i="50"/>
  <c r="K57" i="50"/>
  <c r="K62" i="50"/>
  <c r="K68" i="50"/>
  <c r="J61" i="50"/>
  <c r="J56" i="50"/>
  <c r="K72" i="50"/>
  <c r="K24" i="50"/>
  <c r="K65" i="50"/>
  <c r="K26" i="50"/>
  <c r="K44" i="50"/>
  <c r="K19" i="50"/>
  <c r="J22" i="50"/>
  <c r="K36" i="50"/>
  <c r="J40" i="50"/>
  <c r="K56" i="50"/>
  <c r="J60" i="50"/>
  <c r="J18" i="50"/>
  <c r="K31" i="50"/>
  <c r="J34" i="50"/>
  <c r="K51" i="50"/>
  <c r="J55" i="50"/>
  <c r="K71" i="50"/>
  <c r="K27" i="50"/>
  <c r="J30" i="50"/>
  <c r="K46" i="50"/>
  <c r="J50" i="50"/>
  <c r="K66" i="50"/>
  <c r="J70" i="50"/>
  <c r="K23" i="50"/>
  <c r="K41" i="50"/>
  <c r="K61" i="50"/>
  <c r="I74" i="50"/>
  <c r="I82" i="106" s="1"/>
  <c r="AB3" i="49"/>
  <c r="AT3" i="49"/>
  <c r="M3" i="49"/>
  <c r="AF3" i="49"/>
  <c r="AZ3" i="49"/>
  <c r="T3" i="49"/>
  <c r="AJ3" i="49"/>
  <c r="BX3" i="49"/>
  <c r="BS3" i="49"/>
  <c r="BM3" i="49"/>
  <c r="BI3" i="49"/>
  <c r="BD3" i="49"/>
  <c r="AY3" i="49"/>
  <c r="AS3" i="49"/>
  <c r="AO3" i="49"/>
  <c r="AI3" i="49"/>
  <c r="AE3" i="49"/>
  <c r="AA3" i="49"/>
  <c r="W3" i="49"/>
  <c r="S3" i="49"/>
  <c r="L3" i="49"/>
  <c r="H3" i="49"/>
  <c r="BU3" i="49"/>
  <c r="BP3" i="49"/>
  <c r="BF3" i="49"/>
  <c r="BA3" i="49"/>
  <c r="AV3" i="49"/>
  <c r="AL3" i="49"/>
  <c r="AC3" i="49"/>
  <c r="N3" i="49"/>
  <c r="F3" i="49"/>
  <c r="BT3" i="49"/>
  <c r="BO3" i="49"/>
  <c r="BV3" i="49"/>
  <c r="BR3" i="49"/>
  <c r="BL3" i="49"/>
  <c r="BG3" i="49"/>
  <c r="BB3" i="49"/>
  <c r="AW3" i="49"/>
  <c r="AR3" i="49"/>
  <c r="AM3" i="49"/>
  <c r="AH3" i="49"/>
  <c r="AD3" i="49"/>
  <c r="Z3" i="49"/>
  <c r="V3" i="49"/>
  <c r="O3" i="49"/>
  <c r="K3" i="49"/>
  <c r="G3" i="49"/>
  <c r="Y3" i="49"/>
  <c r="BK3" i="49"/>
  <c r="AQ3" i="49"/>
  <c r="AG3" i="49"/>
  <c r="U3" i="49"/>
  <c r="J3" i="49"/>
  <c r="X3" i="49"/>
  <c r="AP3" i="49"/>
  <c r="BJ3" i="49"/>
  <c r="I3" i="49"/>
  <c r="J25" i="50"/>
  <c r="J29" i="50"/>
  <c r="J39" i="50"/>
  <c r="J54" i="50"/>
  <c r="J59" i="50"/>
  <c r="J63" i="50"/>
  <c r="J69" i="50"/>
  <c r="K74" i="50"/>
  <c r="E25" i="50" s="1"/>
  <c r="B26" i="50"/>
  <c r="I8" i="106" s="1"/>
  <c r="J33" i="50"/>
  <c r="J43" i="50"/>
  <c r="K17" i="50"/>
  <c r="J20" i="50"/>
  <c r="K21" i="50"/>
  <c r="J24" i="50"/>
  <c r="K25" i="50"/>
  <c r="J28" i="50"/>
  <c r="K29" i="50"/>
  <c r="J32" i="50"/>
  <c r="K33" i="50"/>
  <c r="J37" i="50"/>
  <c r="K39" i="50"/>
  <c r="J42" i="50"/>
  <c r="K43" i="50"/>
  <c r="J47" i="50"/>
  <c r="K49" i="50"/>
  <c r="J52" i="50"/>
  <c r="K54" i="50"/>
  <c r="J57" i="50"/>
  <c r="K59" i="50"/>
  <c r="J62" i="50"/>
  <c r="K63" i="50"/>
  <c r="J68" i="50"/>
  <c r="K69" i="50"/>
  <c r="J72" i="50"/>
  <c r="I9" i="106"/>
  <c r="I173" i="106" s="1"/>
  <c r="J17" i="50"/>
  <c r="J21" i="50"/>
  <c r="J49" i="50"/>
  <c r="D25" i="44"/>
  <c r="B25" i="44"/>
  <c r="H97" i="106" s="1"/>
  <c r="B24" i="44"/>
  <c r="H96" i="106" s="1"/>
  <c r="B23" i="44"/>
  <c r="H95" i="106" s="1"/>
  <c r="B22" i="44"/>
  <c r="H94" i="106" s="1"/>
  <c r="B21" i="44"/>
  <c r="H93" i="106" s="1"/>
  <c r="B20" i="44"/>
  <c r="H92" i="106" s="1"/>
  <c r="B19" i="44"/>
  <c r="H91" i="106" s="1"/>
  <c r="B18" i="44"/>
  <c r="H90" i="106" s="1"/>
  <c r="B17" i="44"/>
  <c r="H89" i="106" s="1"/>
  <c r="B16" i="44"/>
  <c r="H88" i="106" s="1"/>
  <c r="B10" i="44"/>
  <c r="H74" i="44"/>
  <c r="H159" i="106" s="1"/>
  <c r="H72" i="44"/>
  <c r="H157" i="106" s="1"/>
  <c r="H71" i="44"/>
  <c r="H156" i="106" s="1"/>
  <c r="H70" i="44"/>
  <c r="H155" i="106" s="1"/>
  <c r="H69" i="44"/>
  <c r="H154" i="106" s="1"/>
  <c r="H68" i="44"/>
  <c r="H153" i="106" s="1"/>
  <c r="H66" i="44"/>
  <c r="H151" i="106" s="1"/>
  <c r="H65" i="44"/>
  <c r="H150" i="106" s="1"/>
  <c r="H63" i="44"/>
  <c r="H148" i="106" s="1"/>
  <c r="H62" i="44"/>
  <c r="H147" i="106" s="1"/>
  <c r="H61" i="44"/>
  <c r="H146" i="106" s="1"/>
  <c r="H60" i="44"/>
  <c r="H145" i="106" s="1"/>
  <c r="H59" i="44"/>
  <c r="H144" i="106" s="1"/>
  <c r="H57" i="44"/>
  <c r="H142" i="106" s="1"/>
  <c r="H56" i="44"/>
  <c r="H141" i="106" s="1"/>
  <c r="H55" i="44"/>
  <c r="H140" i="106" s="1"/>
  <c r="H54" i="44"/>
  <c r="H139" i="106" s="1"/>
  <c r="H52" i="44"/>
  <c r="H137" i="106" s="1"/>
  <c r="H51" i="44"/>
  <c r="H136" i="106" s="1"/>
  <c r="H50" i="44"/>
  <c r="H135" i="106" s="1"/>
  <c r="H49" i="44"/>
  <c r="H134" i="106" s="1"/>
  <c r="H47" i="44"/>
  <c r="H132" i="106" s="1"/>
  <c r="H46" i="44"/>
  <c r="H131" i="106" s="1"/>
  <c r="H44" i="44"/>
  <c r="H129" i="106" s="1"/>
  <c r="H43" i="44"/>
  <c r="H128" i="106" s="1"/>
  <c r="H42" i="44"/>
  <c r="H127" i="106" s="1"/>
  <c r="H41" i="44"/>
  <c r="H126" i="106" s="1"/>
  <c r="H40" i="44"/>
  <c r="H125" i="106" s="1"/>
  <c r="H39" i="44"/>
  <c r="H124" i="106" s="1"/>
  <c r="H37" i="44"/>
  <c r="H122" i="106" s="1"/>
  <c r="H36" i="44"/>
  <c r="H121" i="106" s="1"/>
  <c r="H34" i="44"/>
  <c r="H119" i="106" s="1"/>
  <c r="H33" i="44"/>
  <c r="H118" i="106" s="1"/>
  <c r="H32" i="44"/>
  <c r="H117" i="106" s="1"/>
  <c r="H31" i="44"/>
  <c r="H116" i="106" s="1"/>
  <c r="H30" i="44"/>
  <c r="H115" i="106" s="1"/>
  <c r="H29" i="44"/>
  <c r="H114" i="106" s="1"/>
  <c r="H28" i="44"/>
  <c r="H113" i="106" s="1"/>
  <c r="H27" i="44"/>
  <c r="H112" i="106" s="1"/>
  <c r="H26" i="44"/>
  <c r="H111" i="106" s="1"/>
  <c r="H25" i="44"/>
  <c r="H110" i="106" s="1"/>
  <c r="H24" i="44"/>
  <c r="H109" i="106" s="1"/>
  <c r="H23" i="44"/>
  <c r="H108" i="106" s="1"/>
  <c r="H22" i="44"/>
  <c r="H107" i="106" s="1"/>
  <c r="H21" i="44"/>
  <c r="H106" i="106" s="1"/>
  <c r="H20" i="44"/>
  <c r="H105" i="106" s="1"/>
  <c r="H19" i="44"/>
  <c r="H104" i="106" s="1"/>
  <c r="H18" i="44"/>
  <c r="H103" i="106" s="1"/>
  <c r="H17" i="44"/>
  <c r="P3" i="43"/>
  <c r="BX3" i="43" s="1"/>
  <c r="J25" i="106" l="1"/>
  <c r="I75" i="56"/>
  <c r="H102" i="106"/>
  <c r="H75" i="44"/>
  <c r="H182" i="106"/>
  <c r="H171" i="106"/>
  <c r="I170" i="106"/>
  <c r="J175" i="106"/>
  <c r="I184" i="106"/>
  <c r="I165" i="106"/>
  <c r="I182" i="106"/>
  <c r="H168" i="106"/>
  <c r="H179" i="106"/>
  <c r="H172" i="106"/>
  <c r="H183" i="106"/>
  <c r="I181" i="106"/>
  <c r="I169" i="106"/>
  <c r="I176" i="106"/>
  <c r="I171" i="106"/>
  <c r="H98" i="106"/>
  <c r="I174" i="106"/>
  <c r="I180" i="106"/>
  <c r="J164" i="106"/>
  <c r="H177" i="106"/>
  <c r="H166" i="106"/>
  <c r="H185" i="106"/>
  <c r="H174" i="106"/>
  <c r="J21" i="106"/>
  <c r="I185" i="106"/>
  <c r="D23" i="50"/>
  <c r="D19" i="50"/>
  <c r="D17" i="50"/>
  <c r="C26" i="56"/>
  <c r="E19" i="50"/>
  <c r="E17" i="50"/>
  <c r="I33" i="50"/>
  <c r="I41" i="106" s="1"/>
  <c r="E23" i="50"/>
  <c r="D20" i="50"/>
  <c r="E24" i="50"/>
  <c r="E21" i="50"/>
  <c r="D21" i="50"/>
  <c r="I72" i="50"/>
  <c r="I80" i="106" s="1"/>
  <c r="I52" i="50"/>
  <c r="I60" i="106" s="1"/>
  <c r="E20" i="50"/>
  <c r="I32" i="50"/>
  <c r="I40" i="106" s="1"/>
  <c r="I59" i="50"/>
  <c r="I67" i="106" s="1"/>
  <c r="C16" i="50"/>
  <c r="I11" i="106" s="1"/>
  <c r="I25" i="50"/>
  <c r="I33" i="106" s="1"/>
  <c r="C19" i="50"/>
  <c r="I14" i="106" s="1"/>
  <c r="I54" i="50"/>
  <c r="I62" i="106" s="1"/>
  <c r="I68" i="50"/>
  <c r="I76" i="106" s="1"/>
  <c r="I47" i="50"/>
  <c r="I55" i="106" s="1"/>
  <c r="I28" i="50"/>
  <c r="I36" i="106" s="1"/>
  <c r="I61" i="50"/>
  <c r="I69" i="106" s="1"/>
  <c r="I41" i="50"/>
  <c r="I49" i="106" s="1"/>
  <c r="I23" i="50"/>
  <c r="I31" i="106" s="1"/>
  <c r="D18" i="50"/>
  <c r="C25" i="50"/>
  <c r="I20" i="106" s="1"/>
  <c r="I63" i="50"/>
  <c r="I71" i="106" s="1"/>
  <c r="I69" i="50"/>
  <c r="I77" i="106" s="1"/>
  <c r="I70" i="50"/>
  <c r="I78" i="106" s="1"/>
  <c r="I55" i="50"/>
  <c r="I63" i="106" s="1"/>
  <c r="I40" i="50"/>
  <c r="I48" i="106" s="1"/>
  <c r="I26" i="50"/>
  <c r="I34" i="106" s="1"/>
  <c r="I65" i="50"/>
  <c r="I73" i="106" s="1"/>
  <c r="I44" i="50"/>
  <c r="I52" i="106" s="1"/>
  <c r="I30" i="50"/>
  <c r="I38" i="106" s="1"/>
  <c r="I22" i="50"/>
  <c r="I30" i="106" s="1"/>
  <c r="I60" i="50"/>
  <c r="I68" i="106" s="1"/>
  <c r="I50" i="50"/>
  <c r="I58" i="106" s="1"/>
  <c r="I34" i="50"/>
  <c r="I42" i="106" s="1"/>
  <c r="I18" i="50"/>
  <c r="I26" i="106" s="1"/>
  <c r="E16" i="50"/>
  <c r="I66" i="50"/>
  <c r="I74" i="106" s="1"/>
  <c r="I46" i="50"/>
  <c r="I54" i="106" s="1"/>
  <c r="I27" i="50"/>
  <c r="I35" i="106" s="1"/>
  <c r="C22" i="50"/>
  <c r="I17" i="106" s="1"/>
  <c r="I62" i="50"/>
  <c r="I70" i="106" s="1"/>
  <c r="I42" i="50"/>
  <c r="I50" i="106" s="1"/>
  <c r="I24" i="50"/>
  <c r="I32" i="106" s="1"/>
  <c r="E22" i="50"/>
  <c r="E18" i="50"/>
  <c r="I56" i="50"/>
  <c r="I64" i="106" s="1"/>
  <c r="I36" i="50"/>
  <c r="I44" i="106" s="1"/>
  <c r="I19" i="50"/>
  <c r="I27" i="106" s="1"/>
  <c r="C21" i="50"/>
  <c r="I16" i="106" s="1"/>
  <c r="I39" i="50"/>
  <c r="I47" i="106" s="1"/>
  <c r="C24" i="50"/>
  <c r="I19" i="106" s="1"/>
  <c r="I49" i="50"/>
  <c r="I57" i="106" s="1"/>
  <c r="D16" i="50"/>
  <c r="I57" i="50"/>
  <c r="I65" i="106" s="1"/>
  <c r="I37" i="50"/>
  <c r="I45" i="106" s="1"/>
  <c r="I20" i="50"/>
  <c r="I28" i="106" s="1"/>
  <c r="D24" i="50"/>
  <c r="I71" i="50"/>
  <c r="I79" i="106" s="1"/>
  <c r="I51" i="50"/>
  <c r="I59" i="106" s="1"/>
  <c r="I31" i="50"/>
  <c r="I39" i="106" s="1"/>
  <c r="D22" i="50"/>
  <c r="I17" i="50"/>
  <c r="C17" i="50"/>
  <c r="I12" i="106" s="1"/>
  <c r="I21" i="50"/>
  <c r="I29" i="106" s="1"/>
  <c r="C20" i="50"/>
  <c r="I15" i="106" s="1"/>
  <c r="I43" i="50"/>
  <c r="I51" i="106" s="1"/>
  <c r="C23" i="50"/>
  <c r="I18" i="106" s="1"/>
  <c r="I29" i="50"/>
  <c r="I37" i="106" s="1"/>
  <c r="C18" i="50"/>
  <c r="I13" i="106" s="1"/>
  <c r="K20" i="44"/>
  <c r="K28" i="44"/>
  <c r="K32" i="44"/>
  <c r="K37" i="44"/>
  <c r="K47" i="44"/>
  <c r="K52" i="44"/>
  <c r="K57" i="44"/>
  <c r="K62" i="44"/>
  <c r="K68" i="44"/>
  <c r="J17" i="44"/>
  <c r="J21" i="44"/>
  <c r="J25" i="44"/>
  <c r="J29" i="44"/>
  <c r="J33" i="44"/>
  <c r="J39" i="44"/>
  <c r="J43" i="44"/>
  <c r="J54" i="44"/>
  <c r="J59" i="44"/>
  <c r="J63" i="44"/>
  <c r="J69" i="44"/>
  <c r="K24" i="44"/>
  <c r="K18" i="44"/>
  <c r="K22" i="44"/>
  <c r="K26" i="44"/>
  <c r="K30" i="44"/>
  <c r="K34" i="44"/>
  <c r="K40" i="44"/>
  <c r="K44" i="44"/>
  <c r="K50" i="44"/>
  <c r="K55" i="44"/>
  <c r="K60" i="44"/>
  <c r="K65" i="44"/>
  <c r="K70" i="44"/>
  <c r="J19" i="44"/>
  <c r="J23" i="44"/>
  <c r="J27" i="44"/>
  <c r="J31" i="44"/>
  <c r="J36" i="44"/>
  <c r="J41" i="44"/>
  <c r="J46" i="44"/>
  <c r="J51" i="44"/>
  <c r="J56" i="44"/>
  <c r="J61" i="44"/>
  <c r="J66" i="44"/>
  <c r="J71" i="44"/>
  <c r="K42" i="44"/>
  <c r="K72" i="44"/>
  <c r="J49" i="44"/>
  <c r="K33" i="44"/>
  <c r="K21" i="44"/>
  <c r="K39" i="44"/>
  <c r="K25" i="44"/>
  <c r="K43" i="44"/>
  <c r="K29" i="44"/>
  <c r="K49" i="44"/>
  <c r="K54" i="44"/>
  <c r="K59" i="44"/>
  <c r="K63" i="44"/>
  <c r="K69" i="44"/>
  <c r="J22" i="44"/>
  <c r="J30" i="44"/>
  <c r="J40" i="44"/>
  <c r="J50" i="44"/>
  <c r="J60" i="44"/>
  <c r="J65" i="44"/>
  <c r="J70" i="44"/>
  <c r="I74" i="44"/>
  <c r="H82" i="106" s="1"/>
  <c r="J18" i="44"/>
  <c r="J26" i="44"/>
  <c r="J34" i="44"/>
  <c r="J44" i="44"/>
  <c r="J55" i="44"/>
  <c r="K74" i="44"/>
  <c r="E25" i="44" s="1"/>
  <c r="I3" i="43"/>
  <c r="M3" i="43"/>
  <c r="T3" i="43"/>
  <c r="X3" i="43"/>
  <c r="AB3" i="43"/>
  <c r="AF3" i="43"/>
  <c r="AJ3" i="43"/>
  <c r="AP3" i="43"/>
  <c r="AT3" i="43"/>
  <c r="AZ3" i="43"/>
  <c r="BE3" i="43"/>
  <c r="BJ3" i="43"/>
  <c r="BO3" i="43"/>
  <c r="BT3" i="43"/>
  <c r="K19" i="44"/>
  <c r="K23" i="44"/>
  <c r="K27" i="44"/>
  <c r="K31" i="44"/>
  <c r="K36" i="44"/>
  <c r="K41" i="44"/>
  <c r="K46" i="44"/>
  <c r="K51" i="44"/>
  <c r="K56" i="44"/>
  <c r="K61" i="44"/>
  <c r="K66" i="44"/>
  <c r="K71" i="44"/>
  <c r="F3" i="43"/>
  <c r="U3" i="43"/>
  <c r="AC3" i="43"/>
  <c r="AQ3" i="43"/>
  <c r="BA3" i="43"/>
  <c r="BK3" i="43"/>
  <c r="BU3" i="43"/>
  <c r="B26" i="44"/>
  <c r="H8" i="106" s="1"/>
  <c r="N3" i="43"/>
  <c r="AL3" i="43"/>
  <c r="Z3" i="43"/>
  <c r="J24" i="44"/>
  <c r="J28" i="44"/>
  <c r="J32" i="44"/>
  <c r="J37" i="44"/>
  <c r="J42" i="44"/>
  <c r="J47" i="44"/>
  <c r="J52" i="44"/>
  <c r="J57" i="44"/>
  <c r="J62" i="44"/>
  <c r="J68" i="44"/>
  <c r="J72" i="44"/>
  <c r="H9" i="106"/>
  <c r="H178" i="106" s="1"/>
  <c r="J3" i="43"/>
  <c r="Y3" i="43"/>
  <c r="AG3" i="43"/>
  <c r="AV3" i="43"/>
  <c r="BF3" i="43"/>
  <c r="BP3" i="43"/>
  <c r="G3" i="43"/>
  <c r="K3" i="43"/>
  <c r="O3" i="43"/>
  <c r="V3" i="43"/>
  <c r="AD3" i="43"/>
  <c r="AH3" i="43"/>
  <c r="AM3" i="43"/>
  <c r="AR3" i="43"/>
  <c r="AW3" i="43"/>
  <c r="BB3" i="43"/>
  <c r="BG3" i="43"/>
  <c r="BL3" i="43"/>
  <c r="BR3" i="43"/>
  <c r="BV3" i="43"/>
  <c r="K17" i="44"/>
  <c r="J20" i="44"/>
  <c r="H3" i="43"/>
  <c r="L3" i="43"/>
  <c r="S3" i="43"/>
  <c r="W3" i="43"/>
  <c r="AA3" i="43"/>
  <c r="AE3" i="43"/>
  <c r="AI3" i="43"/>
  <c r="AO3" i="43"/>
  <c r="AS3" i="43"/>
  <c r="AY3" i="43"/>
  <c r="BD3" i="43"/>
  <c r="BI3" i="43"/>
  <c r="BM3" i="43"/>
  <c r="BS3" i="43"/>
  <c r="D25" i="38"/>
  <c r="B25" i="38"/>
  <c r="G97" i="106" s="1"/>
  <c r="B24" i="38"/>
  <c r="G96" i="106" s="1"/>
  <c r="B23" i="38"/>
  <c r="G95" i="106" s="1"/>
  <c r="B22" i="38"/>
  <c r="G94" i="106" s="1"/>
  <c r="B21" i="38"/>
  <c r="G93" i="106" s="1"/>
  <c r="B20" i="38"/>
  <c r="G92" i="106" s="1"/>
  <c r="B19" i="38"/>
  <c r="G91" i="106" s="1"/>
  <c r="B18" i="38"/>
  <c r="G90" i="106" s="1"/>
  <c r="B17" i="38"/>
  <c r="G89" i="106" s="1"/>
  <c r="B16" i="38"/>
  <c r="G88" i="106" s="1"/>
  <c r="B10" i="38"/>
  <c r="H74" i="38"/>
  <c r="G159" i="106" s="1"/>
  <c r="H72" i="38"/>
  <c r="G157" i="106" s="1"/>
  <c r="H71" i="38"/>
  <c r="G156" i="106" s="1"/>
  <c r="H70" i="38"/>
  <c r="G155" i="106" s="1"/>
  <c r="H69" i="38"/>
  <c r="G154" i="106" s="1"/>
  <c r="H68" i="38"/>
  <c r="G153" i="106" s="1"/>
  <c r="H66" i="38"/>
  <c r="G151" i="106" s="1"/>
  <c r="H65" i="38"/>
  <c r="G150" i="106" s="1"/>
  <c r="H63" i="38"/>
  <c r="G148" i="106" s="1"/>
  <c r="H62" i="38"/>
  <c r="G147" i="106" s="1"/>
  <c r="H61" i="38"/>
  <c r="G146" i="106" s="1"/>
  <c r="H60" i="38"/>
  <c r="G145" i="106" s="1"/>
  <c r="H59" i="38"/>
  <c r="G144" i="106" s="1"/>
  <c r="H57" i="38"/>
  <c r="G142" i="106" s="1"/>
  <c r="H56" i="38"/>
  <c r="G141" i="106" s="1"/>
  <c r="H55" i="38"/>
  <c r="G140" i="106" s="1"/>
  <c r="H54" i="38"/>
  <c r="G139" i="106" s="1"/>
  <c r="H52" i="38"/>
  <c r="G137" i="106" s="1"/>
  <c r="H51" i="38"/>
  <c r="G136" i="106" s="1"/>
  <c r="H50" i="38"/>
  <c r="G135" i="106" s="1"/>
  <c r="H49" i="38"/>
  <c r="G134" i="106" s="1"/>
  <c r="H47" i="38"/>
  <c r="G132" i="106" s="1"/>
  <c r="H46" i="38"/>
  <c r="G131" i="106" s="1"/>
  <c r="H44" i="38"/>
  <c r="G129" i="106" s="1"/>
  <c r="H43" i="38"/>
  <c r="G128" i="106" s="1"/>
  <c r="H42" i="38"/>
  <c r="G127" i="106" s="1"/>
  <c r="H41" i="38"/>
  <c r="G126" i="106" s="1"/>
  <c r="H40" i="38"/>
  <c r="G125" i="106" s="1"/>
  <c r="H39" i="38"/>
  <c r="G124" i="106" s="1"/>
  <c r="H37" i="38"/>
  <c r="G122" i="106" s="1"/>
  <c r="H36" i="38"/>
  <c r="G121" i="106" s="1"/>
  <c r="H34" i="38"/>
  <c r="G119" i="106" s="1"/>
  <c r="H33" i="38"/>
  <c r="G118" i="106" s="1"/>
  <c r="H32" i="38"/>
  <c r="G117" i="106" s="1"/>
  <c r="H31" i="38"/>
  <c r="G116" i="106" s="1"/>
  <c r="H30" i="38"/>
  <c r="G115" i="106" s="1"/>
  <c r="H29" i="38"/>
  <c r="G114" i="106" s="1"/>
  <c r="H28" i="38"/>
  <c r="G113" i="106" s="1"/>
  <c r="H27" i="38"/>
  <c r="G112" i="106" s="1"/>
  <c r="H26" i="38"/>
  <c r="G111" i="106" s="1"/>
  <c r="H25" i="38"/>
  <c r="G110" i="106" s="1"/>
  <c r="H24" i="38"/>
  <c r="G109" i="106" s="1"/>
  <c r="H23" i="38"/>
  <c r="G108" i="106" s="1"/>
  <c r="H22" i="38"/>
  <c r="G107" i="106" s="1"/>
  <c r="H21" i="38"/>
  <c r="G106" i="106" s="1"/>
  <c r="H20" i="38"/>
  <c r="G105" i="106" s="1"/>
  <c r="H19" i="38"/>
  <c r="G104" i="106" s="1"/>
  <c r="H18" i="38"/>
  <c r="G103" i="106" s="1"/>
  <c r="H17" i="38"/>
  <c r="P3" i="37"/>
  <c r="BX3" i="37" s="1"/>
  <c r="I25" i="106" l="1"/>
  <c r="I75" i="50"/>
  <c r="G102" i="106"/>
  <c r="H75" i="38"/>
  <c r="H173" i="106"/>
  <c r="I175" i="106"/>
  <c r="I164" i="106"/>
  <c r="G179" i="106"/>
  <c r="G168" i="106"/>
  <c r="G183" i="106"/>
  <c r="G172" i="106"/>
  <c r="H170" i="106"/>
  <c r="H184" i="106"/>
  <c r="H165" i="106"/>
  <c r="G98" i="106"/>
  <c r="I21" i="106"/>
  <c r="H181" i="106"/>
  <c r="H169" i="106"/>
  <c r="H176" i="106"/>
  <c r="H167" i="106"/>
  <c r="G177" i="106"/>
  <c r="G166" i="106"/>
  <c r="G181" i="106"/>
  <c r="G170" i="106"/>
  <c r="H180" i="106"/>
  <c r="D23" i="44"/>
  <c r="D19" i="44"/>
  <c r="D17" i="44"/>
  <c r="E23" i="44"/>
  <c r="E19" i="44"/>
  <c r="C26" i="50"/>
  <c r="E17" i="44"/>
  <c r="I22" i="44"/>
  <c r="H30" i="106" s="1"/>
  <c r="D22" i="44"/>
  <c r="E22" i="44"/>
  <c r="D18" i="44"/>
  <c r="E24" i="44"/>
  <c r="E20" i="44"/>
  <c r="D20" i="44"/>
  <c r="E18" i="44"/>
  <c r="D21" i="44"/>
  <c r="D16" i="44"/>
  <c r="E21" i="44"/>
  <c r="I32" i="44"/>
  <c r="H40" i="106" s="1"/>
  <c r="I72" i="44"/>
  <c r="H80" i="106" s="1"/>
  <c r="I52" i="44"/>
  <c r="H60" i="106" s="1"/>
  <c r="C25" i="44"/>
  <c r="H20" i="106" s="1"/>
  <c r="I43" i="44"/>
  <c r="H51" i="106" s="1"/>
  <c r="I18" i="44"/>
  <c r="H26" i="106" s="1"/>
  <c r="I68" i="44"/>
  <c r="H76" i="106" s="1"/>
  <c r="I28" i="44"/>
  <c r="H36" i="106" s="1"/>
  <c r="I61" i="44"/>
  <c r="H69" i="106" s="1"/>
  <c r="I49" i="44"/>
  <c r="H57" i="106" s="1"/>
  <c r="I70" i="44"/>
  <c r="H78" i="106" s="1"/>
  <c r="I41" i="44"/>
  <c r="H49" i="106" s="1"/>
  <c r="C22" i="44"/>
  <c r="H17" i="106" s="1"/>
  <c r="I69" i="44"/>
  <c r="H77" i="106" s="1"/>
  <c r="I55" i="44"/>
  <c r="H63" i="106" s="1"/>
  <c r="I47" i="44"/>
  <c r="H55" i="106" s="1"/>
  <c r="I23" i="44"/>
  <c r="H31" i="106" s="1"/>
  <c r="I34" i="44"/>
  <c r="H42" i="106" s="1"/>
  <c r="I62" i="44"/>
  <c r="H70" i="106" s="1"/>
  <c r="I42" i="44"/>
  <c r="H50" i="106" s="1"/>
  <c r="I24" i="44"/>
  <c r="H32" i="106" s="1"/>
  <c r="D24" i="44"/>
  <c r="I56" i="44"/>
  <c r="H64" i="106" s="1"/>
  <c r="I36" i="44"/>
  <c r="H44" i="106" s="1"/>
  <c r="I19" i="44"/>
  <c r="H27" i="106" s="1"/>
  <c r="C18" i="44"/>
  <c r="H13" i="106" s="1"/>
  <c r="C21" i="44"/>
  <c r="H16" i="106" s="1"/>
  <c r="I39" i="44"/>
  <c r="H47" i="106" s="1"/>
  <c r="I29" i="44"/>
  <c r="H37" i="106" s="1"/>
  <c r="C24" i="44"/>
  <c r="H19" i="106" s="1"/>
  <c r="I50" i="44"/>
  <c r="H58" i="106" s="1"/>
  <c r="I30" i="44"/>
  <c r="H38" i="106" s="1"/>
  <c r="C23" i="44"/>
  <c r="H18" i="106" s="1"/>
  <c r="E16" i="44"/>
  <c r="I57" i="44"/>
  <c r="H65" i="106" s="1"/>
  <c r="I37" i="44"/>
  <c r="H45" i="106" s="1"/>
  <c r="I20" i="44"/>
  <c r="H28" i="106" s="1"/>
  <c r="I71" i="44"/>
  <c r="H79" i="106" s="1"/>
  <c r="I51" i="44"/>
  <c r="H59" i="106" s="1"/>
  <c r="I31" i="44"/>
  <c r="H39" i="106" s="1"/>
  <c r="C17" i="44"/>
  <c r="H12" i="106" s="1"/>
  <c r="I33" i="44"/>
  <c r="H41" i="106" s="1"/>
  <c r="I63" i="44"/>
  <c r="H71" i="106" s="1"/>
  <c r="I21" i="44"/>
  <c r="H29" i="106" s="1"/>
  <c r="C20" i="44"/>
  <c r="H15" i="106" s="1"/>
  <c r="I65" i="44"/>
  <c r="H73" i="106" s="1"/>
  <c r="I44" i="44"/>
  <c r="H52" i="106" s="1"/>
  <c r="I26" i="44"/>
  <c r="H34" i="106" s="1"/>
  <c r="C19" i="44"/>
  <c r="H14" i="106" s="1"/>
  <c r="I66" i="44"/>
  <c r="H74" i="106" s="1"/>
  <c r="I46" i="44"/>
  <c r="H54" i="106" s="1"/>
  <c r="I27" i="44"/>
  <c r="H35" i="106" s="1"/>
  <c r="I17" i="44"/>
  <c r="I54" i="44"/>
  <c r="H62" i="106" s="1"/>
  <c r="I25" i="44"/>
  <c r="H33" i="106" s="1"/>
  <c r="I59" i="44"/>
  <c r="H67" i="106" s="1"/>
  <c r="C16" i="44"/>
  <c r="H11" i="106" s="1"/>
  <c r="I60" i="44"/>
  <c r="H68" i="106" s="1"/>
  <c r="I40" i="44"/>
  <c r="H48" i="106" s="1"/>
  <c r="K24" i="38"/>
  <c r="K28" i="38"/>
  <c r="K32" i="38"/>
  <c r="K37" i="38"/>
  <c r="K47" i="38"/>
  <c r="K52" i="38"/>
  <c r="K57" i="38"/>
  <c r="K62" i="38"/>
  <c r="K68" i="38"/>
  <c r="J17" i="38"/>
  <c r="J21" i="38"/>
  <c r="J25" i="38"/>
  <c r="J29" i="38"/>
  <c r="J33" i="38"/>
  <c r="J39" i="38"/>
  <c r="J43" i="38"/>
  <c r="J54" i="38"/>
  <c r="J59" i="38"/>
  <c r="J63" i="38"/>
  <c r="J69" i="38"/>
  <c r="K20" i="38"/>
  <c r="K18" i="38"/>
  <c r="K22" i="38"/>
  <c r="K26" i="38"/>
  <c r="K30" i="38"/>
  <c r="K34" i="38"/>
  <c r="K40" i="38"/>
  <c r="K44" i="38"/>
  <c r="K50" i="38"/>
  <c r="K55" i="38"/>
  <c r="K60" i="38"/>
  <c r="K65" i="38"/>
  <c r="J70" i="38"/>
  <c r="J19" i="38"/>
  <c r="J23" i="38"/>
  <c r="J27" i="38"/>
  <c r="J31" i="38"/>
  <c r="J36" i="38"/>
  <c r="J41" i="38"/>
  <c r="J46" i="38"/>
  <c r="J51" i="38"/>
  <c r="J56" i="38"/>
  <c r="J66" i="38"/>
  <c r="J71" i="38"/>
  <c r="J61" i="38"/>
  <c r="K42" i="38"/>
  <c r="K72" i="38"/>
  <c r="J49" i="38"/>
  <c r="J22" i="38"/>
  <c r="J30" i="38"/>
  <c r="J40" i="38"/>
  <c r="J50" i="38"/>
  <c r="J60" i="38"/>
  <c r="K70" i="38"/>
  <c r="J18" i="38"/>
  <c r="J26" i="38"/>
  <c r="J34" i="38"/>
  <c r="J44" i="38"/>
  <c r="J55" i="38"/>
  <c r="J65" i="38"/>
  <c r="K19" i="38"/>
  <c r="K23" i="38"/>
  <c r="K27" i="38"/>
  <c r="K31" i="38"/>
  <c r="K36" i="38"/>
  <c r="K41" i="38"/>
  <c r="K46" i="38"/>
  <c r="K51" i="38"/>
  <c r="K56" i="38"/>
  <c r="K61" i="38"/>
  <c r="K66" i="38"/>
  <c r="K71" i="38"/>
  <c r="I74" i="38"/>
  <c r="G82" i="106" s="1"/>
  <c r="K74" i="38"/>
  <c r="E25" i="38" s="1"/>
  <c r="M3" i="37"/>
  <c r="T3" i="37"/>
  <c r="X3" i="37"/>
  <c r="AB3" i="37"/>
  <c r="AF3" i="37"/>
  <c r="AJ3" i="37"/>
  <c r="AP3" i="37"/>
  <c r="AT3" i="37"/>
  <c r="AZ3" i="37"/>
  <c r="BE3" i="37"/>
  <c r="BJ3" i="37"/>
  <c r="BO3" i="37"/>
  <c r="BT3" i="37"/>
  <c r="N3" i="37"/>
  <c r="AG3" i="37"/>
  <c r="AL3" i="37"/>
  <c r="BA3" i="37"/>
  <c r="BF3" i="37"/>
  <c r="BP3" i="37"/>
  <c r="BU3" i="37"/>
  <c r="B26" i="38"/>
  <c r="G8" i="106" s="1"/>
  <c r="I3" i="37"/>
  <c r="J3" i="37"/>
  <c r="Y3" i="37"/>
  <c r="AV3" i="37"/>
  <c r="O3" i="37"/>
  <c r="AD3" i="37"/>
  <c r="AR3" i="37"/>
  <c r="J20" i="38"/>
  <c r="K21" i="38"/>
  <c r="J24" i="38"/>
  <c r="K25" i="38"/>
  <c r="J28" i="38"/>
  <c r="K29" i="38"/>
  <c r="J32" i="38"/>
  <c r="K33" i="38"/>
  <c r="J37" i="38"/>
  <c r="K39" i="38"/>
  <c r="J42" i="38"/>
  <c r="K43" i="38"/>
  <c r="J47" i="38"/>
  <c r="K49" i="38"/>
  <c r="J52" i="38"/>
  <c r="K54" i="38"/>
  <c r="J57" i="38"/>
  <c r="K59" i="38"/>
  <c r="J62" i="38"/>
  <c r="K63" i="38"/>
  <c r="J68" i="38"/>
  <c r="K69" i="38"/>
  <c r="J72" i="38"/>
  <c r="G9" i="106"/>
  <c r="G178" i="106" s="1"/>
  <c r="F3" i="37"/>
  <c r="U3" i="37"/>
  <c r="AC3" i="37"/>
  <c r="AQ3" i="37"/>
  <c r="BK3" i="37"/>
  <c r="G3" i="37"/>
  <c r="K3" i="37"/>
  <c r="V3" i="37"/>
  <c r="Z3" i="37"/>
  <c r="AH3" i="37"/>
  <c r="AM3" i="37"/>
  <c r="AW3" i="37"/>
  <c r="BB3" i="37"/>
  <c r="BG3" i="37"/>
  <c r="BL3" i="37"/>
  <c r="BR3" i="37"/>
  <c r="BV3" i="37"/>
  <c r="K17" i="38"/>
  <c r="H3" i="37"/>
  <c r="L3" i="37"/>
  <c r="S3" i="37"/>
  <c r="W3" i="37"/>
  <c r="AA3" i="37"/>
  <c r="AE3" i="37"/>
  <c r="AI3" i="37"/>
  <c r="AO3" i="37"/>
  <c r="AS3" i="37"/>
  <c r="AY3" i="37"/>
  <c r="BD3" i="37"/>
  <c r="BI3" i="37"/>
  <c r="BM3" i="37"/>
  <c r="BS3" i="37"/>
  <c r="D25" i="32"/>
  <c r="B25" i="32"/>
  <c r="F97" i="106" s="1"/>
  <c r="B24" i="32"/>
  <c r="F96" i="106" s="1"/>
  <c r="B23" i="32"/>
  <c r="F95" i="106" s="1"/>
  <c r="B22" i="32"/>
  <c r="F94" i="106" s="1"/>
  <c r="B21" i="32"/>
  <c r="F93" i="106" s="1"/>
  <c r="B20" i="32"/>
  <c r="F92" i="106" s="1"/>
  <c r="B19" i="32"/>
  <c r="F91" i="106" s="1"/>
  <c r="B18" i="32"/>
  <c r="F90" i="106" s="1"/>
  <c r="B17" i="32"/>
  <c r="F89" i="106" s="1"/>
  <c r="B16" i="32"/>
  <c r="F88" i="106" s="1"/>
  <c r="B10" i="32"/>
  <c r="H74" i="32"/>
  <c r="F159" i="106" s="1"/>
  <c r="H72" i="32"/>
  <c r="F157" i="106" s="1"/>
  <c r="H71" i="32"/>
  <c r="F156" i="106" s="1"/>
  <c r="H70" i="32"/>
  <c r="F155" i="106" s="1"/>
  <c r="H69" i="32"/>
  <c r="F154" i="106" s="1"/>
  <c r="H68" i="32"/>
  <c r="F153" i="106" s="1"/>
  <c r="H66" i="32"/>
  <c r="F151" i="106" s="1"/>
  <c r="H65" i="32"/>
  <c r="F150" i="106" s="1"/>
  <c r="H63" i="32"/>
  <c r="F148" i="106" s="1"/>
  <c r="H62" i="32"/>
  <c r="F147" i="106" s="1"/>
  <c r="H61" i="32"/>
  <c r="F146" i="106" s="1"/>
  <c r="H60" i="32"/>
  <c r="F145" i="106" s="1"/>
  <c r="H59" i="32"/>
  <c r="F144" i="106" s="1"/>
  <c r="H57" i="32"/>
  <c r="F142" i="106" s="1"/>
  <c r="H56" i="32"/>
  <c r="F141" i="106" s="1"/>
  <c r="H55" i="32"/>
  <c r="F140" i="106" s="1"/>
  <c r="H54" i="32"/>
  <c r="F139" i="106" s="1"/>
  <c r="H52" i="32"/>
  <c r="F137" i="106" s="1"/>
  <c r="H51" i="32"/>
  <c r="F136" i="106" s="1"/>
  <c r="H50" i="32"/>
  <c r="F135" i="106" s="1"/>
  <c r="H49" i="32"/>
  <c r="F134" i="106" s="1"/>
  <c r="H47" i="32"/>
  <c r="F132" i="106" s="1"/>
  <c r="H46" i="32"/>
  <c r="F131" i="106" s="1"/>
  <c r="H44" i="32"/>
  <c r="F129" i="106" s="1"/>
  <c r="H43" i="32"/>
  <c r="F128" i="106" s="1"/>
  <c r="H42" i="32"/>
  <c r="F127" i="106" s="1"/>
  <c r="H41" i="32"/>
  <c r="F126" i="106" s="1"/>
  <c r="H40" i="32"/>
  <c r="F125" i="106" s="1"/>
  <c r="H39" i="32"/>
  <c r="F124" i="106" s="1"/>
  <c r="H37" i="32"/>
  <c r="F122" i="106" s="1"/>
  <c r="H36" i="32"/>
  <c r="F121" i="106" s="1"/>
  <c r="H34" i="32"/>
  <c r="F119" i="106" s="1"/>
  <c r="H33" i="32"/>
  <c r="F118" i="106" s="1"/>
  <c r="H32" i="32"/>
  <c r="F117" i="106" s="1"/>
  <c r="H31" i="32"/>
  <c r="F116" i="106" s="1"/>
  <c r="H30" i="32"/>
  <c r="F115" i="106" s="1"/>
  <c r="H29" i="32"/>
  <c r="F114" i="106" s="1"/>
  <c r="H28" i="32"/>
  <c r="F113" i="106" s="1"/>
  <c r="H27" i="32"/>
  <c r="F112" i="106" s="1"/>
  <c r="H26" i="32"/>
  <c r="F111" i="106" s="1"/>
  <c r="H25" i="32"/>
  <c r="F110" i="106" s="1"/>
  <c r="H24" i="32"/>
  <c r="F109" i="106" s="1"/>
  <c r="H23" i="32"/>
  <c r="F108" i="106" s="1"/>
  <c r="H22" i="32"/>
  <c r="F107" i="106" s="1"/>
  <c r="H21" i="32"/>
  <c r="F106" i="106" s="1"/>
  <c r="H20" i="32"/>
  <c r="F105" i="106" s="1"/>
  <c r="H19" i="32"/>
  <c r="F104" i="106" s="1"/>
  <c r="H18" i="32"/>
  <c r="F103" i="106" s="1"/>
  <c r="H17" i="32"/>
  <c r="P3" i="31"/>
  <c r="BX3" i="31" s="1"/>
  <c r="H25" i="106" l="1"/>
  <c r="I75" i="44"/>
  <c r="F102" i="106"/>
  <c r="H75" i="32"/>
  <c r="F9" i="106" s="1"/>
  <c r="F176" i="106" s="1"/>
  <c r="H21" i="106"/>
  <c r="F98" i="106"/>
  <c r="G174" i="106"/>
  <c r="G173" i="106"/>
  <c r="G176" i="106"/>
  <c r="G171" i="106"/>
  <c r="F166" i="106"/>
  <c r="F177" i="106"/>
  <c r="G185" i="106"/>
  <c r="G180" i="106"/>
  <c r="G165" i="106"/>
  <c r="G182" i="106"/>
  <c r="F182" i="106"/>
  <c r="F171" i="106"/>
  <c r="G169" i="106"/>
  <c r="H164" i="106"/>
  <c r="G167" i="106"/>
  <c r="F179" i="106"/>
  <c r="F168" i="106"/>
  <c r="F183" i="106"/>
  <c r="F172" i="106"/>
  <c r="H175" i="106"/>
  <c r="G184" i="106"/>
  <c r="D23" i="38"/>
  <c r="D19" i="38"/>
  <c r="D17" i="38"/>
  <c r="E23" i="38"/>
  <c r="E17" i="38"/>
  <c r="D22" i="38"/>
  <c r="C26" i="44"/>
  <c r="E19" i="38"/>
  <c r="I17" i="38"/>
  <c r="D18" i="38"/>
  <c r="E21" i="38"/>
  <c r="E22" i="38"/>
  <c r="E18" i="38"/>
  <c r="D20" i="38"/>
  <c r="E16" i="38"/>
  <c r="E24" i="38"/>
  <c r="E20" i="38"/>
  <c r="I72" i="38"/>
  <c r="G80" i="106" s="1"/>
  <c r="I52" i="38"/>
  <c r="G60" i="106" s="1"/>
  <c r="I62" i="38"/>
  <c r="G70" i="106" s="1"/>
  <c r="I24" i="38"/>
  <c r="G32" i="106" s="1"/>
  <c r="D21" i="38"/>
  <c r="I42" i="38"/>
  <c r="G50" i="106" s="1"/>
  <c r="I32" i="38"/>
  <c r="G40" i="106" s="1"/>
  <c r="D16" i="38"/>
  <c r="I66" i="38"/>
  <c r="G74" i="106" s="1"/>
  <c r="I46" i="38"/>
  <c r="G54" i="106" s="1"/>
  <c r="I27" i="38"/>
  <c r="G35" i="106" s="1"/>
  <c r="C22" i="38"/>
  <c r="G17" i="106" s="1"/>
  <c r="C25" i="38"/>
  <c r="G20" i="106" s="1"/>
  <c r="I63" i="38"/>
  <c r="G71" i="106" s="1"/>
  <c r="C24" i="38"/>
  <c r="G19" i="106" s="1"/>
  <c r="C23" i="38"/>
  <c r="G18" i="106" s="1"/>
  <c r="I60" i="38"/>
  <c r="G68" i="106" s="1"/>
  <c r="I44" i="38"/>
  <c r="G52" i="106" s="1"/>
  <c r="I30" i="38"/>
  <c r="G38" i="106" s="1"/>
  <c r="I49" i="38"/>
  <c r="G57" i="106" s="1"/>
  <c r="I68" i="38"/>
  <c r="G76" i="106" s="1"/>
  <c r="I47" i="38"/>
  <c r="G55" i="106" s="1"/>
  <c r="I28" i="38"/>
  <c r="G36" i="106" s="1"/>
  <c r="I61" i="38"/>
  <c r="G69" i="106" s="1"/>
  <c r="I41" i="38"/>
  <c r="G49" i="106" s="1"/>
  <c r="I23" i="38"/>
  <c r="G31" i="106" s="1"/>
  <c r="C18" i="38"/>
  <c r="G13" i="106" s="1"/>
  <c r="I59" i="38"/>
  <c r="G67" i="106" s="1"/>
  <c r="C21" i="38"/>
  <c r="G16" i="106" s="1"/>
  <c r="I54" i="38"/>
  <c r="G62" i="106" s="1"/>
  <c r="C20" i="38"/>
  <c r="G15" i="106" s="1"/>
  <c r="C19" i="38"/>
  <c r="G14" i="106" s="1"/>
  <c r="I55" i="38"/>
  <c r="G63" i="106" s="1"/>
  <c r="I40" i="38"/>
  <c r="G48" i="106" s="1"/>
  <c r="I26" i="38"/>
  <c r="G34" i="106" s="1"/>
  <c r="I33" i="38"/>
  <c r="G41" i="106" s="1"/>
  <c r="I56" i="38"/>
  <c r="G64" i="106" s="1"/>
  <c r="I36" i="38"/>
  <c r="G44" i="106" s="1"/>
  <c r="I19" i="38"/>
  <c r="G27" i="106" s="1"/>
  <c r="I43" i="38"/>
  <c r="G51" i="106" s="1"/>
  <c r="C17" i="38"/>
  <c r="G12" i="106" s="1"/>
  <c r="I39" i="38"/>
  <c r="G47" i="106" s="1"/>
  <c r="C16" i="38"/>
  <c r="G11" i="106" s="1"/>
  <c r="I70" i="38"/>
  <c r="G78" i="106" s="1"/>
  <c r="I50" i="38"/>
  <c r="G58" i="106" s="1"/>
  <c r="I22" i="38"/>
  <c r="G30" i="106" s="1"/>
  <c r="I29" i="38"/>
  <c r="G37" i="106" s="1"/>
  <c r="I57" i="38"/>
  <c r="G65" i="106" s="1"/>
  <c r="I37" i="38"/>
  <c r="G45" i="106" s="1"/>
  <c r="I20" i="38"/>
  <c r="G28" i="106" s="1"/>
  <c r="D24" i="38"/>
  <c r="I71" i="38"/>
  <c r="G79" i="106" s="1"/>
  <c r="I51" i="38"/>
  <c r="G59" i="106" s="1"/>
  <c r="I31" i="38"/>
  <c r="G39" i="106" s="1"/>
  <c r="I21" i="38"/>
  <c r="G29" i="106" s="1"/>
  <c r="I69" i="38"/>
  <c r="G77" i="106" s="1"/>
  <c r="I25" i="38"/>
  <c r="G33" i="106" s="1"/>
  <c r="I65" i="38"/>
  <c r="G73" i="106" s="1"/>
  <c r="I34" i="38"/>
  <c r="G42" i="106" s="1"/>
  <c r="I18" i="38"/>
  <c r="G26" i="106" s="1"/>
  <c r="K19" i="32"/>
  <c r="K23" i="32"/>
  <c r="K27" i="32"/>
  <c r="J31" i="32"/>
  <c r="J36" i="32"/>
  <c r="J41" i="32"/>
  <c r="J46" i="32"/>
  <c r="J51" i="32"/>
  <c r="J61" i="32"/>
  <c r="J66" i="32"/>
  <c r="J71" i="32"/>
  <c r="K24" i="32"/>
  <c r="K28" i="32"/>
  <c r="K32" i="32"/>
  <c r="K37" i="32"/>
  <c r="K47" i="32"/>
  <c r="K52" i="32"/>
  <c r="K57" i="32"/>
  <c r="K62" i="32"/>
  <c r="K68" i="32"/>
  <c r="J17" i="32"/>
  <c r="J21" i="32"/>
  <c r="J25" i="32"/>
  <c r="J29" i="32"/>
  <c r="J39" i="32"/>
  <c r="J43" i="32"/>
  <c r="J54" i="32"/>
  <c r="J59" i="32"/>
  <c r="J63" i="32"/>
  <c r="J69" i="32"/>
  <c r="K20" i="32"/>
  <c r="K18" i="32"/>
  <c r="K22" i="32"/>
  <c r="J26" i="32"/>
  <c r="J30" i="32"/>
  <c r="K34" i="32"/>
  <c r="J40" i="32"/>
  <c r="K44" i="32"/>
  <c r="J50" i="32"/>
  <c r="K55" i="32"/>
  <c r="J60" i="32"/>
  <c r="K65" i="32"/>
  <c r="J70" i="32"/>
  <c r="J56" i="32"/>
  <c r="K42" i="32"/>
  <c r="K72" i="32"/>
  <c r="J33" i="32"/>
  <c r="J49" i="32"/>
  <c r="J23" i="32"/>
  <c r="K30" i="32"/>
  <c r="K40" i="32"/>
  <c r="K50" i="32"/>
  <c r="K60" i="32"/>
  <c r="K70" i="32"/>
  <c r="J18" i="32"/>
  <c r="J34" i="32"/>
  <c r="J44" i="32"/>
  <c r="J55" i="32"/>
  <c r="J65" i="32"/>
  <c r="J19" i="32"/>
  <c r="K26" i="32"/>
  <c r="K31" i="32"/>
  <c r="K36" i="32"/>
  <c r="K41" i="32"/>
  <c r="K46" i="32"/>
  <c r="K51" i="32"/>
  <c r="K56" i="32"/>
  <c r="K61" i="32"/>
  <c r="K66" i="32"/>
  <c r="K71" i="32"/>
  <c r="J22" i="32"/>
  <c r="J27" i="32"/>
  <c r="I74" i="32"/>
  <c r="F82" i="106" s="1"/>
  <c r="K74" i="32"/>
  <c r="E25" i="32" s="1"/>
  <c r="I3" i="31"/>
  <c r="M3" i="31"/>
  <c r="T3" i="31"/>
  <c r="X3" i="31"/>
  <c r="AB3" i="31"/>
  <c r="AF3" i="31"/>
  <c r="AJ3" i="31"/>
  <c r="AP3" i="31"/>
  <c r="AT3" i="31"/>
  <c r="AZ3" i="31"/>
  <c r="BE3" i="31"/>
  <c r="BJ3" i="31"/>
  <c r="BO3" i="31"/>
  <c r="BT3" i="31"/>
  <c r="J3" i="31"/>
  <c r="Y3" i="31"/>
  <c r="AG3" i="31"/>
  <c r="AV3" i="31"/>
  <c r="BF3" i="31"/>
  <c r="BU3" i="31"/>
  <c r="B26" i="32"/>
  <c r="F8" i="106" s="1"/>
  <c r="N3" i="31"/>
  <c r="AQ3" i="31"/>
  <c r="G3" i="31"/>
  <c r="K3" i="31"/>
  <c r="O3" i="31"/>
  <c r="V3" i="31"/>
  <c r="Z3" i="31"/>
  <c r="AD3" i="31"/>
  <c r="AH3" i="31"/>
  <c r="AM3" i="31"/>
  <c r="AR3" i="31"/>
  <c r="AW3" i="31"/>
  <c r="BB3" i="31"/>
  <c r="BG3" i="31"/>
  <c r="BL3" i="31"/>
  <c r="BR3" i="31"/>
  <c r="BV3" i="31"/>
  <c r="K17" i="32"/>
  <c r="J20" i="32"/>
  <c r="K21" i="32"/>
  <c r="J24" i="32"/>
  <c r="K25" i="32"/>
  <c r="J28" i="32"/>
  <c r="K29" i="32"/>
  <c r="J32" i="32"/>
  <c r="K33" i="32"/>
  <c r="J37" i="32"/>
  <c r="K39" i="32"/>
  <c r="J42" i="32"/>
  <c r="K43" i="32"/>
  <c r="J47" i="32"/>
  <c r="K49" i="32"/>
  <c r="J52" i="32"/>
  <c r="K54" i="32"/>
  <c r="J57" i="32"/>
  <c r="K59" i="32"/>
  <c r="J62" i="32"/>
  <c r="K63" i="32"/>
  <c r="J68" i="32"/>
  <c r="K69" i="32"/>
  <c r="J72" i="32"/>
  <c r="F3" i="31"/>
  <c r="U3" i="31"/>
  <c r="AC3" i="31"/>
  <c r="AL3" i="31"/>
  <c r="BA3" i="31"/>
  <c r="BK3" i="31"/>
  <c r="BP3" i="31"/>
  <c r="H3" i="31"/>
  <c r="L3" i="31"/>
  <c r="S3" i="31"/>
  <c r="W3" i="31"/>
  <c r="AA3" i="31"/>
  <c r="AE3" i="31"/>
  <c r="AI3" i="31"/>
  <c r="AO3" i="31"/>
  <c r="AS3" i="31"/>
  <c r="AY3" i="31"/>
  <c r="BD3" i="31"/>
  <c r="BI3" i="31"/>
  <c r="BM3" i="31"/>
  <c r="BS3" i="31"/>
  <c r="D25" i="26"/>
  <c r="B25" i="26"/>
  <c r="E97" i="106" s="1"/>
  <c r="B24" i="26"/>
  <c r="E96" i="106" s="1"/>
  <c r="B23" i="26"/>
  <c r="E95" i="106" s="1"/>
  <c r="B22" i="26"/>
  <c r="E94" i="106" s="1"/>
  <c r="B21" i="26"/>
  <c r="E93" i="106" s="1"/>
  <c r="B20" i="26"/>
  <c r="E92" i="106" s="1"/>
  <c r="B19" i="26"/>
  <c r="E91" i="106" s="1"/>
  <c r="B18" i="26"/>
  <c r="E90" i="106" s="1"/>
  <c r="B17" i="26"/>
  <c r="E89" i="106" s="1"/>
  <c r="B16" i="26"/>
  <c r="E88" i="106" s="1"/>
  <c r="B10" i="26"/>
  <c r="H74" i="26"/>
  <c r="E159" i="106" s="1"/>
  <c r="H72" i="26"/>
  <c r="E157" i="106" s="1"/>
  <c r="H71" i="26"/>
  <c r="E156" i="106" s="1"/>
  <c r="H70" i="26"/>
  <c r="E155" i="106" s="1"/>
  <c r="H69" i="26"/>
  <c r="E154" i="106" s="1"/>
  <c r="H68" i="26"/>
  <c r="E153" i="106" s="1"/>
  <c r="H66" i="26"/>
  <c r="E151" i="106" s="1"/>
  <c r="H65" i="26"/>
  <c r="E150" i="106" s="1"/>
  <c r="H63" i="26"/>
  <c r="E148" i="106" s="1"/>
  <c r="H62" i="26"/>
  <c r="E147" i="106" s="1"/>
  <c r="H61" i="26"/>
  <c r="E146" i="106" s="1"/>
  <c r="H60" i="26"/>
  <c r="E145" i="106" s="1"/>
  <c r="H59" i="26"/>
  <c r="E144" i="106" s="1"/>
  <c r="H57" i="26"/>
  <c r="E142" i="106" s="1"/>
  <c r="H56" i="26"/>
  <c r="E141" i="106" s="1"/>
  <c r="H55" i="26"/>
  <c r="E140" i="106" s="1"/>
  <c r="H54" i="26"/>
  <c r="E139" i="106" s="1"/>
  <c r="H52" i="26"/>
  <c r="E137" i="106" s="1"/>
  <c r="H51" i="26"/>
  <c r="E136" i="106" s="1"/>
  <c r="H50" i="26"/>
  <c r="E135" i="106" s="1"/>
  <c r="H49" i="26"/>
  <c r="E134" i="106" s="1"/>
  <c r="H47" i="26"/>
  <c r="E132" i="106" s="1"/>
  <c r="H46" i="26"/>
  <c r="E131" i="106" s="1"/>
  <c r="H44" i="26"/>
  <c r="E129" i="106" s="1"/>
  <c r="H43" i="26"/>
  <c r="E128" i="106" s="1"/>
  <c r="H42" i="26"/>
  <c r="E127" i="106" s="1"/>
  <c r="H41" i="26"/>
  <c r="E126" i="106" s="1"/>
  <c r="H40" i="26"/>
  <c r="E125" i="106" s="1"/>
  <c r="H39" i="26"/>
  <c r="E124" i="106" s="1"/>
  <c r="H37" i="26"/>
  <c r="E122" i="106" s="1"/>
  <c r="H36" i="26"/>
  <c r="E121" i="106" s="1"/>
  <c r="H34" i="26"/>
  <c r="E119" i="106" s="1"/>
  <c r="H33" i="26"/>
  <c r="E118" i="106" s="1"/>
  <c r="H32" i="26"/>
  <c r="E117" i="106" s="1"/>
  <c r="H31" i="26"/>
  <c r="E116" i="106" s="1"/>
  <c r="H30" i="26"/>
  <c r="E115" i="106" s="1"/>
  <c r="H29" i="26"/>
  <c r="E114" i="106" s="1"/>
  <c r="H28" i="26"/>
  <c r="E113" i="106" s="1"/>
  <c r="H27" i="26"/>
  <c r="E112" i="106" s="1"/>
  <c r="H26" i="26"/>
  <c r="E111" i="106" s="1"/>
  <c r="H25" i="26"/>
  <c r="E110" i="106" s="1"/>
  <c r="H24" i="26"/>
  <c r="E109" i="106" s="1"/>
  <c r="H23" i="26"/>
  <c r="E108" i="106" s="1"/>
  <c r="H22" i="26"/>
  <c r="E107" i="106" s="1"/>
  <c r="H21" i="26"/>
  <c r="E106" i="106" s="1"/>
  <c r="H20" i="26"/>
  <c r="E105" i="106" s="1"/>
  <c r="H19" i="26"/>
  <c r="E104" i="106" s="1"/>
  <c r="H18" i="26"/>
  <c r="E103" i="106" s="1"/>
  <c r="H17" i="26"/>
  <c r="P3" i="25"/>
  <c r="BX3" i="25" s="1"/>
  <c r="G25" i="106" l="1"/>
  <c r="I75" i="38"/>
  <c r="G21" i="106"/>
  <c r="E102" i="106"/>
  <c r="H75" i="26"/>
  <c r="E177" i="106"/>
  <c r="E166" i="106"/>
  <c r="E185" i="106"/>
  <c r="E174" i="106"/>
  <c r="G164" i="106"/>
  <c r="F174" i="106"/>
  <c r="F180" i="106"/>
  <c r="E171" i="106"/>
  <c r="E182" i="106"/>
  <c r="F167" i="106"/>
  <c r="F181" i="106"/>
  <c r="F173" i="106"/>
  <c r="E179" i="106"/>
  <c r="E168" i="106"/>
  <c r="E183" i="106"/>
  <c r="E172" i="106"/>
  <c r="F178" i="106"/>
  <c r="F170" i="106"/>
  <c r="G175" i="106"/>
  <c r="F184" i="106"/>
  <c r="F165" i="106"/>
  <c r="E98" i="106"/>
  <c r="F185" i="106"/>
  <c r="F169" i="106"/>
  <c r="D23" i="32"/>
  <c r="E23" i="32"/>
  <c r="E19" i="32"/>
  <c r="E17" i="32"/>
  <c r="D22" i="32"/>
  <c r="D19" i="32"/>
  <c r="D17" i="32"/>
  <c r="C26" i="38"/>
  <c r="C21" i="32"/>
  <c r="F16" i="106" s="1"/>
  <c r="D21" i="32"/>
  <c r="D20" i="32"/>
  <c r="E24" i="32"/>
  <c r="D18" i="32"/>
  <c r="I57" i="32"/>
  <c r="F65" i="106" s="1"/>
  <c r="E20" i="32"/>
  <c r="I72" i="32"/>
  <c r="F80" i="106" s="1"/>
  <c r="I47" i="32"/>
  <c r="F55" i="106" s="1"/>
  <c r="E22" i="32"/>
  <c r="E18" i="32"/>
  <c r="I68" i="32"/>
  <c r="F76" i="106" s="1"/>
  <c r="I32" i="32"/>
  <c r="F40" i="106" s="1"/>
  <c r="I52" i="32"/>
  <c r="F60" i="106" s="1"/>
  <c r="I28" i="32"/>
  <c r="F36" i="106" s="1"/>
  <c r="D16" i="32"/>
  <c r="E21" i="32"/>
  <c r="I37" i="32"/>
  <c r="F45" i="106" s="1"/>
  <c r="I20" i="32"/>
  <c r="F28" i="106" s="1"/>
  <c r="D24" i="32"/>
  <c r="I66" i="32"/>
  <c r="F74" i="106" s="1"/>
  <c r="I46" i="32"/>
  <c r="F54" i="106" s="1"/>
  <c r="C22" i="32"/>
  <c r="F17" i="106" s="1"/>
  <c r="I30" i="32"/>
  <c r="F38" i="106" s="1"/>
  <c r="I63" i="32"/>
  <c r="F71" i="106" s="1"/>
  <c r="I43" i="32"/>
  <c r="F51" i="106" s="1"/>
  <c r="I26" i="32"/>
  <c r="F34" i="106" s="1"/>
  <c r="C20" i="32"/>
  <c r="F15" i="106" s="1"/>
  <c r="I27" i="32"/>
  <c r="F35" i="106" s="1"/>
  <c r="I70" i="32"/>
  <c r="F78" i="106" s="1"/>
  <c r="I50" i="32"/>
  <c r="F58" i="106" s="1"/>
  <c r="I18" i="32"/>
  <c r="F26" i="106" s="1"/>
  <c r="E16" i="32"/>
  <c r="I61" i="32"/>
  <c r="F69" i="106" s="1"/>
  <c r="I41" i="32"/>
  <c r="F49" i="106" s="1"/>
  <c r="C18" i="32"/>
  <c r="F13" i="106" s="1"/>
  <c r="I21" i="32"/>
  <c r="F29" i="106" s="1"/>
  <c r="I59" i="32"/>
  <c r="F67" i="106" s="1"/>
  <c r="I39" i="32"/>
  <c r="F47" i="106" s="1"/>
  <c r="I17" i="32"/>
  <c r="C16" i="32"/>
  <c r="F11" i="106" s="1"/>
  <c r="I22" i="32"/>
  <c r="F30" i="106" s="1"/>
  <c r="I65" i="32"/>
  <c r="F73" i="106" s="1"/>
  <c r="I34" i="32"/>
  <c r="F42" i="106" s="1"/>
  <c r="I19" i="32"/>
  <c r="F27" i="106" s="1"/>
  <c r="I56" i="32"/>
  <c r="F64" i="106" s="1"/>
  <c r="I36" i="32"/>
  <c r="F44" i="106" s="1"/>
  <c r="I54" i="32"/>
  <c r="F62" i="106" s="1"/>
  <c r="I33" i="32"/>
  <c r="F41" i="106" s="1"/>
  <c r="I69" i="32"/>
  <c r="F77" i="106" s="1"/>
  <c r="C23" i="32"/>
  <c r="F18" i="106" s="1"/>
  <c r="I60" i="32"/>
  <c r="F68" i="106" s="1"/>
  <c r="I44" i="32"/>
  <c r="F52" i="106" s="1"/>
  <c r="I25" i="32"/>
  <c r="F33" i="106" s="1"/>
  <c r="C25" i="32"/>
  <c r="F20" i="106" s="1"/>
  <c r="I62" i="32"/>
  <c r="F70" i="106" s="1"/>
  <c r="I42" i="32"/>
  <c r="F50" i="106" s="1"/>
  <c r="I24" i="32"/>
  <c r="F32" i="106" s="1"/>
  <c r="I71" i="32"/>
  <c r="F79" i="106" s="1"/>
  <c r="I51" i="32"/>
  <c r="F59" i="106" s="1"/>
  <c r="C17" i="32"/>
  <c r="F12" i="106" s="1"/>
  <c r="I49" i="32"/>
  <c r="F57" i="106" s="1"/>
  <c r="I31" i="32"/>
  <c r="F39" i="106" s="1"/>
  <c r="C24" i="32"/>
  <c r="F19" i="106" s="1"/>
  <c r="I29" i="32"/>
  <c r="F37" i="106" s="1"/>
  <c r="C19" i="32"/>
  <c r="F14" i="106" s="1"/>
  <c r="I55" i="32"/>
  <c r="F63" i="106" s="1"/>
  <c r="I40" i="32"/>
  <c r="F48" i="106" s="1"/>
  <c r="I23" i="32"/>
  <c r="F31" i="106" s="1"/>
  <c r="J19" i="26"/>
  <c r="J27" i="26"/>
  <c r="J31" i="26"/>
  <c r="J36" i="26"/>
  <c r="J41" i="26"/>
  <c r="J46" i="26"/>
  <c r="J51" i="26"/>
  <c r="J61" i="26"/>
  <c r="J66" i="26"/>
  <c r="J71" i="26"/>
  <c r="K20" i="26"/>
  <c r="K24" i="26"/>
  <c r="K28" i="26"/>
  <c r="K32" i="26"/>
  <c r="K37" i="26"/>
  <c r="K42" i="26"/>
  <c r="K47" i="26"/>
  <c r="K52" i="26"/>
  <c r="K57" i="26"/>
  <c r="K62" i="26"/>
  <c r="K68" i="26"/>
  <c r="J21" i="26"/>
  <c r="J25" i="26"/>
  <c r="J29" i="26"/>
  <c r="J39" i="26"/>
  <c r="J43" i="26"/>
  <c r="J54" i="26"/>
  <c r="J59" i="26"/>
  <c r="J63" i="26"/>
  <c r="J69" i="26"/>
  <c r="J17" i="26"/>
  <c r="K18" i="26"/>
  <c r="K22" i="26"/>
  <c r="K26" i="26"/>
  <c r="K30" i="26"/>
  <c r="K34" i="26"/>
  <c r="K40" i="26"/>
  <c r="K44" i="26"/>
  <c r="K50" i="26"/>
  <c r="K55" i="26"/>
  <c r="K60" i="26"/>
  <c r="K65" i="26"/>
  <c r="K70" i="26"/>
  <c r="J56" i="26"/>
  <c r="J23" i="26"/>
  <c r="K72" i="26"/>
  <c r="J33" i="26"/>
  <c r="J49" i="26"/>
  <c r="K36" i="26"/>
  <c r="K56" i="26"/>
  <c r="K23" i="26"/>
  <c r="K31" i="26"/>
  <c r="K66" i="26"/>
  <c r="K46" i="26"/>
  <c r="K51" i="26"/>
  <c r="K71" i="26"/>
  <c r="K19" i="26"/>
  <c r="K27" i="26"/>
  <c r="K41" i="26"/>
  <c r="K61" i="26"/>
  <c r="J22" i="26"/>
  <c r="J26" i="26"/>
  <c r="J30" i="26"/>
  <c r="J34" i="26"/>
  <c r="J40" i="26"/>
  <c r="J44" i="26"/>
  <c r="J50" i="26"/>
  <c r="J55" i="26"/>
  <c r="J60" i="26"/>
  <c r="J65" i="26"/>
  <c r="J70" i="26"/>
  <c r="J18" i="26"/>
  <c r="I74" i="26"/>
  <c r="E82" i="106" s="1"/>
  <c r="K74" i="26"/>
  <c r="E25" i="26" s="1"/>
  <c r="I3" i="25"/>
  <c r="M3" i="25"/>
  <c r="T3" i="25"/>
  <c r="X3" i="25"/>
  <c r="AB3" i="25"/>
  <c r="AF3" i="25"/>
  <c r="AJ3" i="25"/>
  <c r="AP3" i="25"/>
  <c r="AT3" i="25"/>
  <c r="AZ3" i="25"/>
  <c r="BE3" i="25"/>
  <c r="BJ3" i="25"/>
  <c r="BO3" i="25"/>
  <c r="BT3" i="25"/>
  <c r="N3" i="25"/>
  <c r="AQ3" i="25"/>
  <c r="B26" i="26"/>
  <c r="E8" i="106" s="1"/>
  <c r="F3" i="25"/>
  <c r="U3" i="25"/>
  <c r="AC3" i="25"/>
  <c r="AL3" i="25"/>
  <c r="BA3" i="25"/>
  <c r="BK3" i="25"/>
  <c r="BU3" i="25"/>
  <c r="G3" i="25"/>
  <c r="K3" i="25"/>
  <c r="O3" i="25"/>
  <c r="V3" i="25"/>
  <c r="Z3" i="25"/>
  <c r="AD3" i="25"/>
  <c r="AH3" i="25"/>
  <c r="AM3" i="25"/>
  <c r="AR3" i="25"/>
  <c r="AW3" i="25"/>
  <c r="BB3" i="25"/>
  <c r="BG3" i="25"/>
  <c r="BL3" i="25"/>
  <c r="BR3" i="25"/>
  <c r="BV3" i="25"/>
  <c r="K17" i="26"/>
  <c r="J20" i="26"/>
  <c r="K21" i="26"/>
  <c r="J24" i="26"/>
  <c r="K25" i="26"/>
  <c r="J28" i="26"/>
  <c r="K29" i="26"/>
  <c r="J32" i="26"/>
  <c r="K33" i="26"/>
  <c r="J37" i="26"/>
  <c r="K39" i="26"/>
  <c r="J42" i="26"/>
  <c r="K43" i="26"/>
  <c r="J47" i="26"/>
  <c r="K49" i="26"/>
  <c r="J52" i="26"/>
  <c r="K54" i="26"/>
  <c r="J57" i="26"/>
  <c r="K59" i="26"/>
  <c r="J62" i="26"/>
  <c r="K63" i="26"/>
  <c r="J68" i="26"/>
  <c r="K69" i="26"/>
  <c r="J72" i="26"/>
  <c r="E9" i="106"/>
  <c r="E170" i="106" s="1"/>
  <c r="J3" i="25"/>
  <c r="Y3" i="25"/>
  <c r="AG3" i="25"/>
  <c r="AV3" i="25"/>
  <c r="BF3" i="25"/>
  <c r="BP3" i="25"/>
  <c r="H3" i="25"/>
  <c r="L3" i="25"/>
  <c r="S3" i="25"/>
  <c r="W3" i="25"/>
  <c r="AA3" i="25"/>
  <c r="AE3" i="25"/>
  <c r="AI3" i="25"/>
  <c r="AO3" i="25"/>
  <c r="AS3" i="25"/>
  <c r="AY3" i="25"/>
  <c r="BD3" i="25"/>
  <c r="BI3" i="25"/>
  <c r="BM3" i="25"/>
  <c r="BS3" i="25"/>
  <c r="D25" i="20"/>
  <c r="B25" i="20"/>
  <c r="D97" i="106" s="1"/>
  <c r="B24" i="20"/>
  <c r="D96" i="106" s="1"/>
  <c r="B23" i="20"/>
  <c r="D95" i="106" s="1"/>
  <c r="B22" i="20"/>
  <c r="D94" i="106" s="1"/>
  <c r="B21" i="20"/>
  <c r="D93" i="106" s="1"/>
  <c r="B20" i="20"/>
  <c r="D92" i="106" s="1"/>
  <c r="B19" i="20"/>
  <c r="D91" i="106" s="1"/>
  <c r="B18" i="20"/>
  <c r="D90" i="106" s="1"/>
  <c r="B17" i="20"/>
  <c r="D89" i="106" s="1"/>
  <c r="B16" i="20"/>
  <c r="D88" i="106" s="1"/>
  <c r="B10" i="20"/>
  <c r="H74" i="20"/>
  <c r="D159" i="106" s="1"/>
  <c r="H72" i="20"/>
  <c r="D157" i="106" s="1"/>
  <c r="H71" i="20"/>
  <c r="D156" i="106" s="1"/>
  <c r="H70" i="20"/>
  <c r="D155" i="106" s="1"/>
  <c r="H69" i="20"/>
  <c r="D154" i="106" s="1"/>
  <c r="H68" i="20"/>
  <c r="D153" i="106" s="1"/>
  <c r="H66" i="20"/>
  <c r="D151" i="106" s="1"/>
  <c r="H65" i="20"/>
  <c r="D150" i="106" s="1"/>
  <c r="H63" i="20"/>
  <c r="D148" i="106" s="1"/>
  <c r="H62" i="20"/>
  <c r="D147" i="106" s="1"/>
  <c r="H61" i="20"/>
  <c r="D146" i="106" s="1"/>
  <c r="H60" i="20"/>
  <c r="D145" i="106" s="1"/>
  <c r="H59" i="20"/>
  <c r="D144" i="106" s="1"/>
  <c r="H57" i="20"/>
  <c r="D142" i="106" s="1"/>
  <c r="H56" i="20"/>
  <c r="D141" i="106" s="1"/>
  <c r="H55" i="20"/>
  <c r="D140" i="106" s="1"/>
  <c r="H54" i="20"/>
  <c r="D139" i="106" s="1"/>
  <c r="H52" i="20"/>
  <c r="D137" i="106" s="1"/>
  <c r="H51" i="20"/>
  <c r="D136" i="106" s="1"/>
  <c r="H50" i="20"/>
  <c r="D135" i="106" s="1"/>
  <c r="H49" i="20"/>
  <c r="D134" i="106" s="1"/>
  <c r="H47" i="20"/>
  <c r="D132" i="106" s="1"/>
  <c r="H46" i="20"/>
  <c r="D131" i="106" s="1"/>
  <c r="H44" i="20"/>
  <c r="D129" i="106" s="1"/>
  <c r="H43" i="20"/>
  <c r="D128" i="106" s="1"/>
  <c r="H42" i="20"/>
  <c r="D127" i="106" s="1"/>
  <c r="H41" i="20"/>
  <c r="D126" i="106" s="1"/>
  <c r="H40" i="20"/>
  <c r="D125" i="106" s="1"/>
  <c r="H39" i="20"/>
  <c r="D124" i="106" s="1"/>
  <c r="H37" i="20"/>
  <c r="D122" i="106" s="1"/>
  <c r="H36" i="20"/>
  <c r="D121" i="106" s="1"/>
  <c r="H34" i="20"/>
  <c r="D119" i="106" s="1"/>
  <c r="H33" i="20"/>
  <c r="D118" i="106" s="1"/>
  <c r="H32" i="20"/>
  <c r="D117" i="106" s="1"/>
  <c r="H31" i="20"/>
  <c r="D116" i="106" s="1"/>
  <c r="H30" i="20"/>
  <c r="D115" i="106" s="1"/>
  <c r="H29" i="20"/>
  <c r="D114" i="106" s="1"/>
  <c r="H28" i="20"/>
  <c r="D113" i="106" s="1"/>
  <c r="H27" i="20"/>
  <c r="D112" i="106" s="1"/>
  <c r="H26" i="20"/>
  <c r="D111" i="106" s="1"/>
  <c r="H25" i="20"/>
  <c r="D110" i="106" s="1"/>
  <c r="H24" i="20"/>
  <c r="D109" i="106" s="1"/>
  <c r="H23" i="20"/>
  <c r="D108" i="106" s="1"/>
  <c r="H22" i="20"/>
  <c r="D107" i="106" s="1"/>
  <c r="H21" i="20"/>
  <c r="D106" i="106" s="1"/>
  <c r="H20" i="20"/>
  <c r="D105" i="106" s="1"/>
  <c r="H19" i="20"/>
  <c r="D104" i="106" s="1"/>
  <c r="H18" i="20"/>
  <c r="D103" i="106" s="1"/>
  <c r="H17" i="20"/>
  <c r="P3" i="19"/>
  <c r="BX3" i="19" s="1"/>
  <c r="F25" i="106" l="1"/>
  <c r="I75" i="32"/>
  <c r="D102" i="106"/>
  <c r="H75" i="20"/>
  <c r="D9" i="106" s="1"/>
  <c r="D178" i="106" s="1"/>
  <c r="F175" i="106"/>
  <c r="E184" i="106"/>
  <c r="E165" i="106"/>
  <c r="E178" i="106"/>
  <c r="E181" i="106"/>
  <c r="D168" i="106"/>
  <c r="D179" i="106"/>
  <c r="D172" i="106"/>
  <c r="D183" i="106"/>
  <c r="E169" i="106"/>
  <c r="E176" i="106"/>
  <c r="E167" i="106"/>
  <c r="D98" i="106"/>
  <c r="E180" i="106"/>
  <c r="F164" i="106"/>
  <c r="D177" i="106"/>
  <c r="D166" i="106"/>
  <c r="F21" i="106"/>
  <c r="E173" i="106"/>
  <c r="E19" i="26"/>
  <c r="D22" i="26"/>
  <c r="E23" i="26"/>
  <c r="E17" i="26"/>
  <c r="D19" i="26"/>
  <c r="D17" i="26"/>
  <c r="D23" i="26"/>
  <c r="C26" i="32"/>
  <c r="C25" i="26"/>
  <c r="E20" i="106" s="1"/>
  <c r="E21" i="26"/>
  <c r="E20" i="26"/>
  <c r="D20" i="26"/>
  <c r="D18" i="26"/>
  <c r="E24" i="26"/>
  <c r="I42" i="26"/>
  <c r="E50" i="106" s="1"/>
  <c r="I62" i="26"/>
  <c r="E70" i="106" s="1"/>
  <c r="I57" i="26"/>
  <c r="E65" i="106" s="1"/>
  <c r="I32" i="26"/>
  <c r="E40" i="106" s="1"/>
  <c r="I72" i="26"/>
  <c r="E80" i="106" s="1"/>
  <c r="I52" i="26"/>
  <c r="E60" i="106" s="1"/>
  <c r="I28" i="26"/>
  <c r="E36" i="106" s="1"/>
  <c r="E22" i="26"/>
  <c r="E18" i="26"/>
  <c r="I68" i="26"/>
  <c r="E76" i="106" s="1"/>
  <c r="I47" i="26"/>
  <c r="E55" i="106" s="1"/>
  <c r="I24" i="26"/>
  <c r="E32" i="106" s="1"/>
  <c r="D21" i="26"/>
  <c r="D16" i="26"/>
  <c r="E16" i="26"/>
  <c r="I66" i="26"/>
  <c r="E74" i="106" s="1"/>
  <c r="I46" i="26"/>
  <c r="E54" i="106" s="1"/>
  <c r="I27" i="26"/>
  <c r="E35" i="106" s="1"/>
  <c r="C22" i="26"/>
  <c r="E17" i="106" s="1"/>
  <c r="C21" i="26"/>
  <c r="E16" i="106" s="1"/>
  <c r="I54" i="26"/>
  <c r="E62" i="106" s="1"/>
  <c r="I29" i="26"/>
  <c r="E37" i="106" s="1"/>
  <c r="I25" i="26"/>
  <c r="E33" i="106" s="1"/>
  <c r="C16" i="26"/>
  <c r="E11" i="106" s="1"/>
  <c r="I70" i="26"/>
  <c r="E78" i="106" s="1"/>
  <c r="I50" i="26"/>
  <c r="E58" i="106" s="1"/>
  <c r="I22" i="26"/>
  <c r="E30" i="106" s="1"/>
  <c r="I61" i="26"/>
  <c r="E69" i="106" s="1"/>
  <c r="I41" i="26"/>
  <c r="E49" i="106" s="1"/>
  <c r="I23" i="26"/>
  <c r="E31" i="106" s="1"/>
  <c r="C18" i="26"/>
  <c r="E13" i="106" s="1"/>
  <c r="I69" i="26"/>
  <c r="E77" i="106" s="1"/>
  <c r="I49" i="26"/>
  <c r="E57" i="106" s="1"/>
  <c r="I21" i="26"/>
  <c r="E29" i="106" s="1"/>
  <c r="I17" i="26"/>
  <c r="I65" i="26"/>
  <c r="E73" i="106" s="1"/>
  <c r="I34" i="26"/>
  <c r="E42" i="106" s="1"/>
  <c r="I18" i="26"/>
  <c r="E26" i="106" s="1"/>
  <c r="I56" i="26"/>
  <c r="E64" i="106" s="1"/>
  <c r="I36" i="26"/>
  <c r="E44" i="106" s="1"/>
  <c r="I19" i="26"/>
  <c r="E27" i="106" s="1"/>
  <c r="I63" i="26"/>
  <c r="E71" i="106" s="1"/>
  <c r="I39" i="26"/>
  <c r="E47" i="106" s="1"/>
  <c r="C17" i="26"/>
  <c r="E12" i="106" s="1"/>
  <c r="C24" i="26"/>
  <c r="E19" i="106" s="1"/>
  <c r="C23" i="26"/>
  <c r="E18" i="106" s="1"/>
  <c r="I60" i="26"/>
  <c r="E68" i="106" s="1"/>
  <c r="I44" i="26"/>
  <c r="E52" i="106" s="1"/>
  <c r="I30" i="26"/>
  <c r="E38" i="106" s="1"/>
  <c r="I37" i="26"/>
  <c r="E45" i="106" s="1"/>
  <c r="I20" i="26"/>
  <c r="E28" i="106" s="1"/>
  <c r="D24" i="26"/>
  <c r="I71" i="26"/>
  <c r="E79" i="106" s="1"/>
  <c r="I51" i="26"/>
  <c r="E59" i="106" s="1"/>
  <c r="I31" i="26"/>
  <c r="E39" i="106" s="1"/>
  <c r="I59" i="26"/>
  <c r="E67" i="106" s="1"/>
  <c r="I33" i="26"/>
  <c r="E41" i="106" s="1"/>
  <c r="I43" i="26"/>
  <c r="E51" i="106" s="1"/>
  <c r="C20" i="26"/>
  <c r="E15" i="106" s="1"/>
  <c r="C19" i="26"/>
  <c r="E14" i="106" s="1"/>
  <c r="I55" i="26"/>
  <c r="E63" i="106" s="1"/>
  <c r="I40" i="26"/>
  <c r="E48" i="106" s="1"/>
  <c r="I26" i="26"/>
  <c r="E34" i="106" s="1"/>
  <c r="J17" i="20"/>
  <c r="K18" i="20"/>
  <c r="K22" i="20"/>
  <c r="K26" i="20"/>
  <c r="K30" i="20"/>
  <c r="K34" i="20"/>
  <c r="K40" i="20"/>
  <c r="K44" i="20"/>
  <c r="K50" i="20"/>
  <c r="K55" i="20"/>
  <c r="K60" i="20"/>
  <c r="K65" i="20"/>
  <c r="J70" i="20"/>
  <c r="J19" i="20"/>
  <c r="J23" i="20"/>
  <c r="J27" i="20"/>
  <c r="J31" i="20"/>
  <c r="J36" i="20"/>
  <c r="J41" i="20"/>
  <c r="J46" i="20"/>
  <c r="J51" i="20"/>
  <c r="J56" i="20"/>
  <c r="J61" i="20"/>
  <c r="J66" i="20"/>
  <c r="J71" i="20"/>
  <c r="K20" i="20"/>
  <c r="K24" i="20"/>
  <c r="K28" i="20"/>
  <c r="K32" i="20"/>
  <c r="K37" i="20"/>
  <c r="K47" i="20"/>
  <c r="K52" i="20"/>
  <c r="K57" i="20"/>
  <c r="K62" i="20"/>
  <c r="K68" i="20"/>
  <c r="J21" i="20"/>
  <c r="J25" i="20"/>
  <c r="J29" i="20"/>
  <c r="J33" i="20"/>
  <c r="J39" i="20"/>
  <c r="J43" i="20"/>
  <c r="J54" i="20"/>
  <c r="J59" i="20"/>
  <c r="J69" i="20"/>
  <c r="J63" i="20"/>
  <c r="K42" i="20"/>
  <c r="K72" i="20"/>
  <c r="J49" i="20"/>
  <c r="J30" i="20"/>
  <c r="J22" i="20"/>
  <c r="J40" i="20"/>
  <c r="J50" i="20"/>
  <c r="J60" i="20"/>
  <c r="K70" i="20"/>
  <c r="J18" i="20"/>
  <c r="J26" i="20"/>
  <c r="J34" i="20"/>
  <c r="J44" i="20"/>
  <c r="J55" i="20"/>
  <c r="J65" i="20"/>
  <c r="K19" i="20"/>
  <c r="K23" i="20"/>
  <c r="K27" i="20"/>
  <c r="K31" i="20"/>
  <c r="K36" i="20"/>
  <c r="K41" i="20"/>
  <c r="K46" i="20"/>
  <c r="K51" i="20"/>
  <c r="K56" i="20"/>
  <c r="K61" i="20"/>
  <c r="K66" i="20"/>
  <c r="K71" i="20"/>
  <c r="I74" i="20"/>
  <c r="D82" i="106" s="1"/>
  <c r="K74" i="20"/>
  <c r="E25" i="20" s="1"/>
  <c r="I3" i="19"/>
  <c r="M3" i="19"/>
  <c r="T3" i="19"/>
  <c r="X3" i="19"/>
  <c r="AB3" i="19"/>
  <c r="AF3" i="19"/>
  <c r="AJ3" i="19"/>
  <c r="AP3" i="19"/>
  <c r="AT3" i="19"/>
  <c r="AZ3" i="19"/>
  <c r="BE3" i="19"/>
  <c r="BJ3" i="19"/>
  <c r="BO3" i="19"/>
  <c r="BT3" i="19"/>
  <c r="N3" i="19"/>
  <c r="AQ3" i="19"/>
  <c r="B26" i="20"/>
  <c r="D8" i="106" s="1"/>
  <c r="F3" i="19"/>
  <c r="U3" i="19"/>
  <c r="AC3" i="19"/>
  <c r="AL3" i="19"/>
  <c r="AV3" i="19"/>
  <c r="BF3" i="19"/>
  <c r="BP3" i="19"/>
  <c r="G3" i="19"/>
  <c r="K3" i="19"/>
  <c r="O3" i="19"/>
  <c r="V3" i="19"/>
  <c r="Z3" i="19"/>
  <c r="AD3" i="19"/>
  <c r="AH3" i="19"/>
  <c r="AM3" i="19"/>
  <c r="AR3" i="19"/>
  <c r="AW3" i="19"/>
  <c r="BB3" i="19"/>
  <c r="BG3" i="19"/>
  <c r="BL3" i="19"/>
  <c r="BR3" i="19"/>
  <c r="BV3" i="19"/>
  <c r="K17" i="20"/>
  <c r="J20" i="20"/>
  <c r="K21" i="20"/>
  <c r="J24" i="20"/>
  <c r="K25" i="20"/>
  <c r="J28" i="20"/>
  <c r="K29" i="20"/>
  <c r="J32" i="20"/>
  <c r="K33" i="20"/>
  <c r="J37" i="20"/>
  <c r="K39" i="20"/>
  <c r="J42" i="20"/>
  <c r="K43" i="20"/>
  <c r="J47" i="20"/>
  <c r="K49" i="20"/>
  <c r="J52" i="20"/>
  <c r="K54" i="20"/>
  <c r="J57" i="20"/>
  <c r="K59" i="20"/>
  <c r="J62" i="20"/>
  <c r="K63" i="20"/>
  <c r="J68" i="20"/>
  <c r="K69" i="20"/>
  <c r="J72" i="20"/>
  <c r="J3" i="19"/>
  <c r="Y3" i="19"/>
  <c r="AG3" i="19"/>
  <c r="BA3" i="19"/>
  <c r="BK3" i="19"/>
  <c r="BU3" i="19"/>
  <c r="H3" i="19"/>
  <c r="L3" i="19"/>
  <c r="S3" i="19"/>
  <c r="W3" i="19"/>
  <c r="AA3" i="19"/>
  <c r="AE3" i="19"/>
  <c r="AI3" i="19"/>
  <c r="AO3" i="19"/>
  <c r="AS3" i="19"/>
  <c r="AY3" i="19"/>
  <c r="BD3" i="19"/>
  <c r="BI3" i="19"/>
  <c r="BM3" i="19"/>
  <c r="BS3" i="19"/>
  <c r="D25" i="14"/>
  <c r="B25" i="14"/>
  <c r="C97" i="106" s="1"/>
  <c r="B24" i="14"/>
  <c r="C96" i="106" s="1"/>
  <c r="B23" i="14"/>
  <c r="C95" i="106" s="1"/>
  <c r="B22" i="14"/>
  <c r="C94" i="106" s="1"/>
  <c r="B21" i="14"/>
  <c r="C93" i="106" s="1"/>
  <c r="B20" i="14"/>
  <c r="C92" i="106" s="1"/>
  <c r="B19" i="14"/>
  <c r="C91" i="106" s="1"/>
  <c r="B18" i="14"/>
  <c r="C90" i="106" s="1"/>
  <c r="B17" i="14"/>
  <c r="C89" i="106" s="1"/>
  <c r="B16" i="14"/>
  <c r="C88" i="106" s="1"/>
  <c r="B10" i="14"/>
  <c r="H74" i="14"/>
  <c r="C159" i="106" s="1"/>
  <c r="H72" i="14"/>
  <c r="C157" i="106" s="1"/>
  <c r="H71" i="14"/>
  <c r="C156" i="106" s="1"/>
  <c r="H70" i="14"/>
  <c r="C155" i="106" s="1"/>
  <c r="H69" i="14"/>
  <c r="C154" i="106" s="1"/>
  <c r="H68" i="14"/>
  <c r="C153" i="106" s="1"/>
  <c r="H66" i="14"/>
  <c r="C151" i="106" s="1"/>
  <c r="H65" i="14"/>
  <c r="C150" i="106" s="1"/>
  <c r="H63" i="14"/>
  <c r="C148" i="106" s="1"/>
  <c r="H62" i="14"/>
  <c r="C147" i="106" s="1"/>
  <c r="H61" i="14"/>
  <c r="C146" i="106" s="1"/>
  <c r="H60" i="14"/>
  <c r="C145" i="106" s="1"/>
  <c r="H59" i="14"/>
  <c r="C144" i="106" s="1"/>
  <c r="H57" i="14"/>
  <c r="C142" i="106" s="1"/>
  <c r="H56" i="14"/>
  <c r="C141" i="106" s="1"/>
  <c r="H55" i="14"/>
  <c r="C140" i="106" s="1"/>
  <c r="H54" i="14"/>
  <c r="C139" i="106" s="1"/>
  <c r="H52" i="14"/>
  <c r="C137" i="106" s="1"/>
  <c r="H51" i="14"/>
  <c r="C136" i="106" s="1"/>
  <c r="H50" i="14"/>
  <c r="C135" i="106" s="1"/>
  <c r="H49" i="14"/>
  <c r="C134" i="106" s="1"/>
  <c r="H47" i="14"/>
  <c r="C132" i="106" s="1"/>
  <c r="H46" i="14"/>
  <c r="C131" i="106" s="1"/>
  <c r="H44" i="14"/>
  <c r="C129" i="106" s="1"/>
  <c r="H43" i="14"/>
  <c r="C128" i="106" s="1"/>
  <c r="H42" i="14"/>
  <c r="C127" i="106" s="1"/>
  <c r="H41" i="14"/>
  <c r="C126" i="106" s="1"/>
  <c r="H40" i="14"/>
  <c r="C125" i="106" s="1"/>
  <c r="H39" i="14"/>
  <c r="C124" i="106" s="1"/>
  <c r="H37" i="14"/>
  <c r="C122" i="106" s="1"/>
  <c r="H36" i="14"/>
  <c r="C121" i="106" s="1"/>
  <c r="H34" i="14"/>
  <c r="C119" i="106" s="1"/>
  <c r="H33" i="14"/>
  <c r="C118" i="106" s="1"/>
  <c r="H32" i="14"/>
  <c r="C117" i="106" s="1"/>
  <c r="H31" i="14"/>
  <c r="C116" i="106" s="1"/>
  <c r="H30" i="14"/>
  <c r="C115" i="106" s="1"/>
  <c r="H29" i="14"/>
  <c r="C114" i="106" s="1"/>
  <c r="H28" i="14"/>
  <c r="C113" i="106" s="1"/>
  <c r="H27" i="14"/>
  <c r="C112" i="106" s="1"/>
  <c r="H26" i="14"/>
  <c r="C111" i="106" s="1"/>
  <c r="H25" i="14"/>
  <c r="C110" i="106" s="1"/>
  <c r="H24" i="14"/>
  <c r="C109" i="106" s="1"/>
  <c r="H23" i="14"/>
  <c r="C108" i="106" s="1"/>
  <c r="H22" i="14"/>
  <c r="C107" i="106" s="1"/>
  <c r="H21" i="14"/>
  <c r="C106" i="106" s="1"/>
  <c r="H20" i="14"/>
  <c r="C105" i="106" s="1"/>
  <c r="H19" i="14"/>
  <c r="C104" i="106" s="1"/>
  <c r="H18" i="14"/>
  <c r="C103" i="106" s="1"/>
  <c r="H17" i="14"/>
  <c r="P3" i="13"/>
  <c r="BX3" i="13" s="1"/>
  <c r="E25" i="106" l="1"/>
  <c r="I75" i="26"/>
  <c r="C102" i="106"/>
  <c r="H75" i="14"/>
  <c r="C9" i="106" s="1"/>
  <c r="C176" i="106" s="1"/>
  <c r="C179" i="106"/>
  <c r="C168" i="106"/>
  <c r="C183" i="106"/>
  <c r="C172" i="106"/>
  <c r="D170" i="106"/>
  <c r="D169" i="106"/>
  <c r="D176" i="106"/>
  <c r="D171" i="106"/>
  <c r="C98" i="106"/>
  <c r="E21" i="106"/>
  <c r="D181" i="106"/>
  <c r="D180" i="106"/>
  <c r="D182" i="106"/>
  <c r="C177" i="106"/>
  <c r="C166" i="106"/>
  <c r="D174" i="106"/>
  <c r="D173" i="106"/>
  <c r="E175" i="106"/>
  <c r="E164" i="106"/>
  <c r="D167" i="106"/>
  <c r="C178" i="106"/>
  <c r="C167" i="106"/>
  <c r="C182" i="106"/>
  <c r="C171" i="106"/>
  <c r="D185" i="106"/>
  <c r="D184" i="106"/>
  <c r="D165" i="106"/>
  <c r="D23" i="20"/>
  <c r="E19" i="20"/>
  <c r="E17" i="20"/>
  <c r="D22" i="20"/>
  <c r="D19" i="20"/>
  <c r="D17" i="20"/>
  <c r="E23" i="20"/>
  <c r="C26" i="26"/>
  <c r="C21" i="20"/>
  <c r="D16" i="106" s="1"/>
  <c r="E21" i="20"/>
  <c r="D20" i="20"/>
  <c r="E24" i="20"/>
  <c r="E20" i="20"/>
  <c r="D21" i="20"/>
  <c r="I72" i="20"/>
  <c r="D80" i="106" s="1"/>
  <c r="E22" i="20"/>
  <c r="E18" i="20"/>
  <c r="I52" i="20"/>
  <c r="D60" i="106" s="1"/>
  <c r="D18" i="20"/>
  <c r="I62" i="20"/>
  <c r="D70" i="106" s="1"/>
  <c r="I24" i="20"/>
  <c r="D32" i="106" s="1"/>
  <c r="I42" i="20"/>
  <c r="D50" i="106" s="1"/>
  <c r="I32" i="20"/>
  <c r="D40" i="106" s="1"/>
  <c r="D16" i="20"/>
  <c r="E16" i="20"/>
  <c r="I66" i="20"/>
  <c r="D74" i="106" s="1"/>
  <c r="I46" i="20"/>
  <c r="D54" i="106" s="1"/>
  <c r="I27" i="20"/>
  <c r="D35" i="106" s="1"/>
  <c r="C22" i="20"/>
  <c r="D17" i="106" s="1"/>
  <c r="C17" i="20"/>
  <c r="D12" i="106" s="1"/>
  <c r="I54" i="20"/>
  <c r="D62" i="106" s="1"/>
  <c r="I25" i="20"/>
  <c r="D33" i="106" s="1"/>
  <c r="I33" i="20"/>
  <c r="D41" i="106" s="1"/>
  <c r="C16" i="20"/>
  <c r="D11" i="106" s="1"/>
  <c r="I70" i="20"/>
  <c r="D78" i="106" s="1"/>
  <c r="I50" i="20"/>
  <c r="D58" i="106" s="1"/>
  <c r="I22" i="20"/>
  <c r="D30" i="106" s="1"/>
  <c r="I68" i="20"/>
  <c r="D76" i="106" s="1"/>
  <c r="I47" i="20"/>
  <c r="D55" i="106" s="1"/>
  <c r="I28" i="20"/>
  <c r="D36" i="106" s="1"/>
  <c r="I61" i="20"/>
  <c r="D69" i="106" s="1"/>
  <c r="I41" i="20"/>
  <c r="D49" i="106" s="1"/>
  <c r="I23" i="20"/>
  <c r="D31" i="106" s="1"/>
  <c r="C18" i="20"/>
  <c r="D13" i="106" s="1"/>
  <c r="I69" i="20"/>
  <c r="D77" i="106" s="1"/>
  <c r="I43" i="20"/>
  <c r="D51" i="106" s="1"/>
  <c r="I17" i="20"/>
  <c r="I21" i="20"/>
  <c r="D29" i="106" s="1"/>
  <c r="I65" i="20"/>
  <c r="D73" i="106" s="1"/>
  <c r="I34" i="20"/>
  <c r="D42" i="106" s="1"/>
  <c r="I18" i="20"/>
  <c r="D26" i="106" s="1"/>
  <c r="I56" i="20"/>
  <c r="D64" i="106" s="1"/>
  <c r="I36" i="20"/>
  <c r="D44" i="106" s="1"/>
  <c r="I19" i="20"/>
  <c r="D27" i="106" s="1"/>
  <c r="I63" i="20"/>
  <c r="D71" i="106" s="1"/>
  <c r="I39" i="20"/>
  <c r="D47" i="106" s="1"/>
  <c r="C25" i="20"/>
  <c r="D20" i="106" s="1"/>
  <c r="C24" i="20"/>
  <c r="D19" i="106" s="1"/>
  <c r="C23" i="20"/>
  <c r="D18" i="106" s="1"/>
  <c r="I60" i="20"/>
  <c r="D68" i="106" s="1"/>
  <c r="I44" i="20"/>
  <c r="D52" i="106" s="1"/>
  <c r="I30" i="20"/>
  <c r="D38" i="106" s="1"/>
  <c r="I57" i="20"/>
  <c r="D65" i="106" s="1"/>
  <c r="I37" i="20"/>
  <c r="D45" i="106" s="1"/>
  <c r="I20" i="20"/>
  <c r="D28" i="106" s="1"/>
  <c r="D24" i="20"/>
  <c r="I71" i="20"/>
  <c r="D79" i="106" s="1"/>
  <c r="I51" i="20"/>
  <c r="D59" i="106" s="1"/>
  <c r="I31" i="20"/>
  <c r="D39" i="106" s="1"/>
  <c r="I59" i="20"/>
  <c r="D67" i="106" s="1"/>
  <c r="I29" i="20"/>
  <c r="D37" i="106" s="1"/>
  <c r="I49" i="20"/>
  <c r="D57" i="106" s="1"/>
  <c r="C20" i="20"/>
  <c r="D15" i="106" s="1"/>
  <c r="C19" i="20"/>
  <c r="D14" i="106" s="1"/>
  <c r="I55" i="20"/>
  <c r="D63" i="106" s="1"/>
  <c r="I40" i="20"/>
  <c r="D48" i="106" s="1"/>
  <c r="I26" i="20"/>
  <c r="D34" i="106" s="1"/>
  <c r="K24" i="14"/>
  <c r="K28" i="14"/>
  <c r="K32" i="14"/>
  <c r="K37" i="14"/>
  <c r="K42" i="14"/>
  <c r="K47" i="14"/>
  <c r="K52" i="14"/>
  <c r="K57" i="14"/>
  <c r="K62" i="14"/>
  <c r="K68" i="14"/>
  <c r="J17" i="14"/>
  <c r="J21" i="14"/>
  <c r="J25" i="14"/>
  <c r="J29" i="14"/>
  <c r="J33" i="14"/>
  <c r="J39" i="14"/>
  <c r="J43" i="14"/>
  <c r="J54" i="14"/>
  <c r="J59" i="14"/>
  <c r="J63" i="14"/>
  <c r="J69" i="14"/>
  <c r="K18" i="14"/>
  <c r="J26" i="14"/>
  <c r="K30" i="14"/>
  <c r="K34" i="14"/>
  <c r="J40" i="14"/>
  <c r="J44" i="14"/>
  <c r="J50" i="14"/>
  <c r="K55" i="14"/>
  <c r="J60" i="14"/>
  <c r="J65" i="14"/>
  <c r="J70" i="14"/>
  <c r="K20" i="14"/>
  <c r="K19" i="14"/>
  <c r="K23" i="14"/>
  <c r="J27" i="14"/>
  <c r="J31" i="14"/>
  <c r="K36" i="14"/>
  <c r="K41" i="14"/>
  <c r="J46" i="14"/>
  <c r="J51" i="14"/>
  <c r="J56" i="14"/>
  <c r="K61" i="14"/>
  <c r="J66" i="14"/>
  <c r="J71" i="14"/>
  <c r="J22" i="14"/>
  <c r="K72" i="14"/>
  <c r="J49" i="14"/>
  <c r="J36" i="14"/>
  <c r="J30" i="14"/>
  <c r="K56" i="14"/>
  <c r="K50" i="14"/>
  <c r="K70" i="14"/>
  <c r="K26" i="14"/>
  <c r="K31" i="14"/>
  <c r="K65" i="14"/>
  <c r="K44" i="14"/>
  <c r="K51" i="14"/>
  <c r="K22" i="14"/>
  <c r="K27" i="14"/>
  <c r="K40" i="14"/>
  <c r="K46" i="14"/>
  <c r="K60" i="14"/>
  <c r="K66" i="14"/>
  <c r="K71" i="14"/>
  <c r="J19" i="14"/>
  <c r="J18" i="14"/>
  <c r="J23" i="14"/>
  <c r="J34" i="14"/>
  <c r="J41" i="14"/>
  <c r="J55" i="14"/>
  <c r="J61" i="14"/>
  <c r="I74" i="14"/>
  <c r="C82" i="106" s="1"/>
  <c r="K74" i="14"/>
  <c r="E25" i="14" s="1"/>
  <c r="I3" i="13"/>
  <c r="M3" i="13"/>
  <c r="T3" i="13"/>
  <c r="X3" i="13"/>
  <c r="AB3" i="13"/>
  <c r="AF3" i="13"/>
  <c r="AJ3" i="13"/>
  <c r="AP3" i="13"/>
  <c r="AT3" i="13"/>
  <c r="AZ3" i="13"/>
  <c r="BE3" i="13"/>
  <c r="BJ3" i="13"/>
  <c r="BO3" i="13"/>
  <c r="BT3" i="13"/>
  <c r="U3" i="13"/>
  <c r="BA3" i="13"/>
  <c r="B26" i="14"/>
  <c r="C8" i="106" s="1"/>
  <c r="F3" i="13"/>
  <c r="N3" i="13"/>
  <c r="AC3" i="13"/>
  <c r="AQ3" i="13"/>
  <c r="BF3" i="13"/>
  <c r="BP3" i="13"/>
  <c r="G3" i="13"/>
  <c r="K3" i="13"/>
  <c r="O3" i="13"/>
  <c r="V3" i="13"/>
  <c r="Z3" i="13"/>
  <c r="AD3" i="13"/>
  <c r="AH3" i="13"/>
  <c r="AM3" i="13"/>
  <c r="AR3" i="13"/>
  <c r="AW3" i="13"/>
  <c r="BB3" i="13"/>
  <c r="BG3" i="13"/>
  <c r="BL3" i="13"/>
  <c r="BR3" i="13"/>
  <c r="BV3" i="13"/>
  <c r="K17" i="14"/>
  <c r="J20" i="14"/>
  <c r="K21" i="14"/>
  <c r="J24" i="14"/>
  <c r="K25" i="14"/>
  <c r="J28" i="14"/>
  <c r="K29" i="14"/>
  <c r="J32" i="14"/>
  <c r="K33" i="14"/>
  <c r="J37" i="14"/>
  <c r="K39" i="14"/>
  <c r="J42" i="14"/>
  <c r="K43" i="14"/>
  <c r="J47" i="14"/>
  <c r="K49" i="14"/>
  <c r="J52" i="14"/>
  <c r="K54" i="14"/>
  <c r="J57" i="14"/>
  <c r="K59" i="14"/>
  <c r="J62" i="14"/>
  <c r="K63" i="14"/>
  <c r="J68" i="14"/>
  <c r="K69" i="14"/>
  <c r="J72" i="14"/>
  <c r="J3" i="13"/>
  <c r="Y3" i="13"/>
  <c r="AG3" i="13"/>
  <c r="AL3" i="13"/>
  <c r="AV3" i="13"/>
  <c r="BK3" i="13"/>
  <c r="BU3" i="13"/>
  <c r="H3" i="13"/>
  <c r="L3" i="13"/>
  <c r="S3" i="13"/>
  <c r="W3" i="13"/>
  <c r="AA3" i="13"/>
  <c r="AE3" i="13"/>
  <c r="AI3" i="13"/>
  <c r="AO3" i="13"/>
  <c r="AS3" i="13"/>
  <c r="AY3" i="13"/>
  <c r="BD3" i="13"/>
  <c r="BI3" i="13"/>
  <c r="BM3" i="13"/>
  <c r="BS3" i="13"/>
  <c r="D25" i="8"/>
  <c r="B25" i="8"/>
  <c r="B97" i="106" s="1"/>
  <c r="B24" i="8"/>
  <c r="B96" i="106" s="1"/>
  <c r="B23" i="8"/>
  <c r="B95" i="106" s="1"/>
  <c r="B22" i="8"/>
  <c r="B94" i="106" s="1"/>
  <c r="B21" i="8"/>
  <c r="B93" i="106" s="1"/>
  <c r="B20" i="8"/>
  <c r="B92" i="106" s="1"/>
  <c r="B19" i="8"/>
  <c r="B91" i="106" s="1"/>
  <c r="B18" i="8"/>
  <c r="B90" i="106" s="1"/>
  <c r="B17" i="8"/>
  <c r="B89" i="106" s="1"/>
  <c r="B16" i="8"/>
  <c r="B88" i="106" s="1"/>
  <c r="B10" i="8"/>
  <c r="H74" i="8"/>
  <c r="H72" i="8"/>
  <c r="B157" i="106" s="1"/>
  <c r="H71" i="8"/>
  <c r="B156" i="106" s="1"/>
  <c r="H70" i="8"/>
  <c r="B155" i="106" s="1"/>
  <c r="H69" i="8"/>
  <c r="B154" i="106" s="1"/>
  <c r="H68" i="8"/>
  <c r="B153" i="106" s="1"/>
  <c r="H66" i="8"/>
  <c r="H65" i="8"/>
  <c r="B150" i="106" s="1"/>
  <c r="H63" i="8"/>
  <c r="B148" i="106" s="1"/>
  <c r="H62" i="8"/>
  <c r="B147" i="106" s="1"/>
  <c r="H61" i="8"/>
  <c r="B146" i="106" s="1"/>
  <c r="H60" i="8"/>
  <c r="B145" i="106" s="1"/>
  <c r="H59" i="8"/>
  <c r="B144" i="106" s="1"/>
  <c r="H57" i="8"/>
  <c r="B142" i="106" s="1"/>
  <c r="H56" i="8"/>
  <c r="B141" i="106" s="1"/>
  <c r="H55" i="8"/>
  <c r="B140" i="106" s="1"/>
  <c r="H54" i="8"/>
  <c r="B139" i="106" s="1"/>
  <c r="H52" i="8"/>
  <c r="B137" i="106" s="1"/>
  <c r="H51" i="8"/>
  <c r="B136" i="106" s="1"/>
  <c r="H50" i="8"/>
  <c r="B135" i="106" s="1"/>
  <c r="H49" i="8"/>
  <c r="B134" i="106" s="1"/>
  <c r="H47" i="8"/>
  <c r="B132" i="106" s="1"/>
  <c r="H46" i="8"/>
  <c r="B131" i="106" s="1"/>
  <c r="H44" i="8"/>
  <c r="B129" i="106" s="1"/>
  <c r="H43" i="8"/>
  <c r="B128" i="106" s="1"/>
  <c r="H42" i="8"/>
  <c r="B127" i="106" s="1"/>
  <c r="H41" i="8"/>
  <c r="B126" i="106" s="1"/>
  <c r="H40" i="8"/>
  <c r="B125" i="106" s="1"/>
  <c r="H39" i="8"/>
  <c r="B124" i="106" s="1"/>
  <c r="H37" i="8"/>
  <c r="B122" i="106" s="1"/>
  <c r="H36" i="8"/>
  <c r="B121" i="106" s="1"/>
  <c r="H34" i="8"/>
  <c r="H33" i="8"/>
  <c r="B118" i="106" s="1"/>
  <c r="H32" i="8"/>
  <c r="B117" i="106" s="1"/>
  <c r="H31" i="8"/>
  <c r="B116" i="106" s="1"/>
  <c r="H30" i="8"/>
  <c r="B115" i="106" s="1"/>
  <c r="H29" i="8"/>
  <c r="B114" i="106" s="1"/>
  <c r="H28" i="8"/>
  <c r="B113" i="106" s="1"/>
  <c r="H27" i="8"/>
  <c r="B112" i="106" s="1"/>
  <c r="H26" i="8"/>
  <c r="B111" i="106" s="1"/>
  <c r="H25" i="8"/>
  <c r="B110" i="106" s="1"/>
  <c r="H24" i="8"/>
  <c r="B109" i="106" s="1"/>
  <c r="H23" i="8"/>
  <c r="H22" i="8"/>
  <c r="B107" i="106" s="1"/>
  <c r="H21" i="8"/>
  <c r="B106" i="106" s="1"/>
  <c r="H20" i="8"/>
  <c r="B105" i="106" s="1"/>
  <c r="H19" i="8"/>
  <c r="B104" i="106" s="1"/>
  <c r="H18" i="8"/>
  <c r="B103" i="106" s="1"/>
  <c r="H17" i="8"/>
  <c r="P3" i="7"/>
  <c r="BX3" i="7" s="1"/>
  <c r="D25" i="106" l="1"/>
  <c r="I75" i="20"/>
  <c r="D164" i="106"/>
  <c r="B102" i="106"/>
  <c r="U102" i="106" s="1"/>
  <c r="V102" i="106" s="1"/>
  <c r="H75" i="8"/>
  <c r="I23" i="8" s="1"/>
  <c r="B159" i="106"/>
  <c r="I74" i="8"/>
  <c r="B119" i="106"/>
  <c r="U119" i="106" s="1"/>
  <c r="V119" i="106" s="1"/>
  <c r="I34" i="8"/>
  <c r="B108" i="106"/>
  <c r="B151" i="106"/>
  <c r="T151" i="106" s="1"/>
  <c r="U103" i="106"/>
  <c r="V103" i="106" s="1"/>
  <c r="T103" i="106"/>
  <c r="S103" i="106"/>
  <c r="U115" i="106"/>
  <c r="V115" i="106" s="1"/>
  <c r="T115" i="106"/>
  <c r="S115" i="106"/>
  <c r="T140" i="106"/>
  <c r="S140" i="106"/>
  <c r="U140" i="106"/>
  <c r="V140" i="106" s="1"/>
  <c r="U104" i="106"/>
  <c r="V104" i="106" s="1"/>
  <c r="T104" i="106"/>
  <c r="S104" i="106"/>
  <c r="U108" i="106"/>
  <c r="V108" i="106" s="1"/>
  <c r="T108" i="106"/>
  <c r="S108" i="106"/>
  <c r="U112" i="106"/>
  <c r="V112" i="106" s="1"/>
  <c r="T112" i="106"/>
  <c r="S112" i="106"/>
  <c r="U116" i="106"/>
  <c r="V116" i="106" s="1"/>
  <c r="T116" i="106"/>
  <c r="S116" i="106"/>
  <c r="U121" i="106"/>
  <c r="V121" i="106" s="1"/>
  <c r="T121" i="106"/>
  <c r="S121" i="106"/>
  <c r="U126" i="106"/>
  <c r="V126" i="106" s="1"/>
  <c r="T126" i="106"/>
  <c r="S126" i="106"/>
  <c r="U131" i="106"/>
  <c r="V131" i="106" s="1"/>
  <c r="T131" i="106"/>
  <c r="S131" i="106"/>
  <c r="U136" i="106"/>
  <c r="V136" i="106" s="1"/>
  <c r="T136" i="106"/>
  <c r="S136" i="106"/>
  <c r="S141" i="106"/>
  <c r="U141" i="106"/>
  <c r="V141" i="106" s="1"/>
  <c r="T141" i="106"/>
  <c r="S146" i="106"/>
  <c r="U146" i="106"/>
  <c r="V146" i="106" s="1"/>
  <c r="T146" i="106"/>
  <c r="S151" i="106"/>
  <c r="U151" i="106"/>
  <c r="V151" i="106" s="1"/>
  <c r="S156" i="106"/>
  <c r="U156" i="106"/>
  <c r="V156" i="106" s="1"/>
  <c r="T156" i="106"/>
  <c r="B98" i="106"/>
  <c r="U88" i="106"/>
  <c r="V88" i="106" s="1"/>
  <c r="T88" i="106"/>
  <c r="S88" i="106"/>
  <c r="B180" i="106"/>
  <c r="B169" i="106"/>
  <c r="U92" i="106"/>
  <c r="V92" i="106" s="1"/>
  <c r="T92" i="106"/>
  <c r="S92" i="106"/>
  <c r="B184" i="106"/>
  <c r="B173" i="106"/>
  <c r="U96" i="106"/>
  <c r="V96" i="106" s="1"/>
  <c r="T96" i="106"/>
  <c r="S96" i="106"/>
  <c r="D21" i="106"/>
  <c r="C185" i="106"/>
  <c r="C169" i="106"/>
  <c r="U107" i="106"/>
  <c r="V107" i="106" s="1"/>
  <c r="T107" i="106"/>
  <c r="S107" i="106"/>
  <c r="U125" i="106"/>
  <c r="V125" i="106" s="1"/>
  <c r="T125" i="106"/>
  <c r="S125" i="106"/>
  <c r="U135" i="106"/>
  <c r="V135" i="106" s="1"/>
  <c r="T135" i="106"/>
  <c r="S135" i="106"/>
  <c r="T105" i="106"/>
  <c r="S105" i="106"/>
  <c r="U105" i="106"/>
  <c r="V105" i="106" s="1"/>
  <c r="T109" i="106"/>
  <c r="S109" i="106"/>
  <c r="U109" i="106"/>
  <c r="V109" i="106" s="1"/>
  <c r="T113" i="106"/>
  <c r="S113" i="106"/>
  <c r="U113" i="106"/>
  <c r="V113" i="106" s="1"/>
  <c r="T117" i="106"/>
  <c r="S117" i="106"/>
  <c r="U117" i="106"/>
  <c r="V117" i="106" s="1"/>
  <c r="T122" i="106"/>
  <c r="S122" i="106"/>
  <c r="U122" i="106"/>
  <c r="V122" i="106" s="1"/>
  <c r="T127" i="106"/>
  <c r="S127" i="106"/>
  <c r="U127" i="106"/>
  <c r="V127" i="106" s="1"/>
  <c r="T132" i="106"/>
  <c r="S132" i="106"/>
  <c r="U132" i="106"/>
  <c r="V132" i="106" s="1"/>
  <c r="T137" i="106"/>
  <c r="S137" i="106"/>
  <c r="U137" i="106"/>
  <c r="V137" i="106" s="1"/>
  <c r="U142" i="106"/>
  <c r="V142" i="106" s="1"/>
  <c r="T142" i="106"/>
  <c r="S142" i="106"/>
  <c r="U147" i="106"/>
  <c r="V147" i="106" s="1"/>
  <c r="T147" i="106"/>
  <c r="S147" i="106"/>
  <c r="U153" i="106"/>
  <c r="V153" i="106" s="1"/>
  <c r="T153" i="106"/>
  <c r="S153" i="106"/>
  <c r="U157" i="106"/>
  <c r="V157" i="106" s="1"/>
  <c r="T157" i="106"/>
  <c r="S157" i="106"/>
  <c r="B166" i="106"/>
  <c r="B177" i="106"/>
  <c r="T89" i="106"/>
  <c r="S89" i="106"/>
  <c r="U89" i="106"/>
  <c r="V89" i="106" s="1"/>
  <c r="B170" i="106"/>
  <c r="B181" i="106"/>
  <c r="T93" i="106"/>
  <c r="S93" i="106"/>
  <c r="U93" i="106"/>
  <c r="V93" i="106" s="1"/>
  <c r="T97" i="106"/>
  <c r="S97" i="106"/>
  <c r="U97" i="106"/>
  <c r="V97" i="106" s="1"/>
  <c r="C170" i="106"/>
  <c r="C184" i="106"/>
  <c r="D175" i="106"/>
  <c r="U111" i="106"/>
  <c r="V111" i="106" s="1"/>
  <c r="T111" i="106"/>
  <c r="S111" i="106"/>
  <c r="U129" i="106"/>
  <c r="V129" i="106" s="1"/>
  <c r="T129" i="106"/>
  <c r="S129" i="106"/>
  <c r="S106" i="106"/>
  <c r="U106" i="106"/>
  <c r="V106" i="106" s="1"/>
  <c r="T106" i="106"/>
  <c r="S110" i="106"/>
  <c r="U110" i="106"/>
  <c r="V110" i="106" s="1"/>
  <c r="T110" i="106"/>
  <c r="S114" i="106"/>
  <c r="U114" i="106"/>
  <c r="V114" i="106" s="1"/>
  <c r="T114" i="106"/>
  <c r="S118" i="106"/>
  <c r="U118" i="106"/>
  <c r="V118" i="106" s="1"/>
  <c r="T118" i="106"/>
  <c r="S124" i="106"/>
  <c r="U124" i="106"/>
  <c r="V124" i="106" s="1"/>
  <c r="T124" i="106"/>
  <c r="S128" i="106"/>
  <c r="U128" i="106"/>
  <c r="V128" i="106" s="1"/>
  <c r="T128" i="106"/>
  <c r="S134" i="106"/>
  <c r="U134" i="106"/>
  <c r="V134" i="106" s="1"/>
  <c r="T134" i="106"/>
  <c r="U139" i="106"/>
  <c r="V139" i="106" s="1"/>
  <c r="S139" i="106"/>
  <c r="T139" i="106"/>
  <c r="U144" i="106"/>
  <c r="V144" i="106" s="1"/>
  <c r="T144" i="106"/>
  <c r="S144" i="106"/>
  <c r="U148" i="106"/>
  <c r="V148" i="106" s="1"/>
  <c r="T148" i="106"/>
  <c r="S148" i="106"/>
  <c r="U154" i="106"/>
  <c r="V154" i="106" s="1"/>
  <c r="T154" i="106"/>
  <c r="S154" i="106"/>
  <c r="U159" i="106"/>
  <c r="V159" i="106" s="1"/>
  <c r="T159" i="106"/>
  <c r="S159" i="106"/>
  <c r="B178" i="106"/>
  <c r="B167" i="106"/>
  <c r="S90" i="106"/>
  <c r="U90" i="106"/>
  <c r="V90" i="106" s="1"/>
  <c r="T90" i="106"/>
  <c r="B182" i="106"/>
  <c r="B171" i="106"/>
  <c r="S94" i="106"/>
  <c r="U94" i="106"/>
  <c r="V94" i="106" s="1"/>
  <c r="T94" i="106"/>
  <c r="C181" i="106"/>
  <c r="C173" i="106"/>
  <c r="C165" i="106"/>
  <c r="T145" i="106"/>
  <c r="S145" i="106"/>
  <c r="U145" i="106"/>
  <c r="V145" i="106" s="1"/>
  <c r="T150" i="106"/>
  <c r="S150" i="106"/>
  <c r="U150" i="106"/>
  <c r="V150" i="106" s="1"/>
  <c r="T155" i="106"/>
  <c r="S155" i="106"/>
  <c r="U155" i="106"/>
  <c r="V155" i="106" s="1"/>
  <c r="B179" i="106"/>
  <c r="B168" i="106"/>
  <c r="U91" i="106"/>
  <c r="V91" i="106" s="1"/>
  <c r="T91" i="106"/>
  <c r="S91" i="106"/>
  <c r="B183" i="106"/>
  <c r="B172" i="106"/>
  <c r="U95" i="106"/>
  <c r="V95" i="106" s="1"/>
  <c r="T95" i="106"/>
  <c r="S95" i="106"/>
  <c r="C174" i="106"/>
  <c r="C180" i="106"/>
  <c r="E19" i="14"/>
  <c r="D23" i="14"/>
  <c r="E17" i="14"/>
  <c r="D19" i="14"/>
  <c r="C26" i="20"/>
  <c r="I27" i="14"/>
  <c r="C35" i="106" s="1"/>
  <c r="D22" i="14"/>
  <c r="D20" i="14"/>
  <c r="E24" i="14"/>
  <c r="D17" i="14"/>
  <c r="E21" i="14"/>
  <c r="D21" i="14"/>
  <c r="E20" i="14"/>
  <c r="E23" i="14"/>
  <c r="I72" i="14"/>
  <c r="C80" i="106" s="1"/>
  <c r="D18" i="14"/>
  <c r="I62" i="14"/>
  <c r="C70" i="106" s="1"/>
  <c r="E22" i="14"/>
  <c r="E18" i="14"/>
  <c r="I32" i="14"/>
  <c r="C40" i="106" s="1"/>
  <c r="D24" i="14"/>
  <c r="I24" i="14"/>
  <c r="C32" i="106" s="1"/>
  <c r="I52" i="14"/>
  <c r="C60" i="106" s="1"/>
  <c r="I42" i="14"/>
  <c r="C50" i="106" s="1"/>
  <c r="D16" i="14"/>
  <c r="I71" i="14"/>
  <c r="C79" i="106" s="1"/>
  <c r="I60" i="14"/>
  <c r="C68" i="106" s="1"/>
  <c r="C17" i="14"/>
  <c r="C12" i="106" s="1"/>
  <c r="I55" i="14"/>
  <c r="C63" i="106" s="1"/>
  <c r="I18" i="14"/>
  <c r="C26" i="106" s="1"/>
  <c r="I40" i="14"/>
  <c r="C48" i="106" s="1"/>
  <c r="C19" i="14"/>
  <c r="C14" i="106" s="1"/>
  <c r="I36" i="14"/>
  <c r="C44" i="106" s="1"/>
  <c r="I31" i="14"/>
  <c r="C39" i="106" s="1"/>
  <c r="I57" i="14"/>
  <c r="C65" i="106" s="1"/>
  <c r="I37" i="14"/>
  <c r="C45" i="106" s="1"/>
  <c r="I20" i="14"/>
  <c r="C28" i="106" s="1"/>
  <c r="I46" i="14"/>
  <c r="C54" i="106" s="1"/>
  <c r="C24" i="14"/>
  <c r="C19" i="106" s="1"/>
  <c r="I63" i="14"/>
  <c r="C71" i="106" s="1"/>
  <c r="I43" i="14"/>
  <c r="C51" i="106" s="1"/>
  <c r="I34" i="14"/>
  <c r="C42" i="106" s="1"/>
  <c r="I17" i="14"/>
  <c r="I29" i="14"/>
  <c r="C37" i="106" s="1"/>
  <c r="I70" i="14"/>
  <c r="C78" i="106" s="1"/>
  <c r="I50" i="14"/>
  <c r="C58" i="106" s="1"/>
  <c r="I30" i="14"/>
  <c r="C38" i="106" s="1"/>
  <c r="C22" i="14"/>
  <c r="C17" i="106" s="1"/>
  <c r="I26" i="14"/>
  <c r="C34" i="106" s="1"/>
  <c r="E16" i="14"/>
  <c r="C18" i="14"/>
  <c r="C13" i="106" s="1"/>
  <c r="C25" i="14"/>
  <c r="C20" i="106" s="1"/>
  <c r="C20" i="14"/>
  <c r="C15" i="106" s="1"/>
  <c r="I61" i="14"/>
  <c r="C69" i="106" s="1"/>
  <c r="I41" i="14"/>
  <c r="C49" i="106" s="1"/>
  <c r="I25" i="14"/>
  <c r="C33" i="106" s="1"/>
  <c r="I66" i="14"/>
  <c r="C74" i="106" s="1"/>
  <c r="I22" i="14"/>
  <c r="C30" i="106" s="1"/>
  <c r="I59" i="14"/>
  <c r="C67" i="106" s="1"/>
  <c r="I21" i="14"/>
  <c r="C29" i="106" s="1"/>
  <c r="I65" i="14"/>
  <c r="C73" i="106" s="1"/>
  <c r="I44" i="14"/>
  <c r="C52" i="106" s="1"/>
  <c r="I69" i="14"/>
  <c r="C77" i="106" s="1"/>
  <c r="I68" i="14"/>
  <c r="C76" i="106" s="1"/>
  <c r="I47" i="14"/>
  <c r="C55" i="106" s="1"/>
  <c r="I28" i="14"/>
  <c r="C36" i="106" s="1"/>
  <c r="I51" i="14"/>
  <c r="C59" i="106" s="1"/>
  <c r="C21" i="14"/>
  <c r="C16" i="106" s="1"/>
  <c r="C16" i="14"/>
  <c r="C11" i="106" s="1"/>
  <c r="I23" i="14"/>
  <c r="C31" i="106" s="1"/>
  <c r="I49" i="14"/>
  <c r="C57" i="106" s="1"/>
  <c r="C23" i="14"/>
  <c r="C18" i="106" s="1"/>
  <c r="I56" i="14"/>
  <c r="C64" i="106" s="1"/>
  <c r="I39" i="14"/>
  <c r="C47" i="106" s="1"/>
  <c r="I19" i="14"/>
  <c r="C27" i="106" s="1"/>
  <c r="I54" i="14"/>
  <c r="C62" i="106" s="1"/>
  <c r="I33" i="14"/>
  <c r="C41" i="106" s="1"/>
  <c r="K20" i="8"/>
  <c r="K24" i="8"/>
  <c r="K28" i="8"/>
  <c r="K32" i="8"/>
  <c r="K37" i="8"/>
  <c r="K42" i="8"/>
  <c r="K47" i="8"/>
  <c r="K52" i="8"/>
  <c r="K57" i="8"/>
  <c r="K62" i="8"/>
  <c r="K68" i="8"/>
  <c r="K72" i="8"/>
  <c r="J17" i="8"/>
  <c r="J21" i="8"/>
  <c r="J25" i="8"/>
  <c r="J29" i="8"/>
  <c r="J39" i="8"/>
  <c r="J43" i="8"/>
  <c r="J49" i="8"/>
  <c r="J54" i="8"/>
  <c r="J59" i="8"/>
  <c r="J63" i="8"/>
  <c r="J69" i="8"/>
  <c r="K18" i="8"/>
  <c r="K22" i="8"/>
  <c r="K26" i="8"/>
  <c r="K30" i="8"/>
  <c r="K40" i="8"/>
  <c r="K44" i="8"/>
  <c r="K50" i="8"/>
  <c r="K55" i="8"/>
  <c r="K60" i="8"/>
  <c r="K65" i="8"/>
  <c r="K70" i="8"/>
  <c r="K19" i="8"/>
  <c r="K23" i="8"/>
  <c r="K27" i="8"/>
  <c r="K31" i="8"/>
  <c r="K36" i="8"/>
  <c r="K41" i="8"/>
  <c r="K46" i="8"/>
  <c r="K51" i="8"/>
  <c r="K56" i="8"/>
  <c r="K61" i="8"/>
  <c r="K66" i="8"/>
  <c r="J71" i="8"/>
  <c r="K34" i="8"/>
  <c r="J33" i="8"/>
  <c r="J19" i="8"/>
  <c r="J23" i="8"/>
  <c r="J27" i="8"/>
  <c r="J31" i="8"/>
  <c r="J36" i="8"/>
  <c r="J41" i="8"/>
  <c r="J46" i="8"/>
  <c r="J51" i="8"/>
  <c r="J56" i="8"/>
  <c r="J61" i="8"/>
  <c r="J66" i="8"/>
  <c r="K71" i="8"/>
  <c r="B82" i="106"/>
  <c r="K74" i="8"/>
  <c r="E25" i="8" s="1"/>
  <c r="I3" i="7"/>
  <c r="M3" i="7"/>
  <c r="T3" i="7"/>
  <c r="X3" i="7"/>
  <c r="AB3" i="7"/>
  <c r="AF3" i="7"/>
  <c r="AJ3" i="7"/>
  <c r="AP3" i="7"/>
  <c r="AT3" i="7"/>
  <c r="AZ3" i="7"/>
  <c r="BE3" i="7"/>
  <c r="BJ3" i="7"/>
  <c r="BO3" i="7"/>
  <c r="BT3" i="7"/>
  <c r="J18" i="8"/>
  <c r="J22" i="8"/>
  <c r="J26" i="8"/>
  <c r="J30" i="8"/>
  <c r="J34" i="8"/>
  <c r="J40" i="8"/>
  <c r="J44" i="8"/>
  <c r="J50" i="8"/>
  <c r="J55" i="8"/>
  <c r="J60" i="8"/>
  <c r="J65" i="8"/>
  <c r="J70" i="8"/>
  <c r="B26" i="8"/>
  <c r="B8" i="106" s="1"/>
  <c r="J3" i="7"/>
  <c r="N3" i="7"/>
  <c r="Y3" i="7"/>
  <c r="AL3" i="7"/>
  <c r="BA3" i="7"/>
  <c r="BP3" i="7"/>
  <c r="G3" i="7"/>
  <c r="K3" i="7"/>
  <c r="O3" i="7"/>
  <c r="V3" i="7"/>
  <c r="Z3" i="7"/>
  <c r="AD3" i="7"/>
  <c r="AH3" i="7"/>
  <c r="AM3" i="7"/>
  <c r="AR3" i="7"/>
  <c r="AW3" i="7"/>
  <c r="BB3" i="7"/>
  <c r="BG3" i="7"/>
  <c r="BL3" i="7"/>
  <c r="BR3" i="7"/>
  <c r="BV3" i="7"/>
  <c r="K17" i="8"/>
  <c r="J20" i="8"/>
  <c r="K21" i="8"/>
  <c r="J24" i="8"/>
  <c r="K25" i="8"/>
  <c r="J28" i="8"/>
  <c r="K29" i="8"/>
  <c r="J32" i="8"/>
  <c r="K33" i="8"/>
  <c r="J37" i="8"/>
  <c r="K39" i="8"/>
  <c r="J42" i="8"/>
  <c r="K43" i="8"/>
  <c r="J47" i="8"/>
  <c r="K49" i="8"/>
  <c r="J52" i="8"/>
  <c r="K54" i="8"/>
  <c r="J57" i="8"/>
  <c r="K59" i="8"/>
  <c r="J62" i="8"/>
  <c r="K63" i="8"/>
  <c r="J68" i="8"/>
  <c r="K69" i="8"/>
  <c r="J72" i="8"/>
  <c r="B9" i="106"/>
  <c r="B185" i="106" s="1"/>
  <c r="F3" i="7"/>
  <c r="U3" i="7"/>
  <c r="AC3" i="7"/>
  <c r="AG3" i="7"/>
  <c r="AQ3" i="7"/>
  <c r="AV3" i="7"/>
  <c r="BF3" i="7"/>
  <c r="BK3" i="7"/>
  <c r="BU3" i="7"/>
  <c r="H3" i="7"/>
  <c r="L3" i="7"/>
  <c r="S3" i="7"/>
  <c r="W3" i="7"/>
  <c r="AA3" i="7"/>
  <c r="AE3" i="7"/>
  <c r="AI3" i="7"/>
  <c r="AO3" i="7"/>
  <c r="AS3" i="7"/>
  <c r="AY3" i="7"/>
  <c r="BD3" i="7"/>
  <c r="BI3" i="7"/>
  <c r="BM3" i="7"/>
  <c r="BS3" i="7"/>
  <c r="C175" i="106" l="1"/>
  <c r="S102" i="106"/>
  <c r="S119" i="106"/>
  <c r="X119" i="106" s="1"/>
  <c r="T119" i="106"/>
  <c r="T102" i="106"/>
  <c r="C21" i="106"/>
  <c r="I66" i="8"/>
  <c r="B74" i="106" s="1"/>
  <c r="C25" i="106"/>
  <c r="I75" i="14"/>
  <c r="X159" i="106"/>
  <c r="X158" i="106" s="1"/>
  <c r="X97" i="106" s="1"/>
  <c r="W159" i="106"/>
  <c r="W158" i="106" s="1"/>
  <c r="W97" i="106" s="1"/>
  <c r="X128" i="106"/>
  <c r="W128" i="106"/>
  <c r="X110" i="106"/>
  <c r="W110" i="106"/>
  <c r="B174" i="106"/>
  <c r="X142" i="106"/>
  <c r="W142" i="106"/>
  <c r="X137" i="106"/>
  <c r="W137" i="106"/>
  <c r="X117" i="106"/>
  <c r="W117" i="106"/>
  <c r="X151" i="106"/>
  <c r="W151" i="106"/>
  <c r="X121" i="106"/>
  <c r="W121" i="106"/>
  <c r="X104" i="106"/>
  <c r="W104" i="106"/>
  <c r="X140" i="106"/>
  <c r="W140" i="106"/>
  <c r="X103" i="106"/>
  <c r="W103" i="106"/>
  <c r="X145" i="106"/>
  <c r="W145" i="106"/>
  <c r="X144" i="106"/>
  <c r="W144" i="106"/>
  <c r="X139" i="106"/>
  <c r="W139" i="106"/>
  <c r="X134" i="106"/>
  <c r="W134" i="106"/>
  <c r="X114" i="106"/>
  <c r="W114" i="106"/>
  <c r="X147" i="106"/>
  <c r="W147" i="106"/>
  <c r="X122" i="106"/>
  <c r="W122" i="106"/>
  <c r="X105" i="106"/>
  <c r="W105" i="106"/>
  <c r="X107" i="106"/>
  <c r="W107" i="106"/>
  <c r="S98" i="106"/>
  <c r="B165" i="106"/>
  <c r="B164" i="106" s="1"/>
  <c r="X156" i="106"/>
  <c r="W156" i="106"/>
  <c r="X126" i="106"/>
  <c r="W126" i="106"/>
  <c r="X108" i="106"/>
  <c r="W108" i="106"/>
  <c r="X115" i="106"/>
  <c r="W115" i="106"/>
  <c r="X150" i="106"/>
  <c r="W150" i="106"/>
  <c r="X148" i="106"/>
  <c r="W148" i="106"/>
  <c r="X118" i="106"/>
  <c r="W118" i="106"/>
  <c r="X102" i="106"/>
  <c r="W102" i="106"/>
  <c r="X111" i="106"/>
  <c r="W111" i="106"/>
  <c r="X153" i="106"/>
  <c r="W153" i="106"/>
  <c r="X127" i="106"/>
  <c r="W127" i="106"/>
  <c r="X109" i="106"/>
  <c r="W109" i="106"/>
  <c r="X125" i="106"/>
  <c r="W125" i="106"/>
  <c r="B176" i="106"/>
  <c r="B175" i="106" s="1"/>
  <c r="X141" i="106"/>
  <c r="W141" i="106"/>
  <c r="X131" i="106"/>
  <c r="W131" i="106"/>
  <c r="X112" i="106"/>
  <c r="W112" i="106"/>
  <c r="W119" i="106"/>
  <c r="U82" i="106"/>
  <c r="V82" i="106" s="1"/>
  <c r="T82" i="106"/>
  <c r="X155" i="106"/>
  <c r="W155" i="106"/>
  <c r="C164" i="106"/>
  <c r="X154" i="106"/>
  <c r="W154" i="106"/>
  <c r="X124" i="106"/>
  <c r="W124" i="106"/>
  <c r="X106" i="106"/>
  <c r="W106" i="106"/>
  <c r="X129" i="106"/>
  <c r="W129" i="106"/>
  <c r="X157" i="106"/>
  <c r="W157" i="106"/>
  <c r="X132" i="106"/>
  <c r="W132" i="106"/>
  <c r="X113" i="106"/>
  <c r="W113" i="106"/>
  <c r="X135" i="106"/>
  <c r="W135" i="106"/>
  <c r="X146" i="106"/>
  <c r="W146" i="106"/>
  <c r="X136" i="106"/>
  <c r="W136" i="106"/>
  <c r="X116" i="106"/>
  <c r="W116" i="106"/>
  <c r="E19" i="8"/>
  <c r="E17" i="8"/>
  <c r="E23" i="8"/>
  <c r="C26" i="14"/>
  <c r="E21" i="8"/>
  <c r="E20" i="8"/>
  <c r="I17" i="8"/>
  <c r="D17" i="8"/>
  <c r="D23" i="8"/>
  <c r="D19" i="8"/>
  <c r="E24" i="8"/>
  <c r="I68" i="8"/>
  <c r="B76" i="106" s="1"/>
  <c r="I42" i="8"/>
  <c r="B50" i="106" s="1"/>
  <c r="I62" i="8"/>
  <c r="B70" i="106" s="1"/>
  <c r="I32" i="8"/>
  <c r="B40" i="106" s="1"/>
  <c r="D22" i="8"/>
  <c r="D18" i="8"/>
  <c r="I52" i="8"/>
  <c r="B60" i="106" s="1"/>
  <c r="I28" i="8"/>
  <c r="B36" i="106" s="1"/>
  <c r="E22" i="8"/>
  <c r="E18" i="8"/>
  <c r="D21" i="8"/>
  <c r="D16" i="8"/>
  <c r="I72" i="8"/>
  <c r="B80" i="106" s="1"/>
  <c r="I47" i="8"/>
  <c r="B55" i="106" s="1"/>
  <c r="I24" i="8"/>
  <c r="B32" i="106" s="1"/>
  <c r="D20" i="8"/>
  <c r="C17" i="8"/>
  <c r="B12" i="106" s="1"/>
  <c r="C16" i="8"/>
  <c r="B11" i="106" s="1"/>
  <c r="I55" i="8"/>
  <c r="B63" i="106" s="1"/>
  <c r="I40" i="8"/>
  <c r="B48" i="106" s="1"/>
  <c r="I26" i="8"/>
  <c r="B34" i="106" s="1"/>
  <c r="I63" i="8"/>
  <c r="B71" i="106" s="1"/>
  <c r="I41" i="8"/>
  <c r="B49" i="106" s="1"/>
  <c r="B31" i="106"/>
  <c r="C18" i="8"/>
  <c r="B13" i="106" s="1"/>
  <c r="I49" i="8"/>
  <c r="B57" i="106" s="1"/>
  <c r="I29" i="8"/>
  <c r="B37" i="106" s="1"/>
  <c r="I71" i="8"/>
  <c r="B79" i="106" s="1"/>
  <c r="I51" i="8"/>
  <c r="B59" i="106" s="1"/>
  <c r="I70" i="8"/>
  <c r="B78" i="106" s="1"/>
  <c r="I50" i="8"/>
  <c r="B58" i="106" s="1"/>
  <c r="I22" i="8"/>
  <c r="B30" i="106" s="1"/>
  <c r="I59" i="8"/>
  <c r="B67" i="106" s="1"/>
  <c r="I36" i="8"/>
  <c r="B44" i="106" s="1"/>
  <c r="I19" i="8"/>
  <c r="B27" i="106" s="1"/>
  <c r="I43" i="8"/>
  <c r="B51" i="106" s="1"/>
  <c r="I25" i="8"/>
  <c r="B33" i="106" s="1"/>
  <c r="I57" i="8"/>
  <c r="B65" i="106" s="1"/>
  <c r="I37" i="8"/>
  <c r="B45" i="106" s="1"/>
  <c r="I20" i="8"/>
  <c r="B28" i="106" s="1"/>
  <c r="D24" i="8"/>
  <c r="C25" i="8"/>
  <c r="B20" i="106" s="1"/>
  <c r="C24" i="8"/>
  <c r="B19" i="106" s="1"/>
  <c r="I65" i="8"/>
  <c r="B73" i="106" s="1"/>
  <c r="B42" i="106"/>
  <c r="I18" i="8"/>
  <c r="B26" i="106" s="1"/>
  <c r="I54" i="8"/>
  <c r="B62" i="106" s="1"/>
  <c r="I31" i="8"/>
  <c r="B39" i="106" s="1"/>
  <c r="C23" i="8"/>
  <c r="B18" i="106" s="1"/>
  <c r="I61" i="8"/>
  <c r="B69" i="106" s="1"/>
  <c r="I39" i="8"/>
  <c r="B47" i="106" s="1"/>
  <c r="I21" i="8"/>
  <c r="B29" i="106" s="1"/>
  <c r="E16" i="8"/>
  <c r="C21" i="8"/>
  <c r="B16" i="106" s="1"/>
  <c r="C20" i="8"/>
  <c r="B15" i="106" s="1"/>
  <c r="I60" i="8"/>
  <c r="B68" i="106" s="1"/>
  <c r="I44" i="8"/>
  <c r="B52" i="106" s="1"/>
  <c r="I30" i="8"/>
  <c r="B38" i="106" s="1"/>
  <c r="I69" i="8"/>
  <c r="B77" i="106" s="1"/>
  <c r="I46" i="8"/>
  <c r="B54" i="106" s="1"/>
  <c r="I27" i="8"/>
  <c r="B35" i="106" s="1"/>
  <c r="C19" i="8"/>
  <c r="B14" i="106" s="1"/>
  <c r="C22" i="8"/>
  <c r="B17" i="106" s="1"/>
  <c r="I56" i="8"/>
  <c r="B64" i="106" s="1"/>
  <c r="I33" i="8"/>
  <c r="B41" i="106" s="1"/>
  <c r="W149" i="106" l="1"/>
  <c r="W95" i="106" s="1"/>
  <c r="X149" i="106"/>
  <c r="X95" i="106" s="1"/>
  <c r="B25" i="106"/>
  <c r="U25" i="106" s="1"/>
  <c r="V25" i="106" s="1"/>
  <c r="I75" i="8"/>
  <c r="U41" i="106"/>
  <c r="V41" i="106" s="1"/>
  <c r="T41" i="106"/>
  <c r="U17" i="106"/>
  <c r="V17" i="106" s="1"/>
  <c r="T17" i="106"/>
  <c r="U15" i="106"/>
  <c r="V15" i="106" s="1"/>
  <c r="T15" i="106"/>
  <c r="U62" i="106"/>
  <c r="V62" i="106" s="1"/>
  <c r="T62" i="106"/>
  <c r="U14" i="106"/>
  <c r="V14" i="106" s="1"/>
  <c r="T14" i="106"/>
  <c r="U38" i="106"/>
  <c r="V38" i="106" s="1"/>
  <c r="T38" i="106"/>
  <c r="U16" i="106"/>
  <c r="V16" i="106" s="1"/>
  <c r="T16" i="106"/>
  <c r="U69" i="106"/>
  <c r="V69" i="106" s="1"/>
  <c r="T69" i="106"/>
  <c r="U26" i="106"/>
  <c r="V26" i="106" s="1"/>
  <c r="T26" i="106"/>
  <c r="U20" i="106"/>
  <c r="V20" i="106" s="1"/>
  <c r="T20" i="106"/>
  <c r="U65" i="106"/>
  <c r="V65" i="106" s="1"/>
  <c r="T65" i="106"/>
  <c r="U27" i="106"/>
  <c r="V27" i="106" s="1"/>
  <c r="T27" i="106"/>
  <c r="U58" i="106"/>
  <c r="V58" i="106" s="1"/>
  <c r="T58" i="106"/>
  <c r="U37" i="106"/>
  <c r="V37" i="106" s="1"/>
  <c r="T37" i="106"/>
  <c r="U49" i="106"/>
  <c r="V49" i="106" s="1"/>
  <c r="T49" i="106"/>
  <c r="U63" i="106"/>
  <c r="V63" i="106" s="1"/>
  <c r="T63" i="106"/>
  <c r="U32" i="106"/>
  <c r="V32" i="106" s="1"/>
  <c r="T32" i="106"/>
  <c r="U60" i="106"/>
  <c r="V60" i="106" s="1"/>
  <c r="T60" i="106"/>
  <c r="U70" i="106"/>
  <c r="V70" i="106" s="1"/>
  <c r="T70" i="106"/>
  <c r="X138" i="106"/>
  <c r="X93" i="106" s="1"/>
  <c r="X120" i="106"/>
  <c r="X89" i="106" s="1"/>
  <c r="U35" i="106"/>
  <c r="V35" i="106" s="1"/>
  <c r="T35" i="106"/>
  <c r="U52" i="106"/>
  <c r="V52" i="106" s="1"/>
  <c r="T52" i="106"/>
  <c r="U18" i="106"/>
  <c r="V18" i="106" s="1"/>
  <c r="T18" i="106"/>
  <c r="U42" i="106"/>
  <c r="V42" i="106" s="1"/>
  <c r="T42" i="106"/>
  <c r="U33" i="106"/>
  <c r="V33" i="106" s="1"/>
  <c r="T33" i="106"/>
  <c r="U44" i="106"/>
  <c r="V44" i="106" s="1"/>
  <c r="T44" i="106"/>
  <c r="U78" i="106"/>
  <c r="V78" i="106" s="1"/>
  <c r="T78" i="106"/>
  <c r="U57" i="106"/>
  <c r="V57" i="106" s="1"/>
  <c r="T57" i="106"/>
  <c r="U71" i="106"/>
  <c r="V71" i="106" s="1"/>
  <c r="T71" i="106"/>
  <c r="B21" i="106"/>
  <c r="T11" i="106"/>
  <c r="U11" i="106"/>
  <c r="V11" i="106" s="1"/>
  <c r="U55" i="106"/>
  <c r="V55" i="106" s="1"/>
  <c r="T55" i="106"/>
  <c r="U50" i="106"/>
  <c r="V50" i="106" s="1"/>
  <c r="T50" i="106"/>
  <c r="W123" i="106"/>
  <c r="W90" i="106" s="1"/>
  <c r="W152" i="106"/>
  <c r="W96" i="106" s="1"/>
  <c r="W101" i="106"/>
  <c r="W88" i="106" s="1"/>
  <c r="W133" i="106"/>
  <c r="W92" i="106" s="1"/>
  <c r="W143" i="106"/>
  <c r="W94" i="106" s="1"/>
  <c r="U64" i="106"/>
  <c r="V64" i="106" s="1"/>
  <c r="T64" i="106"/>
  <c r="U54" i="106"/>
  <c r="V54" i="106" s="1"/>
  <c r="T54" i="106"/>
  <c r="U68" i="106"/>
  <c r="V68" i="106" s="1"/>
  <c r="T68" i="106"/>
  <c r="U29" i="106"/>
  <c r="V29" i="106" s="1"/>
  <c r="T29" i="106"/>
  <c r="U39" i="106"/>
  <c r="V39" i="106" s="1"/>
  <c r="T39" i="106"/>
  <c r="U73" i="106"/>
  <c r="V73" i="106" s="1"/>
  <c r="T73" i="106"/>
  <c r="U28" i="106"/>
  <c r="V28" i="106" s="1"/>
  <c r="T28" i="106"/>
  <c r="U51" i="106"/>
  <c r="V51" i="106" s="1"/>
  <c r="T51" i="106"/>
  <c r="U67" i="106"/>
  <c r="V67" i="106" s="1"/>
  <c r="T67" i="106"/>
  <c r="U59" i="106"/>
  <c r="V59" i="106" s="1"/>
  <c r="T59" i="106"/>
  <c r="T13" i="106"/>
  <c r="U13" i="106"/>
  <c r="V13" i="106" s="1"/>
  <c r="U34" i="106"/>
  <c r="V34" i="106" s="1"/>
  <c r="T34" i="106"/>
  <c r="T12" i="106"/>
  <c r="U12" i="106"/>
  <c r="V12" i="106" s="1"/>
  <c r="U80" i="106"/>
  <c r="V80" i="106" s="1"/>
  <c r="T80" i="106"/>
  <c r="U76" i="106"/>
  <c r="V76" i="106" s="1"/>
  <c r="T76" i="106"/>
  <c r="X123" i="106"/>
  <c r="X90" i="106" s="1"/>
  <c r="W130" i="106"/>
  <c r="W91" i="106" s="1"/>
  <c r="X152" i="106"/>
  <c r="X96" i="106" s="1"/>
  <c r="X101" i="106"/>
  <c r="X88" i="106" s="1"/>
  <c r="X133" i="106"/>
  <c r="X92" i="106" s="1"/>
  <c r="X143" i="106"/>
  <c r="X94" i="106" s="1"/>
  <c r="U77" i="106"/>
  <c r="V77" i="106" s="1"/>
  <c r="T77" i="106"/>
  <c r="U47" i="106"/>
  <c r="V47" i="106" s="1"/>
  <c r="T47" i="106"/>
  <c r="U19" i="106"/>
  <c r="V19" i="106" s="1"/>
  <c r="T19" i="106"/>
  <c r="U45" i="106"/>
  <c r="V45" i="106" s="1"/>
  <c r="T45" i="106"/>
  <c r="U74" i="106"/>
  <c r="V74" i="106" s="1"/>
  <c r="T74" i="106"/>
  <c r="U30" i="106"/>
  <c r="V30" i="106" s="1"/>
  <c r="T30" i="106"/>
  <c r="U79" i="106"/>
  <c r="V79" i="106" s="1"/>
  <c r="T79" i="106"/>
  <c r="U31" i="106"/>
  <c r="V31" i="106" s="1"/>
  <c r="T31" i="106"/>
  <c r="U48" i="106"/>
  <c r="V48" i="106" s="1"/>
  <c r="T48" i="106"/>
  <c r="U36" i="106"/>
  <c r="V36" i="106" s="1"/>
  <c r="T36" i="106"/>
  <c r="U40" i="106"/>
  <c r="V40" i="106" s="1"/>
  <c r="T40" i="106"/>
  <c r="X130" i="106"/>
  <c r="X91" i="106" s="1"/>
  <c r="W138" i="106"/>
  <c r="W93" i="106" s="1"/>
  <c r="W120" i="106"/>
  <c r="W89" i="106" s="1"/>
  <c r="C26" i="8"/>
  <c r="T25" i="106" l="1"/>
</calcChain>
</file>

<file path=xl/sharedStrings.xml><?xml version="1.0" encoding="utf-8"?>
<sst xmlns="http://schemas.openxmlformats.org/spreadsheetml/2006/main" count="23159" uniqueCount="460">
  <si>
    <t>Photo Name</t>
  </si>
  <si>
    <t>X</t>
  </si>
  <si>
    <t>Y</t>
  </si>
  <si>
    <t>s_pt1</t>
  </si>
  <si>
    <t>Sub-categories</t>
  </si>
  <si>
    <t>s_pt2</t>
  </si>
  <si>
    <t>s_pt3</t>
  </si>
  <si>
    <t>s_pt4</t>
  </si>
  <si>
    <t>s_pt5</t>
  </si>
  <si>
    <t>s_pt6</t>
  </si>
  <si>
    <t>s_pt7</t>
  </si>
  <si>
    <t>s_pt8</t>
  </si>
  <si>
    <t>s_pt9</t>
  </si>
  <si>
    <t>s_pt10</t>
  </si>
  <si>
    <t>s_pt11</t>
  </si>
  <si>
    <t>s_pt12</t>
  </si>
  <si>
    <t>s_pt13</t>
  </si>
  <si>
    <t>s_pt14</t>
  </si>
  <si>
    <t>s_pt15</t>
  </si>
  <si>
    <t>s_pt16</t>
  </si>
  <si>
    <t>s_pt17</t>
  </si>
  <si>
    <t>s_pt18</t>
  </si>
  <si>
    <t>s_pt19</t>
  </si>
  <si>
    <t>s_pt20</t>
  </si>
  <si>
    <t>s_pt21</t>
  </si>
  <si>
    <t>s_pt22</t>
  </si>
  <si>
    <t>s_pt23</t>
  </si>
  <si>
    <t>s_pt24</t>
  </si>
  <si>
    <t>s_pt25</t>
  </si>
  <si>
    <t>s_pt26</t>
  </si>
  <si>
    <t>s_pt27</t>
  </si>
  <si>
    <t>s_pt28</t>
  </si>
  <si>
    <t>s_pt29</t>
  </si>
  <si>
    <t>s_pt30</t>
  </si>
  <si>
    <t>s_pt31</t>
  </si>
  <si>
    <t>s_pt32</t>
  </si>
  <si>
    <t>s_pt33</t>
  </si>
  <si>
    <t>s_pt34</t>
  </si>
  <si>
    <t>s_pt35</t>
  </si>
  <si>
    <t>s_pt36</t>
  </si>
  <si>
    <t>s_pt37</t>
  </si>
  <si>
    <t>s_pt38</t>
  </si>
  <si>
    <t>s_pt39</t>
  </si>
  <si>
    <t>s_pt40</t>
  </si>
  <si>
    <t>s_pt41</t>
  </si>
  <si>
    <t>s_pt42</t>
  </si>
  <si>
    <t>s_pt43</t>
  </si>
  <si>
    <t>s_pt44</t>
  </si>
  <si>
    <t>s_pt45</t>
  </si>
  <si>
    <t>s_pt46</t>
  </si>
  <si>
    <t>s_pt47</t>
  </si>
  <si>
    <t>s_pt48</t>
  </si>
  <si>
    <t>s_pt49</t>
  </si>
  <si>
    <t>s_pt50</t>
  </si>
  <si>
    <t>s_pt51</t>
  </si>
  <si>
    <t>s_pt52</t>
  </si>
  <si>
    <t>s_pt53</t>
  </si>
  <si>
    <t>s_pt54</t>
  </si>
  <si>
    <t>s_pt55</t>
  </si>
  <si>
    <t>s_pt56</t>
  </si>
  <si>
    <t>s_pt57</t>
  </si>
  <si>
    <t>s_pt58</t>
  </si>
  <si>
    <t>s_pt59</t>
  </si>
  <si>
    <t>s_pt60</t>
  </si>
  <si>
    <t>s_pt61</t>
  </si>
  <si>
    <t>s_pt62</t>
  </si>
  <si>
    <t>s_pt63</t>
  </si>
  <si>
    <t>s_pt64</t>
  </si>
  <si>
    <t>m_pt1</t>
  </si>
  <si>
    <t>Major categories</t>
  </si>
  <si>
    <t>m_pt2</t>
  </si>
  <si>
    <t>m_pt3</t>
  </si>
  <si>
    <t>m_pt4</t>
  </si>
  <si>
    <t>m_pt5</t>
  </si>
  <si>
    <t>m_pt6</t>
  </si>
  <si>
    <t>m_pt7</t>
  </si>
  <si>
    <t>m_pt8</t>
  </si>
  <si>
    <t>m_pt9</t>
  </si>
  <si>
    <t>m_pt10</t>
  </si>
  <si>
    <t>m_pt11</t>
  </si>
  <si>
    <t>m_pt12</t>
  </si>
  <si>
    <t>m_pt13</t>
  </si>
  <si>
    <t>m_pt14</t>
  </si>
  <si>
    <t>m_pt15</t>
  </si>
  <si>
    <t>m_pt16</t>
  </si>
  <si>
    <t>m_pt17</t>
  </si>
  <si>
    <t>m_pt18</t>
  </si>
  <si>
    <t>m_pt19</t>
  </si>
  <si>
    <t>m_pt20</t>
  </si>
  <si>
    <t>m_pt21</t>
  </si>
  <si>
    <t>m_pt22</t>
  </si>
  <si>
    <t>m_pt23</t>
  </si>
  <si>
    <t>m_pt24</t>
  </si>
  <si>
    <t>m_pt25</t>
  </si>
  <si>
    <t>m_pt26</t>
  </si>
  <si>
    <t>m_pt27</t>
  </si>
  <si>
    <t>m_pt28</t>
  </si>
  <si>
    <t>m_pt29</t>
  </si>
  <si>
    <t>m_pt30</t>
  </si>
  <si>
    <t>m_pt31</t>
  </si>
  <si>
    <t>m_pt32</t>
  </si>
  <si>
    <t>m_pt33</t>
  </si>
  <si>
    <t>m_pt34</t>
  </si>
  <si>
    <t>m_pt35</t>
  </si>
  <si>
    <t>m_pt36</t>
  </si>
  <si>
    <t>m_pt37</t>
  </si>
  <si>
    <t>m_pt38</t>
  </si>
  <si>
    <t>m_pt39</t>
  </si>
  <si>
    <t>m_pt40</t>
  </si>
  <si>
    <t>m_pt41</t>
  </si>
  <si>
    <t>m_pt42</t>
  </si>
  <si>
    <t>m_pt43</t>
  </si>
  <si>
    <t>m_pt44</t>
  </si>
  <si>
    <t>m_pt45</t>
  </si>
  <si>
    <t>m_pt46</t>
  </si>
  <si>
    <t>m_pt47</t>
  </si>
  <si>
    <t>m_pt48</t>
  </si>
  <si>
    <t>m_pt49</t>
  </si>
  <si>
    <t>m_pt50</t>
  </si>
  <si>
    <t>m_pt51</t>
  </si>
  <si>
    <t>m_pt52</t>
  </si>
  <si>
    <t>m_pt53</t>
  </si>
  <si>
    <t>m_pt54</t>
  </si>
  <si>
    <t>m_pt55</t>
  </si>
  <si>
    <t>m_pt56</t>
  </si>
  <si>
    <t>m_pt57</t>
  </si>
  <si>
    <t>m_pt58</t>
  </si>
  <si>
    <t>m_pt59</t>
  </si>
  <si>
    <t>m_pt60</t>
  </si>
  <si>
    <t>m_pt61</t>
  </si>
  <si>
    <t>m_pt62</t>
  </si>
  <si>
    <t>m_pt63</t>
  </si>
  <si>
    <t>m_pt64</t>
  </si>
  <si>
    <t>n_pt1</t>
  </si>
  <si>
    <t>Notes</t>
  </si>
  <si>
    <t>n_pt2</t>
  </si>
  <si>
    <t>n_pt3</t>
  </si>
  <si>
    <t>n_pt4</t>
  </si>
  <si>
    <t>n_pt5</t>
  </si>
  <si>
    <t>n_pt6</t>
  </si>
  <si>
    <t>n_pt7</t>
  </si>
  <si>
    <t>n_pt8</t>
  </si>
  <si>
    <t>n_pt9</t>
  </si>
  <si>
    <t>n_pt10</t>
  </si>
  <si>
    <t>n_pt11</t>
  </si>
  <si>
    <t>n_pt12</t>
  </si>
  <si>
    <t>n_pt13</t>
  </si>
  <si>
    <t>n_pt14</t>
  </si>
  <si>
    <t>n_pt15</t>
  </si>
  <si>
    <t>n_pt16</t>
  </si>
  <si>
    <t>n_pt17</t>
  </si>
  <si>
    <t>n_pt18</t>
  </si>
  <si>
    <t>n_pt19</t>
  </si>
  <si>
    <t>n_pt20</t>
  </si>
  <si>
    <t>n_pt21</t>
  </si>
  <si>
    <t>n_pt22</t>
  </si>
  <si>
    <t>n_pt23</t>
  </si>
  <si>
    <t>n_pt24</t>
  </si>
  <si>
    <t>n_pt25</t>
  </si>
  <si>
    <t>n_pt26</t>
  </si>
  <si>
    <t>n_pt27</t>
  </si>
  <si>
    <t>n_pt28</t>
  </si>
  <si>
    <t>n_pt29</t>
  </si>
  <si>
    <t>n_pt30</t>
  </si>
  <si>
    <t>n_pt31</t>
  </si>
  <si>
    <t>n_pt32</t>
  </si>
  <si>
    <t>n_pt33</t>
  </si>
  <si>
    <t>n_pt34</t>
  </si>
  <si>
    <t>n_pt35</t>
  </si>
  <si>
    <t>n_pt36</t>
  </si>
  <si>
    <t>n_pt37</t>
  </si>
  <si>
    <t>n_pt38</t>
  </si>
  <si>
    <t>n_pt39</t>
  </si>
  <si>
    <t>n_pt40</t>
  </si>
  <si>
    <t>n_pt41</t>
  </si>
  <si>
    <t>n_pt42</t>
  </si>
  <si>
    <t>n_pt43</t>
  </si>
  <si>
    <t>n_pt44</t>
  </si>
  <si>
    <t>n_pt45</t>
  </si>
  <si>
    <t>n_pt46</t>
  </si>
  <si>
    <t>n_pt47</t>
  </si>
  <si>
    <t>n_pt48</t>
  </si>
  <si>
    <t>n_pt49</t>
  </si>
  <si>
    <t>n_pt50</t>
  </si>
  <si>
    <t>n_pt51</t>
  </si>
  <si>
    <t>n_pt52</t>
  </si>
  <si>
    <t>n_pt53</t>
  </si>
  <si>
    <t>n_pt54</t>
  </si>
  <si>
    <t>n_pt55</t>
  </si>
  <si>
    <t>n_pt56</t>
  </si>
  <si>
    <t>n_pt57</t>
  </si>
  <si>
    <t>n_pt58</t>
  </si>
  <si>
    <t>n_pt59</t>
  </si>
  <si>
    <t>n_pt60</t>
  </si>
  <si>
    <t>n_pt61</t>
  </si>
  <si>
    <t>n_pt62</t>
  </si>
  <si>
    <t>n_pt63</t>
  </si>
  <si>
    <t>n_pt64</t>
  </si>
  <si>
    <t>Lekeitio_2_1a.jpg</t>
  </si>
  <si>
    <t>Major Categories (% of photo excluding TWS)</t>
  </si>
  <si>
    <t>Indeterminate</t>
  </si>
  <si>
    <t>Ascidiaceae</t>
  </si>
  <si>
    <t>Florideophyceae, algae</t>
  </si>
  <si>
    <t>Phaeophyceae, algae </t>
  </si>
  <si>
    <t>Gymnolaemata, bryozoa</t>
  </si>
  <si>
    <t>Stenolaemata, bryozoa</t>
  </si>
  <si>
    <t>Gastropoda</t>
  </si>
  <si>
    <t>Maxillopoda, Cirripedia</t>
  </si>
  <si>
    <t>Polychaeta</t>
  </si>
  <si>
    <t>Ulvophyceae</t>
  </si>
  <si>
    <t>Number of points classified in image</t>
  </si>
  <si>
    <t>Sub-Categories (% of photo excluding TWS)</t>
  </si>
  <si>
    <t>Alga parda indet (108)</t>
  </si>
  <si>
    <t>Demospongiae or Ascidiacea colony (105)</t>
  </si>
  <si>
    <t>Difuse image (103)</t>
  </si>
  <si>
    <t>Encrusting patch (107)</t>
  </si>
  <si>
    <t>Indeterminate (101)</t>
  </si>
  <si>
    <t>Paper (106)</t>
  </si>
  <si>
    <t>Plate (102)</t>
  </si>
  <si>
    <t>Rhodophyta indet. (104)</t>
  </si>
  <si>
    <t>Sp2 Costra morada Pasaia (111)</t>
  </si>
  <si>
    <t>Sp3 briozo amorfo (112)</t>
  </si>
  <si>
    <t>Sp4 anelido marron lekeitio (113)</t>
  </si>
  <si>
    <t>Sp5 Filamentos zumaia (114)</t>
  </si>
  <si>
    <t>Sp6 colonial morada zumaia (115)</t>
  </si>
  <si>
    <t>Sp7 estrellada lekeitio (116)</t>
  </si>
  <si>
    <t>Sp8 porosa blanca lekeitio (117)</t>
  </si>
  <si>
    <t>Sp9 costra blanca lekeitio (118)</t>
  </si>
  <si>
    <t>not_colonisable (109)</t>
  </si>
  <si>
    <t>sp1 Parda Lekeitio (110)</t>
  </si>
  <si>
    <t>Ascidia colony no ID (202)</t>
  </si>
  <si>
    <t>Ciona intestinalis (201)</t>
  </si>
  <si>
    <t>Bonnemaisonia asparragoides (306)</t>
  </si>
  <si>
    <t>Chondria sp (302)</t>
  </si>
  <si>
    <t>Chondria sp mezclada con Lomentaria articulata (307)</t>
  </si>
  <si>
    <t>Lithophyllum incrustans (303)</t>
  </si>
  <si>
    <t>Lomentaria articulata (304)</t>
  </si>
  <si>
    <t>Lomentaria ercegovicii (305)</t>
  </si>
  <si>
    <t>Dictyota dichotoma (401)</t>
  </si>
  <si>
    <t>Spatoglossum schroederi (402)</t>
  </si>
  <si>
    <t>Cheilostomatida indet (501)</t>
  </si>
  <si>
    <t>Reptadeonella violacea (502)</t>
  </si>
  <si>
    <t>Scrupocellaria sp (503)</t>
  </si>
  <si>
    <t>Umbonula ovicellata (504)</t>
  </si>
  <si>
    <t>Crisia sp (601)</t>
  </si>
  <si>
    <t>Disporella hispida (602)</t>
  </si>
  <si>
    <t>Plagioecia patina (603)</t>
  </si>
  <si>
    <t>Tubulipora sp (604)</t>
  </si>
  <si>
    <t>Anomia ephippium (701)</t>
  </si>
  <si>
    <t>Anomia juvenile (702)</t>
  </si>
  <si>
    <t>Fissurella sp (703)</t>
  </si>
  <si>
    <t>Gasteropoda spawn (705)</t>
  </si>
  <si>
    <t>Haliotis tuberculata (704)</t>
  </si>
  <si>
    <t>Balanus trigonus (801)</t>
  </si>
  <si>
    <t>Perforatus perforatus (802)</t>
  </si>
  <si>
    <t>Filograna implexa (901)</t>
  </si>
  <si>
    <t>Serpula sp (902)</t>
  </si>
  <si>
    <t>Serpula sp. covered by no ID (904)</t>
  </si>
  <si>
    <t>Serpulidos juveniles (905)</t>
  </si>
  <si>
    <t>Spirobranchus polytrema (903)</t>
  </si>
  <si>
    <t>Ulva lactuca (1001)</t>
  </si>
  <si>
    <t>NOTES (% of image)</t>
  </si>
  <si>
    <t>Project:</t>
  </si>
  <si>
    <t>Location:</t>
  </si>
  <si>
    <t>Lat:</t>
  </si>
  <si>
    <t>Long:</t>
  </si>
  <si>
    <t>Transect name/number:</t>
  </si>
  <si>
    <t>Tape Number:</t>
  </si>
  <si>
    <t>Date of Filming:</t>
  </si>
  <si>
    <t>Transect length:</t>
  </si>
  <si>
    <t>Random points/frame:</t>
  </si>
  <si>
    <t>Codefile:</t>
  </si>
  <si>
    <t>F:\codigo cpc.txt</t>
  </si>
  <si>
    <t>Number of frames:</t>
  </si>
  <si>
    <t>Frames start row:</t>
  </si>
  <si>
    <t>Frames end row:</t>
  </si>
  <si>
    <t>Number of data points:</t>
  </si>
  <si>
    <t>Analysis by:</t>
  </si>
  <si>
    <t>Date of Analysis:</t>
  </si>
  <si>
    <t>File/sheetname:</t>
  </si>
  <si>
    <t>CATEGORIES</t>
  </si>
  <si>
    <t># Points</t>
  </si>
  <si>
    <t>%</t>
  </si>
  <si>
    <t>SW Index</t>
  </si>
  <si>
    <t>Simpson (1-D)</t>
  </si>
  <si>
    <t>Total pts. minus (tape+wand+shadow):</t>
  </si>
  <si>
    <t>Raw Data</t>
  </si>
  <si>
    <t>Major Category</t>
  </si>
  <si>
    <t>Frame limits</t>
  </si>
  <si>
    <t>Frame image name</t>
  </si>
  <si>
    <t>CPC filename</t>
  </si>
  <si>
    <t>Institution</t>
  </si>
  <si>
    <t>Project</t>
  </si>
  <si>
    <t>Station</t>
  </si>
  <si>
    <t>Location</t>
  </si>
  <si>
    <t>Country</t>
  </si>
  <si>
    <t>Sitename</t>
  </si>
  <si>
    <t>Site ID</t>
  </si>
  <si>
    <t>Site Code</t>
  </si>
  <si>
    <t>Latitude</t>
  </si>
  <si>
    <t>Longtitude</t>
  </si>
  <si>
    <t>Easting</t>
  </si>
  <si>
    <t>Northing</t>
  </si>
  <si>
    <t>Projection</t>
  </si>
  <si>
    <t>Datum</t>
  </si>
  <si>
    <t>Transect</t>
  </si>
  <si>
    <t>Transect Direction</t>
  </si>
  <si>
    <t>Transect Length</t>
  </si>
  <si>
    <t>Depth</t>
  </si>
  <si>
    <t>Quad</t>
  </si>
  <si>
    <t>Habitat</t>
  </si>
  <si>
    <t>Water Quality</t>
  </si>
  <si>
    <t>Photo date</t>
  </si>
  <si>
    <t>Photo time</t>
  </si>
  <si>
    <t>Photographer</t>
  </si>
  <si>
    <t>Camera</t>
  </si>
  <si>
    <t>Lens</t>
  </si>
  <si>
    <t>Analysis date</t>
  </si>
  <si>
    <t>Analysis tech</t>
  </si>
  <si>
    <t>RESULTS SUMMARY CHART</t>
  </si>
  <si>
    <t>INDETERMINATE (100)</t>
  </si>
  <si>
    <t>ASCIDIACEAE (200)</t>
  </si>
  <si>
    <t>FLORIDEOPHYCEAE, ALGAE (300)</t>
  </si>
  <si>
    <t>PHAEOPHYCEAE, ALGAE  (400)</t>
  </si>
  <si>
    <t>GYMNOLAEMATA, BRYOZOA (500)</t>
  </si>
  <si>
    <t>STENOLAEMATA, BRYOZOA (600)</t>
  </si>
  <si>
    <t>GASTROPODA (700)</t>
  </si>
  <si>
    <t>MAXILLOPODA, CIRRIPEDIA (800)</t>
  </si>
  <si>
    <t>POLYCHAETA (900)</t>
  </si>
  <si>
    <t>ULVOPHYCEAE (1000)</t>
  </si>
  <si>
    <t>TOTALS</t>
  </si>
  <si>
    <t>NOTES (% of transect)</t>
  </si>
  <si>
    <t>NOTES (% of coral)</t>
  </si>
  <si>
    <t>DEVOTES</t>
  </si>
  <si>
    <t>Lekeitio</t>
  </si>
  <si>
    <t>ARMS2</t>
  </si>
  <si>
    <t>Lekeitio_2_1a</t>
  </si>
  <si>
    <t>F:\Lekeitio\Lekeitio - ARMS2\Lekeitio_2_1a.jpg</t>
  </si>
  <si>
    <t>f:\Lekeitio\Lekeitio - ARMS2\Lekeitio_2_1a.cpc</t>
  </si>
  <si>
    <t>*</t>
  </si>
  <si>
    <t>**</t>
  </si>
  <si>
    <t>Project Name</t>
  </si>
  <si>
    <t>Site Name</t>
  </si>
  <si>
    <t>Longitude</t>
  </si>
  <si>
    <t>Transect Dir.</t>
  </si>
  <si>
    <t>Water Qual.</t>
  </si>
  <si>
    <t>Image Date</t>
  </si>
  <si>
    <t>Image Time</t>
  </si>
  <si>
    <t>Analysis Date</t>
  </si>
  <si>
    <t>Analysis Tech.</t>
  </si>
  <si>
    <t>File Name</t>
  </si>
  <si>
    <t>Image Name</t>
  </si>
  <si>
    <t>Total Points</t>
  </si>
  <si>
    <t>Point #</t>
  </si>
  <si>
    <t>Class ID</t>
  </si>
  <si>
    <t>ID Name</t>
  </si>
  <si>
    <t>ID Code</t>
  </si>
  <si>
    <t>Subcategory</t>
  </si>
  <si>
    <t>Ulva lactuca</t>
  </si>
  <si>
    <t>sp1 Parda Lekeitio</t>
  </si>
  <si>
    <t>Plate</t>
  </si>
  <si>
    <t>not_colonisable</t>
  </si>
  <si>
    <t>Dataset name:</t>
  </si>
  <si>
    <t>Analysis date:</t>
  </si>
  <si>
    <t>TRANSECT NAME</t>
  </si>
  <si>
    <t>Number of frames</t>
  </si>
  <si>
    <t>Total points</t>
  </si>
  <si>
    <t>Total points (minus tape+wand+shadow)</t>
  </si>
  <si>
    <t>MAJOR CATEGORY (% of transect)</t>
  </si>
  <si>
    <t>MEAN</t>
  </si>
  <si>
    <t>STD. DEV.</t>
  </si>
  <si>
    <t>STD. ERROR</t>
  </si>
  <si>
    <t>Sum (excluding tape+shadow+wand)</t>
  </si>
  <si>
    <t>SUBCATEGORIES (% of transect)</t>
  </si>
  <si>
    <t>MAJOR CATEGORY (occurring in transect)</t>
  </si>
  <si>
    <t>SW INDEX</t>
  </si>
  <si>
    <t>SIMPSON (1-D)</t>
  </si>
  <si>
    <t>SUMS</t>
  </si>
  <si>
    <t>TOTAL TRANSECT POINTS</t>
  </si>
  <si>
    <t>SUBCATEGORIES (occurring in transect)</t>
  </si>
  <si>
    <t>NOTES (occurring in transect)</t>
  </si>
  <si>
    <t>NOTES (occurring in coral)</t>
  </si>
  <si>
    <t>Shannon-Weaver Index</t>
  </si>
  <si>
    <t>Simpson Index of Diversity (1-D)</t>
  </si>
  <si>
    <t>Lekeitio_2_1b.jpg</t>
  </si>
  <si>
    <t>Lekeitio_2_1b</t>
  </si>
  <si>
    <t>F:\Lekeitio\Lekeitio - ARMS2\Lekeitio_2_1b.jpg</t>
  </si>
  <si>
    <t>f:\Lekeitio\Lekeitio - ARMS2\Lekeitio_2_1b.cpc</t>
  </si>
  <si>
    <t>Paper</t>
  </si>
  <si>
    <t>Cheilostomatida indet</t>
  </si>
  <si>
    <t>Spirobranchus polytrema</t>
  </si>
  <si>
    <t>Tubulipora sp</t>
  </si>
  <si>
    <t>Lekeitio_2_2a.jpg</t>
  </si>
  <si>
    <t>Lekeitio_2_2a</t>
  </si>
  <si>
    <t>F:\Lekeitio\Lekeitio - ARMS2\Lekeitio_2_2a.jpg</t>
  </si>
  <si>
    <t>f:\Lekeitio\Lekeitio - ARMS2\Lekeitio_2_2a.cpc</t>
  </si>
  <si>
    <t>Lithophyllum incrustans</t>
  </si>
  <si>
    <t>Haliotis tuberculata</t>
  </si>
  <si>
    <t>Lekeitio_2_2b.jpg</t>
  </si>
  <si>
    <t>Lekeitio_2_2b</t>
  </si>
  <si>
    <t>F:\Lekeitio\Lekeitio - ARMS2\Lekeitio_2_2b.jpg</t>
  </si>
  <si>
    <t>f:\Lekeitio\Lekeitio - ARMS2\Lekeitio_2_2b.cpc</t>
  </si>
  <si>
    <t>Plagioecia patina</t>
  </si>
  <si>
    <t>Lekeitio_2_3a.jpg</t>
  </si>
  <si>
    <t>Lekeitio_2_3a</t>
  </si>
  <si>
    <t>F:\Lekeitio\Lekeitio - ARMS2\Lekeitio_2_3a.jpg</t>
  </si>
  <si>
    <t>f:\Lekeitio\Lekeitio - ARMS2\Lekeitio_2_3a.cpc</t>
  </si>
  <si>
    <t>Lekeitio_2_3b.jpg</t>
  </si>
  <si>
    <t>Lekeitio_2_3b</t>
  </si>
  <si>
    <t>F:\Lekeitio\Lekeitio - ARMS2\Lekeitio_2_3b.jpg</t>
  </si>
  <si>
    <t>f:\Lekeitio\Lekeitio - ARMS2\Lekeitio_2_3b.cpc</t>
  </si>
  <si>
    <t>Fissurella sp</t>
  </si>
  <si>
    <t>Lekeitio_2_4a.jpg</t>
  </si>
  <si>
    <t>F:\Lekeitio\Lekeitio - ARMS2\Lekeitio_2_4a.jpg</t>
  </si>
  <si>
    <t>f:\Lekeitio\Lekeitio - ARMS2\Lekeitio_2_4a.cpc</t>
  </si>
  <si>
    <t>Lekeitio_2_4a</t>
  </si>
  <si>
    <t>Lekeitio_2_4b.jpg</t>
  </si>
  <si>
    <t>Lekeitio_2_4b</t>
  </si>
  <si>
    <t>F:\Lekeitio\Lekeitio - ARMS2\Lekeitio_2_4b.jpg</t>
  </si>
  <si>
    <t>f:\Lekeitio\Lekeitio - ARMS2\Lekeitio_2_4b.cpc</t>
  </si>
  <si>
    <t>Rhodophyta indet.</t>
  </si>
  <si>
    <t>Lekeitio_2_5a.jpg</t>
  </si>
  <si>
    <t>Lekeitio_2_5a</t>
  </si>
  <si>
    <t>F:\Lekeitio\Lekeitio - ARMS2\Lekeitio_2_5a.jpg</t>
  </si>
  <si>
    <t>f:\Lekeitio\Lekeitio - ARMS2\Lekeitio_2_5a.cpc</t>
  </si>
  <si>
    <t>Lekeitio_2_5b.jpg</t>
  </si>
  <si>
    <t>Lekeitio_2_5b</t>
  </si>
  <si>
    <t>F:\Lekeitio\Lekeitio - ARMS2\Lekeitio_2_5b.jpg</t>
  </si>
  <si>
    <t>f:\Lekeitio\Lekeitio - ARMS2\Lekeitio_2_5b.cpc</t>
  </si>
  <si>
    <t>Lekeitio_2_6a.jpg</t>
  </si>
  <si>
    <t>Lekeitio_2_6a</t>
  </si>
  <si>
    <t>F:\Lekeitio\Lekeitio - ARMS2\Lekeitio_2_6a.jpg</t>
  </si>
  <si>
    <t>f:\Lekeitio\Lekeitio - ARMS2\Lekeitio_2_6a.cpc</t>
  </si>
  <si>
    <t>Lekeitio_2_6b.jpg</t>
  </si>
  <si>
    <t>Lekeitio_2_6b</t>
  </si>
  <si>
    <t>F:\Lekeitio\Lekeitio - ARMS2\Lekeitio_2_6b.jpg</t>
  </si>
  <si>
    <t>f:\Lekeitio\Lekeitio - ARMS2\Lekeitio_2_6b.cpc</t>
  </si>
  <si>
    <t>Sp8 porosa blanca lekeitio</t>
  </si>
  <si>
    <t>Lekeitio_2_7a.jpg</t>
  </si>
  <si>
    <t>Lekeitio_2_7a</t>
  </si>
  <si>
    <t>F:\Lekeitio\Lekeitio - ARMS2\Lekeitio_2_7a.jpg</t>
  </si>
  <si>
    <t>f:\Lekeitio\Lekeitio - ARMS2\Lekeitio_2_7a.cpc</t>
  </si>
  <si>
    <t>Lekeitio_2_7b.jpg</t>
  </si>
  <si>
    <t>Lekeitio_2_7b</t>
  </si>
  <si>
    <t>F:\Lekeitio\Lekeitio - ARMS2\Lekeitio_2_7b.jpg</t>
  </si>
  <si>
    <t>f:\Lekeitio\Lekeitio - ARMS2\Lekeitio_2_7b.cpc</t>
  </si>
  <si>
    <t>Lekeitio_2_8a.jpg</t>
  </si>
  <si>
    <t>Lekeiti0_2_8a</t>
  </si>
  <si>
    <t>F:\Lekeitio\Lekeitio - ARMS2\Lekeitio_2_8a.jpg</t>
  </si>
  <si>
    <t>f:\Lekeitio\Lekeitio - ARMS2\Lekeitio_2_8a.cpc</t>
  </si>
  <si>
    <t>Reptadeonella violacea</t>
  </si>
  <si>
    <t>Lekeitio_2_8a</t>
  </si>
  <si>
    <t>Lekeitio_2_8b.jpg</t>
  </si>
  <si>
    <t>Lekeitio_2_8b</t>
  </si>
  <si>
    <t>F:\Lekeitio\Lekeitio - ARMS2\Lekeitio_2_8b.jpg</t>
  </si>
  <si>
    <t>f:\Lekeitio\Lekeitio - ARMS2\Lekeitio_2_8b.cpc</t>
  </si>
  <si>
    <t>Lekeitio_2_9a.jpg</t>
  </si>
  <si>
    <t>Lekeitio_2_9a</t>
  </si>
  <si>
    <t>F:\Lekeitio\Lekeitio - ARMS2\Lekeitio_2_9a.jpg</t>
  </si>
  <si>
    <t>f:\Lekeitio\Lekeitio - ARMS2\Lekeitio_2_9a.cpc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</si>
</sst>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8"/>
        <bgColor indexed="64"/>
      </patternFill>
    </fill>
  </fills>
  <borders count="11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indexed="64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 style="thick">
        <color indexed="64"/>
      </bottom>
      <diagonal/>
    </border>
    <border>
      <left/>
      <right style="thick">
        <color auto="1"/>
      </right>
      <top style="thick">
        <color indexed="64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indexed="64"/>
      </bottom>
      <diagonal/>
    </border>
  </borders>
  <cellStyleXfs count="1">
    <xf numFmtId="0" fontId="0" fillId="0" borderId="0"/>
  </cellStyleXfs>
  <cellXfs count="288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4" borderId="0" xfId="0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0" fillId="6" borderId="0" xfId="0" applyFill="1"/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textRotation="90"/>
    </xf>
    <xf numFmtId="0" fontId="1" fillId="7" borderId="0" xfId="0" applyFont="1" applyFill="1" applyAlignment="1">
      <alignment textRotation="90"/>
    </xf>
    <xf numFmtId="0" fontId="0" fillId="7" borderId="0" xfId="0" applyFill="1"/>
    <xf numFmtId="0" fontId="1" fillId="8" borderId="0" xfId="0" applyFont="1" applyFill="1" applyAlignment="1">
      <alignment textRotation="90"/>
    </xf>
    <xf numFmtId="0" fontId="1" fillId="9" borderId="0" xfId="0" applyFont="1" applyFill="1" applyAlignment="1">
      <alignment textRotation="90"/>
    </xf>
    <xf numFmtId="0" fontId="1" fillId="10" borderId="0" xfId="0" applyFont="1" applyFill="1" applyAlignment="1">
      <alignment textRotation="90"/>
    </xf>
    <xf numFmtId="0" fontId="1" fillId="11" borderId="0" xfId="0" applyFont="1" applyFill="1" applyAlignment="1">
      <alignment textRotation="90"/>
    </xf>
    <xf numFmtId="0" fontId="1" fillId="12" borderId="0" xfId="0" applyFont="1" applyFill="1" applyAlignment="1">
      <alignment textRotation="90"/>
    </xf>
    <xf numFmtId="0" fontId="1" fillId="13" borderId="0" xfId="0" applyFont="1" applyFill="1" applyAlignment="1">
      <alignment textRotation="90"/>
    </xf>
    <xf numFmtId="0" fontId="1" fillId="14" borderId="0" xfId="0" applyFont="1" applyFill="1" applyAlignment="1">
      <alignment textRotation="90"/>
    </xf>
    <xf numFmtId="0" fontId="1" fillId="15" borderId="0" xfId="0" applyFont="1" applyFill="1" applyAlignment="1">
      <alignment textRotation="90"/>
    </xf>
    <xf numFmtId="0" fontId="1" fillId="16" borderId="0" xfId="0" applyFont="1" applyFill="1" applyAlignment="1">
      <alignment textRotation="90"/>
    </xf>
    <xf numFmtId="0" fontId="1" fillId="17" borderId="0" xfId="0" applyFont="1" applyFill="1" applyAlignment="1">
      <alignment textRotation="90"/>
    </xf>
    <xf numFmtId="0" fontId="1" fillId="5" borderId="0" xfId="0" applyFont="1" applyFill="1" applyAlignment="1">
      <alignment textRotation="90"/>
    </xf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2" fontId="0" fillId="0" borderId="0" xfId="0" applyNumberFormat="1"/>
    <xf numFmtId="0" fontId="1" fillId="0" borderId="1" xfId="0" applyFont="1" applyBorder="1" applyAlignment="1">
      <alignment horizontal="center"/>
    </xf>
    <xf numFmtId="0" fontId="1" fillId="18" borderId="3" xfId="0" applyFont="1" applyFill="1" applyBorder="1" applyAlignment="1">
      <alignment horizontal="center"/>
    </xf>
    <xf numFmtId="0" fontId="0" fillId="18" borderId="0" xfId="0" applyFill="1"/>
    <xf numFmtId="2" fontId="0" fillId="18" borderId="0" xfId="0" applyNumberFormat="1" applyFill="1"/>
    <xf numFmtId="2" fontId="1" fillId="0" borderId="0" xfId="0" applyNumberFormat="1" applyFont="1"/>
    <xf numFmtId="0" fontId="1" fillId="0" borderId="1" xfId="0" applyFont="1" applyBorder="1"/>
    <xf numFmtId="0" fontId="1" fillId="0" borderId="5" xfId="0" applyFont="1" applyBorder="1"/>
    <xf numFmtId="0" fontId="0" fillId="0" borderId="5" xfId="0" applyBorder="1"/>
    <xf numFmtId="0" fontId="1" fillId="0" borderId="4" xfId="0" applyFont="1" applyBorder="1"/>
    <xf numFmtId="0" fontId="0" fillId="18" borderId="6" xfId="0" applyFill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2" fontId="0" fillId="18" borderId="9" xfId="0" applyNumberFormat="1" applyFill="1" applyBorder="1"/>
    <xf numFmtId="2" fontId="0" fillId="0" borderId="9" xfId="0" applyNumberFormat="1" applyBorder="1"/>
    <xf numFmtId="0" fontId="0" fillId="0" borderId="9" xfId="0" applyBorder="1"/>
    <xf numFmtId="0" fontId="0" fillId="0" borderId="10" xfId="0" applyBorder="1"/>
    <xf numFmtId="2" fontId="0" fillId="0" borderId="5" xfId="0" applyNumberFormat="1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2" fillId="0" borderId="0" xfId="0" applyFont="1"/>
    <xf numFmtId="0" fontId="2" fillId="0" borderId="0" xfId="0" applyFont="1" applyAlignment="1">
      <alignment horizontal="right"/>
    </xf>
    <xf numFmtId="1" fontId="3" fillId="0" borderId="0" xfId="0" applyNumberFormat="1" applyFont="1"/>
    <xf numFmtId="1" fontId="3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18" borderId="0" xfId="0" applyFont="1" applyFill="1"/>
    <xf numFmtId="2" fontId="2" fillId="18" borderId="0" xfId="0" applyNumberFormat="1" applyFont="1" applyFill="1"/>
    <xf numFmtId="1" fontId="2" fillId="0" borderId="0" xfId="0" applyNumberFormat="1" applyFont="1"/>
    <xf numFmtId="1" fontId="2" fillId="18" borderId="0" xfId="0" applyNumberFormat="1" applyFont="1" applyFill="1"/>
    <xf numFmtId="0" fontId="2" fillId="0" borderId="1" xfId="0" applyFont="1" applyBorder="1"/>
    <xf numFmtId="2" fontId="2" fillId="0" borderId="5" xfId="0" applyNumberFormat="1" applyFont="1" applyBorder="1"/>
    <xf numFmtId="0" fontId="3" fillId="0" borderId="2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2" fontId="3" fillId="0" borderId="1" xfId="0" applyNumberFormat="1" applyFont="1" applyBorder="1"/>
    <xf numFmtId="0" fontId="1" fillId="0" borderId="11" xfId="0" applyFont="1" applyBorder="1"/>
    <xf numFmtId="0" fontId="0" fillId="18" borderId="12" xfId="0" applyFill="1" applyBorder="1"/>
    <xf numFmtId="0" fontId="0" fillId="0" borderId="12" xfId="0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 applyAlignment="1">
      <alignment horizontal="center"/>
    </xf>
    <xf numFmtId="2" fontId="0" fillId="18" borderId="15" xfId="0" applyNumberFormat="1" applyFill="1" applyBorder="1"/>
    <xf numFmtId="2" fontId="0" fillId="0" borderId="15" xfId="0" applyNumberFormat="1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1" fillId="0" borderId="17" xfId="0" applyFont="1" applyBorder="1"/>
    <xf numFmtId="0" fontId="0" fillId="18" borderId="18" xfId="0" applyFill="1" applyBorder="1"/>
    <xf numFmtId="0" fontId="0" fillId="0" borderId="18" xfId="0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 applyAlignment="1">
      <alignment horizontal="center"/>
    </xf>
    <xf numFmtId="2" fontId="0" fillId="18" borderId="21" xfId="0" applyNumberFormat="1" applyFill="1" applyBorder="1"/>
    <xf numFmtId="2" fontId="0" fillId="0" borderId="21" xfId="0" applyNumberFormat="1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0" xfId="0" applyBorder="1"/>
    <xf numFmtId="0" fontId="1" fillId="0" borderId="23" xfId="0" applyFont="1" applyBorder="1"/>
    <xf numFmtId="0" fontId="0" fillId="18" borderId="24" xfId="0" applyFill="1" applyBorder="1"/>
    <xf numFmtId="0" fontId="0" fillId="0" borderId="24" xfId="0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 applyAlignment="1">
      <alignment horizontal="center"/>
    </xf>
    <xf numFmtId="2" fontId="0" fillId="18" borderId="27" xfId="0" applyNumberFormat="1" applyFill="1" applyBorder="1"/>
    <xf numFmtId="2" fontId="0" fillId="0" borderId="27" xfId="0" applyNumberFormat="1" applyBorder="1"/>
    <xf numFmtId="0" fontId="0" fillId="0" borderId="27" xfId="0" applyBorder="1"/>
    <xf numFmtId="0" fontId="0" fillId="0" borderId="28" xfId="0" applyBorder="1"/>
    <xf numFmtId="0" fontId="0" fillId="0" borderId="25" xfId="0" applyBorder="1"/>
    <xf numFmtId="0" fontId="0" fillId="0" borderId="26" xfId="0" applyBorder="1"/>
    <xf numFmtId="0" fontId="1" fillId="0" borderId="29" xfId="0" applyFont="1" applyBorder="1"/>
    <xf numFmtId="0" fontId="0" fillId="18" borderId="30" xfId="0" applyFill="1" applyBorder="1"/>
    <xf numFmtId="0" fontId="0" fillId="0" borderId="30" xfId="0" applyBorder="1"/>
    <xf numFmtId="0" fontId="1" fillId="0" borderId="30" xfId="0" applyFont="1" applyBorder="1"/>
    <xf numFmtId="0" fontId="1" fillId="0" borderId="31" xfId="0" applyFont="1" applyBorder="1"/>
    <xf numFmtId="0" fontId="1" fillId="0" borderId="32" xfId="0" applyFont="1" applyBorder="1" applyAlignment="1">
      <alignment horizontal="center"/>
    </xf>
    <xf numFmtId="2" fontId="0" fillId="18" borderId="33" xfId="0" applyNumberFormat="1" applyFill="1" applyBorder="1"/>
    <xf numFmtId="2" fontId="0" fillId="0" borderId="33" xfId="0" applyNumberFormat="1" applyBorder="1"/>
    <xf numFmtId="0" fontId="0" fillId="0" borderId="33" xfId="0" applyBorder="1"/>
    <xf numFmtId="0" fontId="0" fillId="0" borderId="34" xfId="0" applyBorder="1"/>
    <xf numFmtId="0" fontId="0" fillId="0" borderId="31" xfId="0" applyBorder="1"/>
    <xf numFmtId="0" fontId="0" fillId="0" borderId="32" xfId="0" applyBorder="1"/>
    <xf numFmtId="0" fontId="1" fillId="0" borderId="35" xfId="0" applyFont="1" applyBorder="1"/>
    <xf numFmtId="0" fontId="0" fillId="18" borderId="36" xfId="0" applyFill="1" applyBorder="1"/>
    <xf numFmtId="0" fontId="0" fillId="0" borderId="36" xfId="0" applyBorder="1"/>
    <xf numFmtId="0" fontId="1" fillId="0" borderId="36" xfId="0" applyFont="1" applyBorder="1"/>
    <xf numFmtId="0" fontId="1" fillId="0" borderId="37" xfId="0" applyFont="1" applyBorder="1"/>
    <xf numFmtId="0" fontId="1" fillId="0" borderId="38" xfId="0" applyFont="1" applyBorder="1" applyAlignment="1">
      <alignment horizontal="center"/>
    </xf>
    <xf numFmtId="2" fontId="0" fillId="18" borderId="39" xfId="0" applyNumberFormat="1" applyFill="1" applyBorder="1"/>
    <xf numFmtId="2" fontId="0" fillId="0" borderId="39" xfId="0" applyNumberFormat="1" applyBorder="1"/>
    <xf numFmtId="0" fontId="0" fillId="0" borderId="39" xfId="0" applyBorder="1"/>
    <xf numFmtId="0" fontId="0" fillId="0" borderId="40" xfId="0" applyBorder="1"/>
    <xf numFmtId="0" fontId="0" fillId="0" borderId="37" xfId="0" applyBorder="1"/>
    <xf numFmtId="0" fontId="0" fillId="0" borderId="38" xfId="0" applyBorder="1"/>
    <xf numFmtId="0" fontId="1" fillId="0" borderId="41" xfId="0" applyFont="1" applyBorder="1"/>
    <xf numFmtId="0" fontId="0" fillId="18" borderId="42" xfId="0" applyFill="1" applyBorder="1"/>
    <xf numFmtId="0" fontId="0" fillId="0" borderId="42" xfId="0" applyBorder="1"/>
    <xf numFmtId="0" fontId="1" fillId="0" borderId="42" xfId="0" applyFont="1" applyBorder="1"/>
    <xf numFmtId="0" fontId="1" fillId="0" borderId="43" xfId="0" applyFont="1" applyBorder="1"/>
    <xf numFmtId="0" fontId="1" fillId="0" borderId="44" xfId="0" applyFont="1" applyBorder="1" applyAlignment="1">
      <alignment horizontal="center"/>
    </xf>
    <xf numFmtId="2" fontId="0" fillId="18" borderId="45" xfId="0" applyNumberFormat="1" applyFill="1" applyBorder="1"/>
    <xf numFmtId="2" fontId="0" fillId="0" borderId="45" xfId="0" applyNumberFormat="1" applyBorder="1"/>
    <xf numFmtId="0" fontId="0" fillId="0" borderId="45" xfId="0" applyBorder="1"/>
    <xf numFmtId="0" fontId="0" fillId="0" borderId="46" xfId="0" applyBorder="1"/>
    <xf numFmtId="0" fontId="0" fillId="0" borderId="43" xfId="0" applyBorder="1"/>
    <xf numFmtId="0" fontId="0" fillId="0" borderId="44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1" fillId="0" borderId="50" xfId="0" applyFont="1" applyBorder="1" applyAlignment="1">
      <alignment horizontal="center"/>
    </xf>
    <xf numFmtId="2" fontId="0" fillId="0" borderId="51" xfId="0" applyNumberFormat="1" applyBorder="1"/>
    <xf numFmtId="2" fontId="0" fillId="18" borderId="51" xfId="0" applyNumberFormat="1" applyFill="1" applyBorder="1"/>
    <xf numFmtId="0" fontId="1" fillId="0" borderId="47" xfId="0" applyFont="1" applyBorder="1"/>
    <xf numFmtId="0" fontId="0" fillId="18" borderId="48" xfId="0" applyFill="1" applyBorder="1"/>
    <xf numFmtId="0" fontId="0" fillId="0" borderId="48" xfId="0" applyBorder="1"/>
    <xf numFmtId="0" fontId="1" fillId="0" borderId="48" xfId="0" applyFont="1" applyBorder="1"/>
    <xf numFmtId="0" fontId="1" fillId="0" borderId="49" xfId="0" applyFont="1" applyBorder="1"/>
    <xf numFmtId="0" fontId="0" fillId="0" borderId="49" xfId="0" applyBorder="1"/>
    <xf numFmtId="0" fontId="0" fillId="0" borderId="2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1" fillId="0" borderId="56" xfId="0" applyFont="1" applyBorder="1" applyAlignment="1">
      <alignment horizontal="center"/>
    </xf>
    <xf numFmtId="2" fontId="0" fillId="0" borderId="57" xfId="0" applyNumberFormat="1" applyBorder="1"/>
    <xf numFmtId="2" fontId="0" fillId="18" borderId="57" xfId="0" applyNumberFormat="1" applyFill="1" applyBorder="1"/>
    <xf numFmtId="0" fontId="1" fillId="0" borderId="53" xfId="0" applyFont="1" applyBorder="1"/>
    <xf numFmtId="0" fontId="0" fillId="18" borderId="54" xfId="0" applyFill="1" applyBorder="1"/>
    <xf numFmtId="0" fontId="0" fillId="0" borderId="54" xfId="0" applyBorder="1"/>
    <xf numFmtId="0" fontId="1" fillId="0" borderId="54" xfId="0" applyFont="1" applyBorder="1"/>
    <xf numFmtId="0" fontId="1" fillId="0" borderId="55" xfId="0" applyFont="1" applyBorder="1"/>
    <xf numFmtId="0" fontId="0" fillId="0" borderId="55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1" fillId="0" borderId="62" xfId="0" applyFont="1" applyBorder="1" applyAlignment="1">
      <alignment horizontal="center"/>
    </xf>
    <xf numFmtId="2" fontId="0" fillId="0" borderId="63" xfId="0" applyNumberFormat="1" applyBorder="1"/>
    <xf numFmtId="2" fontId="0" fillId="18" borderId="63" xfId="0" applyNumberFormat="1" applyFill="1" applyBorder="1"/>
    <xf numFmtId="0" fontId="1" fillId="0" borderId="59" xfId="0" applyFont="1" applyBorder="1"/>
    <xf numFmtId="0" fontId="0" fillId="18" borderId="60" xfId="0" applyFill="1" applyBorder="1"/>
    <xf numFmtId="0" fontId="0" fillId="0" borderId="60" xfId="0" applyBorder="1"/>
    <xf numFmtId="0" fontId="1" fillId="0" borderId="60" xfId="0" applyFont="1" applyBorder="1"/>
    <xf numFmtId="0" fontId="1" fillId="0" borderId="61" xfId="0" applyFont="1" applyBorder="1"/>
    <xf numFmtId="0" fontId="0" fillId="0" borderId="61" xfId="0" applyBorder="1"/>
    <xf numFmtId="0" fontId="0" fillId="0" borderId="68" xfId="0" applyBorder="1"/>
    <xf numFmtId="0" fontId="0" fillId="0" borderId="69" xfId="0" applyBorder="1"/>
    <xf numFmtId="0" fontId="0" fillId="0" borderId="70" xfId="0" applyBorder="1"/>
    <xf numFmtId="0" fontId="1" fillId="0" borderId="68" xfId="0" applyFont="1" applyBorder="1" applyAlignment="1">
      <alignment horizontal="center"/>
    </xf>
    <xf numFmtId="2" fontId="0" fillId="0" borderId="69" xfId="0" applyNumberFormat="1" applyBorder="1"/>
    <xf numFmtId="2" fontId="0" fillId="18" borderId="69" xfId="0" applyNumberFormat="1" applyFill="1" applyBorder="1"/>
    <xf numFmtId="0" fontId="1" fillId="0" borderId="65" xfId="0" applyFont="1" applyBorder="1"/>
    <xf numFmtId="0" fontId="0" fillId="18" borderId="66" xfId="0" applyFill="1" applyBorder="1"/>
    <xf numFmtId="0" fontId="0" fillId="0" borderId="66" xfId="0" applyBorder="1"/>
    <xf numFmtId="0" fontId="1" fillId="0" borderId="66" xfId="0" applyFont="1" applyBorder="1"/>
    <xf numFmtId="0" fontId="1" fillId="0" borderId="67" xfId="0" applyFont="1" applyBorder="1"/>
    <xf numFmtId="0" fontId="0" fillId="0" borderId="67" xfId="0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1" fillId="0" borderId="74" xfId="0" applyFont="1" applyBorder="1" applyAlignment="1">
      <alignment horizontal="center"/>
    </xf>
    <xf numFmtId="2" fontId="0" fillId="0" borderId="75" xfId="0" applyNumberFormat="1" applyBorder="1"/>
    <xf numFmtId="2" fontId="0" fillId="18" borderId="75" xfId="0" applyNumberFormat="1" applyFill="1" applyBorder="1"/>
    <xf numFmtId="0" fontId="1" fillId="0" borderId="71" xfId="0" applyFont="1" applyBorder="1"/>
    <xf numFmtId="0" fontId="0" fillId="18" borderId="72" xfId="0" applyFill="1" applyBorder="1"/>
    <xf numFmtId="0" fontId="0" fillId="0" borderId="72" xfId="0" applyBorder="1"/>
    <xf numFmtId="0" fontId="1" fillId="0" borderId="72" xfId="0" applyFont="1" applyBorder="1"/>
    <xf numFmtId="0" fontId="1" fillId="0" borderId="73" xfId="0" applyFont="1" applyBorder="1"/>
    <xf numFmtId="0" fontId="0" fillId="0" borderId="73" xfId="0" applyBorder="1"/>
    <xf numFmtId="1" fontId="0" fillId="0" borderId="0" xfId="0" applyNumberFormat="1"/>
    <xf numFmtId="1" fontId="0" fillId="18" borderId="0" xfId="0" applyNumberFormat="1" applyFill="1"/>
    <xf numFmtId="1" fontId="1" fillId="0" borderId="0" xfId="0" applyNumberFormat="1" applyFont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1" fillId="0" borderId="80" xfId="0" applyFont="1" applyBorder="1" applyAlignment="1">
      <alignment horizontal="center"/>
    </xf>
    <xf numFmtId="2" fontId="0" fillId="0" borderId="81" xfId="0" applyNumberFormat="1" applyBorder="1"/>
    <xf numFmtId="2" fontId="0" fillId="18" borderId="81" xfId="0" applyNumberFormat="1" applyFill="1" applyBorder="1"/>
    <xf numFmtId="0" fontId="1" fillId="0" borderId="2" xfId="0" applyFont="1" applyBorder="1" applyAlignment="1">
      <alignment horizontal="center"/>
    </xf>
    <xf numFmtId="0" fontId="1" fillId="0" borderId="77" xfId="0" applyFont="1" applyBorder="1"/>
    <xf numFmtId="0" fontId="0" fillId="18" borderId="78" xfId="0" applyFill="1" applyBorder="1"/>
    <xf numFmtId="0" fontId="0" fillId="0" borderId="78" xfId="0" applyBorder="1"/>
    <xf numFmtId="0" fontId="1" fillId="0" borderId="78" xfId="0" applyFont="1" applyBorder="1"/>
    <xf numFmtId="0" fontId="1" fillId="0" borderId="79" xfId="0" applyFont="1" applyBorder="1"/>
    <xf numFmtId="0" fontId="0" fillId="0" borderId="79" xfId="0" applyBorder="1"/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2" fontId="1" fillId="0" borderId="1" xfId="0" applyNumberFormat="1" applyFont="1" applyBorder="1"/>
    <xf numFmtId="0" fontId="0" fillId="0" borderId="86" xfId="0" applyBorder="1"/>
    <xf numFmtId="0" fontId="0" fillId="0" borderId="87" xfId="0" applyBorder="1"/>
    <xf numFmtId="0" fontId="0" fillId="0" borderId="88" xfId="0" applyBorder="1"/>
    <xf numFmtId="0" fontId="1" fillId="0" borderId="86" xfId="0" applyFont="1" applyBorder="1" applyAlignment="1">
      <alignment horizontal="center"/>
    </xf>
    <xf numFmtId="2" fontId="0" fillId="0" borderId="87" xfId="0" applyNumberFormat="1" applyBorder="1"/>
    <xf numFmtId="2" fontId="0" fillId="18" borderId="87" xfId="0" applyNumberFormat="1" applyFill="1" applyBorder="1"/>
    <xf numFmtId="0" fontId="1" fillId="0" borderId="83" xfId="0" applyFont="1" applyBorder="1"/>
    <xf numFmtId="0" fontId="0" fillId="18" borderId="84" xfId="0" applyFill="1" applyBorder="1"/>
    <xf numFmtId="0" fontId="0" fillId="0" borderId="84" xfId="0" applyBorder="1"/>
    <xf numFmtId="0" fontId="1" fillId="0" borderId="84" xfId="0" applyFont="1" applyBorder="1"/>
    <xf numFmtId="0" fontId="1" fillId="0" borderId="85" xfId="0" applyFont="1" applyBorder="1"/>
    <xf numFmtId="0" fontId="0" fillId="0" borderId="85" xfId="0" applyBorder="1"/>
    <xf numFmtId="0" fontId="0" fillId="0" borderId="92" xfId="0" applyBorder="1"/>
    <xf numFmtId="0" fontId="0" fillId="0" borderId="93" xfId="0" applyBorder="1"/>
    <xf numFmtId="0" fontId="0" fillId="0" borderId="94" xfId="0" applyBorder="1"/>
    <xf numFmtId="0" fontId="1" fillId="0" borderId="92" xfId="0" applyFont="1" applyBorder="1" applyAlignment="1">
      <alignment horizontal="center"/>
    </xf>
    <xf numFmtId="2" fontId="0" fillId="0" borderId="93" xfId="0" applyNumberFormat="1" applyBorder="1"/>
    <xf numFmtId="2" fontId="0" fillId="18" borderId="93" xfId="0" applyNumberFormat="1" applyFill="1" applyBorder="1"/>
    <xf numFmtId="0" fontId="1" fillId="0" borderId="89" xfId="0" applyFont="1" applyBorder="1"/>
    <xf numFmtId="0" fontId="0" fillId="18" borderId="90" xfId="0" applyFill="1" applyBorder="1"/>
    <xf numFmtId="0" fontId="0" fillId="0" borderId="90" xfId="0" applyBorder="1"/>
    <xf numFmtId="0" fontId="1" fillId="0" borderId="90" xfId="0" applyFont="1" applyBorder="1"/>
    <xf numFmtId="0" fontId="1" fillId="0" borderId="91" xfId="0" applyFont="1" applyBorder="1"/>
    <xf numFmtId="0" fontId="0" fillId="0" borderId="91" xfId="0" applyBorder="1"/>
    <xf numFmtId="0" fontId="0" fillId="0" borderId="98" xfId="0" applyBorder="1"/>
    <xf numFmtId="0" fontId="0" fillId="0" borderId="99" xfId="0" applyBorder="1"/>
    <xf numFmtId="0" fontId="0" fillId="0" borderId="100" xfId="0" applyBorder="1"/>
    <xf numFmtId="0" fontId="1" fillId="0" borderId="98" xfId="0" applyFont="1" applyBorder="1" applyAlignment="1">
      <alignment horizontal="center"/>
    </xf>
    <xf numFmtId="2" fontId="0" fillId="0" borderId="99" xfId="0" applyNumberFormat="1" applyBorder="1"/>
    <xf numFmtId="2" fontId="0" fillId="18" borderId="99" xfId="0" applyNumberFormat="1" applyFill="1" applyBorder="1"/>
    <xf numFmtId="0" fontId="1" fillId="0" borderId="95" xfId="0" applyFont="1" applyBorder="1"/>
    <xf numFmtId="0" fontId="0" fillId="18" borderId="96" xfId="0" applyFill="1" applyBorder="1"/>
    <xf numFmtId="0" fontId="0" fillId="0" borderId="96" xfId="0" applyBorder="1"/>
    <xf numFmtId="0" fontId="1" fillId="0" borderId="96" xfId="0" applyFont="1" applyBorder="1"/>
    <xf numFmtId="0" fontId="1" fillId="0" borderId="97" xfId="0" applyFont="1" applyBorder="1"/>
    <xf numFmtId="0" fontId="0" fillId="0" borderId="97" xfId="0" applyBorder="1"/>
    <xf numFmtId="0" fontId="0" fillId="0" borderId="104" xfId="0" applyBorder="1"/>
    <xf numFmtId="0" fontId="0" fillId="0" borderId="105" xfId="0" applyBorder="1"/>
    <xf numFmtId="0" fontId="0" fillId="0" borderId="106" xfId="0" applyBorder="1"/>
    <xf numFmtId="0" fontId="1" fillId="0" borderId="104" xfId="0" applyFont="1" applyBorder="1" applyAlignment="1">
      <alignment horizontal="center"/>
    </xf>
    <xf numFmtId="2" fontId="0" fillId="0" borderId="105" xfId="0" applyNumberFormat="1" applyBorder="1"/>
    <xf numFmtId="2" fontId="0" fillId="18" borderId="105" xfId="0" applyNumberFormat="1" applyFill="1" applyBorder="1"/>
    <xf numFmtId="0" fontId="1" fillId="0" borderId="101" xfId="0" applyFont="1" applyBorder="1"/>
    <xf numFmtId="0" fontId="0" fillId="18" borderId="102" xfId="0" applyFill="1" applyBorder="1"/>
    <xf numFmtId="0" fontId="0" fillId="0" borderId="102" xfId="0" applyBorder="1"/>
    <xf numFmtId="0" fontId="1" fillId="0" borderId="102" xfId="0" applyFont="1" applyBorder="1"/>
    <xf numFmtId="0" fontId="1" fillId="0" borderId="103" xfId="0" applyFont="1" applyBorder="1"/>
    <xf numFmtId="0" fontId="0" fillId="0" borderId="103" xfId="0" applyBorder="1"/>
    <xf numFmtId="0" fontId="3" fillId="0" borderId="107" xfId="0" applyFont="1" applyBorder="1"/>
    <xf numFmtId="0" fontId="3" fillId="0" borderId="108" xfId="0" applyFont="1" applyBorder="1"/>
    <xf numFmtId="0" fontId="3" fillId="0" borderId="109" xfId="0" applyFont="1" applyBorder="1"/>
    <xf numFmtId="0" fontId="3" fillId="0" borderId="110" xfId="0" applyFont="1" applyBorder="1"/>
    <xf numFmtId="0" fontId="2" fillId="18" borderId="109" xfId="0" applyFont="1" applyFill="1" applyBorder="1"/>
    <xf numFmtId="0" fontId="2" fillId="0" borderId="109" xfId="0" applyFont="1" applyBorder="1"/>
    <xf numFmtId="0" fontId="3" fillId="18" borderId="109" xfId="0" applyFont="1" applyFill="1" applyBorder="1"/>
    <xf numFmtId="0" fontId="2" fillId="0" borderId="110" xfId="0" applyFont="1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18" borderId="113" xfId="0" applyFill="1" applyBorder="1"/>
    <xf numFmtId="0" fontId="1" fillId="0" borderId="112" xfId="0" applyFont="1" applyBorder="1" applyAlignment="1">
      <alignment horizontal="center"/>
    </xf>
    <xf numFmtId="0" fontId="1" fillId="0" borderId="113" xfId="0" applyFont="1" applyBorder="1" applyAlignment="1">
      <alignment horizontal="center"/>
    </xf>
    <xf numFmtId="2" fontId="0" fillId="0" borderId="113" xfId="0" applyNumberFormat="1" applyBorder="1"/>
    <xf numFmtId="2" fontId="0" fillId="18" borderId="11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C0C0"/>
      <rgbColor rgb="00CCFFFF"/>
      <rgbColor rgb="00CCFFCC"/>
      <rgbColor rgb="00FFFF99"/>
      <rgbColor rgb="00FF99CC"/>
      <rgbColor rgb="00FFCC99"/>
      <rgbColor rgb="0099CC00"/>
      <rgbColor rgb="003F3F3F"/>
      <rgbColor rgb="00FFFF00"/>
      <rgbColor rgb="0000FF40"/>
      <rgbColor rgb="00008000"/>
      <rgbColor rgb="0000FFFF"/>
      <rgbColor rgb="00004080"/>
      <rgbColor rgb="00FF0080"/>
      <rgbColor rgb="00FF0000"/>
      <rgbColor rgb="00FF8000"/>
      <rgbColor rgb="000000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calcChain" Target="calcChain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42578125" bestFit="1" customWidth="1"/>
    <col min="6" max="6" width="43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41">
        <v>1001</v>
      </c>
      <c r="B2" s="38"/>
      <c r="C2" s="53">
        <v>1000</v>
      </c>
      <c r="D2" s="53" t="s">
        <v>339</v>
      </c>
      <c r="E2" s="53" t="s">
        <v>337</v>
      </c>
      <c r="F2" s="53" t="s">
        <v>338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336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4"/>
    </row>
    <row r="3" spans="1:34" x14ac:dyDescent="0.25">
      <c r="A3" s="44">
        <v>1001</v>
      </c>
      <c r="B3" s="31"/>
      <c r="C3">
        <v>1000</v>
      </c>
      <c r="E3" t="s">
        <v>337</v>
      </c>
      <c r="F3" t="s">
        <v>338</v>
      </c>
      <c r="H3" t="s">
        <v>333</v>
      </c>
      <c r="I3" t="s">
        <v>334</v>
      </c>
      <c r="J3" t="s">
        <v>335</v>
      </c>
      <c r="N3" t="s">
        <v>336</v>
      </c>
      <c r="AH3" s="49"/>
    </row>
    <row r="4" spans="1:34" x14ac:dyDescent="0.25">
      <c r="A4" s="44">
        <v>1001</v>
      </c>
      <c r="B4" s="31"/>
      <c r="C4">
        <v>1000</v>
      </c>
      <c r="E4" t="s">
        <v>337</v>
      </c>
      <c r="F4" t="s">
        <v>338</v>
      </c>
      <c r="H4" t="s">
        <v>333</v>
      </c>
      <c r="I4" t="s">
        <v>334</v>
      </c>
      <c r="J4" t="s">
        <v>335</v>
      </c>
      <c r="N4" t="s">
        <v>336</v>
      </c>
      <c r="AH4" s="49"/>
    </row>
    <row r="5" spans="1:34" x14ac:dyDescent="0.25">
      <c r="A5" s="44">
        <v>1001</v>
      </c>
      <c r="B5" s="31"/>
      <c r="C5">
        <v>1000</v>
      </c>
      <c r="E5" t="s">
        <v>337</v>
      </c>
      <c r="F5" t="s">
        <v>338</v>
      </c>
      <c r="H5" t="s">
        <v>333</v>
      </c>
      <c r="I5" t="s">
        <v>334</v>
      </c>
      <c r="J5" t="s">
        <v>335</v>
      </c>
      <c r="N5" t="s">
        <v>336</v>
      </c>
      <c r="AH5" s="49"/>
    </row>
    <row r="6" spans="1:34" x14ac:dyDescent="0.25">
      <c r="A6" s="44">
        <v>1001</v>
      </c>
      <c r="B6" s="31"/>
      <c r="C6">
        <v>1000</v>
      </c>
      <c r="E6" t="s">
        <v>337</v>
      </c>
      <c r="F6" t="s">
        <v>338</v>
      </c>
      <c r="H6" t="s">
        <v>333</v>
      </c>
      <c r="I6" t="s">
        <v>334</v>
      </c>
      <c r="J6" t="s">
        <v>335</v>
      </c>
      <c r="N6" t="s">
        <v>336</v>
      </c>
      <c r="AH6" s="49"/>
    </row>
    <row r="7" spans="1:34" x14ac:dyDescent="0.25">
      <c r="A7" s="44">
        <v>1001</v>
      </c>
      <c r="B7" s="31"/>
      <c r="C7">
        <v>1000</v>
      </c>
      <c r="E7" t="s">
        <v>337</v>
      </c>
      <c r="F7" t="s">
        <v>338</v>
      </c>
      <c r="H7" t="s">
        <v>333</v>
      </c>
      <c r="I7" t="s">
        <v>334</v>
      </c>
      <c r="J7" t="s">
        <v>335</v>
      </c>
      <c r="N7" t="s">
        <v>336</v>
      </c>
      <c r="AH7" s="49"/>
    </row>
    <row r="8" spans="1:34" x14ac:dyDescent="0.25">
      <c r="A8" s="44">
        <v>1001</v>
      </c>
      <c r="B8" s="31"/>
      <c r="C8">
        <v>1000</v>
      </c>
      <c r="E8" t="s">
        <v>337</v>
      </c>
      <c r="F8" t="s">
        <v>338</v>
      </c>
      <c r="H8" t="s">
        <v>333</v>
      </c>
      <c r="I8" t="s">
        <v>334</v>
      </c>
      <c r="J8" t="s">
        <v>335</v>
      </c>
      <c r="N8" t="s">
        <v>336</v>
      </c>
      <c r="AH8" s="49"/>
    </row>
    <row r="9" spans="1:34" x14ac:dyDescent="0.25">
      <c r="A9" s="44">
        <v>1001</v>
      </c>
      <c r="B9" s="31"/>
      <c r="C9">
        <v>1000</v>
      </c>
      <c r="E9" t="s">
        <v>337</v>
      </c>
      <c r="F9" t="s">
        <v>338</v>
      </c>
      <c r="H9" t="s">
        <v>333</v>
      </c>
      <c r="I9" t="s">
        <v>334</v>
      </c>
      <c r="J9" t="s">
        <v>335</v>
      </c>
      <c r="N9" t="s">
        <v>336</v>
      </c>
      <c r="AH9" s="49"/>
    </row>
    <row r="10" spans="1:34" x14ac:dyDescent="0.25">
      <c r="A10" s="44">
        <v>110</v>
      </c>
      <c r="B10" s="31"/>
      <c r="C10">
        <v>100</v>
      </c>
      <c r="E10" t="s">
        <v>337</v>
      </c>
      <c r="F10" t="s">
        <v>338</v>
      </c>
      <c r="H10" t="s">
        <v>333</v>
      </c>
      <c r="I10" t="s">
        <v>334</v>
      </c>
      <c r="J10" t="s">
        <v>335</v>
      </c>
      <c r="N10" t="s">
        <v>336</v>
      </c>
      <c r="AH10" s="49"/>
    </row>
    <row r="11" spans="1:34" x14ac:dyDescent="0.25">
      <c r="A11" s="44">
        <v>110</v>
      </c>
      <c r="B11" s="31"/>
      <c r="C11">
        <v>100</v>
      </c>
      <c r="E11" t="s">
        <v>337</v>
      </c>
      <c r="F11" t="s">
        <v>338</v>
      </c>
      <c r="H11" t="s">
        <v>333</v>
      </c>
      <c r="I11" t="s">
        <v>334</v>
      </c>
      <c r="J11" t="s">
        <v>335</v>
      </c>
      <c r="N11" t="s">
        <v>336</v>
      </c>
      <c r="AH11" s="49"/>
    </row>
    <row r="12" spans="1:34" x14ac:dyDescent="0.25">
      <c r="A12" s="44">
        <v>1001</v>
      </c>
      <c r="B12" s="31"/>
      <c r="C12">
        <v>1000</v>
      </c>
      <c r="E12" t="s">
        <v>337</v>
      </c>
      <c r="F12" t="s">
        <v>338</v>
      </c>
      <c r="H12" t="s">
        <v>333</v>
      </c>
      <c r="I12" t="s">
        <v>334</v>
      </c>
      <c r="J12" t="s">
        <v>335</v>
      </c>
      <c r="N12" t="s">
        <v>336</v>
      </c>
      <c r="AH12" s="49"/>
    </row>
    <row r="13" spans="1:34" x14ac:dyDescent="0.25">
      <c r="A13" s="44">
        <v>102</v>
      </c>
      <c r="B13" s="31"/>
      <c r="C13">
        <v>100</v>
      </c>
      <c r="E13" t="s">
        <v>337</v>
      </c>
      <c r="F13" t="s">
        <v>338</v>
      </c>
      <c r="H13" t="s">
        <v>333</v>
      </c>
      <c r="I13" t="s">
        <v>334</v>
      </c>
      <c r="J13" t="s">
        <v>335</v>
      </c>
      <c r="N13" t="s">
        <v>336</v>
      </c>
      <c r="AH13" s="49"/>
    </row>
    <row r="14" spans="1:34" x14ac:dyDescent="0.25">
      <c r="A14" s="44">
        <v>1001</v>
      </c>
      <c r="B14" s="31"/>
      <c r="C14">
        <v>1000</v>
      </c>
      <c r="E14" t="s">
        <v>337</v>
      </c>
      <c r="F14" t="s">
        <v>338</v>
      </c>
      <c r="H14" t="s">
        <v>333</v>
      </c>
      <c r="I14" t="s">
        <v>334</v>
      </c>
      <c r="J14" t="s">
        <v>335</v>
      </c>
      <c r="N14" t="s">
        <v>336</v>
      </c>
      <c r="AH14" s="49"/>
    </row>
    <row r="15" spans="1:34" x14ac:dyDescent="0.25">
      <c r="A15" s="44">
        <v>1001</v>
      </c>
      <c r="B15" s="31"/>
      <c r="C15">
        <v>1000</v>
      </c>
      <c r="E15" t="s">
        <v>337</v>
      </c>
      <c r="F15" t="s">
        <v>338</v>
      </c>
      <c r="H15" t="s">
        <v>333</v>
      </c>
      <c r="I15" t="s">
        <v>334</v>
      </c>
      <c r="J15" t="s">
        <v>335</v>
      </c>
      <c r="N15" t="s">
        <v>336</v>
      </c>
      <c r="AH15" s="49"/>
    </row>
    <row r="16" spans="1:34" x14ac:dyDescent="0.25">
      <c r="A16" s="44">
        <v>1001</v>
      </c>
      <c r="B16" s="31"/>
      <c r="C16">
        <v>1000</v>
      </c>
      <c r="E16" t="s">
        <v>337</v>
      </c>
      <c r="F16" t="s">
        <v>338</v>
      </c>
      <c r="H16" t="s">
        <v>333</v>
      </c>
      <c r="I16" t="s">
        <v>334</v>
      </c>
      <c r="J16" t="s">
        <v>335</v>
      </c>
      <c r="N16" t="s">
        <v>336</v>
      </c>
      <c r="AH16" s="49"/>
    </row>
    <row r="17" spans="1:34" x14ac:dyDescent="0.25">
      <c r="A17" s="44">
        <v>109</v>
      </c>
      <c r="B17" s="31"/>
      <c r="C17">
        <v>100</v>
      </c>
      <c r="E17" t="s">
        <v>337</v>
      </c>
      <c r="F17" t="s">
        <v>338</v>
      </c>
      <c r="H17" t="s">
        <v>333</v>
      </c>
      <c r="I17" t="s">
        <v>334</v>
      </c>
      <c r="J17" t="s">
        <v>335</v>
      </c>
      <c r="N17" t="s">
        <v>336</v>
      </c>
      <c r="AH17" s="49"/>
    </row>
    <row r="18" spans="1:34" x14ac:dyDescent="0.25">
      <c r="A18" s="44">
        <v>110</v>
      </c>
      <c r="B18" s="31"/>
      <c r="C18">
        <v>100</v>
      </c>
      <c r="E18" t="s">
        <v>337</v>
      </c>
      <c r="F18" t="s">
        <v>338</v>
      </c>
      <c r="H18" t="s">
        <v>333</v>
      </c>
      <c r="I18" t="s">
        <v>334</v>
      </c>
      <c r="J18" t="s">
        <v>335</v>
      </c>
      <c r="N18" t="s">
        <v>336</v>
      </c>
      <c r="AH18" s="49"/>
    </row>
    <row r="19" spans="1:34" x14ac:dyDescent="0.25">
      <c r="A19" s="44">
        <v>110</v>
      </c>
      <c r="B19" s="31"/>
      <c r="C19">
        <v>100</v>
      </c>
      <c r="E19" t="s">
        <v>337</v>
      </c>
      <c r="F19" t="s">
        <v>338</v>
      </c>
      <c r="H19" t="s">
        <v>333</v>
      </c>
      <c r="I19" t="s">
        <v>334</v>
      </c>
      <c r="J19" t="s">
        <v>335</v>
      </c>
      <c r="N19" t="s">
        <v>336</v>
      </c>
      <c r="AH19" s="49"/>
    </row>
    <row r="20" spans="1:34" x14ac:dyDescent="0.25">
      <c r="A20" s="44">
        <v>1001</v>
      </c>
      <c r="B20" s="31"/>
      <c r="C20">
        <v>1000</v>
      </c>
      <c r="E20" t="s">
        <v>337</v>
      </c>
      <c r="F20" t="s">
        <v>338</v>
      </c>
      <c r="H20" t="s">
        <v>333</v>
      </c>
      <c r="I20" t="s">
        <v>334</v>
      </c>
      <c r="J20" t="s">
        <v>335</v>
      </c>
      <c r="N20" t="s">
        <v>336</v>
      </c>
      <c r="AH20" s="49"/>
    </row>
    <row r="21" spans="1:34" x14ac:dyDescent="0.25">
      <c r="A21" s="44">
        <v>1001</v>
      </c>
      <c r="B21" s="31"/>
      <c r="C21">
        <v>1000</v>
      </c>
      <c r="E21" t="s">
        <v>337</v>
      </c>
      <c r="F21" t="s">
        <v>338</v>
      </c>
      <c r="H21" t="s">
        <v>333</v>
      </c>
      <c r="I21" t="s">
        <v>334</v>
      </c>
      <c r="J21" t="s">
        <v>335</v>
      </c>
      <c r="N21" t="s">
        <v>336</v>
      </c>
      <c r="AH21" s="49"/>
    </row>
    <row r="22" spans="1:34" x14ac:dyDescent="0.25">
      <c r="A22" s="44">
        <v>102</v>
      </c>
      <c r="B22" s="31"/>
      <c r="C22">
        <v>100</v>
      </c>
      <c r="E22" t="s">
        <v>337</v>
      </c>
      <c r="F22" t="s">
        <v>338</v>
      </c>
      <c r="H22" t="s">
        <v>333</v>
      </c>
      <c r="I22" t="s">
        <v>334</v>
      </c>
      <c r="J22" t="s">
        <v>335</v>
      </c>
      <c r="N22" t="s">
        <v>336</v>
      </c>
      <c r="AH22" s="49"/>
    </row>
    <row r="23" spans="1:34" x14ac:dyDescent="0.25">
      <c r="A23" s="44">
        <v>1001</v>
      </c>
      <c r="B23" s="31"/>
      <c r="C23">
        <v>1000</v>
      </c>
      <c r="E23" t="s">
        <v>337</v>
      </c>
      <c r="F23" t="s">
        <v>338</v>
      </c>
      <c r="H23" t="s">
        <v>333</v>
      </c>
      <c r="I23" t="s">
        <v>334</v>
      </c>
      <c r="J23" t="s">
        <v>335</v>
      </c>
      <c r="N23" t="s">
        <v>336</v>
      </c>
      <c r="AH23" s="49"/>
    </row>
    <row r="24" spans="1:34" x14ac:dyDescent="0.25">
      <c r="A24" s="44">
        <v>1001</v>
      </c>
      <c r="B24" s="31"/>
      <c r="C24">
        <v>1000</v>
      </c>
      <c r="E24" t="s">
        <v>337</v>
      </c>
      <c r="F24" t="s">
        <v>338</v>
      </c>
      <c r="H24" t="s">
        <v>333</v>
      </c>
      <c r="I24" t="s">
        <v>334</v>
      </c>
      <c r="J24" t="s">
        <v>335</v>
      </c>
      <c r="N24" t="s">
        <v>336</v>
      </c>
      <c r="AH24" s="49"/>
    </row>
    <row r="25" spans="1:34" x14ac:dyDescent="0.25">
      <c r="A25" s="44">
        <v>1001</v>
      </c>
      <c r="B25" s="31"/>
      <c r="C25">
        <v>1000</v>
      </c>
      <c r="E25" t="s">
        <v>337</v>
      </c>
      <c r="F25" t="s">
        <v>338</v>
      </c>
      <c r="H25" t="s">
        <v>333</v>
      </c>
      <c r="I25" t="s">
        <v>334</v>
      </c>
      <c r="J25" t="s">
        <v>335</v>
      </c>
      <c r="N25" t="s">
        <v>336</v>
      </c>
      <c r="AH25" s="49"/>
    </row>
    <row r="26" spans="1:34" x14ac:dyDescent="0.25">
      <c r="A26" s="44">
        <v>110</v>
      </c>
      <c r="B26" s="31"/>
      <c r="C26">
        <v>100</v>
      </c>
      <c r="E26" t="s">
        <v>337</v>
      </c>
      <c r="F26" t="s">
        <v>338</v>
      </c>
      <c r="H26" t="s">
        <v>333</v>
      </c>
      <c r="I26" t="s">
        <v>334</v>
      </c>
      <c r="J26" t="s">
        <v>335</v>
      </c>
      <c r="N26" t="s">
        <v>336</v>
      </c>
      <c r="AH26" s="49"/>
    </row>
    <row r="27" spans="1:34" x14ac:dyDescent="0.25">
      <c r="A27" s="44">
        <v>102</v>
      </c>
      <c r="B27" s="31"/>
      <c r="C27">
        <v>100</v>
      </c>
      <c r="E27" t="s">
        <v>337</v>
      </c>
      <c r="F27" t="s">
        <v>338</v>
      </c>
      <c r="H27" t="s">
        <v>333</v>
      </c>
      <c r="I27" t="s">
        <v>334</v>
      </c>
      <c r="J27" t="s">
        <v>335</v>
      </c>
      <c r="N27" t="s">
        <v>336</v>
      </c>
      <c r="AH27" s="49"/>
    </row>
    <row r="28" spans="1:34" x14ac:dyDescent="0.25">
      <c r="A28" s="44">
        <v>1001</v>
      </c>
      <c r="B28" s="31"/>
      <c r="C28">
        <v>1000</v>
      </c>
      <c r="E28" t="s">
        <v>337</v>
      </c>
      <c r="F28" t="s">
        <v>338</v>
      </c>
      <c r="H28" t="s">
        <v>333</v>
      </c>
      <c r="I28" t="s">
        <v>334</v>
      </c>
      <c r="J28" t="s">
        <v>335</v>
      </c>
      <c r="N28" t="s">
        <v>336</v>
      </c>
      <c r="AH28" s="49"/>
    </row>
    <row r="29" spans="1:34" x14ac:dyDescent="0.25">
      <c r="A29" s="44">
        <v>1001</v>
      </c>
      <c r="B29" s="31"/>
      <c r="C29">
        <v>1000</v>
      </c>
      <c r="E29" t="s">
        <v>337</v>
      </c>
      <c r="F29" t="s">
        <v>338</v>
      </c>
      <c r="H29" t="s">
        <v>333</v>
      </c>
      <c r="I29" t="s">
        <v>334</v>
      </c>
      <c r="J29" t="s">
        <v>335</v>
      </c>
      <c r="N29" t="s">
        <v>336</v>
      </c>
      <c r="AH29" s="49"/>
    </row>
    <row r="30" spans="1:34" x14ac:dyDescent="0.25">
      <c r="A30" s="44">
        <v>1001</v>
      </c>
      <c r="B30" s="31"/>
      <c r="C30">
        <v>1000</v>
      </c>
      <c r="E30" t="s">
        <v>337</v>
      </c>
      <c r="F30" t="s">
        <v>338</v>
      </c>
      <c r="H30" t="s">
        <v>333</v>
      </c>
      <c r="I30" t="s">
        <v>334</v>
      </c>
      <c r="J30" t="s">
        <v>335</v>
      </c>
      <c r="N30" t="s">
        <v>336</v>
      </c>
      <c r="AH30" s="49"/>
    </row>
    <row r="31" spans="1:34" x14ac:dyDescent="0.25">
      <c r="A31" s="44">
        <v>110</v>
      </c>
      <c r="B31" s="31"/>
      <c r="C31">
        <v>100</v>
      </c>
      <c r="E31" t="s">
        <v>337</v>
      </c>
      <c r="F31" t="s">
        <v>338</v>
      </c>
      <c r="H31" t="s">
        <v>333</v>
      </c>
      <c r="I31" t="s">
        <v>334</v>
      </c>
      <c r="J31" t="s">
        <v>335</v>
      </c>
      <c r="N31" t="s">
        <v>336</v>
      </c>
      <c r="AH31" s="49"/>
    </row>
    <row r="32" spans="1:34" x14ac:dyDescent="0.25">
      <c r="A32" s="44">
        <v>110</v>
      </c>
      <c r="B32" s="31"/>
      <c r="C32">
        <v>100</v>
      </c>
      <c r="E32" t="s">
        <v>337</v>
      </c>
      <c r="F32" t="s">
        <v>338</v>
      </c>
      <c r="H32" t="s">
        <v>333</v>
      </c>
      <c r="I32" t="s">
        <v>334</v>
      </c>
      <c r="J32" t="s">
        <v>335</v>
      </c>
      <c r="N32" t="s">
        <v>336</v>
      </c>
      <c r="AH32" s="49"/>
    </row>
    <row r="33" spans="1:34" x14ac:dyDescent="0.25">
      <c r="A33" s="44">
        <v>1001</v>
      </c>
      <c r="B33" s="31"/>
      <c r="C33">
        <v>1000</v>
      </c>
      <c r="E33" t="s">
        <v>337</v>
      </c>
      <c r="F33" t="s">
        <v>338</v>
      </c>
      <c r="H33" t="s">
        <v>333</v>
      </c>
      <c r="I33" t="s">
        <v>334</v>
      </c>
      <c r="J33" t="s">
        <v>335</v>
      </c>
      <c r="N33" t="s">
        <v>336</v>
      </c>
      <c r="AH33" s="49"/>
    </row>
    <row r="34" spans="1:34" x14ac:dyDescent="0.25">
      <c r="A34" s="44">
        <v>1001</v>
      </c>
      <c r="B34" s="31"/>
      <c r="C34">
        <v>1000</v>
      </c>
      <c r="E34" t="s">
        <v>337</v>
      </c>
      <c r="F34" t="s">
        <v>338</v>
      </c>
      <c r="H34" t="s">
        <v>333</v>
      </c>
      <c r="I34" t="s">
        <v>334</v>
      </c>
      <c r="J34" t="s">
        <v>335</v>
      </c>
      <c r="N34" t="s">
        <v>336</v>
      </c>
      <c r="AH34" s="49"/>
    </row>
    <row r="35" spans="1:34" x14ac:dyDescent="0.25">
      <c r="A35" s="44">
        <v>110</v>
      </c>
      <c r="B35" s="31"/>
      <c r="C35">
        <v>100</v>
      </c>
      <c r="E35" t="s">
        <v>337</v>
      </c>
      <c r="F35" t="s">
        <v>338</v>
      </c>
      <c r="H35" t="s">
        <v>333</v>
      </c>
      <c r="I35" t="s">
        <v>334</v>
      </c>
      <c r="J35" t="s">
        <v>335</v>
      </c>
      <c r="N35" t="s">
        <v>336</v>
      </c>
      <c r="AH35" s="49"/>
    </row>
    <row r="36" spans="1:34" x14ac:dyDescent="0.25">
      <c r="A36" s="44">
        <v>1001</v>
      </c>
      <c r="B36" s="31"/>
      <c r="C36">
        <v>1000</v>
      </c>
      <c r="E36" t="s">
        <v>337</v>
      </c>
      <c r="F36" t="s">
        <v>338</v>
      </c>
      <c r="H36" t="s">
        <v>333</v>
      </c>
      <c r="I36" t="s">
        <v>334</v>
      </c>
      <c r="J36" t="s">
        <v>335</v>
      </c>
      <c r="N36" t="s">
        <v>336</v>
      </c>
      <c r="AH36" s="49"/>
    </row>
    <row r="37" spans="1:34" x14ac:dyDescent="0.25">
      <c r="A37" s="44">
        <v>1001</v>
      </c>
      <c r="B37" s="31"/>
      <c r="C37">
        <v>1000</v>
      </c>
      <c r="E37" t="s">
        <v>337</v>
      </c>
      <c r="F37" t="s">
        <v>338</v>
      </c>
      <c r="H37" t="s">
        <v>333</v>
      </c>
      <c r="I37" t="s">
        <v>334</v>
      </c>
      <c r="J37" t="s">
        <v>335</v>
      </c>
      <c r="N37" t="s">
        <v>336</v>
      </c>
      <c r="AH37" s="49"/>
    </row>
    <row r="38" spans="1:34" x14ac:dyDescent="0.25">
      <c r="A38" s="44">
        <v>1001</v>
      </c>
      <c r="B38" s="31"/>
      <c r="C38">
        <v>1000</v>
      </c>
      <c r="E38" t="s">
        <v>337</v>
      </c>
      <c r="F38" t="s">
        <v>338</v>
      </c>
      <c r="H38" t="s">
        <v>333</v>
      </c>
      <c r="I38" t="s">
        <v>334</v>
      </c>
      <c r="J38" t="s">
        <v>335</v>
      </c>
      <c r="N38" t="s">
        <v>336</v>
      </c>
      <c r="AH38" s="49"/>
    </row>
    <row r="39" spans="1:34" x14ac:dyDescent="0.25">
      <c r="A39" s="44">
        <v>1001</v>
      </c>
      <c r="B39" s="31"/>
      <c r="C39">
        <v>1000</v>
      </c>
      <c r="E39" t="s">
        <v>337</v>
      </c>
      <c r="F39" t="s">
        <v>338</v>
      </c>
      <c r="H39" t="s">
        <v>333</v>
      </c>
      <c r="I39" t="s">
        <v>334</v>
      </c>
      <c r="J39" t="s">
        <v>335</v>
      </c>
      <c r="N39" t="s">
        <v>336</v>
      </c>
      <c r="AH39" s="49"/>
    </row>
    <row r="40" spans="1:34" x14ac:dyDescent="0.25">
      <c r="A40" s="44">
        <v>110</v>
      </c>
      <c r="B40" s="31"/>
      <c r="C40">
        <v>100</v>
      </c>
      <c r="E40" t="s">
        <v>337</v>
      </c>
      <c r="F40" t="s">
        <v>338</v>
      </c>
      <c r="H40" t="s">
        <v>333</v>
      </c>
      <c r="I40" t="s">
        <v>334</v>
      </c>
      <c r="J40" t="s">
        <v>335</v>
      </c>
      <c r="N40" t="s">
        <v>336</v>
      </c>
      <c r="AH40" s="49"/>
    </row>
    <row r="41" spans="1:34" x14ac:dyDescent="0.25">
      <c r="A41" s="44">
        <v>110</v>
      </c>
      <c r="B41" s="31"/>
      <c r="C41">
        <v>100</v>
      </c>
      <c r="E41" t="s">
        <v>337</v>
      </c>
      <c r="F41" t="s">
        <v>338</v>
      </c>
      <c r="H41" t="s">
        <v>333</v>
      </c>
      <c r="I41" t="s">
        <v>334</v>
      </c>
      <c r="J41" t="s">
        <v>335</v>
      </c>
      <c r="N41" t="s">
        <v>336</v>
      </c>
      <c r="AH41" s="49"/>
    </row>
    <row r="42" spans="1:34" x14ac:dyDescent="0.25">
      <c r="A42" s="44">
        <v>102</v>
      </c>
      <c r="B42" s="31"/>
      <c r="C42">
        <v>100</v>
      </c>
      <c r="E42" t="s">
        <v>337</v>
      </c>
      <c r="F42" t="s">
        <v>338</v>
      </c>
      <c r="H42" t="s">
        <v>333</v>
      </c>
      <c r="I42" t="s">
        <v>334</v>
      </c>
      <c r="J42" t="s">
        <v>335</v>
      </c>
      <c r="N42" t="s">
        <v>336</v>
      </c>
      <c r="AH42" s="49"/>
    </row>
    <row r="43" spans="1:34" x14ac:dyDescent="0.25">
      <c r="A43" s="44">
        <v>1001</v>
      </c>
      <c r="B43" s="31"/>
      <c r="C43">
        <v>1000</v>
      </c>
      <c r="E43" t="s">
        <v>337</v>
      </c>
      <c r="F43" t="s">
        <v>338</v>
      </c>
      <c r="H43" t="s">
        <v>333</v>
      </c>
      <c r="I43" t="s">
        <v>334</v>
      </c>
      <c r="J43" t="s">
        <v>335</v>
      </c>
      <c r="N43" t="s">
        <v>336</v>
      </c>
      <c r="AH43" s="49"/>
    </row>
    <row r="44" spans="1:34" x14ac:dyDescent="0.25">
      <c r="A44" s="44">
        <v>1001</v>
      </c>
      <c r="B44" s="31"/>
      <c r="C44">
        <v>1000</v>
      </c>
      <c r="E44" t="s">
        <v>337</v>
      </c>
      <c r="F44" t="s">
        <v>338</v>
      </c>
      <c r="H44" t="s">
        <v>333</v>
      </c>
      <c r="I44" t="s">
        <v>334</v>
      </c>
      <c r="J44" t="s">
        <v>335</v>
      </c>
      <c r="N44" t="s">
        <v>336</v>
      </c>
      <c r="AH44" s="49"/>
    </row>
    <row r="45" spans="1:34" x14ac:dyDescent="0.25">
      <c r="A45" s="44">
        <v>1001</v>
      </c>
      <c r="B45" s="31"/>
      <c r="C45">
        <v>1000</v>
      </c>
      <c r="E45" t="s">
        <v>337</v>
      </c>
      <c r="F45" t="s">
        <v>338</v>
      </c>
      <c r="H45" t="s">
        <v>333</v>
      </c>
      <c r="I45" t="s">
        <v>334</v>
      </c>
      <c r="J45" t="s">
        <v>335</v>
      </c>
      <c r="N45" t="s">
        <v>336</v>
      </c>
      <c r="AH45" s="49"/>
    </row>
    <row r="46" spans="1:34" x14ac:dyDescent="0.25">
      <c r="A46" s="44">
        <v>110</v>
      </c>
      <c r="B46" s="31"/>
      <c r="C46">
        <v>100</v>
      </c>
      <c r="E46" t="s">
        <v>337</v>
      </c>
      <c r="F46" t="s">
        <v>338</v>
      </c>
      <c r="H46" t="s">
        <v>333</v>
      </c>
      <c r="I46" t="s">
        <v>334</v>
      </c>
      <c r="J46" t="s">
        <v>335</v>
      </c>
      <c r="N46" t="s">
        <v>336</v>
      </c>
      <c r="AH46" s="49"/>
    </row>
    <row r="47" spans="1:34" x14ac:dyDescent="0.25">
      <c r="A47" s="44">
        <v>110</v>
      </c>
      <c r="B47" s="31"/>
      <c r="C47">
        <v>100</v>
      </c>
      <c r="E47" t="s">
        <v>337</v>
      </c>
      <c r="F47" t="s">
        <v>338</v>
      </c>
      <c r="H47" t="s">
        <v>333</v>
      </c>
      <c r="I47" t="s">
        <v>334</v>
      </c>
      <c r="J47" t="s">
        <v>335</v>
      </c>
      <c r="N47" t="s">
        <v>336</v>
      </c>
      <c r="AH47" s="49"/>
    </row>
    <row r="48" spans="1:34" x14ac:dyDescent="0.25">
      <c r="A48" s="44">
        <v>110</v>
      </c>
      <c r="B48" s="31"/>
      <c r="C48">
        <v>100</v>
      </c>
      <c r="E48" t="s">
        <v>337</v>
      </c>
      <c r="F48" t="s">
        <v>338</v>
      </c>
      <c r="H48" t="s">
        <v>333</v>
      </c>
      <c r="I48" t="s">
        <v>334</v>
      </c>
      <c r="J48" t="s">
        <v>335</v>
      </c>
      <c r="N48" t="s">
        <v>336</v>
      </c>
      <c r="AH48" s="49"/>
    </row>
    <row r="49" spans="1:34" x14ac:dyDescent="0.25">
      <c r="A49" s="44">
        <v>1001</v>
      </c>
      <c r="B49" s="31"/>
      <c r="C49">
        <v>1000</v>
      </c>
      <c r="E49" t="s">
        <v>337</v>
      </c>
      <c r="F49" t="s">
        <v>338</v>
      </c>
      <c r="H49" t="s">
        <v>333</v>
      </c>
      <c r="I49" t="s">
        <v>334</v>
      </c>
      <c r="J49" t="s">
        <v>335</v>
      </c>
      <c r="N49" t="s">
        <v>336</v>
      </c>
      <c r="AH49" s="49"/>
    </row>
    <row r="50" spans="1:34" x14ac:dyDescent="0.25">
      <c r="A50" s="44">
        <v>102</v>
      </c>
      <c r="B50" s="31"/>
      <c r="C50">
        <v>100</v>
      </c>
      <c r="E50" t="s">
        <v>337</v>
      </c>
      <c r="F50" t="s">
        <v>338</v>
      </c>
      <c r="H50" t="s">
        <v>333</v>
      </c>
      <c r="I50" t="s">
        <v>334</v>
      </c>
      <c r="J50" t="s">
        <v>335</v>
      </c>
      <c r="N50" t="s">
        <v>336</v>
      </c>
      <c r="AH50" s="49"/>
    </row>
    <row r="51" spans="1:34" x14ac:dyDescent="0.25">
      <c r="A51" s="44">
        <v>1001</v>
      </c>
      <c r="B51" s="31"/>
      <c r="C51">
        <v>1000</v>
      </c>
      <c r="E51" t="s">
        <v>337</v>
      </c>
      <c r="F51" t="s">
        <v>338</v>
      </c>
      <c r="H51" t="s">
        <v>333</v>
      </c>
      <c r="I51" t="s">
        <v>334</v>
      </c>
      <c r="J51" t="s">
        <v>335</v>
      </c>
      <c r="N51" t="s">
        <v>336</v>
      </c>
      <c r="AH51" s="49"/>
    </row>
    <row r="52" spans="1:34" x14ac:dyDescent="0.25">
      <c r="A52" s="44">
        <v>1001</v>
      </c>
      <c r="B52" s="31"/>
      <c r="C52">
        <v>1000</v>
      </c>
      <c r="E52" t="s">
        <v>337</v>
      </c>
      <c r="F52" t="s">
        <v>338</v>
      </c>
      <c r="H52" t="s">
        <v>333</v>
      </c>
      <c r="I52" t="s">
        <v>334</v>
      </c>
      <c r="J52" t="s">
        <v>335</v>
      </c>
      <c r="N52" t="s">
        <v>336</v>
      </c>
      <c r="AH52" s="49"/>
    </row>
    <row r="53" spans="1:34" x14ac:dyDescent="0.25">
      <c r="A53" s="44">
        <v>1001</v>
      </c>
      <c r="B53" s="31"/>
      <c r="C53">
        <v>1000</v>
      </c>
      <c r="E53" t="s">
        <v>337</v>
      </c>
      <c r="F53" t="s">
        <v>338</v>
      </c>
      <c r="H53" t="s">
        <v>333</v>
      </c>
      <c r="I53" t="s">
        <v>334</v>
      </c>
      <c r="J53" t="s">
        <v>335</v>
      </c>
      <c r="N53" t="s">
        <v>336</v>
      </c>
      <c r="AH53" s="49"/>
    </row>
    <row r="54" spans="1:34" x14ac:dyDescent="0.25">
      <c r="A54" s="44">
        <v>1001</v>
      </c>
      <c r="B54" s="31"/>
      <c r="C54">
        <v>1000</v>
      </c>
      <c r="E54" t="s">
        <v>337</v>
      </c>
      <c r="F54" t="s">
        <v>338</v>
      </c>
      <c r="H54" t="s">
        <v>333</v>
      </c>
      <c r="I54" t="s">
        <v>334</v>
      </c>
      <c r="J54" t="s">
        <v>335</v>
      </c>
      <c r="N54" t="s">
        <v>336</v>
      </c>
      <c r="AH54" s="49"/>
    </row>
    <row r="55" spans="1:34" x14ac:dyDescent="0.25">
      <c r="A55" s="44">
        <v>110</v>
      </c>
      <c r="B55" s="31"/>
      <c r="C55">
        <v>100</v>
      </c>
      <c r="E55" t="s">
        <v>337</v>
      </c>
      <c r="F55" t="s">
        <v>338</v>
      </c>
      <c r="H55" t="s">
        <v>333</v>
      </c>
      <c r="I55" t="s">
        <v>334</v>
      </c>
      <c r="J55" t="s">
        <v>335</v>
      </c>
      <c r="N55" t="s">
        <v>336</v>
      </c>
      <c r="AH55" s="49"/>
    </row>
    <row r="56" spans="1:34" x14ac:dyDescent="0.25">
      <c r="A56" s="44">
        <v>110</v>
      </c>
      <c r="B56" s="31"/>
      <c r="C56">
        <v>100</v>
      </c>
      <c r="E56" t="s">
        <v>337</v>
      </c>
      <c r="F56" t="s">
        <v>338</v>
      </c>
      <c r="H56" t="s">
        <v>333</v>
      </c>
      <c r="I56" t="s">
        <v>334</v>
      </c>
      <c r="J56" t="s">
        <v>335</v>
      </c>
      <c r="N56" t="s">
        <v>336</v>
      </c>
      <c r="AH56" s="49"/>
    </row>
    <row r="57" spans="1:34" x14ac:dyDescent="0.25">
      <c r="A57" s="44">
        <v>110</v>
      </c>
      <c r="B57" s="31"/>
      <c r="C57">
        <v>100</v>
      </c>
      <c r="E57" t="s">
        <v>337</v>
      </c>
      <c r="F57" t="s">
        <v>338</v>
      </c>
      <c r="H57" t="s">
        <v>333</v>
      </c>
      <c r="I57" t="s">
        <v>334</v>
      </c>
      <c r="J57" t="s">
        <v>335</v>
      </c>
      <c r="N57" t="s">
        <v>336</v>
      </c>
      <c r="AH57" s="49"/>
    </row>
    <row r="58" spans="1:34" x14ac:dyDescent="0.25">
      <c r="A58" s="44">
        <v>1001</v>
      </c>
      <c r="B58" s="31"/>
      <c r="C58">
        <v>1000</v>
      </c>
      <c r="E58" t="s">
        <v>337</v>
      </c>
      <c r="F58" t="s">
        <v>338</v>
      </c>
      <c r="H58" t="s">
        <v>333</v>
      </c>
      <c r="I58" t="s">
        <v>334</v>
      </c>
      <c r="J58" t="s">
        <v>335</v>
      </c>
      <c r="N58" t="s">
        <v>336</v>
      </c>
      <c r="AH58" s="49"/>
    </row>
    <row r="59" spans="1:34" x14ac:dyDescent="0.25">
      <c r="A59" s="44">
        <v>1001</v>
      </c>
      <c r="B59" s="31"/>
      <c r="C59">
        <v>1000</v>
      </c>
      <c r="E59" t="s">
        <v>337</v>
      </c>
      <c r="F59" t="s">
        <v>338</v>
      </c>
      <c r="H59" t="s">
        <v>333</v>
      </c>
      <c r="I59" t="s">
        <v>334</v>
      </c>
      <c r="J59" t="s">
        <v>335</v>
      </c>
      <c r="N59" t="s">
        <v>336</v>
      </c>
      <c r="AH59" s="49"/>
    </row>
    <row r="60" spans="1:34" x14ac:dyDescent="0.25">
      <c r="A60" s="44">
        <v>1001</v>
      </c>
      <c r="B60" s="31"/>
      <c r="C60">
        <v>1000</v>
      </c>
      <c r="E60" t="s">
        <v>337</v>
      </c>
      <c r="F60" t="s">
        <v>338</v>
      </c>
      <c r="H60" t="s">
        <v>333</v>
      </c>
      <c r="I60" t="s">
        <v>334</v>
      </c>
      <c r="J60" t="s">
        <v>335</v>
      </c>
      <c r="N60" t="s">
        <v>336</v>
      </c>
      <c r="AH60" s="49"/>
    </row>
    <row r="61" spans="1:34" x14ac:dyDescent="0.25">
      <c r="A61" s="44">
        <v>1001</v>
      </c>
      <c r="B61" s="31"/>
      <c r="C61">
        <v>1000</v>
      </c>
      <c r="E61" t="s">
        <v>337</v>
      </c>
      <c r="F61" t="s">
        <v>338</v>
      </c>
      <c r="H61" t="s">
        <v>333</v>
      </c>
      <c r="I61" t="s">
        <v>334</v>
      </c>
      <c r="J61" t="s">
        <v>335</v>
      </c>
      <c r="N61" t="s">
        <v>336</v>
      </c>
      <c r="AH61" s="49"/>
    </row>
    <row r="62" spans="1:34" x14ac:dyDescent="0.25">
      <c r="A62" s="44">
        <v>1001</v>
      </c>
      <c r="B62" s="31"/>
      <c r="C62">
        <v>1000</v>
      </c>
      <c r="E62" t="s">
        <v>337</v>
      </c>
      <c r="F62" t="s">
        <v>338</v>
      </c>
      <c r="H62" t="s">
        <v>333</v>
      </c>
      <c r="I62" t="s">
        <v>334</v>
      </c>
      <c r="J62" t="s">
        <v>335</v>
      </c>
      <c r="N62" t="s">
        <v>336</v>
      </c>
      <c r="AH62" s="49"/>
    </row>
    <row r="63" spans="1:34" x14ac:dyDescent="0.25">
      <c r="A63" s="44">
        <v>102</v>
      </c>
      <c r="B63" s="31"/>
      <c r="C63">
        <v>100</v>
      </c>
      <c r="E63" t="s">
        <v>337</v>
      </c>
      <c r="F63" t="s">
        <v>338</v>
      </c>
      <c r="H63" t="s">
        <v>333</v>
      </c>
      <c r="I63" t="s">
        <v>334</v>
      </c>
      <c r="J63" t="s">
        <v>335</v>
      </c>
      <c r="N63" t="s">
        <v>336</v>
      </c>
      <c r="AH63" s="49"/>
    </row>
    <row r="64" spans="1:34" x14ac:dyDescent="0.25">
      <c r="A64" s="44">
        <v>1001</v>
      </c>
      <c r="B64" s="31"/>
      <c r="C64">
        <v>1000</v>
      </c>
      <c r="E64" t="s">
        <v>337</v>
      </c>
      <c r="F64" t="s">
        <v>338</v>
      </c>
      <c r="H64" t="s">
        <v>333</v>
      </c>
      <c r="I64" t="s">
        <v>334</v>
      </c>
      <c r="J64" t="s">
        <v>335</v>
      </c>
      <c r="N64" t="s">
        <v>336</v>
      </c>
      <c r="AH64" s="49"/>
    </row>
    <row r="65" spans="1:34" ht="15.75" thickBot="1" x14ac:dyDescent="0.3">
      <c r="A65" s="45">
        <v>1001</v>
      </c>
      <c r="B65" s="39"/>
      <c r="C65" s="40">
        <v>1000</v>
      </c>
      <c r="D65" s="40" t="s">
        <v>340</v>
      </c>
      <c r="E65" s="40" t="s">
        <v>337</v>
      </c>
      <c r="F65" s="40" t="s">
        <v>338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336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50"/>
    </row>
    <row r="66" spans="1:34" ht="15.75" thickTop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5703125" bestFit="1" customWidth="1"/>
    <col min="6" max="6" width="43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73">
        <v>501</v>
      </c>
      <c r="B2" s="38"/>
      <c r="C2" s="53">
        <v>500</v>
      </c>
      <c r="D2" s="53" t="s">
        <v>339</v>
      </c>
      <c r="E2" s="53" t="s">
        <v>427</v>
      </c>
      <c r="F2" s="53" t="s">
        <v>428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426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67"/>
    </row>
    <row r="3" spans="1:34" x14ac:dyDescent="0.25">
      <c r="A3" s="176">
        <v>501</v>
      </c>
      <c r="B3" s="31"/>
      <c r="C3">
        <v>500</v>
      </c>
      <c r="E3" t="s">
        <v>427</v>
      </c>
      <c r="F3" t="s">
        <v>428</v>
      </c>
      <c r="H3" t="s">
        <v>333</v>
      </c>
      <c r="I3" t="s">
        <v>334</v>
      </c>
      <c r="J3" t="s">
        <v>335</v>
      </c>
      <c r="N3" t="s">
        <v>426</v>
      </c>
      <c r="AH3" s="168"/>
    </row>
    <row r="4" spans="1:34" x14ac:dyDescent="0.25">
      <c r="A4" s="176">
        <v>102</v>
      </c>
      <c r="B4" s="31"/>
      <c r="C4">
        <v>100</v>
      </c>
      <c r="E4" t="s">
        <v>427</v>
      </c>
      <c r="F4" t="s">
        <v>428</v>
      </c>
      <c r="H4" t="s">
        <v>333</v>
      </c>
      <c r="I4" t="s">
        <v>334</v>
      </c>
      <c r="J4" t="s">
        <v>335</v>
      </c>
      <c r="N4" t="s">
        <v>426</v>
      </c>
      <c r="AH4" s="168"/>
    </row>
    <row r="5" spans="1:34" x14ac:dyDescent="0.25">
      <c r="A5" s="176">
        <v>501</v>
      </c>
      <c r="B5" s="31"/>
      <c r="C5">
        <v>500</v>
      </c>
      <c r="E5" t="s">
        <v>427</v>
      </c>
      <c r="F5" t="s">
        <v>428</v>
      </c>
      <c r="H5" t="s">
        <v>333</v>
      </c>
      <c r="I5" t="s">
        <v>334</v>
      </c>
      <c r="J5" t="s">
        <v>335</v>
      </c>
      <c r="N5" t="s">
        <v>426</v>
      </c>
      <c r="AH5" s="168"/>
    </row>
    <row r="6" spans="1:34" x14ac:dyDescent="0.25">
      <c r="A6" s="176">
        <v>501</v>
      </c>
      <c r="B6" s="31"/>
      <c r="C6">
        <v>500</v>
      </c>
      <c r="E6" t="s">
        <v>427</v>
      </c>
      <c r="F6" t="s">
        <v>428</v>
      </c>
      <c r="H6" t="s">
        <v>333</v>
      </c>
      <c r="I6" t="s">
        <v>334</v>
      </c>
      <c r="J6" t="s">
        <v>335</v>
      </c>
      <c r="N6" t="s">
        <v>426</v>
      </c>
      <c r="AH6" s="168"/>
    </row>
    <row r="7" spans="1:34" x14ac:dyDescent="0.25">
      <c r="A7" s="176">
        <v>501</v>
      </c>
      <c r="B7" s="31"/>
      <c r="C7">
        <v>500</v>
      </c>
      <c r="E7" t="s">
        <v>427</v>
      </c>
      <c r="F7" t="s">
        <v>428</v>
      </c>
      <c r="H7" t="s">
        <v>333</v>
      </c>
      <c r="I7" t="s">
        <v>334</v>
      </c>
      <c r="J7" t="s">
        <v>335</v>
      </c>
      <c r="N7" t="s">
        <v>426</v>
      </c>
      <c r="AH7" s="168"/>
    </row>
    <row r="8" spans="1:34" x14ac:dyDescent="0.25">
      <c r="A8" s="176">
        <v>501</v>
      </c>
      <c r="B8" s="31"/>
      <c r="C8">
        <v>500</v>
      </c>
      <c r="E8" t="s">
        <v>427</v>
      </c>
      <c r="F8" t="s">
        <v>428</v>
      </c>
      <c r="H8" t="s">
        <v>333</v>
      </c>
      <c r="I8" t="s">
        <v>334</v>
      </c>
      <c r="J8" t="s">
        <v>335</v>
      </c>
      <c r="N8" t="s">
        <v>426</v>
      </c>
      <c r="AH8" s="168"/>
    </row>
    <row r="9" spans="1:34" x14ac:dyDescent="0.25">
      <c r="A9" s="176">
        <v>104</v>
      </c>
      <c r="B9" s="31"/>
      <c r="C9">
        <v>100</v>
      </c>
      <c r="E9" t="s">
        <v>427</v>
      </c>
      <c r="F9" t="s">
        <v>428</v>
      </c>
      <c r="H9" t="s">
        <v>333</v>
      </c>
      <c r="I9" t="s">
        <v>334</v>
      </c>
      <c r="J9" t="s">
        <v>335</v>
      </c>
      <c r="N9" t="s">
        <v>426</v>
      </c>
      <c r="AH9" s="168"/>
    </row>
    <row r="10" spans="1:34" x14ac:dyDescent="0.25">
      <c r="A10" s="176">
        <v>501</v>
      </c>
      <c r="B10" s="31"/>
      <c r="C10">
        <v>500</v>
      </c>
      <c r="E10" t="s">
        <v>427</v>
      </c>
      <c r="F10" t="s">
        <v>428</v>
      </c>
      <c r="H10" t="s">
        <v>333</v>
      </c>
      <c r="I10" t="s">
        <v>334</v>
      </c>
      <c r="J10" t="s">
        <v>335</v>
      </c>
      <c r="N10" t="s">
        <v>426</v>
      </c>
      <c r="AH10" s="168"/>
    </row>
    <row r="11" spans="1:34" x14ac:dyDescent="0.25">
      <c r="A11" s="176">
        <v>102</v>
      </c>
      <c r="B11" s="31"/>
      <c r="C11">
        <v>100</v>
      </c>
      <c r="E11" t="s">
        <v>427</v>
      </c>
      <c r="F11" t="s">
        <v>428</v>
      </c>
      <c r="H11" t="s">
        <v>333</v>
      </c>
      <c r="I11" t="s">
        <v>334</v>
      </c>
      <c r="J11" t="s">
        <v>335</v>
      </c>
      <c r="N11" t="s">
        <v>426</v>
      </c>
      <c r="AH11" s="168"/>
    </row>
    <row r="12" spans="1:34" x14ac:dyDescent="0.25">
      <c r="A12" s="176">
        <v>903</v>
      </c>
      <c r="B12" s="31"/>
      <c r="C12">
        <v>900</v>
      </c>
      <c r="E12" t="s">
        <v>427</v>
      </c>
      <c r="F12" t="s">
        <v>428</v>
      </c>
      <c r="H12" t="s">
        <v>333</v>
      </c>
      <c r="I12" t="s">
        <v>334</v>
      </c>
      <c r="J12" t="s">
        <v>335</v>
      </c>
      <c r="N12" t="s">
        <v>426</v>
      </c>
      <c r="AH12" s="168"/>
    </row>
    <row r="13" spans="1:34" x14ac:dyDescent="0.25">
      <c r="A13" s="176">
        <v>903</v>
      </c>
      <c r="B13" s="31"/>
      <c r="C13">
        <v>900</v>
      </c>
      <c r="E13" t="s">
        <v>427</v>
      </c>
      <c r="F13" t="s">
        <v>428</v>
      </c>
      <c r="H13" t="s">
        <v>333</v>
      </c>
      <c r="I13" t="s">
        <v>334</v>
      </c>
      <c r="J13" t="s">
        <v>335</v>
      </c>
      <c r="N13" t="s">
        <v>426</v>
      </c>
      <c r="AH13" s="168"/>
    </row>
    <row r="14" spans="1:34" x14ac:dyDescent="0.25">
      <c r="A14" s="176">
        <v>903</v>
      </c>
      <c r="B14" s="31"/>
      <c r="C14">
        <v>900</v>
      </c>
      <c r="E14" t="s">
        <v>427</v>
      </c>
      <c r="F14" t="s">
        <v>428</v>
      </c>
      <c r="H14" t="s">
        <v>333</v>
      </c>
      <c r="I14" t="s">
        <v>334</v>
      </c>
      <c r="J14" t="s">
        <v>335</v>
      </c>
      <c r="N14" t="s">
        <v>426</v>
      </c>
      <c r="AH14" s="168"/>
    </row>
    <row r="15" spans="1:34" x14ac:dyDescent="0.25">
      <c r="A15" s="176">
        <v>903</v>
      </c>
      <c r="B15" s="31"/>
      <c r="C15">
        <v>900</v>
      </c>
      <c r="E15" t="s">
        <v>427</v>
      </c>
      <c r="F15" t="s">
        <v>428</v>
      </c>
      <c r="H15" t="s">
        <v>333</v>
      </c>
      <c r="I15" t="s">
        <v>334</v>
      </c>
      <c r="J15" t="s">
        <v>335</v>
      </c>
      <c r="N15" t="s">
        <v>426</v>
      </c>
      <c r="AH15" s="168"/>
    </row>
    <row r="16" spans="1:34" x14ac:dyDescent="0.25">
      <c r="A16" s="176">
        <v>501</v>
      </c>
      <c r="B16" s="31"/>
      <c r="C16">
        <v>500</v>
      </c>
      <c r="E16" t="s">
        <v>427</v>
      </c>
      <c r="F16" t="s">
        <v>428</v>
      </c>
      <c r="H16" t="s">
        <v>333</v>
      </c>
      <c r="I16" t="s">
        <v>334</v>
      </c>
      <c r="J16" t="s">
        <v>335</v>
      </c>
      <c r="N16" t="s">
        <v>426</v>
      </c>
      <c r="AH16" s="168"/>
    </row>
    <row r="17" spans="1:34" x14ac:dyDescent="0.25">
      <c r="A17" s="176">
        <v>501</v>
      </c>
      <c r="B17" s="31"/>
      <c r="C17">
        <v>500</v>
      </c>
      <c r="E17" t="s">
        <v>427</v>
      </c>
      <c r="F17" t="s">
        <v>428</v>
      </c>
      <c r="H17" t="s">
        <v>333</v>
      </c>
      <c r="I17" t="s">
        <v>334</v>
      </c>
      <c r="J17" t="s">
        <v>335</v>
      </c>
      <c r="N17" t="s">
        <v>426</v>
      </c>
      <c r="AH17" s="168"/>
    </row>
    <row r="18" spans="1:34" x14ac:dyDescent="0.25">
      <c r="A18" s="176">
        <v>501</v>
      </c>
      <c r="B18" s="31"/>
      <c r="C18">
        <v>500</v>
      </c>
      <c r="E18" t="s">
        <v>427</v>
      </c>
      <c r="F18" t="s">
        <v>428</v>
      </c>
      <c r="H18" t="s">
        <v>333</v>
      </c>
      <c r="I18" t="s">
        <v>334</v>
      </c>
      <c r="J18" t="s">
        <v>335</v>
      </c>
      <c r="N18" t="s">
        <v>426</v>
      </c>
      <c r="AH18" s="168"/>
    </row>
    <row r="19" spans="1:34" x14ac:dyDescent="0.25">
      <c r="A19" s="176">
        <v>501</v>
      </c>
      <c r="B19" s="31"/>
      <c r="C19">
        <v>500</v>
      </c>
      <c r="E19" t="s">
        <v>427</v>
      </c>
      <c r="F19" t="s">
        <v>428</v>
      </c>
      <c r="H19" t="s">
        <v>333</v>
      </c>
      <c r="I19" t="s">
        <v>334</v>
      </c>
      <c r="J19" t="s">
        <v>335</v>
      </c>
      <c r="N19" t="s">
        <v>426</v>
      </c>
      <c r="AH19" s="168"/>
    </row>
    <row r="20" spans="1:34" x14ac:dyDescent="0.25">
      <c r="A20" s="176">
        <v>903</v>
      </c>
      <c r="B20" s="31"/>
      <c r="C20">
        <v>900</v>
      </c>
      <c r="E20" t="s">
        <v>427</v>
      </c>
      <c r="F20" t="s">
        <v>428</v>
      </c>
      <c r="H20" t="s">
        <v>333</v>
      </c>
      <c r="I20" t="s">
        <v>334</v>
      </c>
      <c r="J20" t="s">
        <v>335</v>
      </c>
      <c r="N20" t="s">
        <v>426</v>
      </c>
      <c r="AH20" s="168"/>
    </row>
    <row r="21" spans="1:34" x14ac:dyDescent="0.25">
      <c r="A21" s="176">
        <v>102</v>
      </c>
      <c r="B21" s="31"/>
      <c r="C21">
        <v>100</v>
      </c>
      <c r="E21" t="s">
        <v>427</v>
      </c>
      <c r="F21" t="s">
        <v>428</v>
      </c>
      <c r="H21" t="s">
        <v>333</v>
      </c>
      <c r="I21" t="s">
        <v>334</v>
      </c>
      <c r="J21" t="s">
        <v>335</v>
      </c>
      <c r="N21" t="s">
        <v>426</v>
      </c>
      <c r="AH21" s="168"/>
    </row>
    <row r="22" spans="1:34" x14ac:dyDescent="0.25">
      <c r="A22" s="176">
        <v>102</v>
      </c>
      <c r="B22" s="31"/>
      <c r="C22">
        <v>100</v>
      </c>
      <c r="E22" t="s">
        <v>427</v>
      </c>
      <c r="F22" t="s">
        <v>428</v>
      </c>
      <c r="H22" t="s">
        <v>333</v>
      </c>
      <c r="I22" t="s">
        <v>334</v>
      </c>
      <c r="J22" t="s">
        <v>335</v>
      </c>
      <c r="N22" t="s">
        <v>426</v>
      </c>
      <c r="AH22" s="168"/>
    </row>
    <row r="23" spans="1:34" x14ac:dyDescent="0.25">
      <c r="A23" s="176">
        <v>501</v>
      </c>
      <c r="B23" s="31"/>
      <c r="C23">
        <v>500</v>
      </c>
      <c r="E23" t="s">
        <v>427</v>
      </c>
      <c r="F23" t="s">
        <v>428</v>
      </c>
      <c r="H23" t="s">
        <v>333</v>
      </c>
      <c r="I23" t="s">
        <v>334</v>
      </c>
      <c r="J23" t="s">
        <v>335</v>
      </c>
      <c r="N23" t="s">
        <v>426</v>
      </c>
      <c r="AH23" s="168"/>
    </row>
    <row r="24" spans="1:34" x14ac:dyDescent="0.25">
      <c r="A24" s="176">
        <v>501</v>
      </c>
      <c r="B24" s="31"/>
      <c r="C24">
        <v>500</v>
      </c>
      <c r="E24" t="s">
        <v>427</v>
      </c>
      <c r="F24" t="s">
        <v>428</v>
      </c>
      <c r="H24" t="s">
        <v>333</v>
      </c>
      <c r="I24" t="s">
        <v>334</v>
      </c>
      <c r="J24" t="s">
        <v>335</v>
      </c>
      <c r="N24" t="s">
        <v>426</v>
      </c>
      <c r="AH24" s="168"/>
    </row>
    <row r="25" spans="1:34" x14ac:dyDescent="0.25">
      <c r="A25" s="176">
        <v>102</v>
      </c>
      <c r="B25" s="31"/>
      <c r="C25">
        <v>100</v>
      </c>
      <c r="E25" t="s">
        <v>427</v>
      </c>
      <c r="F25" t="s">
        <v>428</v>
      </c>
      <c r="H25" t="s">
        <v>333</v>
      </c>
      <c r="I25" t="s">
        <v>334</v>
      </c>
      <c r="J25" t="s">
        <v>335</v>
      </c>
      <c r="N25" t="s">
        <v>426</v>
      </c>
      <c r="AH25" s="168"/>
    </row>
    <row r="26" spans="1:34" x14ac:dyDescent="0.25">
      <c r="A26" s="176">
        <v>303</v>
      </c>
      <c r="B26" s="31"/>
      <c r="C26">
        <v>300</v>
      </c>
      <c r="E26" t="s">
        <v>427</v>
      </c>
      <c r="F26" t="s">
        <v>428</v>
      </c>
      <c r="H26" t="s">
        <v>333</v>
      </c>
      <c r="I26" t="s">
        <v>334</v>
      </c>
      <c r="J26" t="s">
        <v>335</v>
      </c>
      <c r="N26" t="s">
        <v>426</v>
      </c>
      <c r="AH26" s="168"/>
    </row>
    <row r="27" spans="1:34" x14ac:dyDescent="0.25">
      <c r="A27" s="176">
        <v>903</v>
      </c>
      <c r="B27" s="31"/>
      <c r="C27">
        <v>900</v>
      </c>
      <c r="E27" t="s">
        <v>427</v>
      </c>
      <c r="F27" t="s">
        <v>428</v>
      </c>
      <c r="H27" t="s">
        <v>333</v>
      </c>
      <c r="I27" t="s">
        <v>334</v>
      </c>
      <c r="J27" t="s">
        <v>335</v>
      </c>
      <c r="N27" t="s">
        <v>426</v>
      </c>
      <c r="AH27" s="168"/>
    </row>
    <row r="28" spans="1:34" x14ac:dyDescent="0.25">
      <c r="A28" s="176">
        <v>501</v>
      </c>
      <c r="B28" s="31"/>
      <c r="C28">
        <v>500</v>
      </c>
      <c r="E28" t="s">
        <v>427</v>
      </c>
      <c r="F28" t="s">
        <v>428</v>
      </c>
      <c r="H28" t="s">
        <v>333</v>
      </c>
      <c r="I28" t="s">
        <v>334</v>
      </c>
      <c r="J28" t="s">
        <v>335</v>
      </c>
      <c r="N28" t="s">
        <v>426</v>
      </c>
      <c r="AH28" s="168"/>
    </row>
    <row r="29" spans="1:34" x14ac:dyDescent="0.25">
      <c r="A29" s="176">
        <v>102</v>
      </c>
      <c r="B29" s="31"/>
      <c r="C29">
        <v>100</v>
      </c>
      <c r="E29" t="s">
        <v>427</v>
      </c>
      <c r="F29" t="s">
        <v>428</v>
      </c>
      <c r="H29" t="s">
        <v>333</v>
      </c>
      <c r="I29" t="s">
        <v>334</v>
      </c>
      <c r="J29" t="s">
        <v>335</v>
      </c>
      <c r="N29" t="s">
        <v>426</v>
      </c>
      <c r="AH29" s="168"/>
    </row>
    <row r="30" spans="1:34" x14ac:dyDescent="0.25">
      <c r="A30" s="176">
        <v>102</v>
      </c>
      <c r="B30" s="31"/>
      <c r="C30">
        <v>100</v>
      </c>
      <c r="E30" t="s">
        <v>427</v>
      </c>
      <c r="F30" t="s">
        <v>428</v>
      </c>
      <c r="H30" t="s">
        <v>333</v>
      </c>
      <c r="I30" t="s">
        <v>334</v>
      </c>
      <c r="J30" t="s">
        <v>335</v>
      </c>
      <c r="N30" t="s">
        <v>426</v>
      </c>
      <c r="AH30" s="168"/>
    </row>
    <row r="31" spans="1:34" x14ac:dyDescent="0.25">
      <c r="A31" s="176">
        <v>102</v>
      </c>
      <c r="B31" s="31"/>
      <c r="C31">
        <v>100</v>
      </c>
      <c r="E31" t="s">
        <v>427</v>
      </c>
      <c r="F31" t="s">
        <v>428</v>
      </c>
      <c r="H31" t="s">
        <v>333</v>
      </c>
      <c r="I31" t="s">
        <v>334</v>
      </c>
      <c r="J31" t="s">
        <v>335</v>
      </c>
      <c r="N31" t="s">
        <v>426</v>
      </c>
      <c r="AH31" s="168"/>
    </row>
    <row r="32" spans="1:34" x14ac:dyDescent="0.25">
      <c r="A32" s="176">
        <v>102</v>
      </c>
      <c r="B32" s="31"/>
      <c r="C32">
        <v>100</v>
      </c>
      <c r="E32" t="s">
        <v>427</v>
      </c>
      <c r="F32" t="s">
        <v>428</v>
      </c>
      <c r="H32" t="s">
        <v>333</v>
      </c>
      <c r="I32" t="s">
        <v>334</v>
      </c>
      <c r="J32" t="s">
        <v>335</v>
      </c>
      <c r="N32" t="s">
        <v>426</v>
      </c>
      <c r="AH32" s="168"/>
    </row>
    <row r="33" spans="1:34" x14ac:dyDescent="0.25">
      <c r="A33" s="176">
        <v>903</v>
      </c>
      <c r="B33" s="31"/>
      <c r="C33">
        <v>900</v>
      </c>
      <c r="E33" t="s">
        <v>427</v>
      </c>
      <c r="F33" t="s">
        <v>428</v>
      </c>
      <c r="H33" t="s">
        <v>333</v>
      </c>
      <c r="I33" t="s">
        <v>334</v>
      </c>
      <c r="J33" t="s">
        <v>335</v>
      </c>
      <c r="N33" t="s">
        <v>426</v>
      </c>
      <c r="AH33" s="168"/>
    </row>
    <row r="34" spans="1:34" x14ac:dyDescent="0.25">
      <c r="A34" s="176">
        <v>303</v>
      </c>
      <c r="B34" s="31"/>
      <c r="C34">
        <v>300</v>
      </c>
      <c r="E34" t="s">
        <v>427</v>
      </c>
      <c r="F34" t="s">
        <v>428</v>
      </c>
      <c r="H34" t="s">
        <v>333</v>
      </c>
      <c r="I34" t="s">
        <v>334</v>
      </c>
      <c r="J34" t="s">
        <v>335</v>
      </c>
      <c r="N34" t="s">
        <v>426</v>
      </c>
      <c r="AH34" s="168"/>
    </row>
    <row r="35" spans="1:34" x14ac:dyDescent="0.25">
      <c r="A35" s="176">
        <v>102</v>
      </c>
      <c r="B35" s="31"/>
      <c r="C35">
        <v>100</v>
      </c>
      <c r="E35" t="s">
        <v>427</v>
      </c>
      <c r="F35" t="s">
        <v>428</v>
      </c>
      <c r="H35" t="s">
        <v>333</v>
      </c>
      <c r="I35" t="s">
        <v>334</v>
      </c>
      <c r="J35" t="s">
        <v>335</v>
      </c>
      <c r="N35" t="s">
        <v>426</v>
      </c>
      <c r="AH35" s="168"/>
    </row>
    <row r="36" spans="1:34" x14ac:dyDescent="0.25">
      <c r="A36" s="176">
        <v>501</v>
      </c>
      <c r="B36" s="31"/>
      <c r="C36">
        <v>500</v>
      </c>
      <c r="E36" t="s">
        <v>427</v>
      </c>
      <c r="F36" t="s">
        <v>428</v>
      </c>
      <c r="H36" t="s">
        <v>333</v>
      </c>
      <c r="I36" t="s">
        <v>334</v>
      </c>
      <c r="J36" t="s">
        <v>335</v>
      </c>
      <c r="N36" t="s">
        <v>426</v>
      </c>
      <c r="AH36" s="168"/>
    </row>
    <row r="37" spans="1:34" x14ac:dyDescent="0.25">
      <c r="A37" s="176">
        <v>102</v>
      </c>
      <c r="B37" s="31"/>
      <c r="C37">
        <v>100</v>
      </c>
      <c r="E37" t="s">
        <v>427</v>
      </c>
      <c r="F37" t="s">
        <v>428</v>
      </c>
      <c r="H37" t="s">
        <v>333</v>
      </c>
      <c r="I37" t="s">
        <v>334</v>
      </c>
      <c r="J37" t="s">
        <v>335</v>
      </c>
      <c r="N37" t="s">
        <v>426</v>
      </c>
      <c r="AH37" s="168"/>
    </row>
    <row r="38" spans="1:34" x14ac:dyDescent="0.25">
      <c r="A38" s="176">
        <v>102</v>
      </c>
      <c r="B38" s="31"/>
      <c r="C38">
        <v>100</v>
      </c>
      <c r="E38" t="s">
        <v>427</v>
      </c>
      <c r="F38" t="s">
        <v>428</v>
      </c>
      <c r="H38" t="s">
        <v>333</v>
      </c>
      <c r="I38" t="s">
        <v>334</v>
      </c>
      <c r="J38" t="s">
        <v>335</v>
      </c>
      <c r="N38" t="s">
        <v>426</v>
      </c>
      <c r="AH38" s="168"/>
    </row>
    <row r="39" spans="1:34" x14ac:dyDescent="0.25">
      <c r="A39" s="176">
        <v>501</v>
      </c>
      <c r="B39" s="31"/>
      <c r="C39">
        <v>500</v>
      </c>
      <c r="E39" t="s">
        <v>427</v>
      </c>
      <c r="F39" t="s">
        <v>428</v>
      </c>
      <c r="H39" t="s">
        <v>333</v>
      </c>
      <c r="I39" t="s">
        <v>334</v>
      </c>
      <c r="J39" t="s">
        <v>335</v>
      </c>
      <c r="N39" t="s">
        <v>426</v>
      </c>
      <c r="AH39" s="168"/>
    </row>
    <row r="40" spans="1:34" x14ac:dyDescent="0.25">
      <c r="A40" s="176">
        <v>501</v>
      </c>
      <c r="B40" s="31"/>
      <c r="C40">
        <v>500</v>
      </c>
      <c r="E40" t="s">
        <v>427</v>
      </c>
      <c r="F40" t="s">
        <v>428</v>
      </c>
      <c r="H40" t="s">
        <v>333</v>
      </c>
      <c r="I40" t="s">
        <v>334</v>
      </c>
      <c r="J40" t="s">
        <v>335</v>
      </c>
      <c r="N40" t="s">
        <v>426</v>
      </c>
      <c r="AH40" s="168"/>
    </row>
    <row r="41" spans="1:34" x14ac:dyDescent="0.25">
      <c r="A41" s="176">
        <v>501</v>
      </c>
      <c r="B41" s="31"/>
      <c r="C41">
        <v>500</v>
      </c>
      <c r="E41" t="s">
        <v>427</v>
      </c>
      <c r="F41" t="s">
        <v>428</v>
      </c>
      <c r="H41" t="s">
        <v>333</v>
      </c>
      <c r="I41" t="s">
        <v>334</v>
      </c>
      <c r="J41" t="s">
        <v>335</v>
      </c>
      <c r="N41" t="s">
        <v>426</v>
      </c>
      <c r="AH41" s="168"/>
    </row>
    <row r="42" spans="1:34" x14ac:dyDescent="0.25">
      <c r="A42" s="176">
        <v>303</v>
      </c>
      <c r="B42" s="31"/>
      <c r="C42">
        <v>300</v>
      </c>
      <c r="E42" t="s">
        <v>427</v>
      </c>
      <c r="F42" t="s">
        <v>428</v>
      </c>
      <c r="H42" t="s">
        <v>333</v>
      </c>
      <c r="I42" t="s">
        <v>334</v>
      </c>
      <c r="J42" t="s">
        <v>335</v>
      </c>
      <c r="N42" t="s">
        <v>426</v>
      </c>
      <c r="AH42" s="168"/>
    </row>
    <row r="43" spans="1:34" x14ac:dyDescent="0.25">
      <c r="A43" s="176">
        <v>501</v>
      </c>
      <c r="B43" s="31"/>
      <c r="C43">
        <v>500</v>
      </c>
      <c r="E43" t="s">
        <v>427</v>
      </c>
      <c r="F43" t="s">
        <v>428</v>
      </c>
      <c r="H43" t="s">
        <v>333</v>
      </c>
      <c r="I43" t="s">
        <v>334</v>
      </c>
      <c r="J43" t="s">
        <v>335</v>
      </c>
      <c r="N43" t="s">
        <v>426</v>
      </c>
      <c r="AH43" s="168"/>
    </row>
    <row r="44" spans="1:34" x14ac:dyDescent="0.25">
      <c r="A44" s="176">
        <v>102</v>
      </c>
      <c r="B44" s="31"/>
      <c r="C44">
        <v>100</v>
      </c>
      <c r="E44" t="s">
        <v>427</v>
      </c>
      <c r="F44" t="s">
        <v>428</v>
      </c>
      <c r="H44" t="s">
        <v>333</v>
      </c>
      <c r="I44" t="s">
        <v>334</v>
      </c>
      <c r="J44" t="s">
        <v>335</v>
      </c>
      <c r="N44" t="s">
        <v>426</v>
      </c>
      <c r="AH44" s="168"/>
    </row>
    <row r="45" spans="1:34" x14ac:dyDescent="0.25">
      <c r="A45" s="176">
        <v>102</v>
      </c>
      <c r="B45" s="31"/>
      <c r="C45">
        <v>100</v>
      </c>
      <c r="E45" t="s">
        <v>427</v>
      </c>
      <c r="F45" t="s">
        <v>428</v>
      </c>
      <c r="H45" t="s">
        <v>333</v>
      </c>
      <c r="I45" t="s">
        <v>334</v>
      </c>
      <c r="J45" t="s">
        <v>335</v>
      </c>
      <c r="N45" t="s">
        <v>426</v>
      </c>
      <c r="AH45" s="168"/>
    </row>
    <row r="46" spans="1:34" x14ac:dyDescent="0.25">
      <c r="A46" s="176">
        <v>102</v>
      </c>
      <c r="B46" s="31"/>
      <c r="C46">
        <v>100</v>
      </c>
      <c r="E46" t="s">
        <v>427</v>
      </c>
      <c r="F46" t="s">
        <v>428</v>
      </c>
      <c r="H46" t="s">
        <v>333</v>
      </c>
      <c r="I46" t="s">
        <v>334</v>
      </c>
      <c r="J46" t="s">
        <v>335</v>
      </c>
      <c r="N46" t="s">
        <v>426</v>
      </c>
      <c r="AH46" s="168"/>
    </row>
    <row r="47" spans="1:34" x14ac:dyDescent="0.25">
      <c r="A47" s="176">
        <v>102</v>
      </c>
      <c r="B47" s="31"/>
      <c r="C47">
        <v>100</v>
      </c>
      <c r="E47" t="s">
        <v>427</v>
      </c>
      <c r="F47" t="s">
        <v>428</v>
      </c>
      <c r="H47" t="s">
        <v>333</v>
      </c>
      <c r="I47" t="s">
        <v>334</v>
      </c>
      <c r="J47" t="s">
        <v>335</v>
      </c>
      <c r="N47" t="s">
        <v>426</v>
      </c>
      <c r="AH47" s="168"/>
    </row>
    <row r="48" spans="1:34" x14ac:dyDescent="0.25">
      <c r="A48" s="176">
        <v>102</v>
      </c>
      <c r="B48" s="31"/>
      <c r="C48">
        <v>100</v>
      </c>
      <c r="E48" t="s">
        <v>427</v>
      </c>
      <c r="F48" t="s">
        <v>428</v>
      </c>
      <c r="H48" t="s">
        <v>333</v>
      </c>
      <c r="I48" t="s">
        <v>334</v>
      </c>
      <c r="J48" t="s">
        <v>335</v>
      </c>
      <c r="N48" t="s">
        <v>426</v>
      </c>
      <c r="AH48" s="168"/>
    </row>
    <row r="49" spans="1:34" x14ac:dyDescent="0.25">
      <c r="A49" s="176">
        <v>501</v>
      </c>
      <c r="B49" s="31"/>
      <c r="C49">
        <v>500</v>
      </c>
      <c r="E49" t="s">
        <v>427</v>
      </c>
      <c r="F49" t="s">
        <v>428</v>
      </c>
      <c r="H49" t="s">
        <v>333</v>
      </c>
      <c r="I49" t="s">
        <v>334</v>
      </c>
      <c r="J49" t="s">
        <v>335</v>
      </c>
      <c r="N49" t="s">
        <v>426</v>
      </c>
      <c r="AH49" s="168"/>
    </row>
    <row r="50" spans="1:34" x14ac:dyDescent="0.25">
      <c r="A50" s="176">
        <v>102</v>
      </c>
      <c r="B50" s="31"/>
      <c r="C50">
        <v>100</v>
      </c>
      <c r="E50" t="s">
        <v>427</v>
      </c>
      <c r="F50" t="s">
        <v>428</v>
      </c>
      <c r="H50" t="s">
        <v>333</v>
      </c>
      <c r="I50" t="s">
        <v>334</v>
      </c>
      <c r="J50" t="s">
        <v>335</v>
      </c>
      <c r="N50" t="s">
        <v>426</v>
      </c>
      <c r="AH50" s="168"/>
    </row>
    <row r="51" spans="1:34" x14ac:dyDescent="0.25">
      <c r="A51" s="176">
        <v>501</v>
      </c>
      <c r="B51" s="31"/>
      <c r="C51">
        <v>500</v>
      </c>
      <c r="E51" t="s">
        <v>427</v>
      </c>
      <c r="F51" t="s">
        <v>428</v>
      </c>
      <c r="H51" t="s">
        <v>333</v>
      </c>
      <c r="I51" t="s">
        <v>334</v>
      </c>
      <c r="J51" t="s">
        <v>335</v>
      </c>
      <c r="N51" t="s">
        <v>426</v>
      </c>
      <c r="AH51" s="168"/>
    </row>
    <row r="52" spans="1:34" x14ac:dyDescent="0.25">
      <c r="A52" s="176">
        <v>501</v>
      </c>
      <c r="B52" s="31"/>
      <c r="C52">
        <v>500</v>
      </c>
      <c r="E52" t="s">
        <v>427</v>
      </c>
      <c r="F52" t="s">
        <v>428</v>
      </c>
      <c r="H52" t="s">
        <v>333</v>
      </c>
      <c r="I52" t="s">
        <v>334</v>
      </c>
      <c r="J52" t="s">
        <v>335</v>
      </c>
      <c r="N52" t="s">
        <v>426</v>
      </c>
      <c r="AH52" s="168"/>
    </row>
    <row r="53" spans="1:34" x14ac:dyDescent="0.25">
      <c r="A53" s="176">
        <v>501</v>
      </c>
      <c r="B53" s="31"/>
      <c r="C53">
        <v>500</v>
      </c>
      <c r="E53" t="s">
        <v>427</v>
      </c>
      <c r="F53" t="s">
        <v>428</v>
      </c>
      <c r="H53" t="s">
        <v>333</v>
      </c>
      <c r="I53" t="s">
        <v>334</v>
      </c>
      <c r="J53" t="s">
        <v>335</v>
      </c>
      <c r="N53" t="s">
        <v>426</v>
      </c>
      <c r="AH53" s="168"/>
    </row>
    <row r="54" spans="1:34" x14ac:dyDescent="0.25">
      <c r="A54" s="176">
        <v>501</v>
      </c>
      <c r="B54" s="31"/>
      <c r="C54">
        <v>500</v>
      </c>
      <c r="E54" t="s">
        <v>427</v>
      </c>
      <c r="F54" t="s">
        <v>428</v>
      </c>
      <c r="H54" t="s">
        <v>333</v>
      </c>
      <c r="I54" t="s">
        <v>334</v>
      </c>
      <c r="J54" t="s">
        <v>335</v>
      </c>
      <c r="N54" t="s">
        <v>426</v>
      </c>
      <c r="AH54" s="168"/>
    </row>
    <row r="55" spans="1:34" x14ac:dyDescent="0.25">
      <c r="A55" s="176">
        <v>501</v>
      </c>
      <c r="B55" s="31"/>
      <c r="C55">
        <v>500</v>
      </c>
      <c r="E55" t="s">
        <v>427</v>
      </c>
      <c r="F55" t="s">
        <v>428</v>
      </c>
      <c r="H55" t="s">
        <v>333</v>
      </c>
      <c r="I55" t="s">
        <v>334</v>
      </c>
      <c r="J55" t="s">
        <v>335</v>
      </c>
      <c r="N55" t="s">
        <v>426</v>
      </c>
      <c r="AH55" s="168"/>
    </row>
    <row r="56" spans="1:34" x14ac:dyDescent="0.25">
      <c r="A56" s="176">
        <v>501</v>
      </c>
      <c r="B56" s="31"/>
      <c r="C56">
        <v>500</v>
      </c>
      <c r="E56" t="s">
        <v>427</v>
      </c>
      <c r="F56" t="s">
        <v>428</v>
      </c>
      <c r="H56" t="s">
        <v>333</v>
      </c>
      <c r="I56" t="s">
        <v>334</v>
      </c>
      <c r="J56" t="s">
        <v>335</v>
      </c>
      <c r="N56" t="s">
        <v>426</v>
      </c>
      <c r="AH56" s="168"/>
    </row>
    <row r="57" spans="1:34" x14ac:dyDescent="0.25">
      <c r="A57" s="176">
        <v>501</v>
      </c>
      <c r="B57" s="31"/>
      <c r="C57">
        <v>500</v>
      </c>
      <c r="E57" t="s">
        <v>427</v>
      </c>
      <c r="F57" t="s">
        <v>428</v>
      </c>
      <c r="H57" t="s">
        <v>333</v>
      </c>
      <c r="I57" t="s">
        <v>334</v>
      </c>
      <c r="J57" t="s">
        <v>335</v>
      </c>
      <c r="N57" t="s">
        <v>426</v>
      </c>
      <c r="AH57" s="168"/>
    </row>
    <row r="58" spans="1:34" x14ac:dyDescent="0.25">
      <c r="A58" s="176">
        <v>102</v>
      </c>
      <c r="B58" s="31"/>
      <c r="C58">
        <v>100</v>
      </c>
      <c r="E58" t="s">
        <v>427</v>
      </c>
      <c r="F58" t="s">
        <v>428</v>
      </c>
      <c r="H58" t="s">
        <v>333</v>
      </c>
      <c r="I58" t="s">
        <v>334</v>
      </c>
      <c r="J58" t="s">
        <v>335</v>
      </c>
      <c r="N58" t="s">
        <v>426</v>
      </c>
      <c r="AH58" s="168"/>
    </row>
    <row r="59" spans="1:34" x14ac:dyDescent="0.25">
      <c r="A59" s="176">
        <v>903</v>
      </c>
      <c r="B59" s="31"/>
      <c r="C59">
        <v>900</v>
      </c>
      <c r="E59" t="s">
        <v>427</v>
      </c>
      <c r="F59" t="s">
        <v>428</v>
      </c>
      <c r="H59" t="s">
        <v>333</v>
      </c>
      <c r="I59" t="s">
        <v>334</v>
      </c>
      <c r="J59" t="s">
        <v>335</v>
      </c>
      <c r="N59" t="s">
        <v>426</v>
      </c>
      <c r="AH59" s="168"/>
    </row>
    <row r="60" spans="1:34" x14ac:dyDescent="0.25">
      <c r="A60" s="176">
        <v>102</v>
      </c>
      <c r="B60" s="31"/>
      <c r="C60">
        <v>100</v>
      </c>
      <c r="E60" t="s">
        <v>427</v>
      </c>
      <c r="F60" t="s">
        <v>428</v>
      </c>
      <c r="H60" t="s">
        <v>333</v>
      </c>
      <c r="I60" t="s">
        <v>334</v>
      </c>
      <c r="J60" t="s">
        <v>335</v>
      </c>
      <c r="N60" t="s">
        <v>426</v>
      </c>
      <c r="AH60" s="168"/>
    </row>
    <row r="61" spans="1:34" x14ac:dyDescent="0.25">
      <c r="A61" s="176">
        <v>501</v>
      </c>
      <c r="B61" s="31"/>
      <c r="C61">
        <v>500</v>
      </c>
      <c r="E61" t="s">
        <v>427</v>
      </c>
      <c r="F61" t="s">
        <v>428</v>
      </c>
      <c r="H61" t="s">
        <v>333</v>
      </c>
      <c r="I61" t="s">
        <v>334</v>
      </c>
      <c r="J61" t="s">
        <v>335</v>
      </c>
      <c r="N61" t="s">
        <v>426</v>
      </c>
      <c r="AH61" s="168"/>
    </row>
    <row r="62" spans="1:34" x14ac:dyDescent="0.25">
      <c r="A62" s="176">
        <v>102</v>
      </c>
      <c r="B62" s="31"/>
      <c r="C62">
        <v>100</v>
      </c>
      <c r="E62" t="s">
        <v>427</v>
      </c>
      <c r="F62" t="s">
        <v>428</v>
      </c>
      <c r="H62" t="s">
        <v>333</v>
      </c>
      <c r="I62" t="s">
        <v>334</v>
      </c>
      <c r="J62" t="s">
        <v>335</v>
      </c>
      <c r="N62" t="s">
        <v>426</v>
      </c>
      <c r="AH62" s="168"/>
    </row>
    <row r="63" spans="1:34" x14ac:dyDescent="0.25">
      <c r="A63" s="176">
        <v>102</v>
      </c>
      <c r="B63" s="31"/>
      <c r="C63">
        <v>100</v>
      </c>
      <c r="E63" t="s">
        <v>427</v>
      </c>
      <c r="F63" t="s">
        <v>428</v>
      </c>
      <c r="H63" t="s">
        <v>333</v>
      </c>
      <c r="I63" t="s">
        <v>334</v>
      </c>
      <c r="J63" t="s">
        <v>335</v>
      </c>
      <c r="N63" t="s">
        <v>426</v>
      </c>
      <c r="AH63" s="168"/>
    </row>
    <row r="64" spans="1:34" x14ac:dyDescent="0.25">
      <c r="A64" s="176">
        <v>102</v>
      </c>
      <c r="B64" s="31"/>
      <c r="C64">
        <v>100</v>
      </c>
      <c r="E64" t="s">
        <v>427</v>
      </c>
      <c r="F64" t="s">
        <v>428</v>
      </c>
      <c r="H64" t="s">
        <v>333</v>
      </c>
      <c r="I64" t="s">
        <v>334</v>
      </c>
      <c r="J64" t="s">
        <v>335</v>
      </c>
      <c r="N64" t="s">
        <v>426</v>
      </c>
      <c r="AH64" s="168"/>
    </row>
    <row r="65" spans="1:34" ht="15.75" thickBot="1" x14ac:dyDescent="0.3">
      <c r="A65" s="177">
        <v>104</v>
      </c>
      <c r="B65" s="39"/>
      <c r="C65" s="40">
        <v>100</v>
      </c>
      <c r="D65" s="40" t="s">
        <v>340</v>
      </c>
      <c r="E65" s="40" t="s">
        <v>427</v>
      </c>
      <c r="F65" s="40" t="s">
        <v>428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426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69"/>
    </row>
    <row r="66" spans="1:34" ht="15.75" thickTop="1" x14ac:dyDescent="0.2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42578125" bestFit="1" customWidth="1"/>
    <col min="6" max="6" width="43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85">
        <v>109</v>
      </c>
      <c r="B2" s="38"/>
      <c r="C2" s="53">
        <v>100</v>
      </c>
      <c r="D2" s="53" t="s">
        <v>339</v>
      </c>
      <c r="E2" s="53" t="s">
        <v>431</v>
      </c>
      <c r="F2" s="53" t="s">
        <v>432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430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79"/>
    </row>
    <row r="3" spans="1:34" x14ac:dyDescent="0.25">
      <c r="A3" s="188">
        <v>102</v>
      </c>
      <c r="B3" s="31"/>
      <c r="C3">
        <v>100</v>
      </c>
      <c r="E3" t="s">
        <v>431</v>
      </c>
      <c r="F3" t="s">
        <v>432</v>
      </c>
      <c r="H3" t="s">
        <v>333</v>
      </c>
      <c r="I3" t="s">
        <v>334</v>
      </c>
      <c r="J3" t="s">
        <v>335</v>
      </c>
      <c r="N3" t="s">
        <v>430</v>
      </c>
      <c r="AH3" s="180"/>
    </row>
    <row r="4" spans="1:34" x14ac:dyDescent="0.25">
      <c r="A4" s="188">
        <v>303</v>
      </c>
      <c r="B4" s="31"/>
      <c r="C4">
        <v>300</v>
      </c>
      <c r="E4" t="s">
        <v>431</v>
      </c>
      <c r="F4" t="s">
        <v>432</v>
      </c>
      <c r="H4" t="s">
        <v>333</v>
      </c>
      <c r="I4" t="s">
        <v>334</v>
      </c>
      <c r="J4" t="s">
        <v>335</v>
      </c>
      <c r="N4" t="s">
        <v>430</v>
      </c>
      <c r="AH4" s="180"/>
    </row>
    <row r="5" spans="1:34" x14ac:dyDescent="0.25">
      <c r="A5" s="188">
        <v>303</v>
      </c>
      <c r="B5" s="31"/>
      <c r="C5">
        <v>300</v>
      </c>
      <c r="E5" t="s">
        <v>431</v>
      </c>
      <c r="F5" t="s">
        <v>432</v>
      </c>
      <c r="H5" t="s">
        <v>333</v>
      </c>
      <c r="I5" t="s">
        <v>334</v>
      </c>
      <c r="J5" t="s">
        <v>335</v>
      </c>
      <c r="N5" t="s">
        <v>430</v>
      </c>
      <c r="AH5" s="180"/>
    </row>
    <row r="6" spans="1:34" x14ac:dyDescent="0.25">
      <c r="A6" s="188">
        <v>102</v>
      </c>
      <c r="B6" s="31"/>
      <c r="C6">
        <v>100</v>
      </c>
      <c r="E6" t="s">
        <v>431</v>
      </c>
      <c r="F6" t="s">
        <v>432</v>
      </c>
      <c r="H6" t="s">
        <v>333</v>
      </c>
      <c r="I6" t="s">
        <v>334</v>
      </c>
      <c r="J6" t="s">
        <v>335</v>
      </c>
      <c r="N6" t="s">
        <v>430</v>
      </c>
      <c r="AH6" s="180"/>
    </row>
    <row r="7" spans="1:34" x14ac:dyDescent="0.25">
      <c r="A7" s="188">
        <v>303</v>
      </c>
      <c r="B7" s="31"/>
      <c r="C7">
        <v>300</v>
      </c>
      <c r="E7" t="s">
        <v>431</v>
      </c>
      <c r="F7" t="s">
        <v>432</v>
      </c>
      <c r="H7" t="s">
        <v>333</v>
      </c>
      <c r="I7" t="s">
        <v>334</v>
      </c>
      <c r="J7" t="s">
        <v>335</v>
      </c>
      <c r="N7" t="s">
        <v>430</v>
      </c>
      <c r="AH7" s="180"/>
    </row>
    <row r="8" spans="1:34" x14ac:dyDescent="0.25">
      <c r="A8" s="188">
        <v>303</v>
      </c>
      <c r="B8" s="31"/>
      <c r="C8">
        <v>300</v>
      </c>
      <c r="E8" t="s">
        <v>431</v>
      </c>
      <c r="F8" t="s">
        <v>432</v>
      </c>
      <c r="H8" t="s">
        <v>333</v>
      </c>
      <c r="I8" t="s">
        <v>334</v>
      </c>
      <c r="J8" t="s">
        <v>335</v>
      </c>
      <c r="N8" t="s">
        <v>430</v>
      </c>
      <c r="AH8" s="180"/>
    </row>
    <row r="9" spans="1:34" x14ac:dyDescent="0.25">
      <c r="A9" s="188">
        <v>102</v>
      </c>
      <c r="B9" s="31"/>
      <c r="C9">
        <v>100</v>
      </c>
      <c r="E9" t="s">
        <v>431</v>
      </c>
      <c r="F9" t="s">
        <v>432</v>
      </c>
      <c r="H9" t="s">
        <v>333</v>
      </c>
      <c r="I9" t="s">
        <v>334</v>
      </c>
      <c r="J9" t="s">
        <v>335</v>
      </c>
      <c r="N9" t="s">
        <v>430</v>
      </c>
      <c r="AH9" s="180"/>
    </row>
    <row r="10" spans="1:34" x14ac:dyDescent="0.25">
      <c r="A10" s="188">
        <v>102</v>
      </c>
      <c r="B10" s="31"/>
      <c r="C10">
        <v>100</v>
      </c>
      <c r="E10" t="s">
        <v>431</v>
      </c>
      <c r="F10" t="s">
        <v>432</v>
      </c>
      <c r="H10" t="s">
        <v>333</v>
      </c>
      <c r="I10" t="s">
        <v>334</v>
      </c>
      <c r="J10" t="s">
        <v>335</v>
      </c>
      <c r="N10" t="s">
        <v>430</v>
      </c>
      <c r="AH10" s="180"/>
    </row>
    <row r="11" spans="1:34" x14ac:dyDescent="0.25">
      <c r="A11" s="188">
        <v>501</v>
      </c>
      <c r="B11" s="31"/>
      <c r="C11">
        <v>500</v>
      </c>
      <c r="E11" t="s">
        <v>431</v>
      </c>
      <c r="F11" t="s">
        <v>432</v>
      </c>
      <c r="H11" t="s">
        <v>333</v>
      </c>
      <c r="I11" t="s">
        <v>334</v>
      </c>
      <c r="J11" t="s">
        <v>335</v>
      </c>
      <c r="N11" t="s">
        <v>430</v>
      </c>
      <c r="AH11" s="180"/>
    </row>
    <row r="12" spans="1:34" x14ac:dyDescent="0.25">
      <c r="A12" s="188">
        <v>501</v>
      </c>
      <c r="B12" s="31"/>
      <c r="C12">
        <v>500</v>
      </c>
      <c r="E12" t="s">
        <v>431</v>
      </c>
      <c r="F12" t="s">
        <v>432</v>
      </c>
      <c r="H12" t="s">
        <v>333</v>
      </c>
      <c r="I12" t="s">
        <v>334</v>
      </c>
      <c r="J12" t="s">
        <v>335</v>
      </c>
      <c r="N12" t="s">
        <v>430</v>
      </c>
      <c r="AH12" s="180"/>
    </row>
    <row r="13" spans="1:34" x14ac:dyDescent="0.25">
      <c r="A13" s="188">
        <v>501</v>
      </c>
      <c r="B13" s="31"/>
      <c r="C13">
        <v>500</v>
      </c>
      <c r="E13" t="s">
        <v>431</v>
      </c>
      <c r="F13" t="s">
        <v>432</v>
      </c>
      <c r="H13" t="s">
        <v>333</v>
      </c>
      <c r="I13" t="s">
        <v>334</v>
      </c>
      <c r="J13" t="s">
        <v>335</v>
      </c>
      <c r="N13" t="s">
        <v>430</v>
      </c>
      <c r="AH13" s="180"/>
    </row>
    <row r="14" spans="1:34" x14ac:dyDescent="0.25">
      <c r="A14" s="188">
        <v>501</v>
      </c>
      <c r="B14" s="31"/>
      <c r="C14">
        <v>500</v>
      </c>
      <c r="E14" t="s">
        <v>431</v>
      </c>
      <c r="F14" t="s">
        <v>432</v>
      </c>
      <c r="H14" t="s">
        <v>333</v>
      </c>
      <c r="I14" t="s">
        <v>334</v>
      </c>
      <c r="J14" t="s">
        <v>335</v>
      </c>
      <c r="N14" t="s">
        <v>430</v>
      </c>
      <c r="AH14" s="180"/>
    </row>
    <row r="15" spans="1:34" x14ac:dyDescent="0.25">
      <c r="A15" s="188">
        <v>102</v>
      </c>
      <c r="B15" s="31"/>
      <c r="C15">
        <v>100</v>
      </c>
      <c r="E15" t="s">
        <v>431</v>
      </c>
      <c r="F15" t="s">
        <v>432</v>
      </c>
      <c r="H15" t="s">
        <v>333</v>
      </c>
      <c r="I15" t="s">
        <v>334</v>
      </c>
      <c r="J15" t="s">
        <v>335</v>
      </c>
      <c r="N15" t="s">
        <v>430</v>
      </c>
      <c r="AH15" s="180"/>
    </row>
    <row r="16" spans="1:34" x14ac:dyDescent="0.25">
      <c r="A16" s="188">
        <v>501</v>
      </c>
      <c r="B16" s="31"/>
      <c r="C16">
        <v>500</v>
      </c>
      <c r="E16" t="s">
        <v>431</v>
      </c>
      <c r="F16" t="s">
        <v>432</v>
      </c>
      <c r="H16" t="s">
        <v>333</v>
      </c>
      <c r="I16" t="s">
        <v>334</v>
      </c>
      <c r="J16" t="s">
        <v>335</v>
      </c>
      <c r="N16" t="s">
        <v>430</v>
      </c>
      <c r="AH16" s="180"/>
    </row>
    <row r="17" spans="1:34" x14ac:dyDescent="0.25">
      <c r="A17" s="188">
        <v>303</v>
      </c>
      <c r="B17" s="31"/>
      <c r="C17">
        <v>300</v>
      </c>
      <c r="E17" t="s">
        <v>431</v>
      </c>
      <c r="F17" t="s">
        <v>432</v>
      </c>
      <c r="H17" t="s">
        <v>333</v>
      </c>
      <c r="I17" t="s">
        <v>334</v>
      </c>
      <c r="J17" t="s">
        <v>335</v>
      </c>
      <c r="N17" t="s">
        <v>430</v>
      </c>
      <c r="AH17" s="180"/>
    </row>
    <row r="18" spans="1:34" x14ac:dyDescent="0.25">
      <c r="A18" s="188">
        <v>303</v>
      </c>
      <c r="B18" s="31"/>
      <c r="C18">
        <v>300</v>
      </c>
      <c r="E18" t="s">
        <v>431</v>
      </c>
      <c r="F18" t="s">
        <v>432</v>
      </c>
      <c r="H18" t="s">
        <v>333</v>
      </c>
      <c r="I18" t="s">
        <v>334</v>
      </c>
      <c r="J18" t="s">
        <v>335</v>
      </c>
      <c r="N18" t="s">
        <v>430</v>
      </c>
      <c r="AH18" s="180"/>
    </row>
    <row r="19" spans="1:34" x14ac:dyDescent="0.25">
      <c r="A19" s="188">
        <v>501</v>
      </c>
      <c r="B19" s="31"/>
      <c r="C19">
        <v>500</v>
      </c>
      <c r="E19" t="s">
        <v>431</v>
      </c>
      <c r="F19" t="s">
        <v>432</v>
      </c>
      <c r="H19" t="s">
        <v>333</v>
      </c>
      <c r="I19" t="s">
        <v>334</v>
      </c>
      <c r="J19" t="s">
        <v>335</v>
      </c>
      <c r="N19" t="s">
        <v>430</v>
      </c>
      <c r="AH19" s="180"/>
    </row>
    <row r="20" spans="1:34" x14ac:dyDescent="0.25">
      <c r="A20" s="188">
        <v>501</v>
      </c>
      <c r="B20" s="31"/>
      <c r="C20">
        <v>500</v>
      </c>
      <c r="E20" t="s">
        <v>431</v>
      </c>
      <c r="F20" t="s">
        <v>432</v>
      </c>
      <c r="H20" t="s">
        <v>333</v>
      </c>
      <c r="I20" t="s">
        <v>334</v>
      </c>
      <c r="J20" t="s">
        <v>335</v>
      </c>
      <c r="N20" t="s">
        <v>430</v>
      </c>
      <c r="AH20" s="180"/>
    </row>
    <row r="21" spans="1:34" x14ac:dyDescent="0.25">
      <c r="A21" s="188">
        <v>501</v>
      </c>
      <c r="B21" s="31"/>
      <c r="C21">
        <v>500</v>
      </c>
      <c r="E21" t="s">
        <v>431</v>
      </c>
      <c r="F21" t="s">
        <v>432</v>
      </c>
      <c r="H21" t="s">
        <v>333</v>
      </c>
      <c r="I21" t="s">
        <v>334</v>
      </c>
      <c r="J21" t="s">
        <v>335</v>
      </c>
      <c r="N21" t="s">
        <v>430</v>
      </c>
      <c r="AH21" s="180"/>
    </row>
    <row r="22" spans="1:34" x14ac:dyDescent="0.25">
      <c r="A22" s="188">
        <v>501</v>
      </c>
      <c r="B22" s="31"/>
      <c r="C22">
        <v>500</v>
      </c>
      <c r="E22" t="s">
        <v>431</v>
      </c>
      <c r="F22" t="s">
        <v>432</v>
      </c>
      <c r="H22" t="s">
        <v>333</v>
      </c>
      <c r="I22" t="s">
        <v>334</v>
      </c>
      <c r="J22" t="s">
        <v>335</v>
      </c>
      <c r="N22" t="s">
        <v>430</v>
      </c>
      <c r="AH22" s="180"/>
    </row>
    <row r="23" spans="1:34" x14ac:dyDescent="0.25">
      <c r="A23" s="188">
        <v>604</v>
      </c>
      <c r="B23" s="31"/>
      <c r="C23">
        <v>600</v>
      </c>
      <c r="E23" t="s">
        <v>431</v>
      </c>
      <c r="F23" t="s">
        <v>432</v>
      </c>
      <c r="H23" t="s">
        <v>333</v>
      </c>
      <c r="I23" t="s">
        <v>334</v>
      </c>
      <c r="J23" t="s">
        <v>335</v>
      </c>
      <c r="N23" t="s">
        <v>430</v>
      </c>
      <c r="AH23" s="180"/>
    </row>
    <row r="24" spans="1:34" x14ac:dyDescent="0.25">
      <c r="A24" s="188">
        <v>604</v>
      </c>
      <c r="B24" s="31"/>
      <c r="C24">
        <v>600</v>
      </c>
      <c r="E24" t="s">
        <v>431</v>
      </c>
      <c r="F24" t="s">
        <v>432</v>
      </c>
      <c r="H24" t="s">
        <v>333</v>
      </c>
      <c r="I24" t="s">
        <v>334</v>
      </c>
      <c r="J24" t="s">
        <v>335</v>
      </c>
      <c r="N24" t="s">
        <v>430</v>
      </c>
      <c r="AH24" s="180"/>
    </row>
    <row r="25" spans="1:34" x14ac:dyDescent="0.25">
      <c r="A25" s="188">
        <v>303</v>
      </c>
      <c r="B25" s="31"/>
      <c r="C25">
        <v>300</v>
      </c>
      <c r="E25" t="s">
        <v>431</v>
      </c>
      <c r="F25" t="s">
        <v>432</v>
      </c>
      <c r="H25" t="s">
        <v>333</v>
      </c>
      <c r="I25" t="s">
        <v>334</v>
      </c>
      <c r="J25" t="s">
        <v>335</v>
      </c>
      <c r="N25" t="s">
        <v>430</v>
      </c>
      <c r="AH25" s="180"/>
    </row>
    <row r="26" spans="1:34" x14ac:dyDescent="0.25">
      <c r="A26" s="188">
        <v>303</v>
      </c>
      <c r="B26" s="31"/>
      <c r="C26">
        <v>300</v>
      </c>
      <c r="E26" t="s">
        <v>431</v>
      </c>
      <c r="F26" t="s">
        <v>432</v>
      </c>
      <c r="H26" t="s">
        <v>333</v>
      </c>
      <c r="I26" t="s">
        <v>334</v>
      </c>
      <c r="J26" t="s">
        <v>335</v>
      </c>
      <c r="N26" t="s">
        <v>430</v>
      </c>
      <c r="AH26" s="180"/>
    </row>
    <row r="27" spans="1:34" x14ac:dyDescent="0.25">
      <c r="A27" s="188">
        <v>501</v>
      </c>
      <c r="B27" s="31"/>
      <c r="C27">
        <v>500</v>
      </c>
      <c r="E27" t="s">
        <v>431</v>
      </c>
      <c r="F27" t="s">
        <v>432</v>
      </c>
      <c r="H27" t="s">
        <v>333</v>
      </c>
      <c r="I27" t="s">
        <v>334</v>
      </c>
      <c r="J27" t="s">
        <v>335</v>
      </c>
      <c r="N27" t="s">
        <v>430</v>
      </c>
      <c r="AH27" s="180"/>
    </row>
    <row r="28" spans="1:34" x14ac:dyDescent="0.25">
      <c r="A28" s="188">
        <v>903</v>
      </c>
      <c r="B28" s="31"/>
      <c r="C28">
        <v>900</v>
      </c>
      <c r="E28" t="s">
        <v>431</v>
      </c>
      <c r="F28" t="s">
        <v>432</v>
      </c>
      <c r="H28" t="s">
        <v>333</v>
      </c>
      <c r="I28" t="s">
        <v>334</v>
      </c>
      <c r="J28" t="s">
        <v>335</v>
      </c>
      <c r="N28" t="s">
        <v>430</v>
      </c>
      <c r="AH28" s="180"/>
    </row>
    <row r="29" spans="1:34" x14ac:dyDescent="0.25">
      <c r="A29" s="188">
        <v>501</v>
      </c>
      <c r="B29" s="31"/>
      <c r="C29">
        <v>500</v>
      </c>
      <c r="E29" t="s">
        <v>431</v>
      </c>
      <c r="F29" t="s">
        <v>432</v>
      </c>
      <c r="H29" t="s">
        <v>333</v>
      </c>
      <c r="I29" t="s">
        <v>334</v>
      </c>
      <c r="J29" t="s">
        <v>335</v>
      </c>
      <c r="N29" t="s">
        <v>430</v>
      </c>
      <c r="AH29" s="180"/>
    </row>
    <row r="30" spans="1:34" x14ac:dyDescent="0.25">
      <c r="A30" s="188">
        <v>501</v>
      </c>
      <c r="B30" s="31"/>
      <c r="C30">
        <v>500</v>
      </c>
      <c r="E30" t="s">
        <v>431</v>
      </c>
      <c r="F30" t="s">
        <v>432</v>
      </c>
      <c r="H30" t="s">
        <v>333</v>
      </c>
      <c r="I30" t="s">
        <v>334</v>
      </c>
      <c r="J30" t="s">
        <v>335</v>
      </c>
      <c r="N30" t="s">
        <v>430</v>
      </c>
      <c r="AH30" s="180"/>
    </row>
    <row r="31" spans="1:34" x14ac:dyDescent="0.25">
      <c r="A31" s="188">
        <v>903</v>
      </c>
      <c r="B31" s="31"/>
      <c r="C31">
        <v>900</v>
      </c>
      <c r="E31" t="s">
        <v>431</v>
      </c>
      <c r="F31" t="s">
        <v>432</v>
      </c>
      <c r="H31" t="s">
        <v>333</v>
      </c>
      <c r="I31" t="s">
        <v>334</v>
      </c>
      <c r="J31" t="s">
        <v>335</v>
      </c>
      <c r="N31" t="s">
        <v>430</v>
      </c>
      <c r="AH31" s="180"/>
    </row>
    <row r="32" spans="1:34" x14ac:dyDescent="0.25">
      <c r="A32" s="188">
        <v>501</v>
      </c>
      <c r="B32" s="31"/>
      <c r="C32">
        <v>500</v>
      </c>
      <c r="E32" t="s">
        <v>431</v>
      </c>
      <c r="F32" t="s">
        <v>432</v>
      </c>
      <c r="H32" t="s">
        <v>333</v>
      </c>
      <c r="I32" t="s">
        <v>334</v>
      </c>
      <c r="J32" t="s">
        <v>335</v>
      </c>
      <c r="N32" t="s">
        <v>430</v>
      </c>
      <c r="AH32" s="180"/>
    </row>
    <row r="33" spans="1:34" x14ac:dyDescent="0.25">
      <c r="A33" s="188">
        <v>303</v>
      </c>
      <c r="B33" s="31"/>
      <c r="C33">
        <v>300</v>
      </c>
      <c r="E33" t="s">
        <v>431</v>
      </c>
      <c r="F33" t="s">
        <v>432</v>
      </c>
      <c r="H33" t="s">
        <v>333</v>
      </c>
      <c r="I33" t="s">
        <v>334</v>
      </c>
      <c r="J33" t="s">
        <v>335</v>
      </c>
      <c r="N33" t="s">
        <v>430</v>
      </c>
      <c r="AH33" s="180"/>
    </row>
    <row r="34" spans="1:34" x14ac:dyDescent="0.25">
      <c r="A34" s="188">
        <v>303</v>
      </c>
      <c r="B34" s="31"/>
      <c r="C34">
        <v>300</v>
      </c>
      <c r="E34" t="s">
        <v>431</v>
      </c>
      <c r="F34" t="s">
        <v>432</v>
      </c>
      <c r="H34" t="s">
        <v>333</v>
      </c>
      <c r="I34" t="s">
        <v>334</v>
      </c>
      <c r="J34" t="s">
        <v>335</v>
      </c>
      <c r="N34" t="s">
        <v>430</v>
      </c>
      <c r="AH34" s="180"/>
    </row>
    <row r="35" spans="1:34" x14ac:dyDescent="0.25">
      <c r="A35" s="188">
        <v>501</v>
      </c>
      <c r="B35" s="31"/>
      <c r="C35">
        <v>500</v>
      </c>
      <c r="E35" t="s">
        <v>431</v>
      </c>
      <c r="F35" t="s">
        <v>432</v>
      </c>
      <c r="H35" t="s">
        <v>333</v>
      </c>
      <c r="I35" t="s">
        <v>334</v>
      </c>
      <c r="J35" t="s">
        <v>335</v>
      </c>
      <c r="N35" t="s">
        <v>430</v>
      </c>
      <c r="AH35" s="180"/>
    </row>
    <row r="36" spans="1:34" x14ac:dyDescent="0.25">
      <c r="A36" s="188">
        <v>501</v>
      </c>
      <c r="B36" s="31"/>
      <c r="C36">
        <v>500</v>
      </c>
      <c r="E36" t="s">
        <v>431</v>
      </c>
      <c r="F36" t="s">
        <v>432</v>
      </c>
      <c r="H36" t="s">
        <v>333</v>
      </c>
      <c r="I36" t="s">
        <v>334</v>
      </c>
      <c r="J36" t="s">
        <v>335</v>
      </c>
      <c r="N36" t="s">
        <v>430</v>
      </c>
      <c r="AH36" s="180"/>
    </row>
    <row r="37" spans="1:34" x14ac:dyDescent="0.25">
      <c r="A37" s="188">
        <v>501</v>
      </c>
      <c r="B37" s="31"/>
      <c r="C37">
        <v>500</v>
      </c>
      <c r="E37" t="s">
        <v>431</v>
      </c>
      <c r="F37" t="s">
        <v>432</v>
      </c>
      <c r="H37" t="s">
        <v>333</v>
      </c>
      <c r="I37" t="s">
        <v>334</v>
      </c>
      <c r="J37" t="s">
        <v>335</v>
      </c>
      <c r="N37" t="s">
        <v>430</v>
      </c>
      <c r="AH37" s="180"/>
    </row>
    <row r="38" spans="1:34" x14ac:dyDescent="0.25">
      <c r="A38" s="188">
        <v>501</v>
      </c>
      <c r="B38" s="31"/>
      <c r="C38">
        <v>500</v>
      </c>
      <c r="E38" t="s">
        <v>431</v>
      </c>
      <c r="F38" t="s">
        <v>432</v>
      </c>
      <c r="H38" t="s">
        <v>333</v>
      </c>
      <c r="I38" t="s">
        <v>334</v>
      </c>
      <c r="J38" t="s">
        <v>335</v>
      </c>
      <c r="N38" t="s">
        <v>430</v>
      </c>
      <c r="AH38" s="180"/>
    </row>
    <row r="39" spans="1:34" x14ac:dyDescent="0.25">
      <c r="A39" s="188">
        <v>303</v>
      </c>
      <c r="B39" s="31"/>
      <c r="C39">
        <v>300</v>
      </c>
      <c r="E39" t="s">
        <v>431</v>
      </c>
      <c r="F39" t="s">
        <v>432</v>
      </c>
      <c r="H39" t="s">
        <v>333</v>
      </c>
      <c r="I39" t="s">
        <v>334</v>
      </c>
      <c r="J39" t="s">
        <v>335</v>
      </c>
      <c r="N39" t="s">
        <v>430</v>
      </c>
      <c r="AH39" s="180"/>
    </row>
    <row r="40" spans="1:34" x14ac:dyDescent="0.25">
      <c r="A40" s="188">
        <v>501</v>
      </c>
      <c r="B40" s="31"/>
      <c r="C40">
        <v>500</v>
      </c>
      <c r="E40" t="s">
        <v>431</v>
      </c>
      <c r="F40" t="s">
        <v>432</v>
      </c>
      <c r="H40" t="s">
        <v>333</v>
      </c>
      <c r="I40" t="s">
        <v>334</v>
      </c>
      <c r="J40" t="s">
        <v>335</v>
      </c>
      <c r="N40" t="s">
        <v>430</v>
      </c>
      <c r="AH40" s="180"/>
    </row>
    <row r="41" spans="1:34" x14ac:dyDescent="0.25">
      <c r="A41" s="188">
        <v>303</v>
      </c>
      <c r="B41" s="31"/>
      <c r="C41">
        <v>300</v>
      </c>
      <c r="E41" t="s">
        <v>431</v>
      </c>
      <c r="F41" t="s">
        <v>432</v>
      </c>
      <c r="H41" t="s">
        <v>333</v>
      </c>
      <c r="I41" t="s">
        <v>334</v>
      </c>
      <c r="J41" t="s">
        <v>335</v>
      </c>
      <c r="N41" t="s">
        <v>430</v>
      </c>
      <c r="AH41" s="180"/>
    </row>
    <row r="42" spans="1:34" x14ac:dyDescent="0.25">
      <c r="A42" s="188">
        <v>102</v>
      </c>
      <c r="B42" s="31"/>
      <c r="C42">
        <v>100</v>
      </c>
      <c r="E42" t="s">
        <v>431</v>
      </c>
      <c r="F42" t="s">
        <v>432</v>
      </c>
      <c r="H42" t="s">
        <v>333</v>
      </c>
      <c r="I42" t="s">
        <v>334</v>
      </c>
      <c r="J42" t="s">
        <v>335</v>
      </c>
      <c r="N42" t="s">
        <v>430</v>
      </c>
      <c r="AH42" s="180"/>
    </row>
    <row r="43" spans="1:34" x14ac:dyDescent="0.25">
      <c r="A43" s="188">
        <v>501</v>
      </c>
      <c r="B43" s="31"/>
      <c r="C43">
        <v>500</v>
      </c>
      <c r="E43" t="s">
        <v>431</v>
      </c>
      <c r="F43" t="s">
        <v>432</v>
      </c>
      <c r="H43" t="s">
        <v>333</v>
      </c>
      <c r="I43" t="s">
        <v>334</v>
      </c>
      <c r="J43" t="s">
        <v>335</v>
      </c>
      <c r="N43" t="s">
        <v>430</v>
      </c>
      <c r="AH43" s="180"/>
    </row>
    <row r="44" spans="1:34" x14ac:dyDescent="0.25">
      <c r="A44" s="188">
        <v>903</v>
      </c>
      <c r="B44" s="31"/>
      <c r="C44">
        <v>900</v>
      </c>
      <c r="E44" t="s">
        <v>431</v>
      </c>
      <c r="F44" t="s">
        <v>432</v>
      </c>
      <c r="H44" t="s">
        <v>333</v>
      </c>
      <c r="I44" t="s">
        <v>334</v>
      </c>
      <c r="J44" t="s">
        <v>335</v>
      </c>
      <c r="N44" t="s">
        <v>430</v>
      </c>
      <c r="AH44" s="180"/>
    </row>
    <row r="45" spans="1:34" x14ac:dyDescent="0.25">
      <c r="A45" s="188">
        <v>501</v>
      </c>
      <c r="B45" s="31"/>
      <c r="C45">
        <v>500</v>
      </c>
      <c r="E45" t="s">
        <v>431</v>
      </c>
      <c r="F45" t="s">
        <v>432</v>
      </c>
      <c r="H45" t="s">
        <v>333</v>
      </c>
      <c r="I45" t="s">
        <v>334</v>
      </c>
      <c r="J45" t="s">
        <v>335</v>
      </c>
      <c r="N45" t="s">
        <v>430</v>
      </c>
      <c r="AH45" s="180"/>
    </row>
    <row r="46" spans="1:34" x14ac:dyDescent="0.25">
      <c r="A46" s="188">
        <v>501</v>
      </c>
      <c r="B46" s="31"/>
      <c r="C46">
        <v>500</v>
      </c>
      <c r="E46" t="s">
        <v>431</v>
      </c>
      <c r="F46" t="s">
        <v>432</v>
      </c>
      <c r="H46" t="s">
        <v>333</v>
      </c>
      <c r="I46" t="s">
        <v>334</v>
      </c>
      <c r="J46" t="s">
        <v>335</v>
      </c>
      <c r="N46" t="s">
        <v>430</v>
      </c>
      <c r="AH46" s="180"/>
    </row>
    <row r="47" spans="1:34" x14ac:dyDescent="0.25">
      <c r="A47" s="188">
        <v>501</v>
      </c>
      <c r="B47" s="31"/>
      <c r="C47">
        <v>500</v>
      </c>
      <c r="E47" t="s">
        <v>431</v>
      </c>
      <c r="F47" t="s">
        <v>432</v>
      </c>
      <c r="H47" t="s">
        <v>333</v>
      </c>
      <c r="I47" t="s">
        <v>334</v>
      </c>
      <c r="J47" t="s">
        <v>335</v>
      </c>
      <c r="N47" t="s">
        <v>430</v>
      </c>
      <c r="AH47" s="180"/>
    </row>
    <row r="48" spans="1:34" x14ac:dyDescent="0.25">
      <c r="A48" s="188">
        <v>501</v>
      </c>
      <c r="B48" s="31"/>
      <c r="C48">
        <v>500</v>
      </c>
      <c r="E48" t="s">
        <v>431</v>
      </c>
      <c r="F48" t="s">
        <v>432</v>
      </c>
      <c r="H48" t="s">
        <v>333</v>
      </c>
      <c r="I48" t="s">
        <v>334</v>
      </c>
      <c r="J48" t="s">
        <v>335</v>
      </c>
      <c r="N48" t="s">
        <v>430</v>
      </c>
      <c r="AH48" s="180"/>
    </row>
    <row r="49" spans="1:34" x14ac:dyDescent="0.25">
      <c r="A49" s="188">
        <v>501</v>
      </c>
      <c r="B49" s="31"/>
      <c r="C49">
        <v>500</v>
      </c>
      <c r="E49" t="s">
        <v>431</v>
      </c>
      <c r="F49" t="s">
        <v>432</v>
      </c>
      <c r="H49" t="s">
        <v>333</v>
      </c>
      <c r="I49" t="s">
        <v>334</v>
      </c>
      <c r="J49" t="s">
        <v>335</v>
      </c>
      <c r="N49" t="s">
        <v>430</v>
      </c>
      <c r="AH49" s="180"/>
    </row>
    <row r="50" spans="1:34" x14ac:dyDescent="0.25">
      <c r="A50" s="188">
        <v>102</v>
      </c>
      <c r="B50" s="31"/>
      <c r="C50">
        <v>100</v>
      </c>
      <c r="E50" t="s">
        <v>431</v>
      </c>
      <c r="F50" t="s">
        <v>432</v>
      </c>
      <c r="H50" t="s">
        <v>333</v>
      </c>
      <c r="I50" t="s">
        <v>334</v>
      </c>
      <c r="J50" t="s">
        <v>335</v>
      </c>
      <c r="N50" t="s">
        <v>430</v>
      </c>
      <c r="AH50" s="180"/>
    </row>
    <row r="51" spans="1:34" x14ac:dyDescent="0.25">
      <c r="A51" s="188">
        <v>501</v>
      </c>
      <c r="B51" s="31"/>
      <c r="C51">
        <v>500</v>
      </c>
      <c r="E51" t="s">
        <v>431</v>
      </c>
      <c r="F51" t="s">
        <v>432</v>
      </c>
      <c r="H51" t="s">
        <v>333</v>
      </c>
      <c r="I51" t="s">
        <v>334</v>
      </c>
      <c r="J51" t="s">
        <v>335</v>
      </c>
      <c r="N51" t="s">
        <v>430</v>
      </c>
      <c r="AH51" s="180"/>
    </row>
    <row r="52" spans="1:34" x14ac:dyDescent="0.25">
      <c r="A52" s="188">
        <v>903</v>
      </c>
      <c r="B52" s="31"/>
      <c r="C52">
        <v>900</v>
      </c>
      <c r="E52" t="s">
        <v>431</v>
      </c>
      <c r="F52" t="s">
        <v>432</v>
      </c>
      <c r="H52" t="s">
        <v>333</v>
      </c>
      <c r="I52" t="s">
        <v>334</v>
      </c>
      <c r="J52" t="s">
        <v>335</v>
      </c>
      <c r="N52" t="s">
        <v>430</v>
      </c>
      <c r="AH52" s="180"/>
    </row>
    <row r="53" spans="1:34" x14ac:dyDescent="0.25">
      <c r="A53" s="188">
        <v>501</v>
      </c>
      <c r="B53" s="31"/>
      <c r="C53">
        <v>500</v>
      </c>
      <c r="E53" t="s">
        <v>431</v>
      </c>
      <c r="F53" t="s">
        <v>432</v>
      </c>
      <c r="H53" t="s">
        <v>333</v>
      </c>
      <c r="I53" t="s">
        <v>334</v>
      </c>
      <c r="J53" t="s">
        <v>335</v>
      </c>
      <c r="N53" t="s">
        <v>430</v>
      </c>
      <c r="AH53" s="180"/>
    </row>
    <row r="54" spans="1:34" x14ac:dyDescent="0.25">
      <c r="A54" s="188">
        <v>903</v>
      </c>
      <c r="B54" s="31"/>
      <c r="C54">
        <v>900</v>
      </c>
      <c r="E54" t="s">
        <v>431</v>
      </c>
      <c r="F54" t="s">
        <v>432</v>
      </c>
      <c r="H54" t="s">
        <v>333</v>
      </c>
      <c r="I54" t="s">
        <v>334</v>
      </c>
      <c r="J54" t="s">
        <v>335</v>
      </c>
      <c r="N54" t="s">
        <v>430</v>
      </c>
      <c r="AH54" s="180"/>
    </row>
    <row r="55" spans="1:34" x14ac:dyDescent="0.25">
      <c r="A55" s="188">
        <v>501</v>
      </c>
      <c r="B55" s="31"/>
      <c r="C55">
        <v>500</v>
      </c>
      <c r="E55" t="s">
        <v>431</v>
      </c>
      <c r="F55" t="s">
        <v>432</v>
      </c>
      <c r="H55" t="s">
        <v>333</v>
      </c>
      <c r="I55" t="s">
        <v>334</v>
      </c>
      <c r="J55" t="s">
        <v>335</v>
      </c>
      <c r="N55" t="s">
        <v>430</v>
      </c>
      <c r="AH55" s="180"/>
    </row>
    <row r="56" spans="1:34" x14ac:dyDescent="0.25">
      <c r="A56" s="188">
        <v>501</v>
      </c>
      <c r="B56" s="31"/>
      <c r="C56">
        <v>500</v>
      </c>
      <c r="E56" t="s">
        <v>431</v>
      </c>
      <c r="F56" t="s">
        <v>432</v>
      </c>
      <c r="H56" t="s">
        <v>333</v>
      </c>
      <c r="I56" t="s">
        <v>334</v>
      </c>
      <c r="J56" t="s">
        <v>335</v>
      </c>
      <c r="N56" t="s">
        <v>430</v>
      </c>
      <c r="AH56" s="180"/>
    </row>
    <row r="57" spans="1:34" x14ac:dyDescent="0.25">
      <c r="A57" s="188">
        <v>501</v>
      </c>
      <c r="B57" s="31"/>
      <c r="C57">
        <v>500</v>
      </c>
      <c r="E57" t="s">
        <v>431</v>
      </c>
      <c r="F57" t="s">
        <v>432</v>
      </c>
      <c r="H57" t="s">
        <v>333</v>
      </c>
      <c r="I57" t="s">
        <v>334</v>
      </c>
      <c r="J57" t="s">
        <v>335</v>
      </c>
      <c r="N57" t="s">
        <v>430</v>
      </c>
      <c r="AH57" s="180"/>
    </row>
    <row r="58" spans="1:34" x14ac:dyDescent="0.25">
      <c r="A58" s="188">
        <v>303</v>
      </c>
      <c r="B58" s="31"/>
      <c r="C58">
        <v>300</v>
      </c>
      <c r="E58" t="s">
        <v>431</v>
      </c>
      <c r="F58" t="s">
        <v>432</v>
      </c>
      <c r="H58" t="s">
        <v>333</v>
      </c>
      <c r="I58" t="s">
        <v>334</v>
      </c>
      <c r="J58" t="s">
        <v>335</v>
      </c>
      <c r="N58" t="s">
        <v>430</v>
      </c>
      <c r="AH58" s="180"/>
    </row>
    <row r="59" spans="1:34" x14ac:dyDescent="0.25">
      <c r="A59" s="188">
        <v>303</v>
      </c>
      <c r="B59" s="31"/>
      <c r="C59">
        <v>300</v>
      </c>
      <c r="E59" t="s">
        <v>431</v>
      </c>
      <c r="F59" t="s">
        <v>432</v>
      </c>
      <c r="H59" t="s">
        <v>333</v>
      </c>
      <c r="I59" t="s">
        <v>334</v>
      </c>
      <c r="J59" t="s">
        <v>335</v>
      </c>
      <c r="N59" t="s">
        <v>430</v>
      </c>
      <c r="AH59" s="180"/>
    </row>
    <row r="60" spans="1:34" x14ac:dyDescent="0.25">
      <c r="A60" s="188">
        <v>303</v>
      </c>
      <c r="B60" s="31"/>
      <c r="C60">
        <v>300</v>
      </c>
      <c r="E60" t="s">
        <v>431</v>
      </c>
      <c r="F60" t="s">
        <v>432</v>
      </c>
      <c r="H60" t="s">
        <v>333</v>
      </c>
      <c r="I60" t="s">
        <v>334</v>
      </c>
      <c r="J60" t="s">
        <v>335</v>
      </c>
      <c r="N60" t="s">
        <v>430</v>
      </c>
      <c r="AH60" s="180"/>
    </row>
    <row r="61" spans="1:34" x14ac:dyDescent="0.25">
      <c r="A61" s="188">
        <v>303</v>
      </c>
      <c r="B61" s="31"/>
      <c r="C61">
        <v>300</v>
      </c>
      <c r="E61" t="s">
        <v>431</v>
      </c>
      <c r="F61" t="s">
        <v>432</v>
      </c>
      <c r="H61" t="s">
        <v>333</v>
      </c>
      <c r="I61" t="s">
        <v>334</v>
      </c>
      <c r="J61" t="s">
        <v>335</v>
      </c>
      <c r="N61" t="s">
        <v>430</v>
      </c>
      <c r="AH61" s="180"/>
    </row>
    <row r="62" spans="1:34" x14ac:dyDescent="0.25">
      <c r="A62" s="188">
        <v>303</v>
      </c>
      <c r="B62" s="31"/>
      <c r="C62">
        <v>300</v>
      </c>
      <c r="E62" t="s">
        <v>431</v>
      </c>
      <c r="F62" t="s">
        <v>432</v>
      </c>
      <c r="H62" t="s">
        <v>333</v>
      </c>
      <c r="I62" t="s">
        <v>334</v>
      </c>
      <c r="J62" t="s">
        <v>335</v>
      </c>
      <c r="N62" t="s">
        <v>430</v>
      </c>
      <c r="AH62" s="180"/>
    </row>
    <row r="63" spans="1:34" x14ac:dyDescent="0.25">
      <c r="A63" s="188">
        <v>303</v>
      </c>
      <c r="B63" s="31"/>
      <c r="C63">
        <v>300</v>
      </c>
      <c r="E63" t="s">
        <v>431</v>
      </c>
      <c r="F63" t="s">
        <v>432</v>
      </c>
      <c r="H63" t="s">
        <v>333</v>
      </c>
      <c r="I63" t="s">
        <v>334</v>
      </c>
      <c r="J63" t="s">
        <v>335</v>
      </c>
      <c r="N63" t="s">
        <v>430</v>
      </c>
      <c r="AH63" s="180"/>
    </row>
    <row r="64" spans="1:34" x14ac:dyDescent="0.25">
      <c r="A64" s="188">
        <v>303</v>
      </c>
      <c r="B64" s="31"/>
      <c r="C64">
        <v>300</v>
      </c>
      <c r="E64" t="s">
        <v>431</v>
      </c>
      <c r="F64" t="s">
        <v>432</v>
      </c>
      <c r="H64" t="s">
        <v>333</v>
      </c>
      <c r="I64" t="s">
        <v>334</v>
      </c>
      <c r="J64" t="s">
        <v>335</v>
      </c>
      <c r="N64" t="s">
        <v>430</v>
      </c>
      <c r="AH64" s="180"/>
    </row>
    <row r="65" spans="1:34" ht="15.75" thickBot="1" x14ac:dyDescent="0.3">
      <c r="A65" s="189">
        <v>303</v>
      </c>
      <c r="B65" s="39"/>
      <c r="C65" s="40">
        <v>300</v>
      </c>
      <c r="D65" s="40" t="s">
        <v>340</v>
      </c>
      <c r="E65" s="40" t="s">
        <v>431</v>
      </c>
      <c r="F65" s="40" t="s">
        <v>432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430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81"/>
    </row>
    <row r="66" spans="1:34" ht="15.75" thickTop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5703125" bestFit="1" customWidth="1"/>
    <col min="6" max="6" width="43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97">
        <v>102</v>
      </c>
      <c r="B2" s="38"/>
      <c r="C2" s="53">
        <v>100</v>
      </c>
      <c r="D2" s="53" t="s">
        <v>339</v>
      </c>
      <c r="E2" s="53" t="s">
        <v>435</v>
      </c>
      <c r="F2" s="53" t="s">
        <v>436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434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91"/>
    </row>
    <row r="3" spans="1:34" x14ac:dyDescent="0.25">
      <c r="A3" s="200">
        <v>501</v>
      </c>
      <c r="B3" s="31"/>
      <c r="C3">
        <v>500</v>
      </c>
      <c r="E3" t="s">
        <v>435</v>
      </c>
      <c r="F3" t="s">
        <v>436</v>
      </c>
      <c r="H3" t="s">
        <v>333</v>
      </c>
      <c r="I3" t="s">
        <v>334</v>
      </c>
      <c r="J3" t="s">
        <v>335</v>
      </c>
      <c r="N3" t="s">
        <v>434</v>
      </c>
      <c r="AH3" s="192"/>
    </row>
    <row r="4" spans="1:34" x14ac:dyDescent="0.25">
      <c r="A4" s="200">
        <v>501</v>
      </c>
      <c r="B4" s="31"/>
      <c r="C4">
        <v>500</v>
      </c>
      <c r="E4" t="s">
        <v>435</v>
      </c>
      <c r="F4" t="s">
        <v>436</v>
      </c>
      <c r="H4" t="s">
        <v>333</v>
      </c>
      <c r="I4" t="s">
        <v>334</v>
      </c>
      <c r="J4" t="s">
        <v>335</v>
      </c>
      <c r="N4" t="s">
        <v>434</v>
      </c>
      <c r="AH4" s="192"/>
    </row>
    <row r="5" spans="1:34" x14ac:dyDescent="0.25">
      <c r="A5" s="200">
        <v>501</v>
      </c>
      <c r="B5" s="31"/>
      <c r="C5">
        <v>500</v>
      </c>
      <c r="E5" t="s">
        <v>435</v>
      </c>
      <c r="F5" t="s">
        <v>436</v>
      </c>
      <c r="H5" t="s">
        <v>333</v>
      </c>
      <c r="I5" t="s">
        <v>334</v>
      </c>
      <c r="J5" t="s">
        <v>335</v>
      </c>
      <c r="N5" t="s">
        <v>434</v>
      </c>
      <c r="AH5" s="192"/>
    </row>
    <row r="6" spans="1:34" x14ac:dyDescent="0.25">
      <c r="A6" s="200">
        <v>501</v>
      </c>
      <c r="B6" s="31"/>
      <c r="C6">
        <v>500</v>
      </c>
      <c r="E6" t="s">
        <v>435</v>
      </c>
      <c r="F6" t="s">
        <v>436</v>
      </c>
      <c r="H6" t="s">
        <v>333</v>
      </c>
      <c r="I6" t="s">
        <v>334</v>
      </c>
      <c r="J6" t="s">
        <v>335</v>
      </c>
      <c r="N6" t="s">
        <v>434</v>
      </c>
      <c r="AH6" s="192"/>
    </row>
    <row r="7" spans="1:34" x14ac:dyDescent="0.25">
      <c r="A7" s="200">
        <v>501</v>
      </c>
      <c r="B7" s="31"/>
      <c r="C7">
        <v>500</v>
      </c>
      <c r="E7" t="s">
        <v>435</v>
      </c>
      <c r="F7" t="s">
        <v>436</v>
      </c>
      <c r="H7" t="s">
        <v>333</v>
      </c>
      <c r="I7" t="s">
        <v>334</v>
      </c>
      <c r="J7" t="s">
        <v>335</v>
      </c>
      <c r="N7" t="s">
        <v>434</v>
      </c>
      <c r="AH7" s="192"/>
    </row>
    <row r="8" spans="1:34" x14ac:dyDescent="0.25">
      <c r="A8" s="200">
        <v>501</v>
      </c>
      <c r="B8" s="31"/>
      <c r="C8">
        <v>500</v>
      </c>
      <c r="E8" t="s">
        <v>435</v>
      </c>
      <c r="F8" t="s">
        <v>436</v>
      </c>
      <c r="H8" t="s">
        <v>333</v>
      </c>
      <c r="I8" t="s">
        <v>334</v>
      </c>
      <c r="J8" t="s">
        <v>335</v>
      </c>
      <c r="N8" t="s">
        <v>434</v>
      </c>
      <c r="AH8" s="192"/>
    </row>
    <row r="9" spans="1:34" x14ac:dyDescent="0.25">
      <c r="A9" s="200">
        <v>501</v>
      </c>
      <c r="B9" s="31"/>
      <c r="C9">
        <v>500</v>
      </c>
      <c r="E9" t="s">
        <v>435</v>
      </c>
      <c r="F9" t="s">
        <v>436</v>
      </c>
      <c r="H9" t="s">
        <v>333</v>
      </c>
      <c r="I9" t="s">
        <v>334</v>
      </c>
      <c r="J9" t="s">
        <v>335</v>
      </c>
      <c r="N9" t="s">
        <v>434</v>
      </c>
      <c r="AH9" s="192"/>
    </row>
    <row r="10" spans="1:34" x14ac:dyDescent="0.25">
      <c r="A10" s="200">
        <v>102</v>
      </c>
      <c r="B10" s="31"/>
      <c r="C10">
        <v>100</v>
      </c>
      <c r="E10" t="s">
        <v>435</v>
      </c>
      <c r="F10" t="s">
        <v>436</v>
      </c>
      <c r="H10" t="s">
        <v>333</v>
      </c>
      <c r="I10" t="s">
        <v>334</v>
      </c>
      <c r="J10" t="s">
        <v>335</v>
      </c>
      <c r="N10" t="s">
        <v>434</v>
      </c>
      <c r="AH10" s="192"/>
    </row>
    <row r="11" spans="1:34" x14ac:dyDescent="0.25">
      <c r="A11" s="200">
        <v>109</v>
      </c>
      <c r="B11" s="31"/>
      <c r="C11">
        <v>100</v>
      </c>
      <c r="E11" t="s">
        <v>435</v>
      </c>
      <c r="F11" t="s">
        <v>436</v>
      </c>
      <c r="H11" t="s">
        <v>333</v>
      </c>
      <c r="I11" t="s">
        <v>334</v>
      </c>
      <c r="J11" t="s">
        <v>335</v>
      </c>
      <c r="N11" t="s">
        <v>434</v>
      </c>
      <c r="AH11" s="192"/>
    </row>
    <row r="12" spans="1:34" x14ac:dyDescent="0.25">
      <c r="A12" s="200">
        <v>501</v>
      </c>
      <c r="B12" s="31"/>
      <c r="C12">
        <v>500</v>
      </c>
      <c r="E12" t="s">
        <v>435</v>
      </c>
      <c r="F12" t="s">
        <v>436</v>
      </c>
      <c r="H12" t="s">
        <v>333</v>
      </c>
      <c r="I12" t="s">
        <v>334</v>
      </c>
      <c r="J12" t="s">
        <v>335</v>
      </c>
      <c r="N12" t="s">
        <v>434</v>
      </c>
      <c r="AH12" s="192"/>
    </row>
    <row r="13" spans="1:34" x14ac:dyDescent="0.25">
      <c r="A13" s="200">
        <v>603</v>
      </c>
      <c r="B13" s="31"/>
      <c r="C13">
        <v>600</v>
      </c>
      <c r="E13" t="s">
        <v>435</v>
      </c>
      <c r="F13" t="s">
        <v>436</v>
      </c>
      <c r="H13" t="s">
        <v>333</v>
      </c>
      <c r="I13" t="s">
        <v>334</v>
      </c>
      <c r="J13" t="s">
        <v>335</v>
      </c>
      <c r="N13" t="s">
        <v>434</v>
      </c>
      <c r="AH13" s="192"/>
    </row>
    <row r="14" spans="1:34" x14ac:dyDescent="0.25">
      <c r="A14" s="200">
        <v>903</v>
      </c>
      <c r="B14" s="31"/>
      <c r="C14">
        <v>900</v>
      </c>
      <c r="E14" t="s">
        <v>435</v>
      </c>
      <c r="F14" t="s">
        <v>436</v>
      </c>
      <c r="H14" t="s">
        <v>333</v>
      </c>
      <c r="I14" t="s">
        <v>334</v>
      </c>
      <c r="J14" t="s">
        <v>335</v>
      </c>
      <c r="N14" t="s">
        <v>434</v>
      </c>
      <c r="AH14" s="192"/>
    </row>
    <row r="15" spans="1:34" x14ac:dyDescent="0.25">
      <c r="A15" s="200">
        <v>501</v>
      </c>
      <c r="B15" s="31"/>
      <c r="C15">
        <v>500</v>
      </c>
      <c r="E15" t="s">
        <v>435</v>
      </c>
      <c r="F15" t="s">
        <v>436</v>
      </c>
      <c r="H15" t="s">
        <v>333</v>
      </c>
      <c r="I15" t="s">
        <v>334</v>
      </c>
      <c r="J15" t="s">
        <v>335</v>
      </c>
      <c r="N15" t="s">
        <v>434</v>
      </c>
      <c r="AH15" s="192"/>
    </row>
    <row r="16" spans="1:34" x14ac:dyDescent="0.25">
      <c r="A16" s="200">
        <v>109</v>
      </c>
      <c r="B16" s="31"/>
      <c r="C16">
        <v>100</v>
      </c>
      <c r="E16" t="s">
        <v>435</v>
      </c>
      <c r="F16" t="s">
        <v>436</v>
      </c>
      <c r="H16" t="s">
        <v>333</v>
      </c>
      <c r="I16" t="s">
        <v>334</v>
      </c>
      <c r="J16" t="s">
        <v>335</v>
      </c>
      <c r="N16" t="s">
        <v>434</v>
      </c>
      <c r="AH16" s="192"/>
    </row>
    <row r="17" spans="1:34" x14ac:dyDescent="0.25">
      <c r="A17" s="200">
        <v>501</v>
      </c>
      <c r="B17" s="31"/>
      <c r="C17">
        <v>500</v>
      </c>
      <c r="E17" t="s">
        <v>435</v>
      </c>
      <c r="F17" t="s">
        <v>436</v>
      </c>
      <c r="H17" t="s">
        <v>333</v>
      </c>
      <c r="I17" t="s">
        <v>334</v>
      </c>
      <c r="J17" t="s">
        <v>335</v>
      </c>
      <c r="N17" t="s">
        <v>434</v>
      </c>
      <c r="AH17" s="192"/>
    </row>
    <row r="18" spans="1:34" x14ac:dyDescent="0.25">
      <c r="A18" s="200">
        <v>102</v>
      </c>
      <c r="B18" s="31"/>
      <c r="C18">
        <v>100</v>
      </c>
      <c r="E18" t="s">
        <v>435</v>
      </c>
      <c r="F18" t="s">
        <v>436</v>
      </c>
      <c r="H18" t="s">
        <v>333</v>
      </c>
      <c r="I18" t="s">
        <v>334</v>
      </c>
      <c r="J18" t="s">
        <v>335</v>
      </c>
      <c r="N18" t="s">
        <v>434</v>
      </c>
      <c r="AH18" s="192"/>
    </row>
    <row r="19" spans="1:34" x14ac:dyDescent="0.25">
      <c r="A19" s="200">
        <v>603</v>
      </c>
      <c r="B19" s="31"/>
      <c r="C19">
        <v>600</v>
      </c>
      <c r="E19" t="s">
        <v>435</v>
      </c>
      <c r="F19" t="s">
        <v>436</v>
      </c>
      <c r="H19" t="s">
        <v>333</v>
      </c>
      <c r="I19" t="s">
        <v>334</v>
      </c>
      <c r="J19" t="s">
        <v>335</v>
      </c>
      <c r="N19" t="s">
        <v>434</v>
      </c>
      <c r="AH19" s="192"/>
    </row>
    <row r="20" spans="1:34" x14ac:dyDescent="0.25">
      <c r="A20" s="200">
        <v>109</v>
      </c>
      <c r="B20" s="31"/>
      <c r="C20">
        <v>100</v>
      </c>
      <c r="E20" t="s">
        <v>435</v>
      </c>
      <c r="F20" t="s">
        <v>436</v>
      </c>
      <c r="H20" t="s">
        <v>333</v>
      </c>
      <c r="I20" t="s">
        <v>334</v>
      </c>
      <c r="J20" t="s">
        <v>335</v>
      </c>
      <c r="N20" t="s">
        <v>434</v>
      </c>
      <c r="AH20" s="192"/>
    </row>
    <row r="21" spans="1:34" x14ac:dyDescent="0.25">
      <c r="A21" s="200">
        <v>603</v>
      </c>
      <c r="B21" s="31"/>
      <c r="C21">
        <v>600</v>
      </c>
      <c r="E21" t="s">
        <v>435</v>
      </c>
      <c r="F21" t="s">
        <v>436</v>
      </c>
      <c r="H21" t="s">
        <v>333</v>
      </c>
      <c r="I21" t="s">
        <v>334</v>
      </c>
      <c r="J21" t="s">
        <v>335</v>
      </c>
      <c r="N21" t="s">
        <v>434</v>
      </c>
      <c r="AH21" s="192"/>
    </row>
    <row r="22" spans="1:34" x14ac:dyDescent="0.25">
      <c r="A22" s="200">
        <v>903</v>
      </c>
      <c r="B22" s="31"/>
      <c r="C22">
        <v>900</v>
      </c>
      <c r="E22" t="s">
        <v>435</v>
      </c>
      <c r="F22" t="s">
        <v>436</v>
      </c>
      <c r="H22" t="s">
        <v>333</v>
      </c>
      <c r="I22" t="s">
        <v>334</v>
      </c>
      <c r="J22" t="s">
        <v>335</v>
      </c>
      <c r="N22" t="s">
        <v>434</v>
      </c>
      <c r="AH22" s="192"/>
    </row>
    <row r="23" spans="1:34" x14ac:dyDescent="0.25">
      <c r="A23" s="200">
        <v>109</v>
      </c>
      <c r="B23" s="31"/>
      <c r="C23">
        <v>100</v>
      </c>
      <c r="E23" t="s">
        <v>435</v>
      </c>
      <c r="F23" t="s">
        <v>436</v>
      </c>
      <c r="H23" t="s">
        <v>333</v>
      </c>
      <c r="I23" t="s">
        <v>334</v>
      </c>
      <c r="J23" t="s">
        <v>335</v>
      </c>
      <c r="N23" t="s">
        <v>434</v>
      </c>
      <c r="AH23" s="192"/>
    </row>
    <row r="24" spans="1:34" x14ac:dyDescent="0.25">
      <c r="A24" s="200">
        <v>501</v>
      </c>
      <c r="B24" s="31"/>
      <c r="C24">
        <v>500</v>
      </c>
      <c r="E24" t="s">
        <v>435</v>
      </c>
      <c r="F24" t="s">
        <v>436</v>
      </c>
      <c r="H24" t="s">
        <v>333</v>
      </c>
      <c r="I24" t="s">
        <v>334</v>
      </c>
      <c r="J24" t="s">
        <v>335</v>
      </c>
      <c r="N24" t="s">
        <v>434</v>
      </c>
      <c r="AH24" s="192"/>
    </row>
    <row r="25" spans="1:34" x14ac:dyDescent="0.25">
      <c r="A25" s="200">
        <v>501</v>
      </c>
      <c r="B25" s="31"/>
      <c r="C25">
        <v>500</v>
      </c>
      <c r="E25" t="s">
        <v>435</v>
      </c>
      <c r="F25" t="s">
        <v>436</v>
      </c>
      <c r="H25" t="s">
        <v>333</v>
      </c>
      <c r="I25" t="s">
        <v>334</v>
      </c>
      <c r="J25" t="s">
        <v>335</v>
      </c>
      <c r="N25" t="s">
        <v>434</v>
      </c>
      <c r="AH25" s="192"/>
    </row>
    <row r="26" spans="1:34" x14ac:dyDescent="0.25">
      <c r="A26" s="200">
        <v>102</v>
      </c>
      <c r="B26" s="31"/>
      <c r="C26">
        <v>100</v>
      </c>
      <c r="E26" t="s">
        <v>435</v>
      </c>
      <c r="F26" t="s">
        <v>436</v>
      </c>
      <c r="H26" t="s">
        <v>333</v>
      </c>
      <c r="I26" t="s">
        <v>334</v>
      </c>
      <c r="J26" t="s">
        <v>335</v>
      </c>
      <c r="N26" t="s">
        <v>434</v>
      </c>
      <c r="AH26" s="192"/>
    </row>
    <row r="27" spans="1:34" x14ac:dyDescent="0.25">
      <c r="A27" s="200">
        <v>903</v>
      </c>
      <c r="B27" s="31"/>
      <c r="C27">
        <v>900</v>
      </c>
      <c r="E27" t="s">
        <v>435</v>
      </c>
      <c r="F27" t="s">
        <v>436</v>
      </c>
      <c r="H27" t="s">
        <v>333</v>
      </c>
      <c r="I27" t="s">
        <v>334</v>
      </c>
      <c r="J27" t="s">
        <v>335</v>
      </c>
      <c r="N27" t="s">
        <v>434</v>
      </c>
      <c r="AH27" s="192"/>
    </row>
    <row r="28" spans="1:34" x14ac:dyDescent="0.25">
      <c r="A28" s="200">
        <v>501</v>
      </c>
      <c r="B28" s="31"/>
      <c r="C28">
        <v>500</v>
      </c>
      <c r="E28" t="s">
        <v>435</v>
      </c>
      <c r="F28" t="s">
        <v>436</v>
      </c>
      <c r="H28" t="s">
        <v>333</v>
      </c>
      <c r="I28" t="s">
        <v>334</v>
      </c>
      <c r="J28" t="s">
        <v>335</v>
      </c>
      <c r="N28" t="s">
        <v>434</v>
      </c>
      <c r="AH28" s="192"/>
    </row>
    <row r="29" spans="1:34" x14ac:dyDescent="0.25">
      <c r="A29" s="200">
        <v>102</v>
      </c>
      <c r="B29" s="31"/>
      <c r="C29">
        <v>100</v>
      </c>
      <c r="E29" t="s">
        <v>435</v>
      </c>
      <c r="F29" t="s">
        <v>436</v>
      </c>
      <c r="H29" t="s">
        <v>333</v>
      </c>
      <c r="I29" t="s">
        <v>334</v>
      </c>
      <c r="J29" t="s">
        <v>335</v>
      </c>
      <c r="N29" t="s">
        <v>434</v>
      </c>
      <c r="AH29" s="192"/>
    </row>
    <row r="30" spans="1:34" x14ac:dyDescent="0.25">
      <c r="A30" s="200">
        <v>102</v>
      </c>
      <c r="B30" s="31"/>
      <c r="C30">
        <v>100</v>
      </c>
      <c r="E30" t="s">
        <v>435</v>
      </c>
      <c r="F30" t="s">
        <v>436</v>
      </c>
      <c r="H30" t="s">
        <v>333</v>
      </c>
      <c r="I30" t="s">
        <v>334</v>
      </c>
      <c r="J30" t="s">
        <v>335</v>
      </c>
      <c r="N30" t="s">
        <v>434</v>
      </c>
      <c r="AH30" s="192"/>
    </row>
    <row r="31" spans="1:34" x14ac:dyDescent="0.25">
      <c r="A31" s="200">
        <v>117</v>
      </c>
      <c r="B31" s="31"/>
      <c r="C31">
        <v>100</v>
      </c>
      <c r="E31" t="s">
        <v>435</v>
      </c>
      <c r="F31" t="s">
        <v>436</v>
      </c>
      <c r="H31" t="s">
        <v>333</v>
      </c>
      <c r="I31" t="s">
        <v>334</v>
      </c>
      <c r="J31" t="s">
        <v>335</v>
      </c>
      <c r="N31" t="s">
        <v>434</v>
      </c>
      <c r="AH31" s="192"/>
    </row>
    <row r="32" spans="1:34" x14ac:dyDescent="0.25">
      <c r="A32" s="200">
        <v>501</v>
      </c>
      <c r="B32" s="31"/>
      <c r="C32">
        <v>500</v>
      </c>
      <c r="E32" t="s">
        <v>435</v>
      </c>
      <c r="F32" t="s">
        <v>436</v>
      </c>
      <c r="H32" t="s">
        <v>333</v>
      </c>
      <c r="I32" t="s">
        <v>334</v>
      </c>
      <c r="J32" t="s">
        <v>335</v>
      </c>
      <c r="N32" t="s">
        <v>434</v>
      </c>
      <c r="AH32" s="192"/>
    </row>
    <row r="33" spans="1:34" x14ac:dyDescent="0.25">
      <c r="A33" s="200">
        <v>501</v>
      </c>
      <c r="B33" s="31"/>
      <c r="C33">
        <v>500</v>
      </c>
      <c r="E33" t="s">
        <v>435</v>
      </c>
      <c r="F33" t="s">
        <v>436</v>
      </c>
      <c r="H33" t="s">
        <v>333</v>
      </c>
      <c r="I33" t="s">
        <v>334</v>
      </c>
      <c r="J33" t="s">
        <v>335</v>
      </c>
      <c r="N33" t="s">
        <v>434</v>
      </c>
      <c r="AH33" s="192"/>
    </row>
    <row r="34" spans="1:34" x14ac:dyDescent="0.25">
      <c r="A34" s="200">
        <v>501</v>
      </c>
      <c r="B34" s="31"/>
      <c r="C34">
        <v>500</v>
      </c>
      <c r="E34" t="s">
        <v>435</v>
      </c>
      <c r="F34" t="s">
        <v>436</v>
      </c>
      <c r="H34" t="s">
        <v>333</v>
      </c>
      <c r="I34" t="s">
        <v>334</v>
      </c>
      <c r="J34" t="s">
        <v>335</v>
      </c>
      <c r="N34" t="s">
        <v>434</v>
      </c>
      <c r="AH34" s="192"/>
    </row>
    <row r="35" spans="1:34" x14ac:dyDescent="0.25">
      <c r="A35" s="200">
        <v>903</v>
      </c>
      <c r="B35" s="31"/>
      <c r="C35">
        <v>900</v>
      </c>
      <c r="E35" t="s">
        <v>435</v>
      </c>
      <c r="F35" t="s">
        <v>436</v>
      </c>
      <c r="H35" t="s">
        <v>333</v>
      </c>
      <c r="I35" t="s">
        <v>334</v>
      </c>
      <c r="J35" t="s">
        <v>335</v>
      </c>
      <c r="N35" t="s">
        <v>434</v>
      </c>
      <c r="AH35" s="192"/>
    </row>
    <row r="36" spans="1:34" x14ac:dyDescent="0.25">
      <c r="A36" s="200">
        <v>102</v>
      </c>
      <c r="B36" s="31"/>
      <c r="C36">
        <v>100</v>
      </c>
      <c r="E36" t="s">
        <v>435</v>
      </c>
      <c r="F36" t="s">
        <v>436</v>
      </c>
      <c r="H36" t="s">
        <v>333</v>
      </c>
      <c r="I36" t="s">
        <v>334</v>
      </c>
      <c r="J36" t="s">
        <v>335</v>
      </c>
      <c r="N36" t="s">
        <v>434</v>
      </c>
      <c r="AH36" s="192"/>
    </row>
    <row r="37" spans="1:34" x14ac:dyDescent="0.25">
      <c r="A37" s="200">
        <v>109</v>
      </c>
      <c r="B37" s="31"/>
      <c r="C37">
        <v>100</v>
      </c>
      <c r="E37" t="s">
        <v>435</v>
      </c>
      <c r="F37" t="s">
        <v>436</v>
      </c>
      <c r="H37" t="s">
        <v>333</v>
      </c>
      <c r="I37" t="s">
        <v>334</v>
      </c>
      <c r="J37" t="s">
        <v>335</v>
      </c>
      <c r="N37" t="s">
        <v>434</v>
      </c>
      <c r="AH37" s="192"/>
    </row>
    <row r="38" spans="1:34" x14ac:dyDescent="0.25">
      <c r="A38" s="200">
        <v>109</v>
      </c>
      <c r="B38" s="31"/>
      <c r="C38">
        <v>100</v>
      </c>
      <c r="E38" t="s">
        <v>435</v>
      </c>
      <c r="F38" t="s">
        <v>436</v>
      </c>
      <c r="H38" t="s">
        <v>333</v>
      </c>
      <c r="I38" t="s">
        <v>334</v>
      </c>
      <c r="J38" t="s">
        <v>335</v>
      </c>
      <c r="N38" t="s">
        <v>434</v>
      </c>
      <c r="AH38" s="192"/>
    </row>
    <row r="39" spans="1:34" x14ac:dyDescent="0.25">
      <c r="A39" s="200">
        <v>117</v>
      </c>
      <c r="B39" s="31"/>
      <c r="C39">
        <v>100</v>
      </c>
      <c r="E39" t="s">
        <v>435</v>
      </c>
      <c r="F39" t="s">
        <v>436</v>
      </c>
      <c r="H39" t="s">
        <v>333</v>
      </c>
      <c r="I39" t="s">
        <v>334</v>
      </c>
      <c r="J39" t="s">
        <v>335</v>
      </c>
      <c r="N39" t="s">
        <v>434</v>
      </c>
      <c r="AH39" s="192"/>
    </row>
    <row r="40" spans="1:34" x14ac:dyDescent="0.25">
      <c r="A40" s="200">
        <v>117</v>
      </c>
      <c r="B40" s="31"/>
      <c r="C40">
        <v>100</v>
      </c>
      <c r="E40" t="s">
        <v>435</v>
      </c>
      <c r="F40" t="s">
        <v>436</v>
      </c>
      <c r="H40" t="s">
        <v>333</v>
      </c>
      <c r="I40" t="s">
        <v>334</v>
      </c>
      <c r="J40" t="s">
        <v>335</v>
      </c>
      <c r="N40" t="s">
        <v>434</v>
      </c>
      <c r="AH40" s="192"/>
    </row>
    <row r="41" spans="1:34" x14ac:dyDescent="0.25">
      <c r="A41" s="200">
        <v>501</v>
      </c>
      <c r="B41" s="31"/>
      <c r="C41">
        <v>500</v>
      </c>
      <c r="E41" t="s">
        <v>435</v>
      </c>
      <c r="F41" t="s">
        <v>436</v>
      </c>
      <c r="H41" t="s">
        <v>333</v>
      </c>
      <c r="I41" t="s">
        <v>334</v>
      </c>
      <c r="J41" t="s">
        <v>335</v>
      </c>
      <c r="N41" t="s">
        <v>434</v>
      </c>
      <c r="AH41" s="192"/>
    </row>
    <row r="42" spans="1:34" x14ac:dyDescent="0.25">
      <c r="A42" s="200">
        <v>102</v>
      </c>
      <c r="B42" s="31"/>
      <c r="C42">
        <v>100</v>
      </c>
      <c r="E42" t="s">
        <v>435</v>
      </c>
      <c r="F42" t="s">
        <v>436</v>
      </c>
      <c r="H42" t="s">
        <v>333</v>
      </c>
      <c r="I42" t="s">
        <v>334</v>
      </c>
      <c r="J42" t="s">
        <v>335</v>
      </c>
      <c r="N42" t="s">
        <v>434</v>
      </c>
      <c r="AH42" s="192"/>
    </row>
    <row r="43" spans="1:34" x14ac:dyDescent="0.25">
      <c r="A43" s="200">
        <v>903</v>
      </c>
      <c r="B43" s="31"/>
      <c r="C43">
        <v>900</v>
      </c>
      <c r="E43" t="s">
        <v>435</v>
      </c>
      <c r="F43" t="s">
        <v>436</v>
      </c>
      <c r="H43" t="s">
        <v>333</v>
      </c>
      <c r="I43" t="s">
        <v>334</v>
      </c>
      <c r="J43" t="s">
        <v>335</v>
      </c>
      <c r="N43" t="s">
        <v>434</v>
      </c>
      <c r="AH43" s="192"/>
    </row>
    <row r="44" spans="1:34" x14ac:dyDescent="0.25">
      <c r="A44" s="200">
        <v>109</v>
      </c>
      <c r="B44" s="31"/>
      <c r="C44">
        <v>100</v>
      </c>
      <c r="E44" t="s">
        <v>435</v>
      </c>
      <c r="F44" t="s">
        <v>436</v>
      </c>
      <c r="H44" t="s">
        <v>333</v>
      </c>
      <c r="I44" t="s">
        <v>334</v>
      </c>
      <c r="J44" t="s">
        <v>335</v>
      </c>
      <c r="N44" t="s">
        <v>434</v>
      </c>
      <c r="AH44" s="192"/>
    </row>
    <row r="45" spans="1:34" x14ac:dyDescent="0.25">
      <c r="A45" s="200">
        <v>903</v>
      </c>
      <c r="B45" s="31"/>
      <c r="C45">
        <v>900</v>
      </c>
      <c r="E45" t="s">
        <v>435</v>
      </c>
      <c r="F45" t="s">
        <v>436</v>
      </c>
      <c r="H45" t="s">
        <v>333</v>
      </c>
      <c r="I45" t="s">
        <v>334</v>
      </c>
      <c r="J45" t="s">
        <v>335</v>
      </c>
      <c r="N45" t="s">
        <v>434</v>
      </c>
      <c r="AH45" s="192"/>
    </row>
    <row r="46" spans="1:34" x14ac:dyDescent="0.25">
      <c r="A46" s="200">
        <v>604</v>
      </c>
      <c r="B46" s="31"/>
      <c r="C46">
        <v>600</v>
      </c>
      <c r="E46" t="s">
        <v>435</v>
      </c>
      <c r="F46" t="s">
        <v>436</v>
      </c>
      <c r="H46" t="s">
        <v>333</v>
      </c>
      <c r="I46" t="s">
        <v>334</v>
      </c>
      <c r="J46" t="s">
        <v>335</v>
      </c>
      <c r="N46" t="s">
        <v>434</v>
      </c>
      <c r="AH46" s="192"/>
    </row>
    <row r="47" spans="1:34" x14ac:dyDescent="0.25">
      <c r="A47" s="200">
        <v>109</v>
      </c>
      <c r="B47" s="31"/>
      <c r="C47">
        <v>100</v>
      </c>
      <c r="E47" t="s">
        <v>435</v>
      </c>
      <c r="F47" t="s">
        <v>436</v>
      </c>
      <c r="H47" t="s">
        <v>333</v>
      </c>
      <c r="I47" t="s">
        <v>334</v>
      </c>
      <c r="J47" t="s">
        <v>335</v>
      </c>
      <c r="N47" t="s">
        <v>434</v>
      </c>
      <c r="AH47" s="192"/>
    </row>
    <row r="48" spans="1:34" x14ac:dyDescent="0.25">
      <c r="A48" s="200">
        <v>501</v>
      </c>
      <c r="B48" s="31"/>
      <c r="C48">
        <v>500</v>
      </c>
      <c r="E48" t="s">
        <v>435</v>
      </c>
      <c r="F48" t="s">
        <v>436</v>
      </c>
      <c r="H48" t="s">
        <v>333</v>
      </c>
      <c r="I48" t="s">
        <v>334</v>
      </c>
      <c r="J48" t="s">
        <v>335</v>
      </c>
      <c r="N48" t="s">
        <v>434</v>
      </c>
      <c r="AH48" s="192"/>
    </row>
    <row r="49" spans="1:34" x14ac:dyDescent="0.25">
      <c r="A49" s="200">
        <v>501</v>
      </c>
      <c r="B49" s="31"/>
      <c r="C49">
        <v>500</v>
      </c>
      <c r="E49" t="s">
        <v>435</v>
      </c>
      <c r="F49" t="s">
        <v>436</v>
      </c>
      <c r="H49" t="s">
        <v>333</v>
      </c>
      <c r="I49" t="s">
        <v>334</v>
      </c>
      <c r="J49" t="s">
        <v>335</v>
      </c>
      <c r="N49" t="s">
        <v>434</v>
      </c>
      <c r="AH49" s="192"/>
    </row>
    <row r="50" spans="1:34" x14ac:dyDescent="0.25">
      <c r="A50" s="200">
        <v>102</v>
      </c>
      <c r="B50" s="31"/>
      <c r="C50">
        <v>100</v>
      </c>
      <c r="E50" t="s">
        <v>435</v>
      </c>
      <c r="F50" t="s">
        <v>436</v>
      </c>
      <c r="H50" t="s">
        <v>333</v>
      </c>
      <c r="I50" t="s">
        <v>334</v>
      </c>
      <c r="J50" t="s">
        <v>335</v>
      </c>
      <c r="N50" t="s">
        <v>434</v>
      </c>
      <c r="AH50" s="192"/>
    </row>
    <row r="51" spans="1:34" x14ac:dyDescent="0.25">
      <c r="A51" s="200">
        <v>109</v>
      </c>
      <c r="B51" s="31"/>
      <c r="C51">
        <v>100</v>
      </c>
      <c r="E51" t="s">
        <v>435</v>
      </c>
      <c r="F51" t="s">
        <v>436</v>
      </c>
      <c r="H51" t="s">
        <v>333</v>
      </c>
      <c r="I51" t="s">
        <v>334</v>
      </c>
      <c r="J51" t="s">
        <v>335</v>
      </c>
      <c r="N51" t="s">
        <v>434</v>
      </c>
      <c r="AH51" s="192"/>
    </row>
    <row r="52" spans="1:34" x14ac:dyDescent="0.25">
      <c r="A52" s="200">
        <v>903</v>
      </c>
      <c r="B52" s="31"/>
      <c r="C52">
        <v>900</v>
      </c>
      <c r="E52" t="s">
        <v>435</v>
      </c>
      <c r="F52" t="s">
        <v>436</v>
      </c>
      <c r="H52" t="s">
        <v>333</v>
      </c>
      <c r="I52" t="s">
        <v>334</v>
      </c>
      <c r="J52" t="s">
        <v>335</v>
      </c>
      <c r="N52" t="s">
        <v>434</v>
      </c>
      <c r="AH52" s="192"/>
    </row>
    <row r="53" spans="1:34" x14ac:dyDescent="0.25">
      <c r="A53" s="200">
        <v>501</v>
      </c>
      <c r="B53" s="31"/>
      <c r="C53">
        <v>500</v>
      </c>
      <c r="E53" t="s">
        <v>435</v>
      </c>
      <c r="F53" t="s">
        <v>436</v>
      </c>
      <c r="H53" t="s">
        <v>333</v>
      </c>
      <c r="I53" t="s">
        <v>334</v>
      </c>
      <c r="J53" t="s">
        <v>335</v>
      </c>
      <c r="N53" t="s">
        <v>434</v>
      </c>
      <c r="AH53" s="192"/>
    </row>
    <row r="54" spans="1:34" x14ac:dyDescent="0.25">
      <c r="A54" s="200">
        <v>903</v>
      </c>
      <c r="B54" s="31"/>
      <c r="C54">
        <v>900</v>
      </c>
      <c r="E54" t="s">
        <v>435</v>
      </c>
      <c r="F54" t="s">
        <v>436</v>
      </c>
      <c r="H54" t="s">
        <v>333</v>
      </c>
      <c r="I54" t="s">
        <v>334</v>
      </c>
      <c r="J54" t="s">
        <v>335</v>
      </c>
      <c r="N54" t="s">
        <v>434</v>
      </c>
      <c r="AH54" s="192"/>
    </row>
    <row r="55" spans="1:34" x14ac:dyDescent="0.25">
      <c r="A55" s="200">
        <v>501</v>
      </c>
      <c r="B55" s="31"/>
      <c r="C55">
        <v>500</v>
      </c>
      <c r="E55" t="s">
        <v>435</v>
      </c>
      <c r="F55" t="s">
        <v>436</v>
      </c>
      <c r="H55" t="s">
        <v>333</v>
      </c>
      <c r="I55" t="s">
        <v>334</v>
      </c>
      <c r="J55" t="s">
        <v>335</v>
      </c>
      <c r="N55" t="s">
        <v>434</v>
      </c>
      <c r="AH55" s="192"/>
    </row>
    <row r="56" spans="1:34" x14ac:dyDescent="0.25">
      <c r="A56" s="200">
        <v>109</v>
      </c>
      <c r="B56" s="31"/>
      <c r="C56">
        <v>100</v>
      </c>
      <c r="E56" t="s">
        <v>435</v>
      </c>
      <c r="F56" t="s">
        <v>436</v>
      </c>
      <c r="H56" t="s">
        <v>333</v>
      </c>
      <c r="I56" t="s">
        <v>334</v>
      </c>
      <c r="J56" t="s">
        <v>335</v>
      </c>
      <c r="N56" t="s">
        <v>434</v>
      </c>
      <c r="AH56" s="192"/>
    </row>
    <row r="57" spans="1:34" x14ac:dyDescent="0.25">
      <c r="A57" s="200">
        <v>501</v>
      </c>
      <c r="B57" s="31"/>
      <c r="C57">
        <v>500</v>
      </c>
      <c r="E57" t="s">
        <v>435</v>
      </c>
      <c r="F57" t="s">
        <v>436</v>
      </c>
      <c r="H57" t="s">
        <v>333</v>
      </c>
      <c r="I57" t="s">
        <v>334</v>
      </c>
      <c r="J57" t="s">
        <v>335</v>
      </c>
      <c r="N57" t="s">
        <v>434</v>
      </c>
      <c r="AH57" s="192"/>
    </row>
    <row r="58" spans="1:34" x14ac:dyDescent="0.25">
      <c r="A58" s="200">
        <v>109</v>
      </c>
      <c r="B58" s="31"/>
      <c r="C58">
        <v>100</v>
      </c>
      <c r="E58" t="s">
        <v>435</v>
      </c>
      <c r="F58" t="s">
        <v>436</v>
      </c>
      <c r="H58" t="s">
        <v>333</v>
      </c>
      <c r="I58" t="s">
        <v>334</v>
      </c>
      <c r="J58" t="s">
        <v>335</v>
      </c>
      <c r="N58" t="s">
        <v>434</v>
      </c>
      <c r="AH58" s="192"/>
    </row>
    <row r="59" spans="1:34" x14ac:dyDescent="0.25">
      <c r="A59" s="200">
        <v>102</v>
      </c>
      <c r="B59" s="31"/>
      <c r="C59">
        <v>100</v>
      </c>
      <c r="E59" t="s">
        <v>435</v>
      </c>
      <c r="F59" t="s">
        <v>436</v>
      </c>
      <c r="H59" t="s">
        <v>333</v>
      </c>
      <c r="I59" t="s">
        <v>334</v>
      </c>
      <c r="J59" t="s">
        <v>335</v>
      </c>
      <c r="N59" t="s">
        <v>434</v>
      </c>
      <c r="AH59" s="192"/>
    </row>
    <row r="60" spans="1:34" x14ac:dyDescent="0.25">
      <c r="A60" s="200">
        <v>501</v>
      </c>
      <c r="B60" s="31"/>
      <c r="C60">
        <v>500</v>
      </c>
      <c r="E60" t="s">
        <v>435</v>
      </c>
      <c r="F60" t="s">
        <v>436</v>
      </c>
      <c r="H60" t="s">
        <v>333</v>
      </c>
      <c r="I60" t="s">
        <v>334</v>
      </c>
      <c r="J60" t="s">
        <v>335</v>
      </c>
      <c r="N60" t="s">
        <v>434</v>
      </c>
      <c r="AH60" s="192"/>
    </row>
    <row r="61" spans="1:34" x14ac:dyDescent="0.25">
      <c r="A61" s="200">
        <v>903</v>
      </c>
      <c r="B61" s="31"/>
      <c r="C61">
        <v>900</v>
      </c>
      <c r="E61" t="s">
        <v>435</v>
      </c>
      <c r="F61" t="s">
        <v>436</v>
      </c>
      <c r="H61" t="s">
        <v>333</v>
      </c>
      <c r="I61" t="s">
        <v>334</v>
      </c>
      <c r="J61" t="s">
        <v>335</v>
      </c>
      <c r="N61" t="s">
        <v>434</v>
      </c>
      <c r="AH61" s="192"/>
    </row>
    <row r="62" spans="1:34" x14ac:dyDescent="0.25">
      <c r="A62" s="200">
        <v>501</v>
      </c>
      <c r="B62" s="31"/>
      <c r="C62">
        <v>500</v>
      </c>
      <c r="E62" t="s">
        <v>435</v>
      </c>
      <c r="F62" t="s">
        <v>436</v>
      </c>
      <c r="H62" t="s">
        <v>333</v>
      </c>
      <c r="I62" t="s">
        <v>334</v>
      </c>
      <c r="J62" t="s">
        <v>335</v>
      </c>
      <c r="N62" t="s">
        <v>434</v>
      </c>
      <c r="AH62" s="192"/>
    </row>
    <row r="63" spans="1:34" x14ac:dyDescent="0.25">
      <c r="A63" s="200">
        <v>501</v>
      </c>
      <c r="B63" s="31"/>
      <c r="C63">
        <v>500</v>
      </c>
      <c r="E63" t="s">
        <v>435</v>
      </c>
      <c r="F63" t="s">
        <v>436</v>
      </c>
      <c r="H63" t="s">
        <v>333</v>
      </c>
      <c r="I63" t="s">
        <v>334</v>
      </c>
      <c r="J63" t="s">
        <v>335</v>
      </c>
      <c r="N63" t="s">
        <v>434</v>
      </c>
      <c r="AH63" s="192"/>
    </row>
    <row r="64" spans="1:34" x14ac:dyDescent="0.25">
      <c r="A64" s="200">
        <v>501</v>
      </c>
      <c r="B64" s="31"/>
      <c r="C64">
        <v>500</v>
      </c>
      <c r="E64" t="s">
        <v>435</v>
      </c>
      <c r="F64" t="s">
        <v>436</v>
      </c>
      <c r="H64" t="s">
        <v>333</v>
      </c>
      <c r="I64" t="s">
        <v>334</v>
      </c>
      <c r="J64" t="s">
        <v>335</v>
      </c>
      <c r="N64" t="s">
        <v>434</v>
      </c>
      <c r="AH64" s="192"/>
    </row>
    <row r="65" spans="1:34" ht="15.75" thickBot="1" x14ac:dyDescent="0.3">
      <c r="A65" s="201">
        <v>109</v>
      </c>
      <c r="B65" s="39"/>
      <c r="C65" s="40">
        <v>100</v>
      </c>
      <c r="D65" s="40" t="s">
        <v>340</v>
      </c>
      <c r="E65" s="40" t="s">
        <v>435</v>
      </c>
      <c r="F65" s="40" t="s">
        <v>436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434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93"/>
    </row>
    <row r="66" spans="1:34" ht="15.75" thickTop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42578125" bestFit="1" customWidth="1"/>
    <col min="6" max="6" width="43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13">
        <v>104</v>
      </c>
      <c r="B2" s="38"/>
      <c r="C2" s="53">
        <v>100</v>
      </c>
      <c r="D2" s="53" t="s">
        <v>339</v>
      </c>
      <c r="E2" s="53" t="s">
        <v>440</v>
      </c>
      <c r="F2" s="53" t="s">
        <v>441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439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06"/>
    </row>
    <row r="3" spans="1:34" x14ac:dyDescent="0.25">
      <c r="A3" s="216">
        <v>303</v>
      </c>
      <c r="B3" s="31"/>
      <c r="C3">
        <v>300</v>
      </c>
      <c r="E3" t="s">
        <v>440</v>
      </c>
      <c r="F3" t="s">
        <v>441</v>
      </c>
      <c r="H3" t="s">
        <v>333</v>
      </c>
      <c r="I3" t="s">
        <v>334</v>
      </c>
      <c r="J3" t="s">
        <v>335</v>
      </c>
      <c r="N3" t="s">
        <v>439</v>
      </c>
      <c r="AH3" s="207"/>
    </row>
    <row r="4" spans="1:34" x14ac:dyDescent="0.25">
      <c r="A4" s="216">
        <v>303</v>
      </c>
      <c r="B4" s="31"/>
      <c r="C4">
        <v>300</v>
      </c>
      <c r="E4" t="s">
        <v>440</v>
      </c>
      <c r="F4" t="s">
        <v>441</v>
      </c>
      <c r="H4" t="s">
        <v>333</v>
      </c>
      <c r="I4" t="s">
        <v>334</v>
      </c>
      <c r="J4" t="s">
        <v>335</v>
      </c>
      <c r="N4" t="s">
        <v>439</v>
      </c>
      <c r="AH4" s="207"/>
    </row>
    <row r="5" spans="1:34" x14ac:dyDescent="0.25">
      <c r="A5" s="216">
        <v>303</v>
      </c>
      <c r="B5" s="31"/>
      <c r="C5">
        <v>300</v>
      </c>
      <c r="E5" t="s">
        <v>440</v>
      </c>
      <c r="F5" t="s">
        <v>441</v>
      </c>
      <c r="H5" t="s">
        <v>333</v>
      </c>
      <c r="I5" t="s">
        <v>334</v>
      </c>
      <c r="J5" t="s">
        <v>335</v>
      </c>
      <c r="N5" t="s">
        <v>439</v>
      </c>
      <c r="AH5" s="207"/>
    </row>
    <row r="6" spans="1:34" x14ac:dyDescent="0.25">
      <c r="A6" s="216">
        <v>501</v>
      </c>
      <c r="B6" s="31"/>
      <c r="C6">
        <v>500</v>
      </c>
      <c r="E6" t="s">
        <v>440</v>
      </c>
      <c r="F6" t="s">
        <v>441</v>
      </c>
      <c r="H6" t="s">
        <v>333</v>
      </c>
      <c r="I6" t="s">
        <v>334</v>
      </c>
      <c r="J6" t="s">
        <v>335</v>
      </c>
      <c r="N6" t="s">
        <v>439</v>
      </c>
      <c r="AH6" s="207"/>
    </row>
    <row r="7" spans="1:34" x14ac:dyDescent="0.25">
      <c r="A7" s="216">
        <v>303</v>
      </c>
      <c r="B7" s="31"/>
      <c r="C7">
        <v>300</v>
      </c>
      <c r="E7" t="s">
        <v>440</v>
      </c>
      <c r="F7" t="s">
        <v>441</v>
      </c>
      <c r="H7" t="s">
        <v>333</v>
      </c>
      <c r="I7" t="s">
        <v>334</v>
      </c>
      <c r="J7" t="s">
        <v>335</v>
      </c>
      <c r="N7" t="s">
        <v>439</v>
      </c>
      <c r="AH7" s="207"/>
    </row>
    <row r="8" spans="1:34" x14ac:dyDescent="0.25">
      <c r="A8" s="216">
        <v>501</v>
      </c>
      <c r="B8" s="31"/>
      <c r="C8">
        <v>500</v>
      </c>
      <c r="E8" t="s">
        <v>440</v>
      </c>
      <c r="F8" t="s">
        <v>441</v>
      </c>
      <c r="H8" t="s">
        <v>333</v>
      </c>
      <c r="I8" t="s">
        <v>334</v>
      </c>
      <c r="J8" t="s">
        <v>335</v>
      </c>
      <c r="N8" t="s">
        <v>439</v>
      </c>
      <c r="AH8" s="207"/>
    </row>
    <row r="9" spans="1:34" x14ac:dyDescent="0.25">
      <c r="A9" s="216">
        <v>104</v>
      </c>
      <c r="B9" s="31"/>
      <c r="C9">
        <v>100</v>
      </c>
      <c r="E9" t="s">
        <v>440</v>
      </c>
      <c r="F9" t="s">
        <v>441</v>
      </c>
      <c r="H9" t="s">
        <v>333</v>
      </c>
      <c r="I9" t="s">
        <v>334</v>
      </c>
      <c r="J9" t="s">
        <v>335</v>
      </c>
      <c r="N9" t="s">
        <v>439</v>
      </c>
      <c r="AH9" s="207"/>
    </row>
    <row r="10" spans="1:34" x14ac:dyDescent="0.25">
      <c r="A10" s="216">
        <v>102</v>
      </c>
      <c r="B10" s="31"/>
      <c r="C10">
        <v>100</v>
      </c>
      <c r="E10" t="s">
        <v>440</v>
      </c>
      <c r="F10" t="s">
        <v>441</v>
      </c>
      <c r="H10" t="s">
        <v>333</v>
      </c>
      <c r="I10" t="s">
        <v>334</v>
      </c>
      <c r="J10" t="s">
        <v>335</v>
      </c>
      <c r="N10" t="s">
        <v>439</v>
      </c>
      <c r="AH10" s="207"/>
    </row>
    <row r="11" spans="1:34" x14ac:dyDescent="0.25">
      <c r="A11" s="216">
        <v>109</v>
      </c>
      <c r="B11" s="31"/>
      <c r="C11">
        <v>100</v>
      </c>
      <c r="E11" t="s">
        <v>440</v>
      </c>
      <c r="F11" t="s">
        <v>441</v>
      </c>
      <c r="H11" t="s">
        <v>333</v>
      </c>
      <c r="I11" t="s">
        <v>334</v>
      </c>
      <c r="J11" t="s">
        <v>335</v>
      </c>
      <c r="N11" t="s">
        <v>439</v>
      </c>
      <c r="AH11" s="207"/>
    </row>
    <row r="12" spans="1:34" x14ac:dyDescent="0.25">
      <c r="A12" s="216">
        <v>603</v>
      </c>
      <c r="B12" s="31"/>
      <c r="C12">
        <v>600</v>
      </c>
      <c r="E12" t="s">
        <v>440</v>
      </c>
      <c r="F12" t="s">
        <v>441</v>
      </c>
      <c r="H12" t="s">
        <v>333</v>
      </c>
      <c r="I12" t="s">
        <v>334</v>
      </c>
      <c r="J12" t="s">
        <v>335</v>
      </c>
      <c r="N12" t="s">
        <v>439</v>
      </c>
      <c r="AH12" s="207"/>
    </row>
    <row r="13" spans="1:34" x14ac:dyDescent="0.25">
      <c r="A13" s="216">
        <v>501</v>
      </c>
      <c r="B13" s="31"/>
      <c r="C13">
        <v>500</v>
      </c>
      <c r="E13" t="s">
        <v>440</v>
      </c>
      <c r="F13" t="s">
        <v>441</v>
      </c>
      <c r="H13" t="s">
        <v>333</v>
      </c>
      <c r="I13" t="s">
        <v>334</v>
      </c>
      <c r="J13" t="s">
        <v>335</v>
      </c>
      <c r="N13" t="s">
        <v>439</v>
      </c>
      <c r="AH13" s="207"/>
    </row>
    <row r="14" spans="1:34" x14ac:dyDescent="0.25">
      <c r="A14" s="216">
        <v>501</v>
      </c>
      <c r="B14" s="31"/>
      <c r="C14">
        <v>500</v>
      </c>
      <c r="E14" t="s">
        <v>440</v>
      </c>
      <c r="F14" t="s">
        <v>441</v>
      </c>
      <c r="H14" t="s">
        <v>333</v>
      </c>
      <c r="I14" t="s">
        <v>334</v>
      </c>
      <c r="J14" t="s">
        <v>335</v>
      </c>
      <c r="N14" t="s">
        <v>439</v>
      </c>
      <c r="AH14" s="207"/>
    </row>
    <row r="15" spans="1:34" x14ac:dyDescent="0.25">
      <c r="A15" s="216">
        <v>501</v>
      </c>
      <c r="B15" s="31"/>
      <c r="C15">
        <v>500</v>
      </c>
      <c r="E15" t="s">
        <v>440</v>
      </c>
      <c r="F15" t="s">
        <v>441</v>
      </c>
      <c r="H15" t="s">
        <v>333</v>
      </c>
      <c r="I15" t="s">
        <v>334</v>
      </c>
      <c r="J15" t="s">
        <v>335</v>
      </c>
      <c r="N15" t="s">
        <v>439</v>
      </c>
      <c r="AH15" s="207"/>
    </row>
    <row r="16" spans="1:34" x14ac:dyDescent="0.25">
      <c r="A16" s="216">
        <v>109</v>
      </c>
      <c r="B16" s="31"/>
      <c r="C16">
        <v>100</v>
      </c>
      <c r="E16" t="s">
        <v>440</v>
      </c>
      <c r="F16" t="s">
        <v>441</v>
      </c>
      <c r="H16" t="s">
        <v>333</v>
      </c>
      <c r="I16" t="s">
        <v>334</v>
      </c>
      <c r="J16" t="s">
        <v>335</v>
      </c>
      <c r="N16" t="s">
        <v>439</v>
      </c>
      <c r="AH16" s="207"/>
    </row>
    <row r="17" spans="1:34" x14ac:dyDescent="0.25">
      <c r="A17" s="216">
        <v>303</v>
      </c>
      <c r="B17" s="31"/>
      <c r="C17">
        <v>300</v>
      </c>
      <c r="E17" t="s">
        <v>440</v>
      </c>
      <c r="F17" t="s">
        <v>441</v>
      </c>
      <c r="H17" t="s">
        <v>333</v>
      </c>
      <c r="I17" t="s">
        <v>334</v>
      </c>
      <c r="J17" t="s">
        <v>335</v>
      </c>
      <c r="N17" t="s">
        <v>439</v>
      </c>
      <c r="AH17" s="207"/>
    </row>
    <row r="18" spans="1:34" x14ac:dyDescent="0.25">
      <c r="A18" s="216">
        <v>303</v>
      </c>
      <c r="B18" s="31"/>
      <c r="C18">
        <v>300</v>
      </c>
      <c r="E18" t="s">
        <v>440</v>
      </c>
      <c r="F18" t="s">
        <v>441</v>
      </c>
      <c r="H18" t="s">
        <v>333</v>
      </c>
      <c r="I18" t="s">
        <v>334</v>
      </c>
      <c r="J18" t="s">
        <v>335</v>
      </c>
      <c r="N18" t="s">
        <v>439</v>
      </c>
      <c r="AH18" s="207"/>
    </row>
    <row r="19" spans="1:34" x14ac:dyDescent="0.25">
      <c r="A19" s="216">
        <v>501</v>
      </c>
      <c r="B19" s="31"/>
      <c r="C19">
        <v>500</v>
      </c>
      <c r="E19" t="s">
        <v>440</v>
      </c>
      <c r="F19" t="s">
        <v>441</v>
      </c>
      <c r="H19" t="s">
        <v>333</v>
      </c>
      <c r="I19" t="s">
        <v>334</v>
      </c>
      <c r="J19" t="s">
        <v>335</v>
      </c>
      <c r="N19" t="s">
        <v>439</v>
      </c>
      <c r="AH19" s="207"/>
    </row>
    <row r="20" spans="1:34" x14ac:dyDescent="0.25">
      <c r="A20" s="216">
        <v>109</v>
      </c>
      <c r="B20" s="31"/>
      <c r="C20">
        <v>100</v>
      </c>
      <c r="E20" t="s">
        <v>440</v>
      </c>
      <c r="F20" t="s">
        <v>441</v>
      </c>
      <c r="H20" t="s">
        <v>333</v>
      </c>
      <c r="I20" t="s">
        <v>334</v>
      </c>
      <c r="J20" t="s">
        <v>335</v>
      </c>
      <c r="N20" t="s">
        <v>439</v>
      </c>
      <c r="AH20" s="207"/>
    </row>
    <row r="21" spans="1:34" x14ac:dyDescent="0.25">
      <c r="A21" s="216">
        <v>603</v>
      </c>
      <c r="B21" s="31"/>
      <c r="C21">
        <v>600</v>
      </c>
      <c r="E21" t="s">
        <v>440</v>
      </c>
      <c r="F21" t="s">
        <v>441</v>
      </c>
      <c r="H21" t="s">
        <v>333</v>
      </c>
      <c r="I21" t="s">
        <v>334</v>
      </c>
      <c r="J21" t="s">
        <v>335</v>
      </c>
      <c r="N21" t="s">
        <v>439</v>
      </c>
      <c r="AH21" s="207"/>
    </row>
    <row r="22" spans="1:34" x14ac:dyDescent="0.25">
      <c r="A22" s="216">
        <v>102</v>
      </c>
      <c r="B22" s="31"/>
      <c r="C22">
        <v>100</v>
      </c>
      <c r="E22" t="s">
        <v>440</v>
      </c>
      <c r="F22" t="s">
        <v>441</v>
      </c>
      <c r="H22" t="s">
        <v>333</v>
      </c>
      <c r="I22" t="s">
        <v>334</v>
      </c>
      <c r="J22" t="s">
        <v>335</v>
      </c>
      <c r="N22" t="s">
        <v>439</v>
      </c>
      <c r="AH22" s="207"/>
    </row>
    <row r="23" spans="1:34" x14ac:dyDescent="0.25">
      <c r="A23" s="216">
        <v>109</v>
      </c>
      <c r="B23" s="31"/>
      <c r="C23">
        <v>100</v>
      </c>
      <c r="E23" t="s">
        <v>440</v>
      </c>
      <c r="F23" t="s">
        <v>441</v>
      </c>
      <c r="H23" t="s">
        <v>333</v>
      </c>
      <c r="I23" t="s">
        <v>334</v>
      </c>
      <c r="J23" t="s">
        <v>335</v>
      </c>
      <c r="N23" t="s">
        <v>439</v>
      </c>
      <c r="AH23" s="207"/>
    </row>
    <row r="24" spans="1:34" x14ac:dyDescent="0.25">
      <c r="A24" s="216">
        <v>501</v>
      </c>
      <c r="B24" s="31"/>
      <c r="C24">
        <v>500</v>
      </c>
      <c r="E24" t="s">
        <v>440</v>
      </c>
      <c r="F24" t="s">
        <v>441</v>
      </c>
      <c r="H24" t="s">
        <v>333</v>
      </c>
      <c r="I24" t="s">
        <v>334</v>
      </c>
      <c r="J24" t="s">
        <v>335</v>
      </c>
      <c r="N24" t="s">
        <v>439</v>
      </c>
      <c r="AH24" s="207"/>
    </row>
    <row r="25" spans="1:34" x14ac:dyDescent="0.25">
      <c r="A25" s="216">
        <v>303</v>
      </c>
      <c r="B25" s="31"/>
      <c r="C25">
        <v>300</v>
      </c>
      <c r="E25" t="s">
        <v>440</v>
      </c>
      <c r="F25" t="s">
        <v>441</v>
      </c>
      <c r="H25" t="s">
        <v>333</v>
      </c>
      <c r="I25" t="s">
        <v>334</v>
      </c>
      <c r="J25" t="s">
        <v>335</v>
      </c>
      <c r="N25" t="s">
        <v>439</v>
      </c>
      <c r="AH25" s="207"/>
    </row>
    <row r="26" spans="1:34" x14ac:dyDescent="0.25">
      <c r="A26" s="216">
        <v>303</v>
      </c>
      <c r="B26" s="31"/>
      <c r="C26">
        <v>300</v>
      </c>
      <c r="E26" t="s">
        <v>440</v>
      </c>
      <c r="F26" t="s">
        <v>441</v>
      </c>
      <c r="H26" t="s">
        <v>333</v>
      </c>
      <c r="I26" t="s">
        <v>334</v>
      </c>
      <c r="J26" t="s">
        <v>335</v>
      </c>
      <c r="N26" t="s">
        <v>439</v>
      </c>
      <c r="AH26" s="207"/>
    </row>
    <row r="27" spans="1:34" x14ac:dyDescent="0.25">
      <c r="A27" s="216">
        <v>117</v>
      </c>
      <c r="B27" s="31"/>
      <c r="C27">
        <v>100</v>
      </c>
      <c r="E27" t="s">
        <v>440</v>
      </c>
      <c r="F27" t="s">
        <v>441</v>
      </c>
      <c r="H27" t="s">
        <v>333</v>
      </c>
      <c r="I27" t="s">
        <v>334</v>
      </c>
      <c r="J27" t="s">
        <v>335</v>
      </c>
      <c r="N27" t="s">
        <v>439</v>
      </c>
      <c r="AH27" s="207"/>
    </row>
    <row r="28" spans="1:34" x14ac:dyDescent="0.25">
      <c r="A28" s="216">
        <v>117</v>
      </c>
      <c r="B28" s="31"/>
      <c r="C28">
        <v>100</v>
      </c>
      <c r="E28" t="s">
        <v>440</v>
      </c>
      <c r="F28" t="s">
        <v>441</v>
      </c>
      <c r="H28" t="s">
        <v>333</v>
      </c>
      <c r="I28" t="s">
        <v>334</v>
      </c>
      <c r="J28" t="s">
        <v>335</v>
      </c>
      <c r="N28" t="s">
        <v>439</v>
      </c>
      <c r="AH28" s="207"/>
    </row>
    <row r="29" spans="1:34" x14ac:dyDescent="0.25">
      <c r="A29" s="216">
        <v>109</v>
      </c>
      <c r="B29" s="31"/>
      <c r="C29">
        <v>100</v>
      </c>
      <c r="E29" t="s">
        <v>440</v>
      </c>
      <c r="F29" t="s">
        <v>441</v>
      </c>
      <c r="H29" t="s">
        <v>333</v>
      </c>
      <c r="I29" t="s">
        <v>334</v>
      </c>
      <c r="J29" t="s">
        <v>335</v>
      </c>
      <c r="N29" t="s">
        <v>439</v>
      </c>
      <c r="AH29" s="207"/>
    </row>
    <row r="30" spans="1:34" x14ac:dyDescent="0.25">
      <c r="A30" s="216">
        <v>109</v>
      </c>
      <c r="B30" s="31"/>
      <c r="C30">
        <v>100</v>
      </c>
      <c r="E30" t="s">
        <v>440</v>
      </c>
      <c r="F30" t="s">
        <v>441</v>
      </c>
      <c r="H30" t="s">
        <v>333</v>
      </c>
      <c r="I30" t="s">
        <v>334</v>
      </c>
      <c r="J30" t="s">
        <v>335</v>
      </c>
      <c r="N30" t="s">
        <v>439</v>
      </c>
      <c r="AH30" s="207"/>
    </row>
    <row r="31" spans="1:34" x14ac:dyDescent="0.25">
      <c r="A31" s="216">
        <v>117</v>
      </c>
      <c r="B31" s="31"/>
      <c r="C31">
        <v>100</v>
      </c>
      <c r="E31" t="s">
        <v>440</v>
      </c>
      <c r="F31" t="s">
        <v>441</v>
      </c>
      <c r="H31" t="s">
        <v>333</v>
      </c>
      <c r="I31" t="s">
        <v>334</v>
      </c>
      <c r="J31" t="s">
        <v>335</v>
      </c>
      <c r="N31" t="s">
        <v>439</v>
      </c>
      <c r="AH31" s="207"/>
    </row>
    <row r="32" spans="1:34" x14ac:dyDescent="0.25">
      <c r="A32" s="216">
        <v>117</v>
      </c>
      <c r="B32" s="31"/>
      <c r="C32">
        <v>100</v>
      </c>
      <c r="E32" t="s">
        <v>440</v>
      </c>
      <c r="F32" t="s">
        <v>441</v>
      </c>
      <c r="H32" t="s">
        <v>333</v>
      </c>
      <c r="I32" t="s">
        <v>334</v>
      </c>
      <c r="J32" t="s">
        <v>335</v>
      </c>
      <c r="N32" t="s">
        <v>439</v>
      </c>
      <c r="AH32" s="207"/>
    </row>
    <row r="33" spans="1:34" x14ac:dyDescent="0.25">
      <c r="A33" s="216">
        <v>501</v>
      </c>
      <c r="B33" s="31"/>
      <c r="C33">
        <v>500</v>
      </c>
      <c r="E33" t="s">
        <v>440</v>
      </c>
      <c r="F33" t="s">
        <v>441</v>
      </c>
      <c r="H33" t="s">
        <v>333</v>
      </c>
      <c r="I33" t="s">
        <v>334</v>
      </c>
      <c r="J33" t="s">
        <v>335</v>
      </c>
      <c r="N33" t="s">
        <v>439</v>
      </c>
      <c r="AH33" s="207"/>
    </row>
    <row r="34" spans="1:34" x14ac:dyDescent="0.25">
      <c r="A34" s="216">
        <v>303</v>
      </c>
      <c r="B34" s="31"/>
      <c r="C34">
        <v>300</v>
      </c>
      <c r="E34" t="s">
        <v>440</v>
      </c>
      <c r="F34" t="s">
        <v>441</v>
      </c>
      <c r="H34" t="s">
        <v>333</v>
      </c>
      <c r="I34" t="s">
        <v>334</v>
      </c>
      <c r="J34" t="s">
        <v>335</v>
      </c>
      <c r="N34" t="s">
        <v>439</v>
      </c>
      <c r="AH34" s="207"/>
    </row>
    <row r="35" spans="1:34" x14ac:dyDescent="0.25">
      <c r="A35" s="216">
        <v>102</v>
      </c>
      <c r="B35" s="31"/>
      <c r="C35">
        <v>100</v>
      </c>
      <c r="E35" t="s">
        <v>440</v>
      </c>
      <c r="F35" t="s">
        <v>441</v>
      </c>
      <c r="H35" t="s">
        <v>333</v>
      </c>
      <c r="I35" t="s">
        <v>334</v>
      </c>
      <c r="J35" t="s">
        <v>335</v>
      </c>
      <c r="N35" t="s">
        <v>439</v>
      </c>
      <c r="AH35" s="207"/>
    </row>
    <row r="36" spans="1:34" x14ac:dyDescent="0.25">
      <c r="A36" s="216">
        <v>117</v>
      </c>
      <c r="B36" s="31"/>
      <c r="C36">
        <v>100</v>
      </c>
      <c r="E36" t="s">
        <v>440</v>
      </c>
      <c r="F36" t="s">
        <v>441</v>
      </c>
      <c r="H36" t="s">
        <v>333</v>
      </c>
      <c r="I36" t="s">
        <v>334</v>
      </c>
      <c r="J36" t="s">
        <v>335</v>
      </c>
      <c r="N36" t="s">
        <v>439</v>
      </c>
      <c r="AH36" s="207"/>
    </row>
    <row r="37" spans="1:34" x14ac:dyDescent="0.25">
      <c r="A37" s="216">
        <v>109</v>
      </c>
      <c r="B37" s="31"/>
      <c r="C37">
        <v>100</v>
      </c>
      <c r="E37" t="s">
        <v>440</v>
      </c>
      <c r="F37" t="s">
        <v>441</v>
      </c>
      <c r="H37" t="s">
        <v>333</v>
      </c>
      <c r="I37" t="s">
        <v>334</v>
      </c>
      <c r="J37" t="s">
        <v>335</v>
      </c>
      <c r="N37" t="s">
        <v>439</v>
      </c>
      <c r="AH37" s="207"/>
    </row>
    <row r="38" spans="1:34" x14ac:dyDescent="0.25">
      <c r="A38" s="216">
        <v>109</v>
      </c>
      <c r="B38" s="31"/>
      <c r="C38">
        <v>100</v>
      </c>
      <c r="E38" t="s">
        <v>440</v>
      </c>
      <c r="F38" t="s">
        <v>441</v>
      </c>
      <c r="H38" t="s">
        <v>333</v>
      </c>
      <c r="I38" t="s">
        <v>334</v>
      </c>
      <c r="J38" t="s">
        <v>335</v>
      </c>
      <c r="N38" t="s">
        <v>439</v>
      </c>
      <c r="AH38" s="207"/>
    </row>
    <row r="39" spans="1:34" x14ac:dyDescent="0.25">
      <c r="A39" s="216">
        <v>117</v>
      </c>
      <c r="B39" s="31"/>
      <c r="C39">
        <v>100</v>
      </c>
      <c r="E39" t="s">
        <v>440</v>
      </c>
      <c r="F39" t="s">
        <v>441</v>
      </c>
      <c r="H39" t="s">
        <v>333</v>
      </c>
      <c r="I39" t="s">
        <v>334</v>
      </c>
      <c r="J39" t="s">
        <v>335</v>
      </c>
      <c r="N39" t="s">
        <v>439</v>
      </c>
      <c r="AH39" s="207"/>
    </row>
    <row r="40" spans="1:34" x14ac:dyDescent="0.25">
      <c r="A40" s="216">
        <v>117</v>
      </c>
      <c r="B40" s="31"/>
      <c r="C40">
        <v>100</v>
      </c>
      <c r="E40" t="s">
        <v>440</v>
      </c>
      <c r="F40" t="s">
        <v>441</v>
      </c>
      <c r="H40" t="s">
        <v>333</v>
      </c>
      <c r="I40" t="s">
        <v>334</v>
      </c>
      <c r="J40" t="s">
        <v>335</v>
      </c>
      <c r="N40" t="s">
        <v>439</v>
      </c>
      <c r="AH40" s="207"/>
    </row>
    <row r="41" spans="1:34" x14ac:dyDescent="0.25">
      <c r="A41" s="216">
        <v>501</v>
      </c>
      <c r="B41" s="31"/>
      <c r="C41">
        <v>500</v>
      </c>
      <c r="E41" t="s">
        <v>440</v>
      </c>
      <c r="F41" t="s">
        <v>441</v>
      </c>
      <c r="H41" t="s">
        <v>333</v>
      </c>
      <c r="I41" t="s">
        <v>334</v>
      </c>
      <c r="J41" t="s">
        <v>335</v>
      </c>
      <c r="N41" t="s">
        <v>439</v>
      </c>
      <c r="AH41" s="207"/>
    </row>
    <row r="42" spans="1:34" x14ac:dyDescent="0.25">
      <c r="A42" s="216">
        <v>102</v>
      </c>
      <c r="B42" s="31"/>
      <c r="C42">
        <v>100</v>
      </c>
      <c r="E42" t="s">
        <v>440</v>
      </c>
      <c r="F42" t="s">
        <v>441</v>
      </c>
      <c r="H42" t="s">
        <v>333</v>
      </c>
      <c r="I42" t="s">
        <v>334</v>
      </c>
      <c r="J42" t="s">
        <v>335</v>
      </c>
      <c r="N42" t="s">
        <v>439</v>
      </c>
      <c r="AH42" s="207"/>
    </row>
    <row r="43" spans="1:34" x14ac:dyDescent="0.25">
      <c r="A43" s="216">
        <v>102</v>
      </c>
      <c r="B43" s="31"/>
      <c r="C43">
        <v>100</v>
      </c>
      <c r="E43" t="s">
        <v>440</v>
      </c>
      <c r="F43" t="s">
        <v>441</v>
      </c>
      <c r="H43" t="s">
        <v>333</v>
      </c>
      <c r="I43" t="s">
        <v>334</v>
      </c>
      <c r="J43" t="s">
        <v>335</v>
      </c>
      <c r="N43" t="s">
        <v>439</v>
      </c>
      <c r="AH43" s="207"/>
    </row>
    <row r="44" spans="1:34" x14ac:dyDescent="0.25">
      <c r="A44" s="216">
        <v>109</v>
      </c>
      <c r="B44" s="31"/>
      <c r="C44">
        <v>100</v>
      </c>
      <c r="E44" t="s">
        <v>440</v>
      </c>
      <c r="F44" t="s">
        <v>441</v>
      </c>
      <c r="H44" t="s">
        <v>333</v>
      </c>
      <c r="I44" t="s">
        <v>334</v>
      </c>
      <c r="J44" t="s">
        <v>335</v>
      </c>
      <c r="N44" t="s">
        <v>439</v>
      </c>
      <c r="AH44" s="207"/>
    </row>
    <row r="45" spans="1:34" x14ac:dyDescent="0.25">
      <c r="A45" s="216">
        <v>501</v>
      </c>
      <c r="B45" s="31"/>
      <c r="C45">
        <v>500</v>
      </c>
      <c r="E45" t="s">
        <v>440</v>
      </c>
      <c r="F45" t="s">
        <v>441</v>
      </c>
      <c r="H45" t="s">
        <v>333</v>
      </c>
      <c r="I45" t="s">
        <v>334</v>
      </c>
      <c r="J45" t="s">
        <v>335</v>
      </c>
      <c r="N45" t="s">
        <v>439</v>
      </c>
      <c r="AH45" s="207"/>
    </row>
    <row r="46" spans="1:34" x14ac:dyDescent="0.25">
      <c r="A46" s="216">
        <v>501</v>
      </c>
      <c r="B46" s="31"/>
      <c r="C46">
        <v>500</v>
      </c>
      <c r="E46" t="s">
        <v>440</v>
      </c>
      <c r="F46" t="s">
        <v>441</v>
      </c>
      <c r="H46" t="s">
        <v>333</v>
      </c>
      <c r="I46" t="s">
        <v>334</v>
      </c>
      <c r="J46" t="s">
        <v>335</v>
      </c>
      <c r="N46" t="s">
        <v>439</v>
      </c>
      <c r="AH46" s="207"/>
    </row>
    <row r="47" spans="1:34" x14ac:dyDescent="0.25">
      <c r="A47" s="216">
        <v>109</v>
      </c>
      <c r="B47" s="31"/>
      <c r="C47">
        <v>100</v>
      </c>
      <c r="E47" t="s">
        <v>440</v>
      </c>
      <c r="F47" t="s">
        <v>441</v>
      </c>
      <c r="H47" t="s">
        <v>333</v>
      </c>
      <c r="I47" t="s">
        <v>334</v>
      </c>
      <c r="J47" t="s">
        <v>335</v>
      </c>
      <c r="N47" t="s">
        <v>439</v>
      </c>
      <c r="AH47" s="207"/>
    </row>
    <row r="48" spans="1:34" x14ac:dyDescent="0.25">
      <c r="A48" s="216">
        <v>501</v>
      </c>
      <c r="B48" s="31"/>
      <c r="C48">
        <v>500</v>
      </c>
      <c r="E48" t="s">
        <v>440</v>
      </c>
      <c r="F48" t="s">
        <v>441</v>
      </c>
      <c r="H48" t="s">
        <v>333</v>
      </c>
      <c r="I48" t="s">
        <v>334</v>
      </c>
      <c r="J48" t="s">
        <v>335</v>
      </c>
      <c r="N48" t="s">
        <v>439</v>
      </c>
      <c r="AH48" s="207"/>
    </row>
    <row r="49" spans="1:34" x14ac:dyDescent="0.25">
      <c r="A49" s="216">
        <v>303</v>
      </c>
      <c r="B49" s="31"/>
      <c r="C49">
        <v>300</v>
      </c>
      <c r="E49" t="s">
        <v>440</v>
      </c>
      <c r="F49" t="s">
        <v>441</v>
      </c>
      <c r="H49" t="s">
        <v>333</v>
      </c>
      <c r="I49" t="s">
        <v>334</v>
      </c>
      <c r="J49" t="s">
        <v>335</v>
      </c>
      <c r="N49" t="s">
        <v>439</v>
      </c>
      <c r="AH49" s="207"/>
    </row>
    <row r="50" spans="1:34" x14ac:dyDescent="0.25">
      <c r="A50" s="216">
        <v>303</v>
      </c>
      <c r="B50" s="31"/>
      <c r="C50">
        <v>300</v>
      </c>
      <c r="E50" t="s">
        <v>440</v>
      </c>
      <c r="F50" t="s">
        <v>441</v>
      </c>
      <c r="H50" t="s">
        <v>333</v>
      </c>
      <c r="I50" t="s">
        <v>334</v>
      </c>
      <c r="J50" t="s">
        <v>335</v>
      </c>
      <c r="N50" t="s">
        <v>439</v>
      </c>
      <c r="AH50" s="207"/>
    </row>
    <row r="51" spans="1:34" x14ac:dyDescent="0.25">
      <c r="A51" s="216">
        <v>109</v>
      </c>
      <c r="B51" s="31"/>
      <c r="C51">
        <v>100</v>
      </c>
      <c r="E51" t="s">
        <v>440</v>
      </c>
      <c r="F51" t="s">
        <v>441</v>
      </c>
      <c r="H51" t="s">
        <v>333</v>
      </c>
      <c r="I51" t="s">
        <v>334</v>
      </c>
      <c r="J51" t="s">
        <v>335</v>
      </c>
      <c r="N51" t="s">
        <v>439</v>
      </c>
      <c r="AH51" s="207"/>
    </row>
    <row r="52" spans="1:34" x14ac:dyDescent="0.25">
      <c r="A52" s="216">
        <v>501</v>
      </c>
      <c r="B52" s="31"/>
      <c r="C52">
        <v>500</v>
      </c>
      <c r="E52" t="s">
        <v>440</v>
      </c>
      <c r="F52" t="s">
        <v>441</v>
      </c>
      <c r="H52" t="s">
        <v>333</v>
      </c>
      <c r="I52" t="s">
        <v>334</v>
      </c>
      <c r="J52" t="s">
        <v>335</v>
      </c>
      <c r="N52" t="s">
        <v>439</v>
      </c>
      <c r="AH52" s="207"/>
    </row>
    <row r="53" spans="1:34" x14ac:dyDescent="0.25">
      <c r="A53" s="216">
        <v>501</v>
      </c>
      <c r="B53" s="31"/>
      <c r="C53">
        <v>500</v>
      </c>
      <c r="E53" t="s">
        <v>440</v>
      </c>
      <c r="F53" t="s">
        <v>441</v>
      </c>
      <c r="H53" t="s">
        <v>333</v>
      </c>
      <c r="I53" t="s">
        <v>334</v>
      </c>
      <c r="J53" t="s">
        <v>335</v>
      </c>
      <c r="N53" t="s">
        <v>439</v>
      </c>
      <c r="AH53" s="207"/>
    </row>
    <row r="54" spans="1:34" x14ac:dyDescent="0.25">
      <c r="A54" s="216">
        <v>903</v>
      </c>
      <c r="B54" s="31"/>
      <c r="C54">
        <v>900</v>
      </c>
      <c r="E54" t="s">
        <v>440</v>
      </c>
      <c r="F54" t="s">
        <v>441</v>
      </c>
      <c r="H54" t="s">
        <v>333</v>
      </c>
      <c r="I54" t="s">
        <v>334</v>
      </c>
      <c r="J54" t="s">
        <v>335</v>
      </c>
      <c r="N54" t="s">
        <v>439</v>
      </c>
      <c r="AH54" s="207"/>
    </row>
    <row r="55" spans="1:34" x14ac:dyDescent="0.25">
      <c r="A55" s="216">
        <v>501</v>
      </c>
      <c r="B55" s="31"/>
      <c r="C55">
        <v>500</v>
      </c>
      <c r="E55" t="s">
        <v>440</v>
      </c>
      <c r="F55" t="s">
        <v>441</v>
      </c>
      <c r="H55" t="s">
        <v>333</v>
      </c>
      <c r="I55" t="s">
        <v>334</v>
      </c>
      <c r="J55" t="s">
        <v>335</v>
      </c>
      <c r="N55" t="s">
        <v>439</v>
      </c>
      <c r="AH55" s="207"/>
    </row>
    <row r="56" spans="1:34" x14ac:dyDescent="0.25">
      <c r="A56" s="216">
        <v>109</v>
      </c>
      <c r="B56" s="31"/>
      <c r="C56">
        <v>100</v>
      </c>
      <c r="E56" t="s">
        <v>440</v>
      </c>
      <c r="F56" t="s">
        <v>441</v>
      </c>
      <c r="H56" t="s">
        <v>333</v>
      </c>
      <c r="I56" t="s">
        <v>334</v>
      </c>
      <c r="J56" t="s">
        <v>335</v>
      </c>
      <c r="N56" t="s">
        <v>439</v>
      </c>
      <c r="AH56" s="207"/>
    </row>
    <row r="57" spans="1:34" x14ac:dyDescent="0.25">
      <c r="A57" s="216">
        <v>501</v>
      </c>
      <c r="B57" s="31"/>
      <c r="C57">
        <v>500</v>
      </c>
      <c r="E57" t="s">
        <v>440</v>
      </c>
      <c r="F57" t="s">
        <v>441</v>
      </c>
      <c r="H57" t="s">
        <v>333</v>
      </c>
      <c r="I57" t="s">
        <v>334</v>
      </c>
      <c r="J57" t="s">
        <v>335</v>
      </c>
      <c r="N57" t="s">
        <v>439</v>
      </c>
      <c r="AH57" s="207"/>
    </row>
    <row r="58" spans="1:34" x14ac:dyDescent="0.25">
      <c r="A58" s="216">
        <v>104</v>
      </c>
      <c r="B58" s="31"/>
      <c r="C58">
        <v>100</v>
      </c>
      <c r="E58" t="s">
        <v>440</v>
      </c>
      <c r="F58" t="s">
        <v>441</v>
      </c>
      <c r="H58" t="s">
        <v>333</v>
      </c>
      <c r="I58" t="s">
        <v>334</v>
      </c>
      <c r="J58" t="s">
        <v>335</v>
      </c>
      <c r="N58" t="s">
        <v>439</v>
      </c>
      <c r="AH58" s="207"/>
    </row>
    <row r="59" spans="1:34" x14ac:dyDescent="0.25">
      <c r="A59" s="216">
        <v>303</v>
      </c>
      <c r="B59" s="31"/>
      <c r="C59">
        <v>300</v>
      </c>
      <c r="E59" t="s">
        <v>440</v>
      </c>
      <c r="F59" t="s">
        <v>441</v>
      </c>
      <c r="H59" t="s">
        <v>333</v>
      </c>
      <c r="I59" t="s">
        <v>334</v>
      </c>
      <c r="J59" t="s">
        <v>335</v>
      </c>
      <c r="N59" t="s">
        <v>439</v>
      </c>
      <c r="AH59" s="207"/>
    </row>
    <row r="60" spans="1:34" x14ac:dyDescent="0.25">
      <c r="A60" s="216">
        <v>303</v>
      </c>
      <c r="B60" s="31"/>
      <c r="C60">
        <v>300</v>
      </c>
      <c r="E60" t="s">
        <v>440</v>
      </c>
      <c r="F60" t="s">
        <v>441</v>
      </c>
      <c r="H60" t="s">
        <v>333</v>
      </c>
      <c r="I60" t="s">
        <v>334</v>
      </c>
      <c r="J60" t="s">
        <v>335</v>
      </c>
      <c r="N60" t="s">
        <v>439</v>
      </c>
      <c r="AH60" s="207"/>
    </row>
    <row r="61" spans="1:34" x14ac:dyDescent="0.25">
      <c r="A61" s="216">
        <v>303</v>
      </c>
      <c r="B61" s="31"/>
      <c r="C61">
        <v>300</v>
      </c>
      <c r="E61" t="s">
        <v>440</v>
      </c>
      <c r="F61" t="s">
        <v>441</v>
      </c>
      <c r="H61" t="s">
        <v>333</v>
      </c>
      <c r="I61" t="s">
        <v>334</v>
      </c>
      <c r="J61" t="s">
        <v>335</v>
      </c>
      <c r="N61" t="s">
        <v>439</v>
      </c>
      <c r="AH61" s="207"/>
    </row>
    <row r="62" spans="1:34" x14ac:dyDescent="0.25">
      <c r="A62" s="216">
        <v>303</v>
      </c>
      <c r="B62" s="31"/>
      <c r="C62">
        <v>300</v>
      </c>
      <c r="E62" t="s">
        <v>440</v>
      </c>
      <c r="F62" t="s">
        <v>441</v>
      </c>
      <c r="H62" t="s">
        <v>333</v>
      </c>
      <c r="I62" t="s">
        <v>334</v>
      </c>
      <c r="J62" t="s">
        <v>335</v>
      </c>
      <c r="N62" t="s">
        <v>439</v>
      </c>
      <c r="AH62" s="207"/>
    </row>
    <row r="63" spans="1:34" x14ac:dyDescent="0.25">
      <c r="A63" s="216">
        <v>303</v>
      </c>
      <c r="B63" s="31"/>
      <c r="C63">
        <v>300</v>
      </c>
      <c r="E63" t="s">
        <v>440</v>
      </c>
      <c r="F63" t="s">
        <v>441</v>
      </c>
      <c r="H63" t="s">
        <v>333</v>
      </c>
      <c r="I63" t="s">
        <v>334</v>
      </c>
      <c r="J63" t="s">
        <v>335</v>
      </c>
      <c r="N63" t="s">
        <v>439</v>
      </c>
      <c r="AH63" s="207"/>
    </row>
    <row r="64" spans="1:34" x14ac:dyDescent="0.25">
      <c r="A64" s="216">
        <v>303</v>
      </c>
      <c r="B64" s="31"/>
      <c r="C64">
        <v>300</v>
      </c>
      <c r="E64" t="s">
        <v>440</v>
      </c>
      <c r="F64" t="s">
        <v>441</v>
      </c>
      <c r="H64" t="s">
        <v>333</v>
      </c>
      <c r="I64" t="s">
        <v>334</v>
      </c>
      <c r="J64" t="s">
        <v>335</v>
      </c>
      <c r="N64" t="s">
        <v>439</v>
      </c>
      <c r="AH64" s="207"/>
    </row>
    <row r="65" spans="1:34" ht="15.75" thickBot="1" x14ac:dyDescent="0.3">
      <c r="A65" s="217">
        <v>104</v>
      </c>
      <c r="B65" s="39"/>
      <c r="C65" s="40">
        <v>100</v>
      </c>
      <c r="D65" s="40" t="s">
        <v>340</v>
      </c>
      <c r="E65" s="40" t="s">
        <v>440</v>
      </c>
      <c r="F65" s="40" t="s">
        <v>441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439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08"/>
    </row>
    <row r="66" spans="1:34" ht="15.75" thickTop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5703125" bestFit="1" customWidth="1"/>
    <col min="6" max="6" width="43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29">
        <v>109</v>
      </c>
      <c r="B2" s="38"/>
      <c r="C2" s="53">
        <v>100</v>
      </c>
      <c r="D2" s="53" t="s">
        <v>339</v>
      </c>
      <c r="E2" s="53" t="s">
        <v>444</v>
      </c>
      <c r="F2" s="53" t="s">
        <v>445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443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23"/>
    </row>
    <row r="3" spans="1:34" x14ac:dyDescent="0.25">
      <c r="A3" s="232">
        <v>501</v>
      </c>
      <c r="B3" s="31"/>
      <c r="C3">
        <v>500</v>
      </c>
      <c r="E3" t="s">
        <v>444</v>
      </c>
      <c r="F3" t="s">
        <v>445</v>
      </c>
      <c r="H3" t="s">
        <v>333</v>
      </c>
      <c r="I3" t="s">
        <v>334</v>
      </c>
      <c r="J3" t="s">
        <v>335</v>
      </c>
      <c r="N3" t="s">
        <v>443</v>
      </c>
      <c r="AH3" s="224"/>
    </row>
    <row r="4" spans="1:34" x14ac:dyDescent="0.25">
      <c r="A4" s="232">
        <v>501</v>
      </c>
      <c r="B4" s="31"/>
      <c r="C4">
        <v>500</v>
      </c>
      <c r="E4" t="s">
        <v>444</v>
      </c>
      <c r="F4" t="s">
        <v>445</v>
      </c>
      <c r="H4" t="s">
        <v>333</v>
      </c>
      <c r="I4" t="s">
        <v>334</v>
      </c>
      <c r="J4" t="s">
        <v>335</v>
      </c>
      <c r="N4" t="s">
        <v>443</v>
      </c>
      <c r="AH4" s="224"/>
    </row>
    <row r="5" spans="1:34" x14ac:dyDescent="0.25">
      <c r="A5" s="232">
        <v>501</v>
      </c>
      <c r="B5" s="31"/>
      <c r="C5">
        <v>500</v>
      </c>
      <c r="E5" t="s">
        <v>444</v>
      </c>
      <c r="F5" t="s">
        <v>445</v>
      </c>
      <c r="H5" t="s">
        <v>333</v>
      </c>
      <c r="I5" t="s">
        <v>334</v>
      </c>
      <c r="J5" t="s">
        <v>335</v>
      </c>
      <c r="N5" t="s">
        <v>443</v>
      </c>
      <c r="AH5" s="224"/>
    </row>
    <row r="6" spans="1:34" x14ac:dyDescent="0.25">
      <c r="A6" s="232">
        <v>501</v>
      </c>
      <c r="B6" s="31"/>
      <c r="C6">
        <v>500</v>
      </c>
      <c r="E6" t="s">
        <v>444</v>
      </c>
      <c r="F6" t="s">
        <v>445</v>
      </c>
      <c r="H6" t="s">
        <v>333</v>
      </c>
      <c r="I6" t="s">
        <v>334</v>
      </c>
      <c r="J6" t="s">
        <v>335</v>
      </c>
      <c r="N6" t="s">
        <v>443</v>
      </c>
      <c r="AH6" s="224"/>
    </row>
    <row r="7" spans="1:34" x14ac:dyDescent="0.25">
      <c r="A7" s="232">
        <v>604</v>
      </c>
      <c r="B7" s="31"/>
      <c r="C7">
        <v>600</v>
      </c>
      <c r="E7" t="s">
        <v>444</v>
      </c>
      <c r="F7" t="s">
        <v>445</v>
      </c>
      <c r="H7" t="s">
        <v>333</v>
      </c>
      <c r="I7" t="s">
        <v>334</v>
      </c>
      <c r="J7" t="s">
        <v>335</v>
      </c>
      <c r="N7" t="s">
        <v>443</v>
      </c>
      <c r="AH7" s="224"/>
    </row>
    <row r="8" spans="1:34" x14ac:dyDescent="0.25">
      <c r="A8" s="232">
        <v>501</v>
      </c>
      <c r="B8" s="31"/>
      <c r="C8">
        <v>500</v>
      </c>
      <c r="E8" t="s">
        <v>444</v>
      </c>
      <c r="F8" t="s">
        <v>445</v>
      </c>
      <c r="H8" t="s">
        <v>333</v>
      </c>
      <c r="I8" t="s">
        <v>334</v>
      </c>
      <c r="J8" t="s">
        <v>335</v>
      </c>
      <c r="N8" t="s">
        <v>443</v>
      </c>
      <c r="AH8" s="224"/>
    </row>
    <row r="9" spans="1:34" x14ac:dyDescent="0.25">
      <c r="A9" s="232">
        <v>102</v>
      </c>
      <c r="B9" s="31"/>
      <c r="C9">
        <v>100</v>
      </c>
      <c r="E9" t="s">
        <v>444</v>
      </c>
      <c r="F9" t="s">
        <v>445</v>
      </c>
      <c r="H9" t="s">
        <v>333</v>
      </c>
      <c r="I9" t="s">
        <v>334</v>
      </c>
      <c r="J9" t="s">
        <v>335</v>
      </c>
      <c r="N9" t="s">
        <v>443</v>
      </c>
      <c r="AH9" s="224"/>
    </row>
    <row r="10" spans="1:34" x14ac:dyDescent="0.25">
      <c r="A10" s="232">
        <v>102</v>
      </c>
      <c r="B10" s="31"/>
      <c r="C10">
        <v>100</v>
      </c>
      <c r="E10" t="s">
        <v>444</v>
      </c>
      <c r="F10" t="s">
        <v>445</v>
      </c>
      <c r="H10" t="s">
        <v>333</v>
      </c>
      <c r="I10" t="s">
        <v>334</v>
      </c>
      <c r="J10" t="s">
        <v>335</v>
      </c>
      <c r="N10" t="s">
        <v>443</v>
      </c>
      <c r="AH10" s="224"/>
    </row>
    <row r="11" spans="1:34" x14ac:dyDescent="0.25">
      <c r="A11" s="232">
        <v>501</v>
      </c>
      <c r="B11" s="31"/>
      <c r="C11">
        <v>500</v>
      </c>
      <c r="E11" t="s">
        <v>444</v>
      </c>
      <c r="F11" t="s">
        <v>445</v>
      </c>
      <c r="H11" t="s">
        <v>333</v>
      </c>
      <c r="I11" t="s">
        <v>334</v>
      </c>
      <c r="J11" t="s">
        <v>335</v>
      </c>
      <c r="N11" t="s">
        <v>443</v>
      </c>
      <c r="AH11" s="224"/>
    </row>
    <row r="12" spans="1:34" x14ac:dyDescent="0.25">
      <c r="A12" s="232">
        <v>102</v>
      </c>
      <c r="B12" s="31"/>
      <c r="C12">
        <v>100</v>
      </c>
      <c r="E12" t="s">
        <v>444</v>
      </c>
      <c r="F12" t="s">
        <v>445</v>
      </c>
      <c r="H12" t="s">
        <v>333</v>
      </c>
      <c r="I12" t="s">
        <v>334</v>
      </c>
      <c r="J12" t="s">
        <v>335</v>
      </c>
      <c r="N12" t="s">
        <v>443</v>
      </c>
      <c r="AH12" s="224"/>
    </row>
    <row r="13" spans="1:34" x14ac:dyDescent="0.25">
      <c r="A13" s="232">
        <v>604</v>
      </c>
      <c r="B13" s="31"/>
      <c r="C13">
        <v>600</v>
      </c>
      <c r="E13" t="s">
        <v>444</v>
      </c>
      <c r="F13" t="s">
        <v>445</v>
      </c>
      <c r="H13" t="s">
        <v>333</v>
      </c>
      <c r="I13" t="s">
        <v>334</v>
      </c>
      <c r="J13" t="s">
        <v>335</v>
      </c>
      <c r="N13" t="s">
        <v>443</v>
      </c>
      <c r="AH13" s="224"/>
    </row>
    <row r="14" spans="1:34" x14ac:dyDescent="0.25">
      <c r="A14" s="232">
        <v>501</v>
      </c>
      <c r="B14" s="31"/>
      <c r="C14">
        <v>500</v>
      </c>
      <c r="E14" t="s">
        <v>444</v>
      </c>
      <c r="F14" t="s">
        <v>445</v>
      </c>
      <c r="H14" t="s">
        <v>333</v>
      </c>
      <c r="I14" t="s">
        <v>334</v>
      </c>
      <c r="J14" t="s">
        <v>335</v>
      </c>
      <c r="N14" t="s">
        <v>443</v>
      </c>
      <c r="AH14" s="224"/>
    </row>
    <row r="15" spans="1:34" x14ac:dyDescent="0.25">
      <c r="A15" s="232">
        <v>501</v>
      </c>
      <c r="B15" s="31"/>
      <c r="C15">
        <v>500</v>
      </c>
      <c r="E15" t="s">
        <v>444</v>
      </c>
      <c r="F15" t="s">
        <v>445</v>
      </c>
      <c r="H15" t="s">
        <v>333</v>
      </c>
      <c r="I15" t="s">
        <v>334</v>
      </c>
      <c r="J15" t="s">
        <v>335</v>
      </c>
      <c r="N15" t="s">
        <v>443</v>
      </c>
      <c r="AH15" s="224"/>
    </row>
    <row r="16" spans="1:34" x14ac:dyDescent="0.25">
      <c r="A16" s="232">
        <v>501</v>
      </c>
      <c r="B16" s="31"/>
      <c r="C16">
        <v>500</v>
      </c>
      <c r="E16" t="s">
        <v>444</v>
      </c>
      <c r="F16" t="s">
        <v>445</v>
      </c>
      <c r="H16" t="s">
        <v>333</v>
      </c>
      <c r="I16" t="s">
        <v>334</v>
      </c>
      <c r="J16" t="s">
        <v>335</v>
      </c>
      <c r="N16" t="s">
        <v>443</v>
      </c>
      <c r="AH16" s="224"/>
    </row>
    <row r="17" spans="1:34" x14ac:dyDescent="0.25">
      <c r="A17" s="232">
        <v>501</v>
      </c>
      <c r="B17" s="31"/>
      <c r="C17">
        <v>500</v>
      </c>
      <c r="E17" t="s">
        <v>444</v>
      </c>
      <c r="F17" t="s">
        <v>445</v>
      </c>
      <c r="H17" t="s">
        <v>333</v>
      </c>
      <c r="I17" t="s">
        <v>334</v>
      </c>
      <c r="J17" t="s">
        <v>335</v>
      </c>
      <c r="N17" t="s">
        <v>443</v>
      </c>
      <c r="AH17" s="224"/>
    </row>
    <row r="18" spans="1:34" x14ac:dyDescent="0.25">
      <c r="A18" s="232">
        <v>102</v>
      </c>
      <c r="B18" s="31"/>
      <c r="C18">
        <v>100</v>
      </c>
      <c r="E18" t="s">
        <v>444</v>
      </c>
      <c r="F18" t="s">
        <v>445</v>
      </c>
      <c r="H18" t="s">
        <v>333</v>
      </c>
      <c r="I18" t="s">
        <v>334</v>
      </c>
      <c r="J18" t="s">
        <v>335</v>
      </c>
      <c r="N18" t="s">
        <v>443</v>
      </c>
      <c r="AH18" s="224"/>
    </row>
    <row r="19" spans="1:34" x14ac:dyDescent="0.25">
      <c r="A19" s="232">
        <v>501</v>
      </c>
      <c r="B19" s="31"/>
      <c r="C19">
        <v>500</v>
      </c>
      <c r="E19" t="s">
        <v>444</v>
      </c>
      <c r="F19" t="s">
        <v>445</v>
      </c>
      <c r="H19" t="s">
        <v>333</v>
      </c>
      <c r="I19" t="s">
        <v>334</v>
      </c>
      <c r="J19" t="s">
        <v>335</v>
      </c>
      <c r="N19" t="s">
        <v>443</v>
      </c>
      <c r="AH19" s="224"/>
    </row>
    <row r="20" spans="1:34" x14ac:dyDescent="0.25">
      <c r="A20" s="232">
        <v>501</v>
      </c>
      <c r="B20" s="31"/>
      <c r="C20">
        <v>500</v>
      </c>
      <c r="E20" t="s">
        <v>444</v>
      </c>
      <c r="F20" t="s">
        <v>445</v>
      </c>
      <c r="H20" t="s">
        <v>333</v>
      </c>
      <c r="I20" t="s">
        <v>334</v>
      </c>
      <c r="J20" t="s">
        <v>335</v>
      </c>
      <c r="N20" t="s">
        <v>443</v>
      </c>
      <c r="AH20" s="224"/>
    </row>
    <row r="21" spans="1:34" x14ac:dyDescent="0.25">
      <c r="A21" s="232">
        <v>501</v>
      </c>
      <c r="B21" s="31"/>
      <c r="C21">
        <v>500</v>
      </c>
      <c r="E21" t="s">
        <v>444</v>
      </c>
      <c r="F21" t="s">
        <v>445</v>
      </c>
      <c r="H21" t="s">
        <v>333</v>
      </c>
      <c r="I21" t="s">
        <v>334</v>
      </c>
      <c r="J21" t="s">
        <v>335</v>
      </c>
      <c r="N21" t="s">
        <v>443</v>
      </c>
      <c r="AH21" s="224"/>
    </row>
    <row r="22" spans="1:34" x14ac:dyDescent="0.25">
      <c r="A22" s="232">
        <v>604</v>
      </c>
      <c r="B22" s="31"/>
      <c r="C22">
        <v>600</v>
      </c>
      <c r="E22" t="s">
        <v>444</v>
      </c>
      <c r="F22" t="s">
        <v>445</v>
      </c>
      <c r="H22" t="s">
        <v>333</v>
      </c>
      <c r="I22" t="s">
        <v>334</v>
      </c>
      <c r="J22" t="s">
        <v>335</v>
      </c>
      <c r="N22" t="s">
        <v>443</v>
      </c>
      <c r="AH22" s="224"/>
    </row>
    <row r="23" spans="1:34" x14ac:dyDescent="0.25">
      <c r="A23" s="232">
        <v>703</v>
      </c>
      <c r="B23" s="31"/>
      <c r="C23">
        <v>700</v>
      </c>
      <c r="E23" t="s">
        <v>444</v>
      </c>
      <c r="F23" t="s">
        <v>445</v>
      </c>
      <c r="H23" t="s">
        <v>333</v>
      </c>
      <c r="I23" t="s">
        <v>334</v>
      </c>
      <c r="J23" t="s">
        <v>335</v>
      </c>
      <c r="N23" t="s">
        <v>443</v>
      </c>
      <c r="AH23" s="224"/>
    </row>
    <row r="24" spans="1:34" x14ac:dyDescent="0.25">
      <c r="A24" s="232">
        <v>501</v>
      </c>
      <c r="B24" s="31"/>
      <c r="C24">
        <v>500</v>
      </c>
      <c r="E24" t="s">
        <v>444</v>
      </c>
      <c r="F24" t="s">
        <v>445</v>
      </c>
      <c r="H24" t="s">
        <v>333</v>
      </c>
      <c r="I24" t="s">
        <v>334</v>
      </c>
      <c r="J24" t="s">
        <v>335</v>
      </c>
      <c r="N24" t="s">
        <v>443</v>
      </c>
      <c r="AH24" s="224"/>
    </row>
    <row r="25" spans="1:34" x14ac:dyDescent="0.25">
      <c r="A25" s="232">
        <v>501</v>
      </c>
      <c r="B25" s="31"/>
      <c r="C25">
        <v>500</v>
      </c>
      <c r="E25" t="s">
        <v>444</v>
      </c>
      <c r="F25" t="s">
        <v>445</v>
      </c>
      <c r="H25" t="s">
        <v>333</v>
      </c>
      <c r="I25" t="s">
        <v>334</v>
      </c>
      <c r="J25" t="s">
        <v>335</v>
      </c>
      <c r="N25" t="s">
        <v>443</v>
      </c>
      <c r="AH25" s="224"/>
    </row>
    <row r="26" spans="1:34" x14ac:dyDescent="0.25">
      <c r="A26" s="232">
        <v>501</v>
      </c>
      <c r="B26" s="31"/>
      <c r="C26">
        <v>500</v>
      </c>
      <c r="E26" t="s">
        <v>444</v>
      </c>
      <c r="F26" t="s">
        <v>445</v>
      </c>
      <c r="H26" t="s">
        <v>333</v>
      </c>
      <c r="I26" t="s">
        <v>334</v>
      </c>
      <c r="J26" t="s">
        <v>335</v>
      </c>
      <c r="N26" t="s">
        <v>443</v>
      </c>
      <c r="AH26" s="224"/>
    </row>
    <row r="27" spans="1:34" x14ac:dyDescent="0.25">
      <c r="A27" s="232">
        <v>501</v>
      </c>
      <c r="B27" s="31"/>
      <c r="C27">
        <v>500</v>
      </c>
      <c r="E27" t="s">
        <v>444</v>
      </c>
      <c r="F27" t="s">
        <v>445</v>
      </c>
      <c r="H27" t="s">
        <v>333</v>
      </c>
      <c r="I27" t="s">
        <v>334</v>
      </c>
      <c r="J27" t="s">
        <v>335</v>
      </c>
      <c r="N27" t="s">
        <v>443</v>
      </c>
      <c r="AH27" s="224"/>
    </row>
    <row r="28" spans="1:34" x14ac:dyDescent="0.25">
      <c r="A28" s="232">
        <v>501</v>
      </c>
      <c r="B28" s="31"/>
      <c r="C28">
        <v>500</v>
      </c>
      <c r="E28" t="s">
        <v>444</v>
      </c>
      <c r="F28" t="s">
        <v>445</v>
      </c>
      <c r="H28" t="s">
        <v>333</v>
      </c>
      <c r="I28" t="s">
        <v>334</v>
      </c>
      <c r="J28" t="s">
        <v>335</v>
      </c>
      <c r="N28" t="s">
        <v>443</v>
      </c>
      <c r="AH28" s="224"/>
    </row>
    <row r="29" spans="1:34" x14ac:dyDescent="0.25">
      <c r="A29" s="232">
        <v>501</v>
      </c>
      <c r="B29" s="31"/>
      <c r="C29">
        <v>500</v>
      </c>
      <c r="E29" t="s">
        <v>444</v>
      </c>
      <c r="F29" t="s">
        <v>445</v>
      </c>
      <c r="H29" t="s">
        <v>333</v>
      </c>
      <c r="I29" t="s">
        <v>334</v>
      </c>
      <c r="J29" t="s">
        <v>335</v>
      </c>
      <c r="N29" t="s">
        <v>443</v>
      </c>
      <c r="AH29" s="224"/>
    </row>
    <row r="30" spans="1:34" x14ac:dyDescent="0.25">
      <c r="A30" s="232">
        <v>501</v>
      </c>
      <c r="B30" s="31"/>
      <c r="C30">
        <v>500</v>
      </c>
      <c r="E30" t="s">
        <v>444</v>
      </c>
      <c r="F30" t="s">
        <v>445</v>
      </c>
      <c r="H30" t="s">
        <v>333</v>
      </c>
      <c r="I30" t="s">
        <v>334</v>
      </c>
      <c r="J30" t="s">
        <v>335</v>
      </c>
      <c r="N30" t="s">
        <v>443</v>
      </c>
      <c r="AH30" s="224"/>
    </row>
    <row r="31" spans="1:34" x14ac:dyDescent="0.25">
      <c r="A31" s="232">
        <v>903</v>
      </c>
      <c r="B31" s="31"/>
      <c r="C31">
        <v>900</v>
      </c>
      <c r="E31" t="s">
        <v>444</v>
      </c>
      <c r="F31" t="s">
        <v>445</v>
      </c>
      <c r="H31" t="s">
        <v>333</v>
      </c>
      <c r="I31" t="s">
        <v>334</v>
      </c>
      <c r="J31" t="s">
        <v>335</v>
      </c>
      <c r="N31" t="s">
        <v>443</v>
      </c>
      <c r="AH31" s="224"/>
    </row>
    <row r="32" spans="1:34" x14ac:dyDescent="0.25">
      <c r="A32" s="232">
        <v>501</v>
      </c>
      <c r="B32" s="31"/>
      <c r="C32">
        <v>500</v>
      </c>
      <c r="E32" t="s">
        <v>444</v>
      </c>
      <c r="F32" t="s">
        <v>445</v>
      </c>
      <c r="H32" t="s">
        <v>333</v>
      </c>
      <c r="I32" t="s">
        <v>334</v>
      </c>
      <c r="J32" t="s">
        <v>335</v>
      </c>
      <c r="N32" t="s">
        <v>443</v>
      </c>
      <c r="AH32" s="224"/>
    </row>
    <row r="33" spans="1:34" x14ac:dyDescent="0.25">
      <c r="A33" s="232">
        <v>102</v>
      </c>
      <c r="B33" s="31"/>
      <c r="C33">
        <v>100</v>
      </c>
      <c r="E33" t="s">
        <v>444</v>
      </c>
      <c r="F33" t="s">
        <v>445</v>
      </c>
      <c r="H33" t="s">
        <v>333</v>
      </c>
      <c r="I33" t="s">
        <v>334</v>
      </c>
      <c r="J33" t="s">
        <v>335</v>
      </c>
      <c r="N33" t="s">
        <v>443</v>
      </c>
      <c r="AH33" s="224"/>
    </row>
    <row r="34" spans="1:34" x14ac:dyDescent="0.25">
      <c r="A34" s="232">
        <v>903</v>
      </c>
      <c r="B34" s="31"/>
      <c r="C34">
        <v>900</v>
      </c>
      <c r="E34" t="s">
        <v>444</v>
      </c>
      <c r="F34" t="s">
        <v>445</v>
      </c>
      <c r="H34" t="s">
        <v>333</v>
      </c>
      <c r="I34" t="s">
        <v>334</v>
      </c>
      <c r="J34" t="s">
        <v>335</v>
      </c>
      <c r="N34" t="s">
        <v>443</v>
      </c>
      <c r="AH34" s="224"/>
    </row>
    <row r="35" spans="1:34" x14ac:dyDescent="0.25">
      <c r="A35" s="232">
        <v>903</v>
      </c>
      <c r="B35" s="31"/>
      <c r="C35">
        <v>900</v>
      </c>
      <c r="E35" t="s">
        <v>444</v>
      </c>
      <c r="F35" t="s">
        <v>445</v>
      </c>
      <c r="H35" t="s">
        <v>333</v>
      </c>
      <c r="I35" t="s">
        <v>334</v>
      </c>
      <c r="J35" t="s">
        <v>335</v>
      </c>
      <c r="N35" t="s">
        <v>443</v>
      </c>
      <c r="AH35" s="224"/>
    </row>
    <row r="36" spans="1:34" x14ac:dyDescent="0.25">
      <c r="A36" s="232">
        <v>501</v>
      </c>
      <c r="B36" s="31"/>
      <c r="C36">
        <v>500</v>
      </c>
      <c r="E36" t="s">
        <v>444</v>
      </c>
      <c r="F36" t="s">
        <v>445</v>
      </c>
      <c r="H36" t="s">
        <v>333</v>
      </c>
      <c r="I36" t="s">
        <v>334</v>
      </c>
      <c r="J36" t="s">
        <v>335</v>
      </c>
      <c r="N36" t="s">
        <v>443</v>
      </c>
      <c r="AH36" s="224"/>
    </row>
    <row r="37" spans="1:34" x14ac:dyDescent="0.25">
      <c r="A37" s="232">
        <v>603</v>
      </c>
      <c r="B37" s="31"/>
      <c r="C37">
        <v>600</v>
      </c>
      <c r="E37" t="s">
        <v>444</v>
      </c>
      <c r="F37" t="s">
        <v>445</v>
      </c>
      <c r="H37" t="s">
        <v>333</v>
      </c>
      <c r="I37" t="s">
        <v>334</v>
      </c>
      <c r="J37" t="s">
        <v>335</v>
      </c>
      <c r="N37" t="s">
        <v>443</v>
      </c>
      <c r="AH37" s="224"/>
    </row>
    <row r="38" spans="1:34" x14ac:dyDescent="0.25">
      <c r="A38" s="232">
        <v>604</v>
      </c>
      <c r="B38" s="31"/>
      <c r="C38">
        <v>600</v>
      </c>
      <c r="E38" t="s">
        <v>444</v>
      </c>
      <c r="F38" t="s">
        <v>445</v>
      </c>
      <c r="H38" t="s">
        <v>333</v>
      </c>
      <c r="I38" t="s">
        <v>334</v>
      </c>
      <c r="J38" t="s">
        <v>335</v>
      </c>
      <c r="N38" t="s">
        <v>443</v>
      </c>
      <c r="AH38" s="224"/>
    </row>
    <row r="39" spans="1:34" x14ac:dyDescent="0.25">
      <c r="A39" s="232">
        <v>102</v>
      </c>
      <c r="B39" s="31"/>
      <c r="C39">
        <v>100</v>
      </c>
      <c r="E39" t="s">
        <v>444</v>
      </c>
      <c r="F39" t="s">
        <v>445</v>
      </c>
      <c r="H39" t="s">
        <v>333</v>
      </c>
      <c r="I39" t="s">
        <v>334</v>
      </c>
      <c r="J39" t="s">
        <v>335</v>
      </c>
      <c r="N39" t="s">
        <v>443</v>
      </c>
      <c r="AH39" s="224"/>
    </row>
    <row r="40" spans="1:34" x14ac:dyDescent="0.25">
      <c r="A40" s="232">
        <v>501</v>
      </c>
      <c r="B40" s="31"/>
      <c r="C40">
        <v>500</v>
      </c>
      <c r="E40" t="s">
        <v>444</v>
      </c>
      <c r="F40" t="s">
        <v>445</v>
      </c>
      <c r="H40" t="s">
        <v>333</v>
      </c>
      <c r="I40" t="s">
        <v>334</v>
      </c>
      <c r="J40" t="s">
        <v>335</v>
      </c>
      <c r="N40" t="s">
        <v>443</v>
      </c>
      <c r="AH40" s="224"/>
    </row>
    <row r="41" spans="1:34" x14ac:dyDescent="0.25">
      <c r="A41" s="232">
        <v>102</v>
      </c>
      <c r="B41" s="31"/>
      <c r="C41">
        <v>100</v>
      </c>
      <c r="E41" t="s">
        <v>444</v>
      </c>
      <c r="F41" t="s">
        <v>445</v>
      </c>
      <c r="H41" t="s">
        <v>333</v>
      </c>
      <c r="I41" t="s">
        <v>334</v>
      </c>
      <c r="J41" t="s">
        <v>335</v>
      </c>
      <c r="N41" t="s">
        <v>443</v>
      </c>
      <c r="AH41" s="224"/>
    </row>
    <row r="42" spans="1:34" x14ac:dyDescent="0.25">
      <c r="A42" s="232">
        <v>501</v>
      </c>
      <c r="B42" s="31"/>
      <c r="C42">
        <v>500</v>
      </c>
      <c r="E42" t="s">
        <v>444</v>
      </c>
      <c r="F42" t="s">
        <v>445</v>
      </c>
      <c r="H42" t="s">
        <v>333</v>
      </c>
      <c r="I42" t="s">
        <v>334</v>
      </c>
      <c r="J42" t="s">
        <v>335</v>
      </c>
      <c r="N42" t="s">
        <v>443</v>
      </c>
      <c r="AH42" s="224"/>
    </row>
    <row r="43" spans="1:34" x14ac:dyDescent="0.25">
      <c r="A43" s="232">
        <v>501</v>
      </c>
      <c r="B43" s="31"/>
      <c r="C43">
        <v>500</v>
      </c>
      <c r="E43" t="s">
        <v>444</v>
      </c>
      <c r="F43" t="s">
        <v>445</v>
      </c>
      <c r="H43" t="s">
        <v>333</v>
      </c>
      <c r="I43" t="s">
        <v>334</v>
      </c>
      <c r="J43" t="s">
        <v>335</v>
      </c>
      <c r="N43" t="s">
        <v>443</v>
      </c>
      <c r="AH43" s="224"/>
    </row>
    <row r="44" spans="1:34" x14ac:dyDescent="0.25">
      <c r="A44" s="232">
        <v>501</v>
      </c>
      <c r="B44" s="31"/>
      <c r="C44">
        <v>500</v>
      </c>
      <c r="E44" t="s">
        <v>444</v>
      </c>
      <c r="F44" t="s">
        <v>445</v>
      </c>
      <c r="H44" t="s">
        <v>333</v>
      </c>
      <c r="I44" t="s">
        <v>334</v>
      </c>
      <c r="J44" t="s">
        <v>335</v>
      </c>
      <c r="N44" t="s">
        <v>443</v>
      </c>
      <c r="AH44" s="224"/>
    </row>
    <row r="45" spans="1:34" x14ac:dyDescent="0.25">
      <c r="A45" s="232">
        <v>501</v>
      </c>
      <c r="B45" s="31"/>
      <c r="C45">
        <v>500</v>
      </c>
      <c r="E45" t="s">
        <v>444</v>
      </c>
      <c r="F45" t="s">
        <v>445</v>
      </c>
      <c r="H45" t="s">
        <v>333</v>
      </c>
      <c r="I45" t="s">
        <v>334</v>
      </c>
      <c r="J45" t="s">
        <v>335</v>
      </c>
      <c r="N45" t="s">
        <v>443</v>
      </c>
      <c r="AH45" s="224"/>
    </row>
    <row r="46" spans="1:34" x14ac:dyDescent="0.25">
      <c r="A46" s="232">
        <v>501</v>
      </c>
      <c r="B46" s="31"/>
      <c r="C46">
        <v>500</v>
      </c>
      <c r="E46" t="s">
        <v>444</v>
      </c>
      <c r="F46" t="s">
        <v>445</v>
      </c>
      <c r="H46" t="s">
        <v>333</v>
      </c>
      <c r="I46" t="s">
        <v>334</v>
      </c>
      <c r="J46" t="s">
        <v>335</v>
      </c>
      <c r="N46" t="s">
        <v>443</v>
      </c>
      <c r="AH46" s="224"/>
    </row>
    <row r="47" spans="1:34" x14ac:dyDescent="0.25">
      <c r="A47" s="232">
        <v>501</v>
      </c>
      <c r="B47" s="31"/>
      <c r="C47">
        <v>500</v>
      </c>
      <c r="E47" t="s">
        <v>444</v>
      </c>
      <c r="F47" t="s">
        <v>445</v>
      </c>
      <c r="H47" t="s">
        <v>333</v>
      </c>
      <c r="I47" t="s">
        <v>334</v>
      </c>
      <c r="J47" t="s">
        <v>335</v>
      </c>
      <c r="N47" t="s">
        <v>443</v>
      </c>
      <c r="AH47" s="224"/>
    </row>
    <row r="48" spans="1:34" x14ac:dyDescent="0.25">
      <c r="A48" s="232">
        <v>501</v>
      </c>
      <c r="B48" s="31"/>
      <c r="C48">
        <v>500</v>
      </c>
      <c r="E48" t="s">
        <v>444</v>
      </c>
      <c r="F48" t="s">
        <v>445</v>
      </c>
      <c r="H48" t="s">
        <v>333</v>
      </c>
      <c r="I48" t="s">
        <v>334</v>
      </c>
      <c r="J48" t="s">
        <v>335</v>
      </c>
      <c r="N48" t="s">
        <v>443</v>
      </c>
      <c r="AH48" s="224"/>
    </row>
    <row r="49" spans="1:34" x14ac:dyDescent="0.25">
      <c r="A49" s="232">
        <v>501</v>
      </c>
      <c r="B49" s="31"/>
      <c r="C49">
        <v>500</v>
      </c>
      <c r="E49" t="s">
        <v>444</v>
      </c>
      <c r="F49" t="s">
        <v>445</v>
      </c>
      <c r="H49" t="s">
        <v>333</v>
      </c>
      <c r="I49" t="s">
        <v>334</v>
      </c>
      <c r="J49" t="s">
        <v>335</v>
      </c>
      <c r="N49" t="s">
        <v>443</v>
      </c>
      <c r="AH49" s="224"/>
    </row>
    <row r="50" spans="1:34" x14ac:dyDescent="0.25">
      <c r="A50" s="232">
        <v>102</v>
      </c>
      <c r="B50" s="31"/>
      <c r="C50">
        <v>100</v>
      </c>
      <c r="E50" t="s">
        <v>444</v>
      </c>
      <c r="F50" t="s">
        <v>445</v>
      </c>
      <c r="H50" t="s">
        <v>333</v>
      </c>
      <c r="I50" t="s">
        <v>334</v>
      </c>
      <c r="J50" t="s">
        <v>335</v>
      </c>
      <c r="N50" t="s">
        <v>443</v>
      </c>
      <c r="AH50" s="224"/>
    </row>
    <row r="51" spans="1:34" x14ac:dyDescent="0.25">
      <c r="A51" s="232">
        <v>501</v>
      </c>
      <c r="B51" s="31"/>
      <c r="C51">
        <v>500</v>
      </c>
      <c r="E51" t="s">
        <v>444</v>
      </c>
      <c r="F51" t="s">
        <v>445</v>
      </c>
      <c r="H51" t="s">
        <v>333</v>
      </c>
      <c r="I51" t="s">
        <v>334</v>
      </c>
      <c r="J51" t="s">
        <v>335</v>
      </c>
      <c r="N51" t="s">
        <v>443</v>
      </c>
      <c r="AH51" s="224"/>
    </row>
    <row r="52" spans="1:34" x14ac:dyDescent="0.25">
      <c r="A52" s="232">
        <v>501</v>
      </c>
      <c r="B52" s="31"/>
      <c r="C52">
        <v>500</v>
      </c>
      <c r="E52" t="s">
        <v>444</v>
      </c>
      <c r="F52" t="s">
        <v>445</v>
      </c>
      <c r="H52" t="s">
        <v>333</v>
      </c>
      <c r="I52" t="s">
        <v>334</v>
      </c>
      <c r="J52" t="s">
        <v>335</v>
      </c>
      <c r="N52" t="s">
        <v>443</v>
      </c>
      <c r="AH52" s="224"/>
    </row>
    <row r="53" spans="1:34" x14ac:dyDescent="0.25">
      <c r="A53" s="232">
        <v>501</v>
      </c>
      <c r="B53" s="31"/>
      <c r="C53">
        <v>500</v>
      </c>
      <c r="E53" t="s">
        <v>444</v>
      </c>
      <c r="F53" t="s">
        <v>445</v>
      </c>
      <c r="H53" t="s">
        <v>333</v>
      </c>
      <c r="I53" t="s">
        <v>334</v>
      </c>
      <c r="J53" t="s">
        <v>335</v>
      </c>
      <c r="N53" t="s">
        <v>443</v>
      </c>
      <c r="AH53" s="224"/>
    </row>
    <row r="54" spans="1:34" x14ac:dyDescent="0.25">
      <c r="A54" s="232">
        <v>501</v>
      </c>
      <c r="B54" s="31"/>
      <c r="C54">
        <v>500</v>
      </c>
      <c r="E54" t="s">
        <v>444</v>
      </c>
      <c r="F54" t="s">
        <v>445</v>
      </c>
      <c r="H54" t="s">
        <v>333</v>
      </c>
      <c r="I54" t="s">
        <v>334</v>
      </c>
      <c r="J54" t="s">
        <v>335</v>
      </c>
      <c r="N54" t="s">
        <v>443</v>
      </c>
      <c r="AH54" s="224"/>
    </row>
    <row r="55" spans="1:34" x14ac:dyDescent="0.25">
      <c r="A55" s="232">
        <v>501</v>
      </c>
      <c r="B55" s="31"/>
      <c r="C55">
        <v>500</v>
      </c>
      <c r="E55" t="s">
        <v>444</v>
      </c>
      <c r="F55" t="s">
        <v>445</v>
      </c>
      <c r="H55" t="s">
        <v>333</v>
      </c>
      <c r="I55" t="s">
        <v>334</v>
      </c>
      <c r="J55" t="s">
        <v>335</v>
      </c>
      <c r="N55" t="s">
        <v>443</v>
      </c>
      <c r="AH55" s="224"/>
    </row>
    <row r="56" spans="1:34" x14ac:dyDescent="0.25">
      <c r="A56" s="232">
        <v>903</v>
      </c>
      <c r="B56" s="31"/>
      <c r="C56">
        <v>900</v>
      </c>
      <c r="E56" t="s">
        <v>444</v>
      </c>
      <c r="F56" t="s">
        <v>445</v>
      </c>
      <c r="H56" t="s">
        <v>333</v>
      </c>
      <c r="I56" t="s">
        <v>334</v>
      </c>
      <c r="J56" t="s">
        <v>335</v>
      </c>
      <c r="N56" t="s">
        <v>443</v>
      </c>
      <c r="AH56" s="224"/>
    </row>
    <row r="57" spans="1:34" x14ac:dyDescent="0.25">
      <c r="A57" s="232">
        <v>501</v>
      </c>
      <c r="B57" s="31"/>
      <c r="C57">
        <v>500</v>
      </c>
      <c r="E57" t="s">
        <v>444</v>
      </c>
      <c r="F57" t="s">
        <v>445</v>
      </c>
      <c r="H57" t="s">
        <v>333</v>
      </c>
      <c r="I57" t="s">
        <v>334</v>
      </c>
      <c r="J57" t="s">
        <v>335</v>
      </c>
      <c r="N57" t="s">
        <v>443</v>
      </c>
      <c r="AH57" s="224"/>
    </row>
    <row r="58" spans="1:34" x14ac:dyDescent="0.25">
      <c r="A58" s="232">
        <v>109</v>
      </c>
      <c r="B58" s="31"/>
      <c r="C58">
        <v>100</v>
      </c>
      <c r="E58" t="s">
        <v>444</v>
      </c>
      <c r="F58" t="s">
        <v>445</v>
      </c>
      <c r="H58" t="s">
        <v>333</v>
      </c>
      <c r="I58" t="s">
        <v>334</v>
      </c>
      <c r="J58" t="s">
        <v>335</v>
      </c>
      <c r="N58" t="s">
        <v>443</v>
      </c>
      <c r="AH58" s="224"/>
    </row>
    <row r="59" spans="1:34" x14ac:dyDescent="0.25">
      <c r="A59" s="232">
        <v>109</v>
      </c>
      <c r="B59" s="31"/>
      <c r="C59">
        <v>100</v>
      </c>
      <c r="E59" t="s">
        <v>444</v>
      </c>
      <c r="F59" t="s">
        <v>445</v>
      </c>
      <c r="H59" t="s">
        <v>333</v>
      </c>
      <c r="I59" t="s">
        <v>334</v>
      </c>
      <c r="J59" t="s">
        <v>335</v>
      </c>
      <c r="N59" t="s">
        <v>443</v>
      </c>
      <c r="AH59" s="224"/>
    </row>
    <row r="60" spans="1:34" x14ac:dyDescent="0.25">
      <c r="A60" s="232">
        <v>501</v>
      </c>
      <c r="B60" s="31"/>
      <c r="C60">
        <v>500</v>
      </c>
      <c r="E60" t="s">
        <v>444</v>
      </c>
      <c r="F60" t="s">
        <v>445</v>
      </c>
      <c r="H60" t="s">
        <v>333</v>
      </c>
      <c r="I60" t="s">
        <v>334</v>
      </c>
      <c r="J60" t="s">
        <v>335</v>
      </c>
      <c r="N60" t="s">
        <v>443</v>
      </c>
      <c r="AH60" s="224"/>
    </row>
    <row r="61" spans="1:34" x14ac:dyDescent="0.25">
      <c r="A61" s="232">
        <v>501</v>
      </c>
      <c r="B61" s="31"/>
      <c r="C61">
        <v>500</v>
      </c>
      <c r="E61" t="s">
        <v>444</v>
      </c>
      <c r="F61" t="s">
        <v>445</v>
      </c>
      <c r="H61" t="s">
        <v>333</v>
      </c>
      <c r="I61" t="s">
        <v>334</v>
      </c>
      <c r="J61" t="s">
        <v>335</v>
      </c>
      <c r="N61" t="s">
        <v>443</v>
      </c>
      <c r="AH61" s="224"/>
    </row>
    <row r="62" spans="1:34" x14ac:dyDescent="0.25">
      <c r="A62" s="232">
        <v>604</v>
      </c>
      <c r="B62" s="31"/>
      <c r="C62">
        <v>600</v>
      </c>
      <c r="E62" t="s">
        <v>444</v>
      </c>
      <c r="F62" t="s">
        <v>445</v>
      </c>
      <c r="H62" t="s">
        <v>333</v>
      </c>
      <c r="I62" t="s">
        <v>334</v>
      </c>
      <c r="J62" t="s">
        <v>335</v>
      </c>
      <c r="N62" t="s">
        <v>443</v>
      </c>
      <c r="AH62" s="224"/>
    </row>
    <row r="63" spans="1:34" x14ac:dyDescent="0.25">
      <c r="A63" s="232">
        <v>501</v>
      </c>
      <c r="B63" s="31"/>
      <c r="C63">
        <v>500</v>
      </c>
      <c r="E63" t="s">
        <v>444</v>
      </c>
      <c r="F63" t="s">
        <v>445</v>
      </c>
      <c r="H63" t="s">
        <v>333</v>
      </c>
      <c r="I63" t="s">
        <v>334</v>
      </c>
      <c r="J63" t="s">
        <v>335</v>
      </c>
      <c r="N63" t="s">
        <v>443</v>
      </c>
      <c r="AH63" s="224"/>
    </row>
    <row r="64" spans="1:34" x14ac:dyDescent="0.25">
      <c r="A64" s="232">
        <v>604</v>
      </c>
      <c r="B64" s="31"/>
      <c r="C64">
        <v>600</v>
      </c>
      <c r="E64" t="s">
        <v>444</v>
      </c>
      <c r="F64" t="s">
        <v>445</v>
      </c>
      <c r="H64" t="s">
        <v>333</v>
      </c>
      <c r="I64" t="s">
        <v>334</v>
      </c>
      <c r="J64" t="s">
        <v>335</v>
      </c>
      <c r="N64" t="s">
        <v>443</v>
      </c>
      <c r="AH64" s="224"/>
    </row>
    <row r="65" spans="1:34" ht="15.75" thickBot="1" x14ac:dyDescent="0.3">
      <c r="A65" s="233">
        <v>102</v>
      </c>
      <c r="B65" s="39"/>
      <c r="C65" s="40">
        <v>100</v>
      </c>
      <c r="D65" s="40" t="s">
        <v>340</v>
      </c>
      <c r="E65" s="40" t="s">
        <v>444</v>
      </c>
      <c r="F65" s="40" t="s">
        <v>445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443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25"/>
    </row>
    <row r="66" spans="1:34" ht="15.75" thickTop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42578125" bestFit="1" customWidth="1"/>
    <col min="6" max="6" width="43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41">
        <v>303</v>
      </c>
      <c r="B2" s="38"/>
      <c r="C2" s="53">
        <v>300</v>
      </c>
      <c r="D2" s="53" t="s">
        <v>339</v>
      </c>
      <c r="E2" s="53" t="s">
        <v>448</v>
      </c>
      <c r="F2" s="53" t="s">
        <v>449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447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35"/>
    </row>
    <row r="3" spans="1:34" x14ac:dyDescent="0.25">
      <c r="A3" s="244">
        <v>303</v>
      </c>
      <c r="B3" s="31"/>
      <c r="C3">
        <v>300</v>
      </c>
      <c r="E3" t="s">
        <v>448</v>
      </c>
      <c r="F3" t="s">
        <v>449</v>
      </c>
      <c r="H3" t="s">
        <v>333</v>
      </c>
      <c r="I3" t="s">
        <v>334</v>
      </c>
      <c r="J3" t="s">
        <v>335</v>
      </c>
      <c r="N3" t="s">
        <v>447</v>
      </c>
      <c r="AH3" s="236"/>
    </row>
    <row r="4" spans="1:34" x14ac:dyDescent="0.25">
      <c r="A4" s="244">
        <v>303</v>
      </c>
      <c r="B4" s="31"/>
      <c r="C4">
        <v>300</v>
      </c>
      <c r="E4" t="s">
        <v>448</v>
      </c>
      <c r="F4" t="s">
        <v>449</v>
      </c>
      <c r="H4" t="s">
        <v>333</v>
      </c>
      <c r="I4" t="s">
        <v>334</v>
      </c>
      <c r="J4" t="s">
        <v>335</v>
      </c>
      <c r="N4" t="s">
        <v>447</v>
      </c>
      <c r="AH4" s="236"/>
    </row>
    <row r="5" spans="1:34" x14ac:dyDescent="0.25">
      <c r="A5" s="244">
        <v>502</v>
      </c>
      <c r="B5" s="31"/>
      <c r="C5">
        <v>500</v>
      </c>
      <c r="E5" t="s">
        <v>448</v>
      </c>
      <c r="F5" t="s">
        <v>449</v>
      </c>
      <c r="H5" t="s">
        <v>333</v>
      </c>
      <c r="I5" t="s">
        <v>334</v>
      </c>
      <c r="J5" t="s">
        <v>335</v>
      </c>
      <c r="N5" t="s">
        <v>447</v>
      </c>
      <c r="AH5" s="236"/>
    </row>
    <row r="6" spans="1:34" x14ac:dyDescent="0.25">
      <c r="A6" s="244">
        <v>303</v>
      </c>
      <c r="B6" s="31"/>
      <c r="C6">
        <v>300</v>
      </c>
      <c r="E6" t="s">
        <v>448</v>
      </c>
      <c r="F6" t="s">
        <v>449</v>
      </c>
      <c r="H6" t="s">
        <v>333</v>
      </c>
      <c r="I6" t="s">
        <v>334</v>
      </c>
      <c r="J6" t="s">
        <v>335</v>
      </c>
      <c r="N6" t="s">
        <v>447</v>
      </c>
      <c r="AH6" s="236"/>
    </row>
    <row r="7" spans="1:34" x14ac:dyDescent="0.25">
      <c r="A7" s="244">
        <v>502</v>
      </c>
      <c r="B7" s="31"/>
      <c r="C7">
        <v>500</v>
      </c>
      <c r="E7" t="s">
        <v>448</v>
      </c>
      <c r="F7" t="s">
        <v>449</v>
      </c>
      <c r="H7" t="s">
        <v>333</v>
      </c>
      <c r="I7" t="s">
        <v>334</v>
      </c>
      <c r="J7" t="s">
        <v>335</v>
      </c>
      <c r="N7" t="s">
        <v>447</v>
      </c>
      <c r="AH7" s="236"/>
    </row>
    <row r="8" spans="1:34" x14ac:dyDescent="0.25">
      <c r="A8" s="244">
        <v>303</v>
      </c>
      <c r="B8" s="31"/>
      <c r="C8">
        <v>300</v>
      </c>
      <c r="E8" t="s">
        <v>448</v>
      </c>
      <c r="F8" t="s">
        <v>449</v>
      </c>
      <c r="H8" t="s">
        <v>333</v>
      </c>
      <c r="I8" t="s">
        <v>334</v>
      </c>
      <c r="J8" t="s">
        <v>335</v>
      </c>
      <c r="N8" t="s">
        <v>447</v>
      </c>
      <c r="AH8" s="236"/>
    </row>
    <row r="9" spans="1:34" x14ac:dyDescent="0.25">
      <c r="A9" s="244">
        <v>102</v>
      </c>
      <c r="B9" s="31"/>
      <c r="C9">
        <v>100</v>
      </c>
      <c r="E9" t="s">
        <v>448</v>
      </c>
      <c r="F9" t="s">
        <v>449</v>
      </c>
      <c r="H9" t="s">
        <v>333</v>
      </c>
      <c r="I9" t="s">
        <v>334</v>
      </c>
      <c r="J9" t="s">
        <v>335</v>
      </c>
      <c r="N9" t="s">
        <v>447</v>
      </c>
      <c r="AH9" s="236"/>
    </row>
    <row r="10" spans="1:34" x14ac:dyDescent="0.25">
      <c r="A10" s="244">
        <v>303</v>
      </c>
      <c r="B10" s="31"/>
      <c r="C10">
        <v>300</v>
      </c>
      <c r="E10" t="s">
        <v>448</v>
      </c>
      <c r="F10" t="s">
        <v>449</v>
      </c>
      <c r="H10" t="s">
        <v>333</v>
      </c>
      <c r="I10" t="s">
        <v>334</v>
      </c>
      <c r="J10" t="s">
        <v>335</v>
      </c>
      <c r="N10" t="s">
        <v>447</v>
      </c>
      <c r="AH10" s="236"/>
    </row>
    <row r="11" spans="1:34" x14ac:dyDescent="0.25">
      <c r="A11" s="244">
        <v>903</v>
      </c>
      <c r="B11" s="31"/>
      <c r="C11">
        <v>900</v>
      </c>
      <c r="E11" t="s">
        <v>448</v>
      </c>
      <c r="F11" t="s">
        <v>449</v>
      </c>
      <c r="H11" t="s">
        <v>333</v>
      </c>
      <c r="I11" t="s">
        <v>334</v>
      </c>
      <c r="J11" t="s">
        <v>335</v>
      </c>
      <c r="N11" t="s">
        <v>447</v>
      </c>
      <c r="AH11" s="236"/>
    </row>
    <row r="12" spans="1:34" x14ac:dyDescent="0.25">
      <c r="A12" s="244">
        <v>501</v>
      </c>
      <c r="B12" s="31"/>
      <c r="C12">
        <v>500</v>
      </c>
      <c r="E12" t="s">
        <v>448</v>
      </c>
      <c r="F12" t="s">
        <v>449</v>
      </c>
      <c r="H12" t="s">
        <v>333</v>
      </c>
      <c r="I12" t="s">
        <v>334</v>
      </c>
      <c r="J12" t="s">
        <v>335</v>
      </c>
      <c r="N12" t="s">
        <v>447</v>
      </c>
      <c r="AH12" s="236"/>
    </row>
    <row r="13" spans="1:34" x14ac:dyDescent="0.25">
      <c r="A13" s="244">
        <v>501</v>
      </c>
      <c r="B13" s="31"/>
      <c r="C13">
        <v>500</v>
      </c>
      <c r="E13" t="s">
        <v>448</v>
      </c>
      <c r="F13" t="s">
        <v>449</v>
      </c>
      <c r="H13" t="s">
        <v>333</v>
      </c>
      <c r="I13" t="s">
        <v>334</v>
      </c>
      <c r="J13" t="s">
        <v>335</v>
      </c>
      <c r="N13" t="s">
        <v>447</v>
      </c>
      <c r="AH13" s="236"/>
    </row>
    <row r="14" spans="1:34" x14ac:dyDescent="0.25">
      <c r="A14" s="244">
        <v>501</v>
      </c>
      <c r="B14" s="31"/>
      <c r="C14">
        <v>500</v>
      </c>
      <c r="E14" t="s">
        <v>448</v>
      </c>
      <c r="F14" t="s">
        <v>449</v>
      </c>
      <c r="H14" t="s">
        <v>333</v>
      </c>
      <c r="I14" t="s">
        <v>334</v>
      </c>
      <c r="J14" t="s">
        <v>335</v>
      </c>
      <c r="N14" t="s">
        <v>447</v>
      </c>
      <c r="AH14" s="236"/>
    </row>
    <row r="15" spans="1:34" x14ac:dyDescent="0.25">
      <c r="A15" s="244">
        <v>604</v>
      </c>
      <c r="B15" s="31"/>
      <c r="C15">
        <v>600</v>
      </c>
      <c r="E15" t="s">
        <v>448</v>
      </c>
      <c r="F15" t="s">
        <v>449</v>
      </c>
      <c r="H15" t="s">
        <v>333</v>
      </c>
      <c r="I15" t="s">
        <v>334</v>
      </c>
      <c r="J15" t="s">
        <v>335</v>
      </c>
      <c r="N15" t="s">
        <v>447</v>
      </c>
      <c r="AH15" s="236"/>
    </row>
    <row r="16" spans="1:34" x14ac:dyDescent="0.25">
      <c r="A16" s="244">
        <v>501</v>
      </c>
      <c r="B16" s="31"/>
      <c r="C16">
        <v>500</v>
      </c>
      <c r="E16" t="s">
        <v>448</v>
      </c>
      <c r="F16" t="s">
        <v>449</v>
      </c>
      <c r="H16" t="s">
        <v>333</v>
      </c>
      <c r="I16" t="s">
        <v>334</v>
      </c>
      <c r="J16" t="s">
        <v>335</v>
      </c>
      <c r="N16" t="s">
        <v>447</v>
      </c>
      <c r="AH16" s="236"/>
    </row>
    <row r="17" spans="1:34" x14ac:dyDescent="0.25">
      <c r="A17" s="244">
        <v>303</v>
      </c>
      <c r="B17" s="31"/>
      <c r="C17">
        <v>300</v>
      </c>
      <c r="E17" t="s">
        <v>448</v>
      </c>
      <c r="F17" t="s">
        <v>449</v>
      </c>
      <c r="H17" t="s">
        <v>333</v>
      </c>
      <c r="I17" t="s">
        <v>334</v>
      </c>
      <c r="J17" t="s">
        <v>335</v>
      </c>
      <c r="N17" t="s">
        <v>447</v>
      </c>
      <c r="AH17" s="236"/>
    </row>
    <row r="18" spans="1:34" x14ac:dyDescent="0.25">
      <c r="A18" s="244">
        <v>102</v>
      </c>
      <c r="B18" s="31"/>
      <c r="C18">
        <v>100</v>
      </c>
      <c r="E18" t="s">
        <v>448</v>
      </c>
      <c r="F18" t="s">
        <v>449</v>
      </c>
      <c r="H18" t="s">
        <v>333</v>
      </c>
      <c r="I18" t="s">
        <v>334</v>
      </c>
      <c r="J18" t="s">
        <v>335</v>
      </c>
      <c r="N18" t="s">
        <v>447</v>
      </c>
      <c r="AH18" s="236"/>
    </row>
    <row r="19" spans="1:34" x14ac:dyDescent="0.25">
      <c r="A19" s="244">
        <v>903</v>
      </c>
      <c r="B19" s="31"/>
      <c r="C19">
        <v>900</v>
      </c>
      <c r="E19" t="s">
        <v>448</v>
      </c>
      <c r="F19" t="s">
        <v>449</v>
      </c>
      <c r="H19" t="s">
        <v>333</v>
      </c>
      <c r="I19" t="s">
        <v>334</v>
      </c>
      <c r="J19" t="s">
        <v>335</v>
      </c>
      <c r="N19" t="s">
        <v>447</v>
      </c>
      <c r="AH19" s="236"/>
    </row>
    <row r="20" spans="1:34" x14ac:dyDescent="0.25">
      <c r="A20" s="244">
        <v>903</v>
      </c>
      <c r="B20" s="31"/>
      <c r="C20">
        <v>900</v>
      </c>
      <c r="E20" t="s">
        <v>448</v>
      </c>
      <c r="F20" t="s">
        <v>449</v>
      </c>
      <c r="H20" t="s">
        <v>333</v>
      </c>
      <c r="I20" t="s">
        <v>334</v>
      </c>
      <c r="J20" t="s">
        <v>335</v>
      </c>
      <c r="N20" t="s">
        <v>447</v>
      </c>
      <c r="AH20" s="236"/>
    </row>
    <row r="21" spans="1:34" x14ac:dyDescent="0.25">
      <c r="A21" s="244">
        <v>604</v>
      </c>
      <c r="B21" s="31"/>
      <c r="C21">
        <v>600</v>
      </c>
      <c r="E21" t="s">
        <v>448</v>
      </c>
      <c r="F21" t="s">
        <v>449</v>
      </c>
      <c r="H21" t="s">
        <v>333</v>
      </c>
      <c r="I21" t="s">
        <v>334</v>
      </c>
      <c r="J21" t="s">
        <v>335</v>
      </c>
      <c r="N21" t="s">
        <v>447</v>
      </c>
      <c r="AH21" s="236"/>
    </row>
    <row r="22" spans="1:34" x14ac:dyDescent="0.25">
      <c r="A22" s="244">
        <v>501</v>
      </c>
      <c r="B22" s="31"/>
      <c r="C22">
        <v>500</v>
      </c>
      <c r="E22" t="s">
        <v>448</v>
      </c>
      <c r="F22" t="s">
        <v>449</v>
      </c>
      <c r="H22" t="s">
        <v>333</v>
      </c>
      <c r="I22" t="s">
        <v>334</v>
      </c>
      <c r="J22" t="s">
        <v>335</v>
      </c>
      <c r="N22" t="s">
        <v>447</v>
      </c>
      <c r="AH22" s="236"/>
    </row>
    <row r="23" spans="1:34" x14ac:dyDescent="0.25">
      <c r="A23" s="244">
        <v>102</v>
      </c>
      <c r="B23" s="31"/>
      <c r="C23">
        <v>100</v>
      </c>
      <c r="E23" t="s">
        <v>448</v>
      </c>
      <c r="F23" t="s">
        <v>449</v>
      </c>
      <c r="H23" t="s">
        <v>333</v>
      </c>
      <c r="I23" t="s">
        <v>334</v>
      </c>
      <c r="J23" t="s">
        <v>335</v>
      </c>
      <c r="N23" t="s">
        <v>447</v>
      </c>
      <c r="AH23" s="236"/>
    </row>
    <row r="24" spans="1:34" x14ac:dyDescent="0.25">
      <c r="A24" s="244">
        <v>501</v>
      </c>
      <c r="B24" s="31"/>
      <c r="C24">
        <v>500</v>
      </c>
      <c r="E24" t="s">
        <v>448</v>
      </c>
      <c r="F24" t="s">
        <v>449</v>
      </c>
      <c r="H24" t="s">
        <v>333</v>
      </c>
      <c r="I24" t="s">
        <v>334</v>
      </c>
      <c r="J24" t="s">
        <v>335</v>
      </c>
      <c r="N24" t="s">
        <v>447</v>
      </c>
      <c r="AH24" s="236"/>
    </row>
    <row r="25" spans="1:34" x14ac:dyDescent="0.25">
      <c r="A25" s="244">
        <v>303</v>
      </c>
      <c r="B25" s="31"/>
      <c r="C25">
        <v>300</v>
      </c>
      <c r="E25" t="s">
        <v>448</v>
      </c>
      <c r="F25" t="s">
        <v>449</v>
      </c>
      <c r="H25" t="s">
        <v>333</v>
      </c>
      <c r="I25" t="s">
        <v>334</v>
      </c>
      <c r="J25" t="s">
        <v>335</v>
      </c>
      <c r="N25" t="s">
        <v>447</v>
      </c>
      <c r="AH25" s="236"/>
    </row>
    <row r="26" spans="1:34" x14ac:dyDescent="0.25">
      <c r="A26" s="244">
        <v>303</v>
      </c>
      <c r="B26" s="31"/>
      <c r="C26">
        <v>300</v>
      </c>
      <c r="E26" t="s">
        <v>448</v>
      </c>
      <c r="F26" t="s">
        <v>449</v>
      </c>
      <c r="H26" t="s">
        <v>333</v>
      </c>
      <c r="I26" t="s">
        <v>334</v>
      </c>
      <c r="J26" t="s">
        <v>335</v>
      </c>
      <c r="N26" t="s">
        <v>447</v>
      </c>
      <c r="AH26" s="236"/>
    </row>
    <row r="27" spans="1:34" x14ac:dyDescent="0.25">
      <c r="A27" s="244">
        <v>501</v>
      </c>
      <c r="B27" s="31"/>
      <c r="C27">
        <v>500</v>
      </c>
      <c r="E27" t="s">
        <v>448</v>
      </c>
      <c r="F27" t="s">
        <v>449</v>
      </c>
      <c r="H27" t="s">
        <v>333</v>
      </c>
      <c r="I27" t="s">
        <v>334</v>
      </c>
      <c r="J27" t="s">
        <v>335</v>
      </c>
      <c r="N27" t="s">
        <v>447</v>
      </c>
      <c r="AH27" s="236"/>
    </row>
    <row r="28" spans="1:34" x14ac:dyDescent="0.25">
      <c r="A28" s="244">
        <v>501</v>
      </c>
      <c r="B28" s="31"/>
      <c r="C28">
        <v>500</v>
      </c>
      <c r="E28" t="s">
        <v>448</v>
      </c>
      <c r="F28" t="s">
        <v>449</v>
      </c>
      <c r="H28" t="s">
        <v>333</v>
      </c>
      <c r="I28" t="s">
        <v>334</v>
      </c>
      <c r="J28" t="s">
        <v>335</v>
      </c>
      <c r="N28" t="s">
        <v>447</v>
      </c>
      <c r="AH28" s="236"/>
    </row>
    <row r="29" spans="1:34" x14ac:dyDescent="0.25">
      <c r="A29" s="244">
        <v>501</v>
      </c>
      <c r="B29" s="31"/>
      <c r="C29">
        <v>500</v>
      </c>
      <c r="E29" t="s">
        <v>448</v>
      </c>
      <c r="F29" t="s">
        <v>449</v>
      </c>
      <c r="H29" t="s">
        <v>333</v>
      </c>
      <c r="I29" t="s">
        <v>334</v>
      </c>
      <c r="J29" t="s">
        <v>335</v>
      </c>
      <c r="N29" t="s">
        <v>447</v>
      </c>
      <c r="AH29" s="236"/>
    </row>
    <row r="30" spans="1:34" x14ac:dyDescent="0.25">
      <c r="A30" s="244">
        <v>501</v>
      </c>
      <c r="B30" s="31"/>
      <c r="C30">
        <v>500</v>
      </c>
      <c r="E30" t="s">
        <v>448</v>
      </c>
      <c r="F30" t="s">
        <v>449</v>
      </c>
      <c r="H30" t="s">
        <v>333</v>
      </c>
      <c r="I30" t="s">
        <v>334</v>
      </c>
      <c r="J30" t="s">
        <v>335</v>
      </c>
      <c r="N30" t="s">
        <v>447</v>
      </c>
      <c r="AH30" s="236"/>
    </row>
    <row r="31" spans="1:34" x14ac:dyDescent="0.25">
      <c r="A31" s="244">
        <v>501</v>
      </c>
      <c r="B31" s="31"/>
      <c r="C31">
        <v>500</v>
      </c>
      <c r="E31" t="s">
        <v>448</v>
      </c>
      <c r="F31" t="s">
        <v>449</v>
      </c>
      <c r="H31" t="s">
        <v>333</v>
      </c>
      <c r="I31" t="s">
        <v>334</v>
      </c>
      <c r="J31" t="s">
        <v>335</v>
      </c>
      <c r="N31" t="s">
        <v>447</v>
      </c>
      <c r="AH31" s="236"/>
    </row>
    <row r="32" spans="1:34" x14ac:dyDescent="0.25">
      <c r="A32" s="244">
        <v>501</v>
      </c>
      <c r="B32" s="31"/>
      <c r="C32">
        <v>500</v>
      </c>
      <c r="E32" t="s">
        <v>448</v>
      </c>
      <c r="F32" t="s">
        <v>449</v>
      </c>
      <c r="H32" t="s">
        <v>333</v>
      </c>
      <c r="I32" t="s">
        <v>334</v>
      </c>
      <c r="J32" t="s">
        <v>335</v>
      </c>
      <c r="N32" t="s">
        <v>447</v>
      </c>
      <c r="AH32" s="236"/>
    </row>
    <row r="33" spans="1:34" x14ac:dyDescent="0.25">
      <c r="A33" s="244">
        <v>303</v>
      </c>
      <c r="B33" s="31"/>
      <c r="C33">
        <v>300</v>
      </c>
      <c r="E33" t="s">
        <v>448</v>
      </c>
      <c r="F33" t="s">
        <v>449</v>
      </c>
      <c r="H33" t="s">
        <v>333</v>
      </c>
      <c r="I33" t="s">
        <v>334</v>
      </c>
      <c r="J33" t="s">
        <v>335</v>
      </c>
      <c r="N33" t="s">
        <v>447</v>
      </c>
      <c r="AH33" s="236"/>
    </row>
    <row r="34" spans="1:34" x14ac:dyDescent="0.25">
      <c r="A34" s="244">
        <v>303</v>
      </c>
      <c r="B34" s="31"/>
      <c r="C34">
        <v>300</v>
      </c>
      <c r="E34" t="s">
        <v>448</v>
      </c>
      <c r="F34" t="s">
        <v>449</v>
      </c>
      <c r="H34" t="s">
        <v>333</v>
      </c>
      <c r="I34" t="s">
        <v>334</v>
      </c>
      <c r="J34" t="s">
        <v>335</v>
      </c>
      <c r="N34" t="s">
        <v>447</v>
      </c>
      <c r="AH34" s="236"/>
    </row>
    <row r="35" spans="1:34" x14ac:dyDescent="0.25">
      <c r="A35" s="244">
        <v>501</v>
      </c>
      <c r="B35" s="31"/>
      <c r="C35">
        <v>500</v>
      </c>
      <c r="E35" t="s">
        <v>448</v>
      </c>
      <c r="F35" t="s">
        <v>449</v>
      </c>
      <c r="H35" t="s">
        <v>333</v>
      </c>
      <c r="I35" t="s">
        <v>334</v>
      </c>
      <c r="J35" t="s">
        <v>335</v>
      </c>
      <c r="N35" t="s">
        <v>447</v>
      </c>
      <c r="AH35" s="236"/>
    </row>
    <row r="36" spans="1:34" x14ac:dyDescent="0.25">
      <c r="A36" s="244">
        <v>102</v>
      </c>
      <c r="B36" s="31"/>
      <c r="C36">
        <v>100</v>
      </c>
      <c r="E36" t="s">
        <v>448</v>
      </c>
      <c r="F36" t="s">
        <v>449</v>
      </c>
      <c r="H36" t="s">
        <v>333</v>
      </c>
      <c r="I36" t="s">
        <v>334</v>
      </c>
      <c r="J36" t="s">
        <v>335</v>
      </c>
      <c r="N36" t="s">
        <v>447</v>
      </c>
      <c r="AH36" s="236"/>
    </row>
    <row r="37" spans="1:34" x14ac:dyDescent="0.25">
      <c r="A37" s="244">
        <v>501</v>
      </c>
      <c r="B37" s="31"/>
      <c r="C37">
        <v>500</v>
      </c>
      <c r="E37" t="s">
        <v>448</v>
      </c>
      <c r="F37" t="s">
        <v>449</v>
      </c>
      <c r="H37" t="s">
        <v>333</v>
      </c>
      <c r="I37" t="s">
        <v>334</v>
      </c>
      <c r="J37" t="s">
        <v>335</v>
      </c>
      <c r="N37" t="s">
        <v>447</v>
      </c>
      <c r="AH37" s="236"/>
    </row>
    <row r="38" spans="1:34" x14ac:dyDescent="0.25">
      <c r="A38" s="244">
        <v>604</v>
      </c>
      <c r="B38" s="31"/>
      <c r="C38">
        <v>600</v>
      </c>
      <c r="E38" t="s">
        <v>448</v>
      </c>
      <c r="F38" t="s">
        <v>449</v>
      </c>
      <c r="H38" t="s">
        <v>333</v>
      </c>
      <c r="I38" t="s">
        <v>334</v>
      </c>
      <c r="J38" t="s">
        <v>335</v>
      </c>
      <c r="N38" t="s">
        <v>447</v>
      </c>
      <c r="AH38" s="236"/>
    </row>
    <row r="39" spans="1:34" x14ac:dyDescent="0.25">
      <c r="A39" s="244">
        <v>604</v>
      </c>
      <c r="B39" s="31"/>
      <c r="C39">
        <v>600</v>
      </c>
      <c r="E39" t="s">
        <v>448</v>
      </c>
      <c r="F39" t="s">
        <v>449</v>
      </c>
      <c r="H39" t="s">
        <v>333</v>
      </c>
      <c r="I39" t="s">
        <v>334</v>
      </c>
      <c r="J39" t="s">
        <v>335</v>
      </c>
      <c r="N39" t="s">
        <v>447</v>
      </c>
      <c r="AH39" s="236"/>
    </row>
    <row r="40" spans="1:34" x14ac:dyDescent="0.25">
      <c r="A40" s="244">
        <v>501</v>
      </c>
      <c r="B40" s="31"/>
      <c r="C40">
        <v>500</v>
      </c>
      <c r="E40" t="s">
        <v>448</v>
      </c>
      <c r="F40" t="s">
        <v>449</v>
      </c>
      <c r="H40" t="s">
        <v>333</v>
      </c>
      <c r="I40" t="s">
        <v>334</v>
      </c>
      <c r="J40" t="s">
        <v>335</v>
      </c>
      <c r="N40" t="s">
        <v>447</v>
      </c>
      <c r="AH40" s="236"/>
    </row>
    <row r="41" spans="1:34" x14ac:dyDescent="0.25">
      <c r="A41" s="244">
        <v>303</v>
      </c>
      <c r="B41" s="31"/>
      <c r="C41">
        <v>300</v>
      </c>
      <c r="E41" t="s">
        <v>448</v>
      </c>
      <c r="F41" t="s">
        <v>449</v>
      </c>
      <c r="H41" t="s">
        <v>333</v>
      </c>
      <c r="I41" t="s">
        <v>334</v>
      </c>
      <c r="J41" t="s">
        <v>335</v>
      </c>
      <c r="N41" t="s">
        <v>447</v>
      </c>
      <c r="AH41" s="236"/>
    </row>
    <row r="42" spans="1:34" x14ac:dyDescent="0.25">
      <c r="A42" s="244">
        <v>303</v>
      </c>
      <c r="B42" s="31"/>
      <c r="C42">
        <v>300</v>
      </c>
      <c r="E42" t="s">
        <v>448</v>
      </c>
      <c r="F42" t="s">
        <v>449</v>
      </c>
      <c r="H42" t="s">
        <v>333</v>
      </c>
      <c r="I42" t="s">
        <v>334</v>
      </c>
      <c r="J42" t="s">
        <v>335</v>
      </c>
      <c r="N42" t="s">
        <v>447</v>
      </c>
      <c r="AH42" s="236"/>
    </row>
    <row r="43" spans="1:34" x14ac:dyDescent="0.25">
      <c r="A43" s="244">
        <v>903</v>
      </c>
      <c r="B43" s="31"/>
      <c r="C43">
        <v>900</v>
      </c>
      <c r="E43" t="s">
        <v>448</v>
      </c>
      <c r="F43" t="s">
        <v>449</v>
      </c>
      <c r="H43" t="s">
        <v>333</v>
      </c>
      <c r="I43" t="s">
        <v>334</v>
      </c>
      <c r="J43" t="s">
        <v>335</v>
      </c>
      <c r="N43" t="s">
        <v>447</v>
      </c>
      <c r="AH43" s="236"/>
    </row>
    <row r="44" spans="1:34" x14ac:dyDescent="0.25">
      <c r="A44" s="244">
        <v>501</v>
      </c>
      <c r="B44" s="31"/>
      <c r="C44">
        <v>500</v>
      </c>
      <c r="E44" t="s">
        <v>448</v>
      </c>
      <c r="F44" t="s">
        <v>449</v>
      </c>
      <c r="H44" t="s">
        <v>333</v>
      </c>
      <c r="I44" t="s">
        <v>334</v>
      </c>
      <c r="J44" t="s">
        <v>335</v>
      </c>
      <c r="N44" t="s">
        <v>447</v>
      </c>
      <c r="AH44" s="236"/>
    </row>
    <row r="45" spans="1:34" x14ac:dyDescent="0.25">
      <c r="A45" s="244">
        <v>501</v>
      </c>
      <c r="B45" s="31"/>
      <c r="C45">
        <v>500</v>
      </c>
      <c r="E45" t="s">
        <v>448</v>
      </c>
      <c r="F45" t="s">
        <v>449</v>
      </c>
      <c r="H45" t="s">
        <v>333</v>
      </c>
      <c r="I45" t="s">
        <v>334</v>
      </c>
      <c r="J45" t="s">
        <v>335</v>
      </c>
      <c r="N45" t="s">
        <v>447</v>
      </c>
      <c r="AH45" s="236"/>
    </row>
    <row r="46" spans="1:34" x14ac:dyDescent="0.25">
      <c r="A46" s="244">
        <v>603</v>
      </c>
      <c r="B46" s="31"/>
      <c r="C46">
        <v>600</v>
      </c>
      <c r="E46" t="s">
        <v>448</v>
      </c>
      <c r="F46" t="s">
        <v>449</v>
      </c>
      <c r="H46" t="s">
        <v>333</v>
      </c>
      <c r="I46" t="s">
        <v>334</v>
      </c>
      <c r="J46" t="s">
        <v>335</v>
      </c>
      <c r="N46" t="s">
        <v>447</v>
      </c>
      <c r="AH46" s="236"/>
    </row>
    <row r="47" spans="1:34" x14ac:dyDescent="0.25">
      <c r="A47" s="244">
        <v>604</v>
      </c>
      <c r="B47" s="31"/>
      <c r="C47">
        <v>600</v>
      </c>
      <c r="E47" t="s">
        <v>448</v>
      </c>
      <c r="F47" t="s">
        <v>449</v>
      </c>
      <c r="H47" t="s">
        <v>333</v>
      </c>
      <c r="I47" t="s">
        <v>334</v>
      </c>
      <c r="J47" t="s">
        <v>335</v>
      </c>
      <c r="N47" t="s">
        <v>447</v>
      </c>
      <c r="AH47" s="236"/>
    </row>
    <row r="48" spans="1:34" x14ac:dyDescent="0.25">
      <c r="A48" s="244">
        <v>501</v>
      </c>
      <c r="B48" s="31"/>
      <c r="C48">
        <v>500</v>
      </c>
      <c r="E48" t="s">
        <v>448</v>
      </c>
      <c r="F48" t="s">
        <v>449</v>
      </c>
      <c r="H48" t="s">
        <v>333</v>
      </c>
      <c r="I48" t="s">
        <v>334</v>
      </c>
      <c r="J48" t="s">
        <v>335</v>
      </c>
      <c r="N48" t="s">
        <v>447</v>
      </c>
      <c r="AH48" s="236"/>
    </row>
    <row r="49" spans="1:34" x14ac:dyDescent="0.25">
      <c r="A49" s="244">
        <v>501</v>
      </c>
      <c r="B49" s="31"/>
      <c r="C49">
        <v>500</v>
      </c>
      <c r="E49" t="s">
        <v>448</v>
      </c>
      <c r="F49" t="s">
        <v>449</v>
      </c>
      <c r="H49" t="s">
        <v>333</v>
      </c>
      <c r="I49" t="s">
        <v>334</v>
      </c>
      <c r="J49" t="s">
        <v>335</v>
      </c>
      <c r="N49" t="s">
        <v>447</v>
      </c>
      <c r="AH49" s="236"/>
    </row>
    <row r="50" spans="1:34" x14ac:dyDescent="0.25">
      <c r="A50" s="244">
        <v>303</v>
      </c>
      <c r="B50" s="31"/>
      <c r="C50">
        <v>300</v>
      </c>
      <c r="E50" t="s">
        <v>448</v>
      </c>
      <c r="F50" t="s">
        <v>449</v>
      </c>
      <c r="H50" t="s">
        <v>333</v>
      </c>
      <c r="I50" t="s">
        <v>334</v>
      </c>
      <c r="J50" t="s">
        <v>335</v>
      </c>
      <c r="N50" t="s">
        <v>447</v>
      </c>
      <c r="AH50" s="236"/>
    </row>
    <row r="51" spans="1:34" x14ac:dyDescent="0.25">
      <c r="A51" s="244">
        <v>501</v>
      </c>
      <c r="B51" s="31"/>
      <c r="C51">
        <v>500</v>
      </c>
      <c r="E51" t="s">
        <v>448</v>
      </c>
      <c r="F51" t="s">
        <v>449</v>
      </c>
      <c r="H51" t="s">
        <v>333</v>
      </c>
      <c r="I51" t="s">
        <v>334</v>
      </c>
      <c r="J51" t="s">
        <v>335</v>
      </c>
      <c r="N51" t="s">
        <v>447</v>
      </c>
      <c r="AH51" s="236"/>
    </row>
    <row r="52" spans="1:34" x14ac:dyDescent="0.25">
      <c r="A52" s="244">
        <v>501</v>
      </c>
      <c r="B52" s="31"/>
      <c r="C52">
        <v>500</v>
      </c>
      <c r="E52" t="s">
        <v>448</v>
      </c>
      <c r="F52" t="s">
        <v>449</v>
      </c>
      <c r="H52" t="s">
        <v>333</v>
      </c>
      <c r="I52" t="s">
        <v>334</v>
      </c>
      <c r="J52" t="s">
        <v>335</v>
      </c>
      <c r="N52" t="s">
        <v>447</v>
      </c>
      <c r="AH52" s="236"/>
    </row>
    <row r="53" spans="1:34" x14ac:dyDescent="0.25">
      <c r="A53" s="244">
        <v>501</v>
      </c>
      <c r="B53" s="31"/>
      <c r="C53">
        <v>500</v>
      </c>
      <c r="E53" t="s">
        <v>448</v>
      </c>
      <c r="F53" t="s">
        <v>449</v>
      </c>
      <c r="H53" t="s">
        <v>333</v>
      </c>
      <c r="I53" t="s">
        <v>334</v>
      </c>
      <c r="J53" t="s">
        <v>335</v>
      </c>
      <c r="N53" t="s">
        <v>447</v>
      </c>
      <c r="AH53" s="236"/>
    </row>
    <row r="54" spans="1:34" x14ac:dyDescent="0.25">
      <c r="A54" s="244">
        <v>604</v>
      </c>
      <c r="B54" s="31"/>
      <c r="C54">
        <v>600</v>
      </c>
      <c r="E54" t="s">
        <v>448</v>
      </c>
      <c r="F54" t="s">
        <v>449</v>
      </c>
      <c r="H54" t="s">
        <v>333</v>
      </c>
      <c r="I54" t="s">
        <v>334</v>
      </c>
      <c r="J54" t="s">
        <v>335</v>
      </c>
      <c r="N54" t="s">
        <v>447</v>
      </c>
      <c r="AH54" s="236"/>
    </row>
    <row r="55" spans="1:34" x14ac:dyDescent="0.25">
      <c r="A55" s="244">
        <v>903</v>
      </c>
      <c r="B55" s="31"/>
      <c r="C55">
        <v>900</v>
      </c>
      <c r="E55" t="s">
        <v>448</v>
      </c>
      <c r="F55" t="s">
        <v>449</v>
      </c>
      <c r="H55" t="s">
        <v>333</v>
      </c>
      <c r="I55" t="s">
        <v>334</v>
      </c>
      <c r="J55" t="s">
        <v>335</v>
      </c>
      <c r="N55" t="s">
        <v>447</v>
      </c>
      <c r="AH55" s="236"/>
    </row>
    <row r="56" spans="1:34" x14ac:dyDescent="0.25">
      <c r="A56" s="244">
        <v>501</v>
      </c>
      <c r="B56" s="31"/>
      <c r="C56">
        <v>500</v>
      </c>
      <c r="E56" t="s">
        <v>448</v>
      </c>
      <c r="F56" t="s">
        <v>449</v>
      </c>
      <c r="H56" t="s">
        <v>333</v>
      </c>
      <c r="I56" t="s">
        <v>334</v>
      </c>
      <c r="J56" t="s">
        <v>335</v>
      </c>
      <c r="N56" t="s">
        <v>447</v>
      </c>
      <c r="AH56" s="236"/>
    </row>
    <row r="57" spans="1:34" x14ac:dyDescent="0.25">
      <c r="A57" s="244">
        <v>303</v>
      </c>
      <c r="B57" s="31"/>
      <c r="C57">
        <v>300</v>
      </c>
      <c r="E57" t="s">
        <v>448</v>
      </c>
      <c r="F57" t="s">
        <v>449</v>
      </c>
      <c r="H57" t="s">
        <v>333</v>
      </c>
      <c r="I57" t="s">
        <v>334</v>
      </c>
      <c r="J57" t="s">
        <v>335</v>
      </c>
      <c r="N57" t="s">
        <v>447</v>
      </c>
      <c r="AH57" s="236"/>
    </row>
    <row r="58" spans="1:34" x14ac:dyDescent="0.25">
      <c r="A58" s="244">
        <v>303</v>
      </c>
      <c r="B58" s="31"/>
      <c r="C58">
        <v>300</v>
      </c>
      <c r="E58" t="s">
        <v>448</v>
      </c>
      <c r="F58" t="s">
        <v>449</v>
      </c>
      <c r="H58" t="s">
        <v>333</v>
      </c>
      <c r="I58" t="s">
        <v>334</v>
      </c>
      <c r="J58" t="s">
        <v>335</v>
      </c>
      <c r="N58" t="s">
        <v>447</v>
      </c>
      <c r="AH58" s="236"/>
    </row>
    <row r="59" spans="1:34" x14ac:dyDescent="0.25">
      <c r="A59" s="244">
        <v>303</v>
      </c>
      <c r="B59" s="31"/>
      <c r="C59">
        <v>300</v>
      </c>
      <c r="E59" t="s">
        <v>448</v>
      </c>
      <c r="F59" t="s">
        <v>449</v>
      </c>
      <c r="H59" t="s">
        <v>333</v>
      </c>
      <c r="I59" t="s">
        <v>334</v>
      </c>
      <c r="J59" t="s">
        <v>335</v>
      </c>
      <c r="N59" t="s">
        <v>447</v>
      </c>
      <c r="AH59" s="236"/>
    </row>
    <row r="60" spans="1:34" x14ac:dyDescent="0.25">
      <c r="A60" s="244">
        <v>303</v>
      </c>
      <c r="B60" s="31"/>
      <c r="C60">
        <v>300</v>
      </c>
      <c r="E60" t="s">
        <v>448</v>
      </c>
      <c r="F60" t="s">
        <v>449</v>
      </c>
      <c r="H60" t="s">
        <v>333</v>
      </c>
      <c r="I60" t="s">
        <v>334</v>
      </c>
      <c r="J60" t="s">
        <v>335</v>
      </c>
      <c r="N60" t="s">
        <v>447</v>
      </c>
      <c r="AH60" s="236"/>
    </row>
    <row r="61" spans="1:34" x14ac:dyDescent="0.25">
      <c r="A61" s="244">
        <v>303</v>
      </c>
      <c r="B61" s="31"/>
      <c r="C61">
        <v>300</v>
      </c>
      <c r="E61" t="s">
        <v>448</v>
      </c>
      <c r="F61" t="s">
        <v>449</v>
      </c>
      <c r="H61" t="s">
        <v>333</v>
      </c>
      <c r="I61" t="s">
        <v>334</v>
      </c>
      <c r="J61" t="s">
        <v>335</v>
      </c>
      <c r="N61" t="s">
        <v>447</v>
      </c>
      <c r="AH61" s="236"/>
    </row>
    <row r="62" spans="1:34" x14ac:dyDescent="0.25">
      <c r="A62" s="244">
        <v>502</v>
      </c>
      <c r="B62" s="31"/>
      <c r="C62">
        <v>500</v>
      </c>
      <c r="E62" t="s">
        <v>448</v>
      </c>
      <c r="F62" t="s">
        <v>449</v>
      </c>
      <c r="H62" t="s">
        <v>333</v>
      </c>
      <c r="I62" t="s">
        <v>334</v>
      </c>
      <c r="J62" t="s">
        <v>335</v>
      </c>
      <c r="N62" t="s">
        <v>447</v>
      </c>
      <c r="AH62" s="236"/>
    </row>
    <row r="63" spans="1:34" x14ac:dyDescent="0.25">
      <c r="A63" s="244">
        <v>502</v>
      </c>
      <c r="B63" s="31"/>
      <c r="C63">
        <v>500</v>
      </c>
      <c r="E63" t="s">
        <v>448</v>
      </c>
      <c r="F63" t="s">
        <v>449</v>
      </c>
      <c r="H63" t="s">
        <v>333</v>
      </c>
      <c r="I63" t="s">
        <v>334</v>
      </c>
      <c r="J63" t="s">
        <v>335</v>
      </c>
      <c r="N63" t="s">
        <v>447</v>
      </c>
      <c r="AH63" s="236"/>
    </row>
    <row r="64" spans="1:34" x14ac:dyDescent="0.25">
      <c r="A64" s="244">
        <v>303</v>
      </c>
      <c r="B64" s="31"/>
      <c r="C64">
        <v>300</v>
      </c>
      <c r="E64" t="s">
        <v>448</v>
      </c>
      <c r="F64" t="s">
        <v>449</v>
      </c>
      <c r="H64" t="s">
        <v>333</v>
      </c>
      <c r="I64" t="s">
        <v>334</v>
      </c>
      <c r="J64" t="s">
        <v>335</v>
      </c>
      <c r="N64" t="s">
        <v>447</v>
      </c>
      <c r="AH64" s="236"/>
    </row>
    <row r="65" spans="1:34" ht="15.75" thickBot="1" x14ac:dyDescent="0.3">
      <c r="A65" s="245">
        <v>104</v>
      </c>
      <c r="B65" s="39"/>
      <c r="C65" s="40">
        <v>100</v>
      </c>
      <c r="D65" s="40" t="s">
        <v>340</v>
      </c>
      <c r="E65" s="40" t="s">
        <v>448</v>
      </c>
      <c r="F65" s="40" t="s">
        <v>449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447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37"/>
    </row>
    <row r="66" spans="1:34" ht="15.75" thickTop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5703125" bestFit="1" customWidth="1"/>
    <col min="6" max="6" width="43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53">
        <v>109</v>
      </c>
      <c r="B2" s="38"/>
      <c r="C2" s="53">
        <v>100</v>
      </c>
      <c r="D2" s="53" t="s">
        <v>339</v>
      </c>
      <c r="E2" s="53" t="s">
        <v>454</v>
      </c>
      <c r="F2" s="53" t="s">
        <v>455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453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47"/>
    </row>
    <row r="3" spans="1:34" x14ac:dyDescent="0.25">
      <c r="A3" s="256">
        <v>604</v>
      </c>
      <c r="B3" s="31"/>
      <c r="C3">
        <v>600</v>
      </c>
      <c r="E3" t="s">
        <v>454</v>
      </c>
      <c r="F3" t="s">
        <v>455</v>
      </c>
      <c r="H3" t="s">
        <v>333</v>
      </c>
      <c r="I3" t="s">
        <v>334</v>
      </c>
      <c r="J3" t="s">
        <v>335</v>
      </c>
      <c r="N3" t="s">
        <v>453</v>
      </c>
      <c r="AH3" s="248"/>
    </row>
    <row r="4" spans="1:34" x14ac:dyDescent="0.25">
      <c r="A4" s="256">
        <v>501</v>
      </c>
      <c r="B4" s="31"/>
      <c r="C4">
        <v>500</v>
      </c>
      <c r="E4" t="s">
        <v>454</v>
      </c>
      <c r="F4" t="s">
        <v>455</v>
      </c>
      <c r="H4" t="s">
        <v>333</v>
      </c>
      <c r="I4" t="s">
        <v>334</v>
      </c>
      <c r="J4" t="s">
        <v>335</v>
      </c>
      <c r="N4" t="s">
        <v>453</v>
      </c>
      <c r="AH4" s="248"/>
    </row>
    <row r="5" spans="1:34" x14ac:dyDescent="0.25">
      <c r="A5" s="256">
        <v>501</v>
      </c>
      <c r="B5" s="31"/>
      <c r="C5">
        <v>500</v>
      </c>
      <c r="E5" t="s">
        <v>454</v>
      </c>
      <c r="F5" t="s">
        <v>455</v>
      </c>
      <c r="H5" t="s">
        <v>333</v>
      </c>
      <c r="I5" t="s">
        <v>334</v>
      </c>
      <c r="J5" t="s">
        <v>335</v>
      </c>
      <c r="N5" t="s">
        <v>453</v>
      </c>
      <c r="AH5" s="248"/>
    </row>
    <row r="6" spans="1:34" x14ac:dyDescent="0.25">
      <c r="A6" s="256">
        <v>501</v>
      </c>
      <c r="B6" s="31"/>
      <c r="C6">
        <v>500</v>
      </c>
      <c r="E6" t="s">
        <v>454</v>
      </c>
      <c r="F6" t="s">
        <v>455</v>
      </c>
      <c r="H6" t="s">
        <v>333</v>
      </c>
      <c r="I6" t="s">
        <v>334</v>
      </c>
      <c r="J6" t="s">
        <v>335</v>
      </c>
      <c r="N6" t="s">
        <v>453</v>
      </c>
      <c r="AH6" s="248"/>
    </row>
    <row r="7" spans="1:34" x14ac:dyDescent="0.25">
      <c r="A7" s="256">
        <v>102</v>
      </c>
      <c r="B7" s="31"/>
      <c r="C7">
        <v>100</v>
      </c>
      <c r="E7" t="s">
        <v>454</v>
      </c>
      <c r="F7" t="s">
        <v>455</v>
      </c>
      <c r="H7" t="s">
        <v>333</v>
      </c>
      <c r="I7" t="s">
        <v>334</v>
      </c>
      <c r="J7" t="s">
        <v>335</v>
      </c>
      <c r="N7" t="s">
        <v>453</v>
      </c>
      <c r="AH7" s="248"/>
    </row>
    <row r="8" spans="1:34" x14ac:dyDescent="0.25">
      <c r="A8" s="256">
        <v>501</v>
      </c>
      <c r="B8" s="31"/>
      <c r="C8">
        <v>500</v>
      </c>
      <c r="E8" t="s">
        <v>454</v>
      </c>
      <c r="F8" t="s">
        <v>455</v>
      </c>
      <c r="H8" t="s">
        <v>333</v>
      </c>
      <c r="I8" t="s">
        <v>334</v>
      </c>
      <c r="J8" t="s">
        <v>335</v>
      </c>
      <c r="N8" t="s">
        <v>453</v>
      </c>
      <c r="AH8" s="248"/>
    </row>
    <row r="9" spans="1:34" x14ac:dyDescent="0.25">
      <c r="A9" s="256">
        <v>104</v>
      </c>
      <c r="B9" s="31"/>
      <c r="C9">
        <v>100</v>
      </c>
      <c r="E9" t="s">
        <v>454</v>
      </c>
      <c r="F9" t="s">
        <v>455</v>
      </c>
      <c r="H9" t="s">
        <v>333</v>
      </c>
      <c r="I9" t="s">
        <v>334</v>
      </c>
      <c r="J9" t="s">
        <v>335</v>
      </c>
      <c r="N9" t="s">
        <v>453</v>
      </c>
      <c r="AH9" s="248"/>
    </row>
    <row r="10" spans="1:34" x14ac:dyDescent="0.25">
      <c r="A10" s="256">
        <v>102</v>
      </c>
      <c r="B10" s="31"/>
      <c r="C10">
        <v>100</v>
      </c>
      <c r="E10" t="s">
        <v>454</v>
      </c>
      <c r="F10" t="s">
        <v>455</v>
      </c>
      <c r="H10" t="s">
        <v>333</v>
      </c>
      <c r="I10" t="s">
        <v>334</v>
      </c>
      <c r="J10" t="s">
        <v>335</v>
      </c>
      <c r="N10" t="s">
        <v>453</v>
      </c>
      <c r="AH10" s="248"/>
    </row>
    <row r="11" spans="1:34" x14ac:dyDescent="0.25">
      <c r="A11" s="256">
        <v>109</v>
      </c>
      <c r="B11" s="31"/>
      <c r="C11">
        <v>100</v>
      </c>
      <c r="E11" t="s">
        <v>454</v>
      </c>
      <c r="F11" t="s">
        <v>455</v>
      </c>
      <c r="H11" t="s">
        <v>333</v>
      </c>
      <c r="I11" t="s">
        <v>334</v>
      </c>
      <c r="J11" t="s">
        <v>335</v>
      </c>
      <c r="N11" t="s">
        <v>453</v>
      </c>
      <c r="AH11" s="248"/>
    </row>
    <row r="12" spans="1:34" x14ac:dyDescent="0.25">
      <c r="A12" s="256">
        <v>501</v>
      </c>
      <c r="B12" s="31"/>
      <c r="C12">
        <v>500</v>
      </c>
      <c r="E12" t="s">
        <v>454</v>
      </c>
      <c r="F12" t="s">
        <v>455</v>
      </c>
      <c r="H12" t="s">
        <v>333</v>
      </c>
      <c r="I12" t="s">
        <v>334</v>
      </c>
      <c r="J12" t="s">
        <v>335</v>
      </c>
      <c r="N12" t="s">
        <v>453</v>
      </c>
      <c r="AH12" s="248"/>
    </row>
    <row r="13" spans="1:34" x14ac:dyDescent="0.25">
      <c r="A13" s="256">
        <v>903</v>
      </c>
      <c r="B13" s="31"/>
      <c r="C13">
        <v>900</v>
      </c>
      <c r="E13" t="s">
        <v>454</v>
      </c>
      <c r="F13" t="s">
        <v>455</v>
      </c>
      <c r="H13" t="s">
        <v>333</v>
      </c>
      <c r="I13" t="s">
        <v>334</v>
      </c>
      <c r="J13" t="s">
        <v>335</v>
      </c>
      <c r="N13" t="s">
        <v>453</v>
      </c>
      <c r="AH13" s="248"/>
    </row>
    <row r="14" spans="1:34" x14ac:dyDescent="0.25">
      <c r="A14" s="256">
        <v>501</v>
      </c>
      <c r="B14" s="31"/>
      <c r="C14">
        <v>500</v>
      </c>
      <c r="E14" t="s">
        <v>454</v>
      </c>
      <c r="F14" t="s">
        <v>455</v>
      </c>
      <c r="H14" t="s">
        <v>333</v>
      </c>
      <c r="I14" t="s">
        <v>334</v>
      </c>
      <c r="J14" t="s">
        <v>335</v>
      </c>
      <c r="N14" t="s">
        <v>453</v>
      </c>
      <c r="AH14" s="248"/>
    </row>
    <row r="15" spans="1:34" x14ac:dyDescent="0.25">
      <c r="A15" s="256">
        <v>603</v>
      </c>
      <c r="B15" s="31"/>
      <c r="C15">
        <v>600</v>
      </c>
      <c r="E15" t="s">
        <v>454</v>
      </c>
      <c r="F15" t="s">
        <v>455</v>
      </c>
      <c r="H15" t="s">
        <v>333</v>
      </c>
      <c r="I15" t="s">
        <v>334</v>
      </c>
      <c r="J15" t="s">
        <v>335</v>
      </c>
      <c r="N15" t="s">
        <v>453</v>
      </c>
      <c r="AH15" s="248"/>
    </row>
    <row r="16" spans="1:34" x14ac:dyDescent="0.25">
      <c r="A16" s="256">
        <v>109</v>
      </c>
      <c r="B16" s="31"/>
      <c r="C16">
        <v>100</v>
      </c>
      <c r="E16" t="s">
        <v>454</v>
      </c>
      <c r="F16" t="s">
        <v>455</v>
      </c>
      <c r="H16" t="s">
        <v>333</v>
      </c>
      <c r="I16" t="s">
        <v>334</v>
      </c>
      <c r="J16" t="s">
        <v>335</v>
      </c>
      <c r="N16" t="s">
        <v>453</v>
      </c>
      <c r="AH16" s="248"/>
    </row>
    <row r="17" spans="1:34" x14ac:dyDescent="0.25">
      <c r="A17" s="256">
        <v>501</v>
      </c>
      <c r="B17" s="31"/>
      <c r="C17">
        <v>500</v>
      </c>
      <c r="E17" t="s">
        <v>454</v>
      </c>
      <c r="F17" t="s">
        <v>455</v>
      </c>
      <c r="H17" t="s">
        <v>333</v>
      </c>
      <c r="I17" t="s">
        <v>334</v>
      </c>
      <c r="J17" t="s">
        <v>335</v>
      </c>
      <c r="N17" t="s">
        <v>453</v>
      </c>
      <c r="AH17" s="248"/>
    </row>
    <row r="18" spans="1:34" x14ac:dyDescent="0.25">
      <c r="A18" s="256">
        <v>501</v>
      </c>
      <c r="B18" s="31"/>
      <c r="C18">
        <v>500</v>
      </c>
      <c r="E18" t="s">
        <v>454</v>
      </c>
      <c r="F18" t="s">
        <v>455</v>
      </c>
      <c r="H18" t="s">
        <v>333</v>
      </c>
      <c r="I18" t="s">
        <v>334</v>
      </c>
      <c r="J18" t="s">
        <v>335</v>
      </c>
      <c r="N18" t="s">
        <v>453</v>
      </c>
      <c r="AH18" s="248"/>
    </row>
    <row r="19" spans="1:34" x14ac:dyDescent="0.25">
      <c r="A19" s="256">
        <v>903</v>
      </c>
      <c r="B19" s="31"/>
      <c r="C19">
        <v>900</v>
      </c>
      <c r="E19" t="s">
        <v>454</v>
      </c>
      <c r="F19" t="s">
        <v>455</v>
      </c>
      <c r="H19" t="s">
        <v>333</v>
      </c>
      <c r="I19" t="s">
        <v>334</v>
      </c>
      <c r="J19" t="s">
        <v>335</v>
      </c>
      <c r="N19" t="s">
        <v>453</v>
      </c>
      <c r="AH19" s="248"/>
    </row>
    <row r="20" spans="1:34" x14ac:dyDescent="0.25">
      <c r="A20" s="256">
        <v>109</v>
      </c>
      <c r="B20" s="31"/>
      <c r="C20">
        <v>100</v>
      </c>
      <c r="E20" t="s">
        <v>454</v>
      </c>
      <c r="F20" t="s">
        <v>455</v>
      </c>
      <c r="H20" t="s">
        <v>333</v>
      </c>
      <c r="I20" t="s">
        <v>334</v>
      </c>
      <c r="J20" t="s">
        <v>335</v>
      </c>
      <c r="N20" t="s">
        <v>453</v>
      </c>
      <c r="AH20" s="248"/>
    </row>
    <row r="21" spans="1:34" x14ac:dyDescent="0.25">
      <c r="A21" s="256">
        <v>903</v>
      </c>
      <c r="B21" s="31"/>
      <c r="C21">
        <v>900</v>
      </c>
      <c r="E21" t="s">
        <v>454</v>
      </c>
      <c r="F21" t="s">
        <v>455</v>
      </c>
      <c r="H21" t="s">
        <v>333</v>
      </c>
      <c r="I21" t="s">
        <v>334</v>
      </c>
      <c r="J21" t="s">
        <v>335</v>
      </c>
      <c r="N21" t="s">
        <v>453</v>
      </c>
      <c r="AH21" s="248"/>
    </row>
    <row r="22" spans="1:34" x14ac:dyDescent="0.25">
      <c r="A22" s="256">
        <v>903</v>
      </c>
      <c r="B22" s="31"/>
      <c r="C22">
        <v>900</v>
      </c>
      <c r="E22" t="s">
        <v>454</v>
      </c>
      <c r="F22" t="s">
        <v>455</v>
      </c>
      <c r="H22" t="s">
        <v>333</v>
      </c>
      <c r="I22" t="s">
        <v>334</v>
      </c>
      <c r="J22" t="s">
        <v>335</v>
      </c>
      <c r="N22" t="s">
        <v>453</v>
      </c>
      <c r="AH22" s="248"/>
    </row>
    <row r="23" spans="1:34" x14ac:dyDescent="0.25">
      <c r="A23" s="256">
        <v>109</v>
      </c>
      <c r="B23" s="31"/>
      <c r="C23">
        <v>100</v>
      </c>
      <c r="E23" t="s">
        <v>454</v>
      </c>
      <c r="F23" t="s">
        <v>455</v>
      </c>
      <c r="H23" t="s">
        <v>333</v>
      </c>
      <c r="I23" t="s">
        <v>334</v>
      </c>
      <c r="J23" t="s">
        <v>335</v>
      </c>
      <c r="N23" t="s">
        <v>453</v>
      </c>
      <c r="AH23" s="248"/>
    </row>
    <row r="24" spans="1:34" x14ac:dyDescent="0.25">
      <c r="A24" s="256">
        <v>501</v>
      </c>
      <c r="B24" s="31"/>
      <c r="C24">
        <v>500</v>
      </c>
      <c r="E24" t="s">
        <v>454</v>
      </c>
      <c r="F24" t="s">
        <v>455</v>
      </c>
      <c r="H24" t="s">
        <v>333</v>
      </c>
      <c r="I24" t="s">
        <v>334</v>
      </c>
      <c r="J24" t="s">
        <v>335</v>
      </c>
      <c r="N24" t="s">
        <v>453</v>
      </c>
      <c r="AH24" s="248"/>
    </row>
    <row r="25" spans="1:34" x14ac:dyDescent="0.25">
      <c r="A25" s="256">
        <v>603</v>
      </c>
      <c r="B25" s="31"/>
      <c r="C25">
        <v>600</v>
      </c>
      <c r="E25" t="s">
        <v>454</v>
      </c>
      <c r="F25" t="s">
        <v>455</v>
      </c>
      <c r="H25" t="s">
        <v>333</v>
      </c>
      <c r="I25" t="s">
        <v>334</v>
      </c>
      <c r="J25" t="s">
        <v>335</v>
      </c>
      <c r="N25" t="s">
        <v>453</v>
      </c>
      <c r="AH25" s="248"/>
    </row>
    <row r="26" spans="1:34" x14ac:dyDescent="0.25">
      <c r="A26" s="256">
        <v>501</v>
      </c>
      <c r="B26" s="31"/>
      <c r="C26">
        <v>500</v>
      </c>
      <c r="E26" t="s">
        <v>454</v>
      </c>
      <c r="F26" t="s">
        <v>455</v>
      </c>
      <c r="H26" t="s">
        <v>333</v>
      </c>
      <c r="I26" t="s">
        <v>334</v>
      </c>
      <c r="J26" t="s">
        <v>335</v>
      </c>
      <c r="N26" t="s">
        <v>453</v>
      </c>
      <c r="AH26" s="248"/>
    </row>
    <row r="27" spans="1:34" x14ac:dyDescent="0.25">
      <c r="A27" s="256">
        <v>501</v>
      </c>
      <c r="B27" s="31"/>
      <c r="C27">
        <v>500</v>
      </c>
      <c r="E27" t="s">
        <v>454</v>
      </c>
      <c r="F27" t="s">
        <v>455</v>
      </c>
      <c r="H27" t="s">
        <v>333</v>
      </c>
      <c r="I27" t="s">
        <v>334</v>
      </c>
      <c r="J27" t="s">
        <v>335</v>
      </c>
      <c r="N27" t="s">
        <v>453</v>
      </c>
      <c r="AH27" s="248"/>
    </row>
    <row r="28" spans="1:34" x14ac:dyDescent="0.25">
      <c r="A28" s="256">
        <v>603</v>
      </c>
      <c r="B28" s="31"/>
      <c r="C28">
        <v>600</v>
      </c>
      <c r="E28" t="s">
        <v>454</v>
      </c>
      <c r="F28" t="s">
        <v>455</v>
      </c>
      <c r="H28" t="s">
        <v>333</v>
      </c>
      <c r="I28" t="s">
        <v>334</v>
      </c>
      <c r="J28" t="s">
        <v>335</v>
      </c>
      <c r="N28" t="s">
        <v>453</v>
      </c>
      <c r="AH28" s="248"/>
    </row>
    <row r="29" spans="1:34" x14ac:dyDescent="0.25">
      <c r="A29" s="256">
        <v>109</v>
      </c>
      <c r="B29" s="31"/>
      <c r="C29">
        <v>100</v>
      </c>
      <c r="E29" t="s">
        <v>454</v>
      </c>
      <c r="F29" t="s">
        <v>455</v>
      </c>
      <c r="H29" t="s">
        <v>333</v>
      </c>
      <c r="I29" t="s">
        <v>334</v>
      </c>
      <c r="J29" t="s">
        <v>335</v>
      </c>
      <c r="N29" t="s">
        <v>453</v>
      </c>
      <c r="AH29" s="248"/>
    </row>
    <row r="30" spans="1:34" x14ac:dyDescent="0.25">
      <c r="A30" s="256">
        <v>109</v>
      </c>
      <c r="B30" s="31"/>
      <c r="C30">
        <v>100</v>
      </c>
      <c r="E30" t="s">
        <v>454</v>
      </c>
      <c r="F30" t="s">
        <v>455</v>
      </c>
      <c r="H30" t="s">
        <v>333</v>
      </c>
      <c r="I30" t="s">
        <v>334</v>
      </c>
      <c r="J30" t="s">
        <v>335</v>
      </c>
      <c r="N30" t="s">
        <v>453</v>
      </c>
      <c r="AH30" s="248"/>
    </row>
    <row r="31" spans="1:34" x14ac:dyDescent="0.25">
      <c r="A31" s="256">
        <v>903</v>
      </c>
      <c r="B31" s="31"/>
      <c r="C31">
        <v>900</v>
      </c>
      <c r="E31" t="s">
        <v>454</v>
      </c>
      <c r="F31" t="s">
        <v>455</v>
      </c>
      <c r="H31" t="s">
        <v>333</v>
      </c>
      <c r="I31" t="s">
        <v>334</v>
      </c>
      <c r="J31" t="s">
        <v>335</v>
      </c>
      <c r="N31" t="s">
        <v>453</v>
      </c>
      <c r="AH31" s="248"/>
    </row>
    <row r="32" spans="1:34" x14ac:dyDescent="0.25">
      <c r="A32" s="256">
        <v>903</v>
      </c>
      <c r="B32" s="31"/>
      <c r="C32">
        <v>900</v>
      </c>
      <c r="E32" t="s">
        <v>454</v>
      </c>
      <c r="F32" t="s">
        <v>455</v>
      </c>
      <c r="H32" t="s">
        <v>333</v>
      </c>
      <c r="I32" t="s">
        <v>334</v>
      </c>
      <c r="J32" t="s">
        <v>335</v>
      </c>
      <c r="N32" t="s">
        <v>453</v>
      </c>
      <c r="AH32" s="248"/>
    </row>
    <row r="33" spans="1:34" x14ac:dyDescent="0.25">
      <c r="A33" s="256">
        <v>501</v>
      </c>
      <c r="B33" s="31"/>
      <c r="C33">
        <v>500</v>
      </c>
      <c r="E33" t="s">
        <v>454</v>
      </c>
      <c r="F33" t="s">
        <v>455</v>
      </c>
      <c r="H33" t="s">
        <v>333</v>
      </c>
      <c r="I33" t="s">
        <v>334</v>
      </c>
      <c r="J33" t="s">
        <v>335</v>
      </c>
      <c r="N33" t="s">
        <v>453</v>
      </c>
      <c r="AH33" s="248"/>
    </row>
    <row r="34" spans="1:34" x14ac:dyDescent="0.25">
      <c r="A34" s="256">
        <v>303</v>
      </c>
      <c r="B34" s="31"/>
      <c r="C34">
        <v>300</v>
      </c>
      <c r="E34" t="s">
        <v>454</v>
      </c>
      <c r="F34" t="s">
        <v>455</v>
      </c>
      <c r="H34" t="s">
        <v>333</v>
      </c>
      <c r="I34" t="s">
        <v>334</v>
      </c>
      <c r="J34" t="s">
        <v>335</v>
      </c>
      <c r="N34" t="s">
        <v>453</v>
      </c>
      <c r="AH34" s="248"/>
    </row>
    <row r="35" spans="1:34" x14ac:dyDescent="0.25">
      <c r="A35" s="256">
        <v>603</v>
      </c>
      <c r="B35" s="31"/>
      <c r="C35">
        <v>600</v>
      </c>
      <c r="E35" t="s">
        <v>454</v>
      </c>
      <c r="F35" t="s">
        <v>455</v>
      </c>
      <c r="H35" t="s">
        <v>333</v>
      </c>
      <c r="I35" t="s">
        <v>334</v>
      </c>
      <c r="J35" t="s">
        <v>335</v>
      </c>
      <c r="N35" t="s">
        <v>453</v>
      </c>
      <c r="AH35" s="248"/>
    </row>
    <row r="36" spans="1:34" x14ac:dyDescent="0.25">
      <c r="A36" s="256">
        <v>603</v>
      </c>
      <c r="B36" s="31"/>
      <c r="C36">
        <v>600</v>
      </c>
      <c r="E36" t="s">
        <v>454</v>
      </c>
      <c r="F36" t="s">
        <v>455</v>
      </c>
      <c r="H36" t="s">
        <v>333</v>
      </c>
      <c r="I36" t="s">
        <v>334</v>
      </c>
      <c r="J36" t="s">
        <v>335</v>
      </c>
      <c r="N36" t="s">
        <v>453</v>
      </c>
      <c r="AH36" s="248"/>
    </row>
    <row r="37" spans="1:34" x14ac:dyDescent="0.25">
      <c r="A37" s="256">
        <v>109</v>
      </c>
      <c r="B37" s="31"/>
      <c r="C37">
        <v>100</v>
      </c>
      <c r="E37" t="s">
        <v>454</v>
      </c>
      <c r="F37" t="s">
        <v>455</v>
      </c>
      <c r="H37" t="s">
        <v>333</v>
      </c>
      <c r="I37" t="s">
        <v>334</v>
      </c>
      <c r="J37" t="s">
        <v>335</v>
      </c>
      <c r="N37" t="s">
        <v>453</v>
      </c>
      <c r="AH37" s="248"/>
    </row>
    <row r="38" spans="1:34" x14ac:dyDescent="0.25">
      <c r="A38" s="256">
        <v>109</v>
      </c>
      <c r="B38" s="31"/>
      <c r="C38">
        <v>100</v>
      </c>
      <c r="E38" t="s">
        <v>454</v>
      </c>
      <c r="F38" t="s">
        <v>455</v>
      </c>
      <c r="H38" t="s">
        <v>333</v>
      </c>
      <c r="I38" t="s">
        <v>334</v>
      </c>
      <c r="J38" t="s">
        <v>335</v>
      </c>
      <c r="N38" t="s">
        <v>453</v>
      </c>
      <c r="AH38" s="248"/>
    </row>
    <row r="39" spans="1:34" x14ac:dyDescent="0.25">
      <c r="A39" s="256">
        <v>903</v>
      </c>
      <c r="B39" s="31"/>
      <c r="C39">
        <v>900</v>
      </c>
      <c r="E39" t="s">
        <v>454</v>
      </c>
      <c r="F39" t="s">
        <v>455</v>
      </c>
      <c r="H39" t="s">
        <v>333</v>
      </c>
      <c r="I39" t="s">
        <v>334</v>
      </c>
      <c r="J39" t="s">
        <v>335</v>
      </c>
      <c r="N39" t="s">
        <v>453</v>
      </c>
      <c r="AH39" s="248"/>
    </row>
    <row r="40" spans="1:34" x14ac:dyDescent="0.25">
      <c r="A40" s="256">
        <v>903</v>
      </c>
      <c r="B40" s="31"/>
      <c r="C40">
        <v>900</v>
      </c>
      <c r="E40" t="s">
        <v>454</v>
      </c>
      <c r="F40" t="s">
        <v>455</v>
      </c>
      <c r="H40" t="s">
        <v>333</v>
      </c>
      <c r="I40" t="s">
        <v>334</v>
      </c>
      <c r="J40" t="s">
        <v>335</v>
      </c>
      <c r="N40" t="s">
        <v>453</v>
      </c>
      <c r="AH40" s="248"/>
    </row>
    <row r="41" spans="1:34" x14ac:dyDescent="0.25">
      <c r="A41" s="256">
        <v>501</v>
      </c>
      <c r="B41" s="31"/>
      <c r="C41">
        <v>500</v>
      </c>
      <c r="E41" t="s">
        <v>454</v>
      </c>
      <c r="F41" t="s">
        <v>455</v>
      </c>
      <c r="H41" t="s">
        <v>333</v>
      </c>
      <c r="I41" t="s">
        <v>334</v>
      </c>
      <c r="J41" t="s">
        <v>335</v>
      </c>
      <c r="N41" t="s">
        <v>453</v>
      </c>
      <c r="AH41" s="248"/>
    </row>
    <row r="42" spans="1:34" x14ac:dyDescent="0.25">
      <c r="A42" s="256">
        <v>104</v>
      </c>
      <c r="B42" s="31"/>
      <c r="C42">
        <v>100</v>
      </c>
      <c r="E42" t="s">
        <v>454</v>
      </c>
      <c r="F42" t="s">
        <v>455</v>
      </c>
      <c r="H42" t="s">
        <v>333</v>
      </c>
      <c r="I42" t="s">
        <v>334</v>
      </c>
      <c r="J42" t="s">
        <v>335</v>
      </c>
      <c r="N42" t="s">
        <v>453</v>
      </c>
      <c r="AH42" s="248"/>
    </row>
    <row r="43" spans="1:34" x14ac:dyDescent="0.25">
      <c r="A43" s="256">
        <v>501</v>
      </c>
      <c r="B43" s="31"/>
      <c r="C43">
        <v>500</v>
      </c>
      <c r="E43" t="s">
        <v>454</v>
      </c>
      <c r="F43" t="s">
        <v>455</v>
      </c>
      <c r="H43" t="s">
        <v>333</v>
      </c>
      <c r="I43" t="s">
        <v>334</v>
      </c>
      <c r="J43" t="s">
        <v>335</v>
      </c>
      <c r="N43" t="s">
        <v>453</v>
      </c>
      <c r="AH43" s="248"/>
    </row>
    <row r="44" spans="1:34" x14ac:dyDescent="0.25">
      <c r="A44" s="256">
        <v>109</v>
      </c>
      <c r="B44" s="31"/>
      <c r="C44">
        <v>100</v>
      </c>
      <c r="E44" t="s">
        <v>454</v>
      </c>
      <c r="F44" t="s">
        <v>455</v>
      </c>
      <c r="H44" t="s">
        <v>333</v>
      </c>
      <c r="I44" t="s">
        <v>334</v>
      </c>
      <c r="J44" t="s">
        <v>335</v>
      </c>
      <c r="N44" t="s">
        <v>453</v>
      </c>
      <c r="AH44" s="248"/>
    </row>
    <row r="45" spans="1:34" x14ac:dyDescent="0.25">
      <c r="A45" s="256">
        <v>903</v>
      </c>
      <c r="B45" s="31"/>
      <c r="C45">
        <v>900</v>
      </c>
      <c r="E45" t="s">
        <v>454</v>
      </c>
      <c r="F45" t="s">
        <v>455</v>
      </c>
      <c r="H45" t="s">
        <v>333</v>
      </c>
      <c r="I45" t="s">
        <v>334</v>
      </c>
      <c r="J45" t="s">
        <v>335</v>
      </c>
      <c r="N45" t="s">
        <v>453</v>
      </c>
      <c r="AH45" s="248"/>
    </row>
    <row r="46" spans="1:34" x14ac:dyDescent="0.25">
      <c r="A46" s="256">
        <v>501</v>
      </c>
      <c r="B46" s="31"/>
      <c r="C46">
        <v>500</v>
      </c>
      <c r="E46" t="s">
        <v>454</v>
      </c>
      <c r="F46" t="s">
        <v>455</v>
      </c>
      <c r="H46" t="s">
        <v>333</v>
      </c>
      <c r="I46" t="s">
        <v>334</v>
      </c>
      <c r="J46" t="s">
        <v>335</v>
      </c>
      <c r="N46" t="s">
        <v>453</v>
      </c>
      <c r="AH46" s="248"/>
    </row>
    <row r="47" spans="1:34" x14ac:dyDescent="0.25">
      <c r="A47" s="256">
        <v>109</v>
      </c>
      <c r="B47" s="31"/>
      <c r="C47">
        <v>100</v>
      </c>
      <c r="E47" t="s">
        <v>454</v>
      </c>
      <c r="F47" t="s">
        <v>455</v>
      </c>
      <c r="H47" t="s">
        <v>333</v>
      </c>
      <c r="I47" t="s">
        <v>334</v>
      </c>
      <c r="J47" t="s">
        <v>335</v>
      </c>
      <c r="N47" t="s">
        <v>453</v>
      </c>
      <c r="AH47" s="248"/>
    </row>
    <row r="48" spans="1:34" x14ac:dyDescent="0.25">
      <c r="A48" s="256">
        <v>501</v>
      </c>
      <c r="B48" s="31"/>
      <c r="C48">
        <v>500</v>
      </c>
      <c r="E48" t="s">
        <v>454</v>
      </c>
      <c r="F48" t="s">
        <v>455</v>
      </c>
      <c r="H48" t="s">
        <v>333</v>
      </c>
      <c r="I48" t="s">
        <v>334</v>
      </c>
      <c r="J48" t="s">
        <v>335</v>
      </c>
      <c r="N48" t="s">
        <v>453</v>
      </c>
      <c r="AH48" s="248"/>
    </row>
    <row r="49" spans="1:34" x14ac:dyDescent="0.25">
      <c r="A49" s="256">
        <v>903</v>
      </c>
      <c r="B49" s="31"/>
      <c r="C49">
        <v>900</v>
      </c>
      <c r="E49" t="s">
        <v>454</v>
      </c>
      <c r="F49" t="s">
        <v>455</v>
      </c>
      <c r="H49" t="s">
        <v>333</v>
      </c>
      <c r="I49" t="s">
        <v>334</v>
      </c>
      <c r="J49" t="s">
        <v>335</v>
      </c>
      <c r="N49" t="s">
        <v>453</v>
      </c>
      <c r="AH49" s="248"/>
    </row>
    <row r="50" spans="1:34" x14ac:dyDescent="0.25">
      <c r="A50" s="256">
        <v>104</v>
      </c>
      <c r="B50" s="31"/>
      <c r="C50">
        <v>100</v>
      </c>
      <c r="E50" t="s">
        <v>454</v>
      </c>
      <c r="F50" t="s">
        <v>455</v>
      </c>
      <c r="H50" t="s">
        <v>333</v>
      </c>
      <c r="I50" t="s">
        <v>334</v>
      </c>
      <c r="J50" t="s">
        <v>335</v>
      </c>
      <c r="N50" t="s">
        <v>453</v>
      </c>
      <c r="AH50" s="248"/>
    </row>
    <row r="51" spans="1:34" x14ac:dyDescent="0.25">
      <c r="A51" s="256">
        <v>109</v>
      </c>
      <c r="B51" s="31"/>
      <c r="C51">
        <v>100</v>
      </c>
      <c r="E51" t="s">
        <v>454</v>
      </c>
      <c r="F51" t="s">
        <v>455</v>
      </c>
      <c r="H51" t="s">
        <v>333</v>
      </c>
      <c r="I51" t="s">
        <v>334</v>
      </c>
      <c r="J51" t="s">
        <v>335</v>
      </c>
      <c r="N51" t="s">
        <v>453</v>
      </c>
      <c r="AH51" s="248"/>
    </row>
    <row r="52" spans="1:34" x14ac:dyDescent="0.25">
      <c r="A52" s="256">
        <v>102</v>
      </c>
      <c r="B52" s="31"/>
      <c r="C52">
        <v>100</v>
      </c>
      <c r="E52" t="s">
        <v>454</v>
      </c>
      <c r="F52" t="s">
        <v>455</v>
      </c>
      <c r="H52" t="s">
        <v>333</v>
      </c>
      <c r="I52" t="s">
        <v>334</v>
      </c>
      <c r="J52" t="s">
        <v>335</v>
      </c>
      <c r="N52" t="s">
        <v>453</v>
      </c>
      <c r="AH52" s="248"/>
    </row>
    <row r="53" spans="1:34" x14ac:dyDescent="0.25">
      <c r="A53" s="256">
        <v>501</v>
      </c>
      <c r="B53" s="31"/>
      <c r="C53">
        <v>500</v>
      </c>
      <c r="E53" t="s">
        <v>454</v>
      </c>
      <c r="F53" t="s">
        <v>455</v>
      </c>
      <c r="H53" t="s">
        <v>333</v>
      </c>
      <c r="I53" t="s">
        <v>334</v>
      </c>
      <c r="J53" t="s">
        <v>335</v>
      </c>
      <c r="N53" t="s">
        <v>453</v>
      </c>
      <c r="AH53" s="248"/>
    </row>
    <row r="54" spans="1:34" x14ac:dyDescent="0.25">
      <c r="A54" s="256">
        <v>501</v>
      </c>
      <c r="B54" s="31"/>
      <c r="C54">
        <v>500</v>
      </c>
      <c r="E54" t="s">
        <v>454</v>
      </c>
      <c r="F54" t="s">
        <v>455</v>
      </c>
      <c r="H54" t="s">
        <v>333</v>
      </c>
      <c r="I54" t="s">
        <v>334</v>
      </c>
      <c r="J54" t="s">
        <v>335</v>
      </c>
      <c r="N54" t="s">
        <v>453</v>
      </c>
      <c r="AH54" s="248"/>
    </row>
    <row r="55" spans="1:34" x14ac:dyDescent="0.25">
      <c r="A55" s="256">
        <v>501</v>
      </c>
      <c r="B55" s="31"/>
      <c r="C55">
        <v>500</v>
      </c>
      <c r="E55" t="s">
        <v>454</v>
      </c>
      <c r="F55" t="s">
        <v>455</v>
      </c>
      <c r="H55" t="s">
        <v>333</v>
      </c>
      <c r="I55" t="s">
        <v>334</v>
      </c>
      <c r="J55" t="s">
        <v>335</v>
      </c>
      <c r="N55" t="s">
        <v>453</v>
      </c>
      <c r="AH55" s="248"/>
    </row>
    <row r="56" spans="1:34" x14ac:dyDescent="0.25">
      <c r="A56" s="256">
        <v>109</v>
      </c>
      <c r="B56" s="31"/>
      <c r="C56">
        <v>100</v>
      </c>
      <c r="E56" t="s">
        <v>454</v>
      </c>
      <c r="F56" t="s">
        <v>455</v>
      </c>
      <c r="H56" t="s">
        <v>333</v>
      </c>
      <c r="I56" t="s">
        <v>334</v>
      </c>
      <c r="J56" t="s">
        <v>335</v>
      </c>
      <c r="N56" t="s">
        <v>453</v>
      </c>
      <c r="AH56" s="248"/>
    </row>
    <row r="57" spans="1:34" x14ac:dyDescent="0.25">
      <c r="A57" s="256">
        <v>501</v>
      </c>
      <c r="B57" s="31"/>
      <c r="C57">
        <v>500</v>
      </c>
      <c r="E57" t="s">
        <v>454</v>
      </c>
      <c r="F57" t="s">
        <v>455</v>
      </c>
      <c r="H57" t="s">
        <v>333</v>
      </c>
      <c r="I57" t="s">
        <v>334</v>
      </c>
      <c r="J57" t="s">
        <v>335</v>
      </c>
      <c r="N57" t="s">
        <v>453</v>
      </c>
      <c r="AH57" s="248"/>
    </row>
    <row r="58" spans="1:34" x14ac:dyDescent="0.25">
      <c r="A58" s="256">
        <v>104</v>
      </c>
      <c r="B58" s="31"/>
      <c r="C58">
        <v>100</v>
      </c>
      <c r="E58" t="s">
        <v>454</v>
      </c>
      <c r="F58" t="s">
        <v>455</v>
      </c>
      <c r="H58" t="s">
        <v>333</v>
      </c>
      <c r="I58" t="s">
        <v>334</v>
      </c>
      <c r="J58" t="s">
        <v>335</v>
      </c>
      <c r="N58" t="s">
        <v>453</v>
      </c>
      <c r="AH58" s="248"/>
    </row>
    <row r="59" spans="1:34" x14ac:dyDescent="0.25">
      <c r="A59" s="256">
        <v>501</v>
      </c>
      <c r="B59" s="31"/>
      <c r="C59">
        <v>500</v>
      </c>
      <c r="E59" t="s">
        <v>454</v>
      </c>
      <c r="F59" t="s">
        <v>455</v>
      </c>
      <c r="H59" t="s">
        <v>333</v>
      </c>
      <c r="I59" t="s">
        <v>334</v>
      </c>
      <c r="J59" t="s">
        <v>335</v>
      </c>
      <c r="N59" t="s">
        <v>453</v>
      </c>
      <c r="AH59" s="248"/>
    </row>
    <row r="60" spans="1:34" x14ac:dyDescent="0.25">
      <c r="A60" s="256">
        <v>501</v>
      </c>
      <c r="B60" s="31"/>
      <c r="C60">
        <v>500</v>
      </c>
      <c r="E60" t="s">
        <v>454</v>
      </c>
      <c r="F60" t="s">
        <v>455</v>
      </c>
      <c r="H60" t="s">
        <v>333</v>
      </c>
      <c r="I60" t="s">
        <v>334</v>
      </c>
      <c r="J60" t="s">
        <v>335</v>
      </c>
      <c r="N60" t="s">
        <v>453</v>
      </c>
      <c r="AH60" s="248"/>
    </row>
    <row r="61" spans="1:34" x14ac:dyDescent="0.25">
      <c r="A61" s="256">
        <v>501</v>
      </c>
      <c r="B61" s="31"/>
      <c r="C61">
        <v>500</v>
      </c>
      <c r="E61" t="s">
        <v>454</v>
      </c>
      <c r="F61" t="s">
        <v>455</v>
      </c>
      <c r="H61" t="s">
        <v>333</v>
      </c>
      <c r="I61" t="s">
        <v>334</v>
      </c>
      <c r="J61" t="s">
        <v>335</v>
      </c>
      <c r="N61" t="s">
        <v>453</v>
      </c>
      <c r="AH61" s="248"/>
    </row>
    <row r="62" spans="1:34" x14ac:dyDescent="0.25">
      <c r="A62" s="256">
        <v>501</v>
      </c>
      <c r="B62" s="31"/>
      <c r="C62">
        <v>500</v>
      </c>
      <c r="E62" t="s">
        <v>454</v>
      </c>
      <c r="F62" t="s">
        <v>455</v>
      </c>
      <c r="H62" t="s">
        <v>333</v>
      </c>
      <c r="I62" t="s">
        <v>334</v>
      </c>
      <c r="J62" t="s">
        <v>335</v>
      </c>
      <c r="N62" t="s">
        <v>453</v>
      </c>
      <c r="AH62" s="248"/>
    </row>
    <row r="63" spans="1:34" x14ac:dyDescent="0.25">
      <c r="A63" s="256">
        <v>604</v>
      </c>
      <c r="B63" s="31"/>
      <c r="C63">
        <v>600</v>
      </c>
      <c r="E63" t="s">
        <v>454</v>
      </c>
      <c r="F63" t="s">
        <v>455</v>
      </c>
      <c r="H63" t="s">
        <v>333</v>
      </c>
      <c r="I63" t="s">
        <v>334</v>
      </c>
      <c r="J63" t="s">
        <v>335</v>
      </c>
      <c r="N63" t="s">
        <v>453</v>
      </c>
      <c r="AH63" s="248"/>
    </row>
    <row r="64" spans="1:34" x14ac:dyDescent="0.25">
      <c r="A64" s="256">
        <v>102</v>
      </c>
      <c r="B64" s="31"/>
      <c r="C64">
        <v>100</v>
      </c>
      <c r="E64" t="s">
        <v>454</v>
      </c>
      <c r="F64" t="s">
        <v>455</v>
      </c>
      <c r="H64" t="s">
        <v>333</v>
      </c>
      <c r="I64" t="s">
        <v>334</v>
      </c>
      <c r="J64" t="s">
        <v>335</v>
      </c>
      <c r="N64" t="s">
        <v>453</v>
      </c>
      <c r="AH64" s="248"/>
    </row>
    <row r="65" spans="1:34" ht="15.75" thickBot="1" x14ac:dyDescent="0.3">
      <c r="A65" s="257">
        <v>102</v>
      </c>
      <c r="B65" s="39"/>
      <c r="C65" s="40">
        <v>100</v>
      </c>
      <c r="D65" s="40" t="s">
        <v>340</v>
      </c>
      <c r="E65" s="40" t="s">
        <v>454</v>
      </c>
      <c r="F65" s="40" t="s">
        <v>455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453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49"/>
    </row>
    <row r="66" spans="1:34" ht="15.75" thickTop="1" x14ac:dyDescent="0.25"/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42578125" bestFit="1" customWidth="1"/>
    <col min="6" max="6" width="43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265">
        <v>303</v>
      </c>
      <c r="B2" s="38"/>
      <c r="C2" s="53">
        <v>300</v>
      </c>
      <c r="D2" s="53" t="s">
        <v>339</v>
      </c>
      <c r="E2" s="53" t="s">
        <v>458</v>
      </c>
      <c r="F2" s="53" t="s">
        <v>459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457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259"/>
    </row>
    <row r="3" spans="1:34" x14ac:dyDescent="0.25">
      <c r="A3" s="268">
        <v>102</v>
      </c>
      <c r="B3" s="31"/>
      <c r="C3">
        <v>100</v>
      </c>
      <c r="E3" t="s">
        <v>458</v>
      </c>
      <c r="F3" t="s">
        <v>459</v>
      </c>
      <c r="H3" t="s">
        <v>333</v>
      </c>
      <c r="I3" t="s">
        <v>334</v>
      </c>
      <c r="J3" t="s">
        <v>335</v>
      </c>
      <c r="N3" t="s">
        <v>457</v>
      </c>
      <c r="AH3" s="260"/>
    </row>
    <row r="4" spans="1:34" x14ac:dyDescent="0.25">
      <c r="A4" s="268">
        <v>102</v>
      </c>
      <c r="B4" s="31"/>
      <c r="C4">
        <v>100</v>
      </c>
      <c r="E4" t="s">
        <v>458</v>
      </c>
      <c r="F4" t="s">
        <v>459</v>
      </c>
      <c r="H4" t="s">
        <v>333</v>
      </c>
      <c r="I4" t="s">
        <v>334</v>
      </c>
      <c r="J4" t="s">
        <v>335</v>
      </c>
      <c r="N4" t="s">
        <v>457</v>
      </c>
      <c r="AH4" s="260"/>
    </row>
    <row r="5" spans="1:34" x14ac:dyDescent="0.25">
      <c r="A5" s="268">
        <v>303</v>
      </c>
      <c r="B5" s="31"/>
      <c r="C5">
        <v>300</v>
      </c>
      <c r="E5" t="s">
        <v>458</v>
      </c>
      <c r="F5" t="s">
        <v>459</v>
      </c>
      <c r="H5" t="s">
        <v>333</v>
      </c>
      <c r="I5" t="s">
        <v>334</v>
      </c>
      <c r="J5" t="s">
        <v>335</v>
      </c>
      <c r="N5" t="s">
        <v>457</v>
      </c>
      <c r="AH5" s="260"/>
    </row>
    <row r="6" spans="1:34" x14ac:dyDescent="0.25">
      <c r="A6" s="268">
        <v>303</v>
      </c>
      <c r="B6" s="31"/>
      <c r="C6">
        <v>300</v>
      </c>
      <c r="E6" t="s">
        <v>458</v>
      </c>
      <c r="F6" t="s">
        <v>459</v>
      </c>
      <c r="H6" t="s">
        <v>333</v>
      </c>
      <c r="I6" t="s">
        <v>334</v>
      </c>
      <c r="J6" t="s">
        <v>335</v>
      </c>
      <c r="N6" t="s">
        <v>457</v>
      </c>
      <c r="AH6" s="260"/>
    </row>
    <row r="7" spans="1:34" x14ac:dyDescent="0.25">
      <c r="A7" s="268">
        <v>102</v>
      </c>
      <c r="B7" s="31"/>
      <c r="C7">
        <v>100</v>
      </c>
      <c r="E7" t="s">
        <v>458</v>
      </c>
      <c r="F7" t="s">
        <v>459</v>
      </c>
      <c r="H7" t="s">
        <v>333</v>
      </c>
      <c r="I7" t="s">
        <v>334</v>
      </c>
      <c r="J7" t="s">
        <v>335</v>
      </c>
      <c r="N7" t="s">
        <v>457</v>
      </c>
      <c r="AH7" s="260"/>
    </row>
    <row r="8" spans="1:34" x14ac:dyDescent="0.25">
      <c r="A8" s="268">
        <v>303</v>
      </c>
      <c r="B8" s="31"/>
      <c r="C8">
        <v>300</v>
      </c>
      <c r="E8" t="s">
        <v>458</v>
      </c>
      <c r="F8" t="s">
        <v>459</v>
      </c>
      <c r="H8" t="s">
        <v>333</v>
      </c>
      <c r="I8" t="s">
        <v>334</v>
      </c>
      <c r="J8" t="s">
        <v>335</v>
      </c>
      <c r="N8" t="s">
        <v>457</v>
      </c>
      <c r="AH8" s="260"/>
    </row>
    <row r="9" spans="1:34" x14ac:dyDescent="0.25">
      <c r="A9" s="268">
        <v>104</v>
      </c>
      <c r="B9" s="31"/>
      <c r="C9">
        <v>100</v>
      </c>
      <c r="E9" t="s">
        <v>458</v>
      </c>
      <c r="F9" t="s">
        <v>459</v>
      </c>
      <c r="H9" t="s">
        <v>333</v>
      </c>
      <c r="I9" t="s">
        <v>334</v>
      </c>
      <c r="J9" t="s">
        <v>335</v>
      </c>
      <c r="N9" t="s">
        <v>457</v>
      </c>
      <c r="AH9" s="260"/>
    </row>
    <row r="10" spans="1:34" x14ac:dyDescent="0.25">
      <c r="A10" s="268">
        <v>502</v>
      </c>
      <c r="B10" s="31"/>
      <c r="C10">
        <v>500</v>
      </c>
      <c r="E10" t="s">
        <v>458</v>
      </c>
      <c r="F10" t="s">
        <v>459</v>
      </c>
      <c r="H10" t="s">
        <v>333</v>
      </c>
      <c r="I10" t="s">
        <v>334</v>
      </c>
      <c r="J10" t="s">
        <v>335</v>
      </c>
      <c r="N10" t="s">
        <v>457</v>
      </c>
      <c r="AH10" s="260"/>
    </row>
    <row r="11" spans="1:34" x14ac:dyDescent="0.25">
      <c r="A11" s="268">
        <v>109</v>
      </c>
      <c r="B11" s="31"/>
      <c r="C11">
        <v>100</v>
      </c>
      <c r="E11" t="s">
        <v>458</v>
      </c>
      <c r="F11" t="s">
        <v>459</v>
      </c>
      <c r="H11" t="s">
        <v>333</v>
      </c>
      <c r="I11" t="s">
        <v>334</v>
      </c>
      <c r="J11" t="s">
        <v>335</v>
      </c>
      <c r="N11" t="s">
        <v>457</v>
      </c>
      <c r="AH11" s="260"/>
    </row>
    <row r="12" spans="1:34" x14ac:dyDescent="0.25">
      <c r="A12" s="268">
        <v>903</v>
      </c>
      <c r="B12" s="31"/>
      <c r="C12">
        <v>900</v>
      </c>
      <c r="E12" t="s">
        <v>458</v>
      </c>
      <c r="F12" t="s">
        <v>459</v>
      </c>
      <c r="H12" t="s">
        <v>333</v>
      </c>
      <c r="I12" t="s">
        <v>334</v>
      </c>
      <c r="J12" t="s">
        <v>335</v>
      </c>
      <c r="N12" t="s">
        <v>457</v>
      </c>
      <c r="AH12" s="260"/>
    </row>
    <row r="13" spans="1:34" x14ac:dyDescent="0.25">
      <c r="A13" s="268">
        <v>102</v>
      </c>
      <c r="B13" s="31"/>
      <c r="C13">
        <v>100</v>
      </c>
      <c r="E13" t="s">
        <v>458</v>
      </c>
      <c r="F13" t="s">
        <v>459</v>
      </c>
      <c r="H13" t="s">
        <v>333</v>
      </c>
      <c r="I13" t="s">
        <v>334</v>
      </c>
      <c r="J13" t="s">
        <v>335</v>
      </c>
      <c r="N13" t="s">
        <v>457</v>
      </c>
      <c r="AH13" s="260"/>
    </row>
    <row r="14" spans="1:34" x14ac:dyDescent="0.25">
      <c r="A14" s="268">
        <v>501</v>
      </c>
      <c r="B14" s="31"/>
      <c r="C14">
        <v>500</v>
      </c>
      <c r="E14" t="s">
        <v>458</v>
      </c>
      <c r="F14" t="s">
        <v>459</v>
      </c>
      <c r="H14" t="s">
        <v>333</v>
      </c>
      <c r="I14" t="s">
        <v>334</v>
      </c>
      <c r="J14" t="s">
        <v>335</v>
      </c>
      <c r="N14" t="s">
        <v>457</v>
      </c>
      <c r="AH14" s="260"/>
    </row>
    <row r="15" spans="1:34" x14ac:dyDescent="0.25">
      <c r="A15" s="268">
        <v>903</v>
      </c>
      <c r="B15" s="31"/>
      <c r="C15">
        <v>900</v>
      </c>
      <c r="E15" t="s">
        <v>458</v>
      </c>
      <c r="F15" t="s">
        <v>459</v>
      </c>
      <c r="H15" t="s">
        <v>333</v>
      </c>
      <c r="I15" t="s">
        <v>334</v>
      </c>
      <c r="J15" t="s">
        <v>335</v>
      </c>
      <c r="N15" t="s">
        <v>457</v>
      </c>
      <c r="AH15" s="260"/>
    </row>
    <row r="16" spans="1:34" x14ac:dyDescent="0.25">
      <c r="A16" s="268">
        <v>109</v>
      </c>
      <c r="B16" s="31"/>
      <c r="C16">
        <v>100</v>
      </c>
      <c r="E16" t="s">
        <v>458</v>
      </c>
      <c r="F16" t="s">
        <v>459</v>
      </c>
      <c r="H16" t="s">
        <v>333</v>
      </c>
      <c r="I16" t="s">
        <v>334</v>
      </c>
      <c r="J16" t="s">
        <v>335</v>
      </c>
      <c r="N16" t="s">
        <v>457</v>
      </c>
      <c r="AH16" s="260"/>
    </row>
    <row r="17" spans="1:34" x14ac:dyDescent="0.25">
      <c r="A17" s="268">
        <v>102</v>
      </c>
      <c r="B17" s="31"/>
      <c r="C17">
        <v>100</v>
      </c>
      <c r="E17" t="s">
        <v>458</v>
      </c>
      <c r="F17" t="s">
        <v>459</v>
      </c>
      <c r="H17" t="s">
        <v>333</v>
      </c>
      <c r="I17" t="s">
        <v>334</v>
      </c>
      <c r="J17" t="s">
        <v>335</v>
      </c>
      <c r="N17" t="s">
        <v>457</v>
      </c>
      <c r="AH17" s="260"/>
    </row>
    <row r="18" spans="1:34" x14ac:dyDescent="0.25">
      <c r="A18" s="268">
        <v>502</v>
      </c>
      <c r="B18" s="31"/>
      <c r="C18">
        <v>500</v>
      </c>
      <c r="E18" t="s">
        <v>458</v>
      </c>
      <c r="F18" t="s">
        <v>459</v>
      </c>
      <c r="H18" t="s">
        <v>333</v>
      </c>
      <c r="I18" t="s">
        <v>334</v>
      </c>
      <c r="J18" t="s">
        <v>335</v>
      </c>
      <c r="N18" t="s">
        <v>457</v>
      </c>
      <c r="AH18" s="260"/>
    </row>
    <row r="19" spans="1:34" x14ac:dyDescent="0.25">
      <c r="A19" s="268">
        <v>102</v>
      </c>
      <c r="B19" s="31"/>
      <c r="C19">
        <v>100</v>
      </c>
      <c r="E19" t="s">
        <v>458</v>
      </c>
      <c r="F19" t="s">
        <v>459</v>
      </c>
      <c r="H19" t="s">
        <v>333</v>
      </c>
      <c r="I19" t="s">
        <v>334</v>
      </c>
      <c r="J19" t="s">
        <v>335</v>
      </c>
      <c r="N19" t="s">
        <v>457</v>
      </c>
      <c r="AH19" s="260"/>
    </row>
    <row r="20" spans="1:34" x14ac:dyDescent="0.25">
      <c r="A20" s="268">
        <v>109</v>
      </c>
      <c r="B20" s="31"/>
      <c r="C20">
        <v>100</v>
      </c>
      <c r="E20" t="s">
        <v>458</v>
      </c>
      <c r="F20" t="s">
        <v>459</v>
      </c>
      <c r="H20" t="s">
        <v>333</v>
      </c>
      <c r="I20" t="s">
        <v>334</v>
      </c>
      <c r="J20" t="s">
        <v>335</v>
      </c>
      <c r="N20" t="s">
        <v>457</v>
      </c>
      <c r="AH20" s="260"/>
    </row>
    <row r="21" spans="1:34" x14ac:dyDescent="0.25">
      <c r="A21" s="268">
        <v>501</v>
      </c>
      <c r="B21" s="31"/>
      <c r="C21">
        <v>500</v>
      </c>
      <c r="E21" t="s">
        <v>458</v>
      </c>
      <c r="F21" t="s">
        <v>459</v>
      </c>
      <c r="H21" t="s">
        <v>333</v>
      </c>
      <c r="I21" t="s">
        <v>334</v>
      </c>
      <c r="J21" t="s">
        <v>335</v>
      </c>
      <c r="N21" t="s">
        <v>457</v>
      </c>
      <c r="AH21" s="260"/>
    </row>
    <row r="22" spans="1:34" x14ac:dyDescent="0.25">
      <c r="A22" s="268">
        <v>501</v>
      </c>
      <c r="B22" s="31"/>
      <c r="C22">
        <v>500</v>
      </c>
      <c r="E22" t="s">
        <v>458</v>
      </c>
      <c r="F22" t="s">
        <v>459</v>
      </c>
      <c r="H22" t="s">
        <v>333</v>
      </c>
      <c r="I22" t="s">
        <v>334</v>
      </c>
      <c r="J22" t="s">
        <v>335</v>
      </c>
      <c r="N22" t="s">
        <v>457</v>
      </c>
      <c r="AH22" s="260"/>
    </row>
    <row r="23" spans="1:34" x14ac:dyDescent="0.25">
      <c r="A23" s="268">
        <v>109</v>
      </c>
      <c r="B23" s="31"/>
      <c r="C23">
        <v>100</v>
      </c>
      <c r="E23" t="s">
        <v>458</v>
      </c>
      <c r="F23" t="s">
        <v>459</v>
      </c>
      <c r="H23" t="s">
        <v>333</v>
      </c>
      <c r="I23" t="s">
        <v>334</v>
      </c>
      <c r="J23" t="s">
        <v>335</v>
      </c>
      <c r="N23" t="s">
        <v>457</v>
      </c>
      <c r="AH23" s="260"/>
    </row>
    <row r="24" spans="1:34" x14ac:dyDescent="0.25">
      <c r="A24" s="268">
        <v>501</v>
      </c>
      <c r="B24" s="31"/>
      <c r="C24">
        <v>500</v>
      </c>
      <c r="E24" t="s">
        <v>458</v>
      </c>
      <c r="F24" t="s">
        <v>459</v>
      </c>
      <c r="H24" t="s">
        <v>333</v>
      </c>
      <c r="I24" t="s">
        <v>334</v>
      </c>
      <c r="J24" t="s">
        <v>335</v>
      </c>
      <c r="N24" t="s">
        <v>457</v>
      </c>
      <c r="AH24" s="260"/>
    </row>
    <row r="25" spans="1:34" x14ac:dyDescent="0.25">
      <c r="A25" s="268">
        <v>501</v>
      </c>
      <c r="B25" s="31"/>
      <c r="C25">
        <v>500</v>
      </c>
      <c r="E25" t="s">
        <v>458</v>
      </c>
      <c r="F25" t="s">
        <v>459</v>
      </c>
      <c r="H25" t="s">
        <v>333</v>
      </c>
      <c r="I25" t="s">
        <v>334</v>
      </c>
      <c r="J25" t="s">
        <v>335</v>
      </c>
      <c r="N25" t="s">
        <v>457</v>
      </c>
      <c r="AH25" s="260"/>
    </row>
    <row r="26" spans="1:34" x14ac:dyDescent="0.25">
      <c r="A26" s="268">
        <v>102</v>
      </c>
      <c r="B26" s="31"/>
      <c r="C26">
        <v>100</v>
      </c>
      <c r="E26" t="s">
        <v>458</v>
      </c>
      <c r="F26" t="s">
        <v>459</v>
      </c>
      <c r="H26" t="s">
        <v>333</v>
      </c>
      <c r="I26" t="s">
        <v>334</v>
      </c>
      <c r="J26" t="s">
        <v>335</v>
      </c>
      <c r="N26" t="s">
        <v>457</v>
      </c>
      <c r="AH26" s="260"/>
    </row>
    <row r="27" spans="1:34" x14ac:dyDescent="0.25">
      <c r="A27" s="268">
        <v>501</v>
      </c>
      <c r="B27" s="31"/>
      <c r="C27">
        <v>500</v>
      </c>
      <c r="E27" t="s">
        <v>458</v>
      </c>
      <c r="F27" t="s">
        <v>459</v>
      </c>
      <c r="H27" t="s">
        <v>333</v>
      </c>
      <c r="I27" t="s">
        <v>334</v>
      </c>
      <c r="J27" t="s">
        <v>335</v>
      </c>
      <c r="N27" t="s">
        <v>457</v>
      </c>
      <c r="AH27" s="260"/>
    </row>
    <row r="28" spans="1:34" x14ac:dyDescent="0.25">
      <c r="A28" s="268">
        <v>903</v>
      </c>
      <c r="B28" s="31"/>
      <c r="C28">
        <v>900</v>
      </c>
      <c r="E28" t="s">
        <v>458</v>
      </c>
      <c r="F28" t="s">
        <v>459</v>
      </c>
      <c r="H28" t="s">
        <v>333</v>
      </c>
      <c r="I28" t="s">
        <v>334</v>
      </c>
      <c r="J28" t="s">
        <v>335</v>
      </c>
      <c r="N28" t="s">
        <v>457</v>
      </c>
      <c r="AH28" s="260"/>
    </row>
    <row r="29" spans="1:34" x14ac:dyDescent="0.25">
      <c r="A29" s="268">
        <v>109</v>
      </c>
      <c r="B29" s="31"/>
      <c r="C29">
        <v>100</v>
      </c>
      <c r="E29" t="s">
        <v>458</v>
      </c>
      <c r="F29" t="s">
        <v>459</v>
      </c>
      <c r="H29" t="s">
        <v>333</v>
      </c>
      <c r="I29" t="s">
        <v>334</v>
      </c>
      <c r="J29" t="s">
        <v>335</v>
      </c>
      <c r="N29" t="s">
        <v>457</v>
      </c>
      <c r="AH29" s="260"/>
    </row>
    <row r="30" spans="1:34" x14ac:dyDescent="0.25">
      <c r="A30" s="268">
        <v>109</v>
      </c>
      <c r="B30" s="31"/>
      <c r="C30">
        <v>100</v>
      </c>
      <c r="E30" t="s">
        <v>458</v>
      </c>
      <c r="F30" t="s">
        <v>459</v>
      </c>
      <c r="H30" t="s">
        <v>333</v>
      </c>
      <c r="I30" t="s">
        <v>334</v>
      </c>
      <c r="J30" t="s">
        <v>335</v>
      </c>
      <c r="N30" t="s">
        <v>457</v>
      </c>
      <c r="AH30" s="260"/>
    </row>
    <row r="31" spans="1:34" x14ac:dyDescent="0.25">
      <c r="A31" s="268">
        <v>102</v>
      </c>
      <c r="B31" s="31"/>
      <c r="C31">
        <v>100</v>
      </c>
      <c r="E31" t="s">
        <v>458</v>
      </c>
      <c r="F31" t="s">
        <v>459</v>
      </c>
      <c r="H31" t="s">
        <v>333</v>
      </c>
      <c r="I31" t="s">
        <v>334</v>
      </c>
      <c r="J31" t="s">
        <v>335</v>
      </c>
      <c r="N31" t="s">
        <v>457</v>
      </c>
      <c r="AH31" s="260"/>
    </row>
    <row r="32" spans="1:34" x14ac:dyDescent="0.25">
      <c r="A32" s="268">
        <v>102</v>
      </c>
      <c r="B32" s="31"/>
      <c r="C32">
        <v>100</v>
      </c>
      <c r="E32" t="s">
        <v>458</v>
      </c>
      <c r="F32" t="s">
        <v>459</v>
      </c>
      <c r="H32" t="s">
        <v>333</v>
      </c>
      <c r="I32" t="s">
        <v>334</v>
      </c>
      <c r="J32" t="s">
        <v>335</v>
      </c>
      <c r="N32" t="s">
        <v>457</v>
      </c>
      <c r="AH32" s="260"/>
    </row>
    <row r="33" spans="1:34" x14ac:dyDescent="0.25">
      <c r="A33" s="268">
        <v>102</v>
      </c>
      <c r="B33" s="31"/>
      <c r="C33">
        <v>100</v>
      </c>
      <c r="E33" t="s">
        <v>458</v>
      </c>
      <c r="F33" t="s">
        <v>459</v>
      </c>
      <c r="H33" t="s">
        <v>333</v>
      </c>
      <c r="I33" t="s">
        <v>334</v>
      </c>
      <c r="J33" t="s">
        <v>335</v>
      </c>
      <c r="N33" t="s">
        <v>457</v>
      </c>
      <c r="AH33" s="260"/>
    </row>
    <row r="34" spans="1:34" x14ac:dyDescent="0.25">
      <c r="A34" s="268">
        <v>102</v>
      </c>
      <c r="B34" s="31"/>
      <c r="C34">
        <v>100</v>
      </c>
      <c r="E34" t="s">
        <v>458</v>
      </c>
      <c r="F34" t="s">
        <v>459</v>
      </c>
      <c r="H34" t="s">
        <v>333</v>
      </c>
      <c r="I34" t="s">
        <v>334</v>
      </c>
      <c r="J34" t="s">
        <v>335</v>
      </c>
      <c r="N34" t="s">
        <v>457</v>
      </c>
      <c r="AH34" s="260"/>
    </row>
    <row r="35" spans="1:34" x14ac:dyDescent="0.25">
      <c r="A35" s="268">
        <v>102</v>
      </c>
      <c r="B35" s="31"/>
      <c r="C35">
        <v>100</v>
      </c>
      <c r="E35" t="s">
        <v>458</v>
      </c>
      <c r="F35" t="s">
        <v>459</v>
      </c>
      <c r="H35" t="s">
        <v>333</v>
      </c>
      <c r="I35" t="s">
        <v>334</v>
      </c>
      <c r="J35" t="s">
        <v>335</v>
      </c>
      <c r="N35" t="s">
        <v>457</v>
      </c>
      <c r="AH35" s="260"/>
    </row>
    <row r="36" spans="1:34" x14ac:dyDescent="0.25">
      <c r="A36" s="268">
        <v>102</v>
      </c>
      <c r="B36" s="31"/>
      <c r="C36">
        <v>100</v>
      </c>
      <c r="E36" t="s">
        <v>458</v>
      </c>
      <c r="F36" t="s">
        <v>459</v>
      </c>
      <c r="H36" t="s">
        <v>333</v>
      </c>
      <c r="I36" t="s">
        <v>334</v>
      </c>
      <c r="J36" t="s">
        <v>335</v>
      </c>
      <c r="N36" t="s">
        <v>457</v>
      </c>
      <c r="AH36" s="260"/>
    </row>
    <row r="37" spans="1:34" x14ac:dyDescent="0.25">
      <c r="A37" s="268">
        <v>109</v>
      </c>
      <c r="B37" s="31"/>
      <c r="C37">
        <v>100</v>
      </c>
      <c r="E37" t="s">
        <v>458</v>
      </c>
      <c r="F37" t="s">
        <v>459</v>
      </c>
      <c r="H37" t="s">
        <v>333</v>
      </c>
      <c r="I37" t="s">
        <v>334</v>
      </c>
      <c r="J37" t="s">
        <v>335</v>
      </c>
      <c r="N37" t="s">
        <v>457</v>
      </c>
      <c r="AH37" s="260"/>
    </row>
    <row r="38" spans="1:34" x14ac:dyDescent="0.25">
      <c r="A38" s="268">
        <v>109</v>
      </c>
      <c r="B38" s="31"/>
      <c r="C38">
        <v>100</v>
      </c>
      <c r="E38" t="s">
        <v>458</v>
      </c>
      <c r="F38" t="s">
        <v>459</v>
      </c>
      <c r="H38" t="s">
        <v>333</v>
      </c>
      <c r="I38" t="s">
        <v>334</v>
      </c>
      <c r="J38" t="s">
        <v>335</v>
      </c>
      <c r="N38" t="s">
        <v>457</v>
      </c>
      <c r="AH38" s="260"/>
    </row>
    <row r="39" spans="1:34" x14ac:dyDescent="0.25">
      <c r="A39" s="268">
        <v>102</v>
      </c>
      <c r="B39" s="31"/>
      <c r="C39">
        <v>100</v>
      </c>
      <c r="E39" t="s">
        <v>458</v>
      </c>
      <c r="F39" t="s">
        <v>459</v>
      </c>
      <c r="H39" t="s">
        <v>333</v>
      </c>
      <c r="I39" t="s">
        <v>334</v>
      </c>
      <c r="J39" t="s">
        <v>335</v>
      </c>
      <c r="N39" t="s">
        <v>457</v>
      </c>
      <c r="AH39" s="260"/>
    </row>
    <row r="40" spans="1:34" x14ac:dyDescent="0.25">
      <c r="A40" s="268">
        <v>102</v>
      </c>
      <c r="B40" s="31"/>
      <c r="C40">
        <v>100</v>
      </c>
      <c r="E40" t="s">
        <v>458</v>
      </c>
      <c r="F40" t="s">
        <v>459</v>
      </c>
      <c r="H40" t="s">
        <v>333</v>
      </c>
      <c r="I40" t="s">
        <v>334</v>
      </c>
      <c r="J40" t="s">
        <v>335</v>
      </c>
      <c r="N40" t="s">
        <v>457</v>
      </c>
      <c r="AH40" s="260"/>
    </row>
    <row r="41" spans="1:34" x14ac:dyDescent="0.25">
      <c r="A41" s="268">
        <v>303</v>
      </c>
      <c r="B41" s="31"/>
      <c r="C41">
        <v>300</v>
      </c>
      <c r="E41" t="s">
        <v>458</v>
      </c>
      <c r="F41" t="s">
        <v>459</v>
      </c>
      <c r="H41" t="s">
        <v>333</v>
      </c>
      <c r="I41" t="s">
        <v>334</v>
      </c>
      <c r="J41" t="s">
        <v>335</v>
      </c>
      <c r="N41" t="s">
        <v>457</v>
      </c>
      <c r="AH41" s="260"/>
    </row>
    <row r="42" spans="1:34" x14ac:dyDescent="0.25">
      <c r="A42" s="268">
        <v>303</v>
      </c>
      <c r="B42" s="31"/>
      <c r="C42">
        <v>300</v>
      </c>
      <c r="E42" t="s">
        <v>458</v>
      </c>
      <c r="F42" t="s">
        <v>459</v>
      </c>
      <c r="H42" t="s">
        <v>333</v>
      </c>
      <c r="I42" t="s">
        <v>334</v>
      </c>
      <c r="J42" t="s">
        <v>335</v>
      </c>
      <c r="N42" t="s">
        <v>457</v>
      </c>
      <c r="AH42" s="260"/>
    </row>
    <row r="43" spans="1:34" x14ac:dyDescent="0.25">
      <c r="A43" s="268">
        <v>102</v>
      </c>
      <c r="B43" s="31"/>
      <c r="C43">
        <v>100</v>
      </c>
      <c r="E43" t="s">
        <v>458</v>
      </c>
      <c r="F43" t="s">
        <v>459</v>
      </c>
      <c r="H43" t="s">
        <v>333</v>
      </c>
      <c r="I43" t="s">
        <v>334</v>
      </c>
      <c r="J43" t="s">
        <v>335</v>
      </c>
      <c r="N43" t="s">
        <v>457</v>
      </c>
      <c r="AH43" s="260"/>
    </row>
    <row r="44" spans="1:34" x14ac:dyDescent="0.25">
      <c r="A44" s="268">
        <v>109</v>
      </c>
      <c r="B44" s="31"/>
      <c r="C44">
        <v>100</v>
      </c>
      <c r="E44" t="s">
        <v>458</v>
      </c>
      <c r="F44" t="s">
        <v>459</v>
      </c>
      <c r="H44" t="s">
        <v>333</v>
      </c>
      <c r="I44" t="s">
        <v>334</v>
      </c>
      <c r="J44" t="s">
        <v>335</v>
      </c>
      <c r="N44" t="s">
        <v>457</v>
      </c>
      <c r="AH44" s="260"/>
    </row>
    <row r="45" spans="1:34" x14ac:dyDescent="0.25">
      <c r="A45" s="268">
        <v>501</v>
      </c>
      <c r="B45" s="31"/>
      <c r="C45">
        <v>500</v>
      </c>
      <c r="E45" t="s">
        <v>458</v>
      </c>
      <c r="F45" t="s">
        <v>459</v>
      </c>
      <c r="H45" t="s">
        <v>333</v>
      </c>
      <c r="I45" t="s">
        <v>334</v>
      </c>
      <c r="J45" t="s">
        <v>335</v>
      </c>
      <c r="N45" t="s">
        <v>457</v>
      </c>
      <c r="AH45" s="260"/>
    </row>
    <row r="46" spans="1:34" x14ac:dyDescent="0.25">
      <c r="A46" s="268">
        <v>501</v>
      </c>
      <c r="B46" s="31"/>
      <c r="C46">
        <v>500</v>
      </c>
      <c r="E46" t="s">
        <v>458</v>
      </c>
      <c r="F46" t="s">
        <v>459</v>
      </c>
      <c r="H46" t="s">
        <v>333</v>
      </c>
      <c r="I46" t="s">
        <v>334</v>
      </c>
      <c r="J46" t="s">
        <v>335</v>
      </c>
      <c r="N46" t="s">
        <v>457</v>
      </c>
      <c r="AH46" s="260"/>
    </row>
    <row r="47" spans="1:34" x14ac:dyDescent="0.25">
      <c r="A47" s="268">
        <v>109</v>
      </c>
      <c r="B47" s="31"/>
      <c r="C47">
        <v>100</v>
      </c>
      <c r="E47" t="s">
        <v>458</v>
      </c>
      <c r="F47" t="s">
        <v>459</v>
      </c>
      <c r="H47" t="s">
        <v>333</v>
      </c>
      <c r="I47" t="s">
        <v>334</v>
      </c>
      <c r="J47" t="s">
        <v>335</v>
      </c>
      <c r="N47" t="s">
        <v>457</v>
      </c>
      <c r="AH47" s="260"/>
    </row>
    <row r="48" spans="1:34" x14ac:dyDescent="0.25">
      <c r="A48" s="268">
        <v>501</v>
      </c>
      <c r="B48" s="31"/>
      <c r="C48">
        <v>500</v>
      </c>
      <c r="E48" t="s">
        <v>458</v>
      </c>
      <c r="F48" t="s">
        <v>459</v>
      </c>
      <c r="H48" t="s">
        <v>333</v>
      </c>
      <c r="I48" t="s">
        <v>334</v>
      </c>
      <c r="J48" t="s">
        <v>335</v>
      </c>
      <c r="N48" t="s">
        <v>457</v>
      </c>
      <c r="AH48" s="260"/>
    </row>
    <row r="49" spans="1:34" x14ac:dyDescent="0.25">
      <c r="A49" s="268">
        <v>501</v>
      </c>
      <c r="B49" s="31"/>
      <c r="C49">
        <v>500</v>
      </c>
      <c r="E49" t="s">
        <v>458</v>
      </c>
      <c r="F49" t="s">
        <v>459</v>
      </c>
      <c r="H49" t="s">
        <v>333</v>
      </c>
      <c r="I49" t="s">
        <v>334</v>
      </c>
      <c r="J49" t="s">
        <v>335</v>
      </c>
      <c r="N49" t="s">
        <v>457</v>
      </c>
      <c r="AH49" s="260"/>
    </row>
    <row r="50" spans="1:34" x14ac:dyDescent="0.25">
      <c r="A50" s="268">
        <v>303</v>
      </c>
      <c r="B50" s="31"/>
      <c r="C50">
        <v>300</v>
      </c>
      <c r="E50" t="s">
        <v>458</v>
      </c>
      <c r="F50" t="s">
        <v>459</v>
      </c>
      <c r="H50" t="s">
        <v>333</v>
      </c>
      <c r="I50" t="s">
        <v>334</v>
      </c>
      <c r="J50" t="s">
        <v>335</v>
      </c>
      <c r="N50" t="s">
        <v>457</v>
      </c>
      <c r="AH50" s="260"/>
    </row>
    <row r="51" spans="1:34" x14ac:dyDescent="0.25">
      <c r="A51" s="268">
        <v>109</v>
      </c>
      <c r="B51" s="31"/>
      <c r="C51">
        <v>100</v>
      </c>
      <c r="E51" t="s">
        <v>458</v>
      </c>
      <c r="F51" t="s">
        <v>459</v>
      </c>
      <c r="H51" t="s">
        <v>333</v>
      </c>
      <c r="I51" t="s">
        <v>334</v>
      </c>
      <c r="J51" t="s">
        <v>335</v>
      </c>
      <c r="N51" t="s">
        <v>457</v>
      </c>
      <c r="AH51" s="260"/>
    </row>
    <row r="52" spans="1:34" x14ac:dyDescent="0.25">
      <c r="A52" s="268">
        <v>102</v>
      </c>
      <c r="B52" s="31"/>
      <c r="C52">
        <v>100</v>
      </c>
      <c r="E52" t="s">
        <v>458</v>
      </c>
      <c r="F52" t="s">
        <v>459</v>
      </c>
      <c r="H52" t="s">
        <v>333</v>
      </c>
      <c r="I52" t="s">
        <v>334</v>
      </c>
      <c r="J52" t="s">
        <v>335</v>
      </c>
      <c r="N52" t="s">
        <v>457</v>
      </c>
      <c r="AH52" s="260"/>
    </row>
    <row r="53" spans="1:34" x14ac:dyDescent="0.25">
      <c r="A53" s="268">
        <v>102</v>
      </c>
      <c r="B53" s="31"/>
      <c r="C53">
        <v>100</v>
      </c>
      <c r="E53" t="s">
        <v>458</v>
      </c>
      <c r="F53" t="s">
        <v>459</v>
      </c>
      <c r="H53" t="s">
        <v>333</v>
      </c>
      <c r="I53" t="s">
        <v>334</v>
      </c>
      <c r="J53" t="s">
        <v>335</v>
      </c>
      <c r="N53" t="s">
        <v>457</v>
      </c>
      <c r="AH53" s="260"/>
    </row>
    <row r="54" spans="1:34" x14ac:dyDescent="0.25">
      <c r="A54" s="268">
        <v>501</v>
      </c>
      <c r="B54" s="31"/>
      <c r="C54">
        <v>500</v>
      </c>
      <c r="E54" t="s">
        <v>458</v>
      </c>
      <c r="F54" t="s">
        <v>459</v>
      </c>
      <c r="H54" t="s">
        <v>333</v>
      </c>
      <c r="I54" t="s">
        <v>334</v>
      </c>
      <c r="J54" t="s">
        <v>335</v>
      </c>
      <c r="N54" t="s">
        <v>457</v>
      </c>
      <c r="AH54" s="260"/>
    </row>
    <row r="55" spans="1:34" x14ac:dyDescent="0.25">
      <c r="A55" s="268">
        <v>501</v>
      </c>
      <c r="B55" s="31"/>
      <c r="C55">
        <v>500</v>
      </c>
      <c r="E55" t="s">
        <v>458</v>
      </c>
      <c r="F55" t="s">
        <v>459</v>
      </c>
      <c r="H55" t="s">
        <v>333</v>
      </c>
      <c r="I55" t="s">
        <v>334</v>
      </c>
      <c r="J55" t="s">
        <v>335</v>
      </c>
      <c r="N55" t="s">
        <v>457</v>
      </c>
      <c r="AH55" s="260"/>
    </row>
    <row r="56" spans="1:34" x14ac:dyDescent="0.25">
      <c r="A56" s="268">
        <v>109</v>
      </c>
      <c r="B56" s="31"/>
      <c r="C56">
        <v>100</v>
      </c>
      <c r="E56" t="s">
        <v>458</v>
      </c>
      <c r="F56" t="s">
        <v>459</v>
      </c>
      <c r="H56" t="s">
        <v>333</v>
      </c>
      <c r="I56" t="s">
        <v>334</v>
      </c>
      <c r="J56" t="s">
        <v>335</v>
      </c>
      <c r="N56" t="s">
        <v>457</v>
      </c>
      <c r="AH56" s="260"/>
    </row>
    <row r="57" spans="1:34" x14ac:dyDescent="0.25">
      <c r="A57" s="268">
        <v>501</v>
      </c>
      <c r="B57" s="31"/>
      <c r="C57">
        <v>500</v>
      </c>
      <c r="E57" t="s">
        <v>458</v>
      </c>
      <c r="F57" t="s">
        <v>459</v>
      </c>
      <c r="H57" t="s">
        <v>333</v>
      </c>
      <c r="I57" t="s">
        <v>334</v>
      </c>
      <c r="J57" t="s">
        <v>335</v>
      </c>
      <c r="N57" t="s">
        <v>457</v>
      </c>
      <c r="AH57" s="260"/>
    </row>
    <row r="58" spans="1:34" x14ac:dyDescent="0.25">
      <c r="A58" s="268">
        <v>303</v>
      </c>
      <c r="B58" s="31"/>
      <c r="C58">
        <v>300</v>
      </c>
      <c r="E58" t="s">
        <v>458</v>
      </c>
      <c r="F58" t="s">
        <v>459</v>
      </c>
      <c r="H58" t="s">
        <v>333</v>
      </c>
      <c r="I58" t="s">
        <v>334</v>
      </c>
      <c r="J58" t="s">
        <v>335</v>
      </c>
      <c r="N58" t="s">
        <v>457</v>
      </c>
      <c r="AH58" s="260"/>
    </row>
    <row r="59" spans="1:34" x14ac:dyDescent="0.25">
      <c r="A59" s="268">
        <v>303</v>
      </c>
      <c r="B59" s="31"/>
      <c r="C59">
        <v>300</v>
      </c>
      <c r="E59" t="s">
        <v>458</v>
      </c>
      <c r="F59" t="s">
        <v>459</v>
      </c>
      <c r="H59" t="s">
        <v>333</v>
      </c>
      <c r="I59" t="s">
        <v>334</v>
      </c>
      <c r="J59" t="s">
        <v>335</v>
      </c>
      <c r="N59" t="s">
        <v>457</v>
      </c>
      <c r="AH59" s="260"/>
    </row>
    <row r="60" spans="1:34" x14ac:dyDescent="0.25">
      <c r="A60" s="268">
        <v>303</v>
      </c>
      <c r="B60" s="31"/>
      <c r="C60">
        <v>300</v>
      </c>
      <c r="E60" t="s">
        <v>458</v>
      </c>
      <c r="F60" t="s">
        <v>459</v>
      </c>
      <c r="H60" t="s">
        <v>333</v>
      </c>
      <c r="I60" t="s">
        <v>334</v>
      </c>
      <c r="J60" t="s">
        <v>335</v>
      </c>
      <c r="N60" t="s">
        <v>457</v>
      </c>
      <c r="AH60" s="260"/>
    </row>
    <row r="61" spans="1:34" x14ac:dyDescent="0.25">
      <c r="A61" s="268">
        <v>303</v>
      </c>
      <c r="B61" s="31"/>
      <c r="C61">
        <v>300</v>
      </c>
      <c r="E61" t="s">
        <v>458</v>
      </c>
      <c r="F61" t="s">
        <v>459</v>
      </c>
      <c r="H61" t="s">
        <v>333</v>
      </c>
      <c r="I61" t="s">
        <v>334</v>
      </c>
      <c r="J61" t="s">
        <v>335</v>
      </c>
      <c r="N61" t="s">
        <v>457</v>
      </c>
      <c r="AH61" s="260"/>
    </row>
    <row r="62" spans="1:34" x14ac:dyDescent="0.25">
      <c r="A62" s="268">
        <v>303</v>
      </c>
      <c r="B62" s="31"/>
      <c r="C62">
        <v>300</v>
      </c>
      <c r="E62" t="s">
        <v>458</v>
      </c>
      <c r="F62" t="s">
        <v>459</v>
      </c>
      <c r="H62" t="s">
        <v>333</v>
      </c>
      <c r="I62" t="s">
        <v>334</v>
      </c>
      <c r="J62" t="s">
        <v>335</v>
      </c>
      <c r="N62" t="s">
        <v>457</v>
      </c>
      <c r="AH62" s="260"/>
    </row>
    <row r="63" spans="1:34" x14ac:dyDescent="0.25">
      <c r="A63" s="268">
        <v>303</v>
      </c>
      <c r="B63" s="31"/>
      <c r="C63">
        <v>300</v>
      </c>
      <c r="E63" t="s">
        <v>458</v>
      </c>
      <c r="F63" t="s">
        <v>459</v>
      </c>
      <c r="H63" t="s">
        <v>333</v>
      </c>
      <c r="I63" t="s">
        <v>334</v>
      </c>
      <c r="J63" t="s">
        <v>335</v>
      </c>
      <c r="N63" t="s">
        <v>457</v>
      </c>
      <c r="AH63" s="260"/>
    </row>
    <row r="64" spans="1:34" x14ac:dyDescent="0.25">
      <c r="A64" s="268">
        <v>303</v>
      </c>
      <c r="B64" s="31"/>
      <c r="C64">
        <v>300</v>
      </c>
      <c r="E64" t="s">
        <v>458</v>
      </c>
      <c r="F64" t="s">
        <v>459</v>
      </c>
      <c r="H64" t="s">
        <v>333</v>
      </c>
      <c r="I64" t="s">
        <v>334</v>
      </c>
      <c r="J64" t="s">
        <v>335</v>
      </c>
      <c r="N64" t="s">
        <v>457</v>
      </c>
      <c r="AH64" s="260"/>
    </row>
    <row r="65" spans="1:34" ht="15.75" thickBot="1" x14ac:dyDescent="0.3">
      <c r="A65" s="269">
        <v>502</v>
      </c>
      <c r="B65" s="39"/>
      <c r="C65" s="40">
        <v>500</v>
      </c>
      <c r="D65" s="40" t="s">
        <v>340</v>
      </c>
      <c r="E65" s="40" t="s">
        <v>458</v>
      </c>
      <c r="F65" s="40" t="s">
        <v>459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457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261"/>
    </row>
    <row r="66" spans="1:34" ht="15.75" thickTop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570312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198</v>
      </c>
      <c r="E3" s="7">
        <v>1001</v>
      </c>
      <c r="F3" s="7">
        <v>1001</v>
      </c>
      <c r="G3" s="7">
        <v>1001</v>
      </c>
      <c r="H3" s="7">
        <v>1001</v>
      </c>
      <c r="I3" s="7">
        <v>1001</v>
      </c>
      <c r="J3" s="7">
        <v>1001</v>
      </c>
      <c r="K3" s="7">
        <v>1001</v>
      </c>
      <c r="L3" s="7">
        <v>1001</v>
      </c>
      <c r="M3" s="7">
        <v>110</v>
      </c>
      <c r="N3" s="7">
        <v>110</v>
      </c>
      <c r="O3" s="7">
        <v>1001</v>
      </c>
      <c r="P3" s="7">
        <v>102</v>
      </c>
      <c r="Q3" s="7">
        <v>1001</v>
      </c>
      <c r="R3" s="7">
        <v>1001</v>
      </c>
      <c r="S3" s="7">
        <v>1001</v>
      </c>
      <c r="T3" s="7">
        <v>109</v>
      </c>
      <c r="U3" s="7">
        <v>110</v>
      </c>
      <c r="V3" s="7">
        <v>110</v>
      </c>
      <c r="W3" s="7">
        <v>1001</v>
      </c>
      <c r="X3" s="7">
        <v>1001</v>
      </c>
      <c r="Y3" s="7">
        <v>102</v>
      </c>
      <c r="Z3" s="7">
        <v>1001</v>
      </c>
      <c r="AA3" s="7">
        <v>1001</v>
      </c>
      <c r="AB3" s="7">
        <v>1001</v>
      </c>
      <c r="AC3" s="7">
        <v>110</v>
      </c>
      <c r="AD3" s="7">
        <v>102</v>
      </c>
      <c r="AE3" s="7">
        <v>1001</v>
      </c>
      <c r="AF3" s="7">
        <v>1001</v>
      </c>
      <c r="AG3" s="7">
        <v>1001</v>
      </c>
      <c r="AH3" s="7">
        <v>110</v>
      </c>
      <c r="AI3" s="7">
        <v>110</v>
      </c>
      <c r="AJ3" s="7">
        <v>1001</v>
      </c>
      <c r="AK3" s="7">
        <v>1001</v>
      </c>
      <c r="AL3" s="7">
        <v>110</v>
      </c>
      <c r="AM3" s="7">
        <v>1001</v>
      </c>
      <c r="AN3" s="7">
        <v>1001</v>
      </c>
      <c r="AO3" s="7">
        <v>1001</v>
      </c>
      <c r="AP3" s="7">
        <v>1001</v>
      </c>
      <c r="AQ3" s="7">
        <v>110</v>
      </c>
      <c r="AR3" s="7">
        <v>110</v>
      </c>
      <c r="AS3" s="7">
        <v>102</v>
      </c>
      <c r="AT3" s="7">
        <v>1001</v>
      </c>
      <c r="AU3" s="7">
        <v>1001</v>
      </c>
      <c r="AV3" s="7">
        <v>1001</v>
      </c>
      <c r="AW3" s="7">
        <v>110</v>
      </c>
      <c r="AX3" s="7">
        <v>110</v>
      </c>
      <c r="AY3" s="7">
        <v>110</v>
      </c>
      <c r="AZ3" s="7">
        <v>1001</v>
      </c>
      <c r="BA3" s="7">
        <v>102</v>
      </c>
      <c r="BB3" s="7">
        <v>1001</v>
      </c>
      <c r="BC3" s="7">
        <v>1001</v>
      </c>
      <c r="BD3" s="7">
        <v>1001</v>
      </c>
      <c r="BE3" s="7">
        <v>1001</v>
      </c>
      <c r="BF3" s="7">
        <v>110</v>
      </c>
      <c r="BG3" s="7">
        <v>110</v>
      </c>
      <c r="BH3" s="7">
        <v>110</v>
      </c>
      <c r="BI3" s="7">
        <v>1001</v>
      </c>
      <c r="BJ3" s="7">
        <v>1001</v>
      </c>
      <c r="BK3" s="7">
        <v>1001</v>
      </c>
      <c r="BL3" s="7">
        <v>1001</v>
      </c>
      <c r="BM3" s="7">
        <v>1001</v>
      </c>
      <c r="BN3" s="7">
        <v>102</v>
      </c>
      <c r="BO3" s="7">
        <v>1001</v>
      </c>
      <c r="BP3" s="7">
        <v>1001</v>
      </c>
      <c r="BQ3" s="10">
        <v>1000</v>
      </c>
      <c r="BR3" s="10">
        <v>1000</v>
      </c>
      <c r="BS3" s="10">
        <v>1000</v>
      </c>
      <c r="BT3" s="10">
        <v>1000</v>
      </c>
      <c r="BU3" s="10">
        <v>1000</v>
      </c>
      <c r="BV3" s="10">
        <v>1000</v>
      </c>
      <c r="BW3" s="10">
        <v>1000</v>
      </c>
      <c r="BX3" s="10">
        <v>1000</v>
      </c>
      <c r="BY3" s="10">
        <v>100</v>
      </c>
      <c r="BZ3" s="10">
        <v>100</v>
      </c>
      <c r="CA3" s="10">
        <v>1000</v>
      </c>
      <c r="CB3" s="10">
        <v>100</v>
      </c>
      <c r="CC3" s="10">
        <v>1000</v>
      </c>
      <c r="CD3" s="10">
        <v>1000</v>
      </c>
      <c r="CE3" s="10">
        <v>1000</v>
      </c>
      <c r="CF3" s="10">
        <v>100</v>
      </c>
      <c r="CG3" s="10">
        <v>100</v>
      </c>
      <c r="CH3" s="10">
        <v>100</v>
      </c>
      <c r="CI3" s="10">
        <v>1000</v>
      </c>
      <c r="CJ3" s="10">
        <v>1000</v>
      </c>
      <c r="CK3" s="10">
        <v>100</v>
      </c>
      <c r="CL3" s="10">
        <v>1000</v>
      </c>
      <c r="CM3" s="10">
        <v>1000</v>
      </c>
      <c r="CN3" s="10">
        <v>1000</v>
      </c>
      <c r="CO3" s="10">
        <v>100</v>
      </c>
      <c r="CP3" s="10">
        <v>100</v>
      </c>
      <c r="CQ3" s="10">
        <v>1000</v>
      </c>
      <c r="CR3" s="10">
        <v>1000</v>
      </c>
      <c r="CS3" s="10">
        <v>1000</v>
      </c>
      <c r="CT3" s="10">
        <v>100</v>
      </c>
      <c r="CU3" s="10">
        <v>100</v>
      </c>
      <c r="CV3" s="10">
        <v>1000</v>
      </c>
      <c r="CW3" s="10">
        <v>1000</v>
      </c>
      <c r="CX3" s="10">
        <v>100</v>
      </c>
      <c r="CY3" s="10">
        <v>1000</v>
      </c>
      <c r="CZ3" s="10">
        <v>1000</v>
      </c>
      <c r="DA3" s="10">
        <v>1000</v>
      </c>
      <c r="DB3" s="10">
        <v>1000</v>
      </c>
      <c r="DC3" s="10">
        <v>100</v>
      </c>
      <c r="DD3" s="10">
        <v>100</v>
      </c>
      <c r="DE3" s="10">
        <v>100</v>
      </c>
      <c r="DF3" s="10">
        <v>1000</v>
      </c>
      <c r="DG3" s="10">
        <v>1000</v>
      </c>
      <c r="DH3" s="10">
        <v>1000</v>
      </c>
      <c r="DI3" s="10">
        <v>100</v>
      </c>
      <c r="DJ3" s="10">
        <v>100</v>
      </c>
      <c r="DK3" s="10">
        <v>100</v>
      </c>
      <c r="DL3" s="10">
        <v>1000</v>
      </c>
      <c r="DM3" s="10">
        <v>100</v>
      </c>
      <c r="DN3" s="10">
        <v>1000</v>
      </c>
      <c r="DO3" s="10">
        <v>1000</v>
      </c>
      <c r="DP3" s="10">
        <v>1000</v>
      </c>
      <c r="DQ3" s="10">
        <v>1000</v>
      </c>
      <c r="DR3" s="10">
        <v>100</v>
      </c>
      <c r="DS3" s="10">
        <v>100</v>
      </c>
      <c r="DT3" s="10">
        <v>100</v>
      </c>
      <c r="DU3" s="10">
        <v>1000</v>
      </c>
      <c r="DV3" s="10">
        <v>1000</v>
      </c>
      <c r="DW3" s="10">
        <v>1000</v>
      </c>
      <c r="DX3" s="10">
        <v>1000</v>
      </c>
      <c r="DY3" s="10">
        <v>1000</v>
      </c>
      <c r="DZ3" s="10">
        <v>100</v>
      </c>
      <c r="EA3" s="10">
        <v>1000</v>
      </c>
      <c r="EB3" s="10">
        <v>1000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384</v>
      </c>
      <c r="E3" s="7">
        <v>1001</v>
      </c>
      <c r="F3" s="7">
        <v>1001</v>
      </c>
      <c r="G3" s="7">
        <v>106</v>
      </c>
      <c r="H3" s="7">
        <v>106</v>
      </c>
      <c r="I3" s="7">
        <v>106</v>
      </c>
      <c r="J3" s="7">
        <v>106</v>
      </c>
      <c r="K3" s="7">
        <v>102</v>
      </c>
      <c r="L3" s="7">
        <v>102</v>
      </c>
      <c r="M3" s="7">
        <v>1001</v>
      </c>
      <c r="N3" s="7">
        <v>501</v>
      </c>
      <c r="O3" s="7">
        <v>106</v>
      </c>
      <c r="P3" s="7">
        <v>106</v>
      </c>
      <c r="Q3" s="7">
        <v>106</v>
      </c>
      <c r="R3" s="7">
        <v>106</v>
      </c>
      <c r="S3" s="7">
        <v>903</v>
      </c>
      <c r="T3" s="7">
        <v>102</v>
      </c>
      <c r="U3" s="7">
        <v>1001</v>
      </c>
      <c r="V3" s="7">
        <v>501</v>
      </c>
      <c r="W3" s="7">
        <v>501</v>
      </c>
      <c r="X3" s="7">
        <v>102</v>
      </c>
      <c r="Y3" s="7">
        <v>102</v>
      </c>
      <c r="Z3" s="7">
        <v>102</v>
      </c>
      <c r="AA3" s="7">
        <v>102</v>
      </c>
      <c r="AB3" s="7">
        <v>102</v>
      </c>
      <c r="AC3" s="7">
        <v>1001</v>
      </c>
      <c r="AD3" s="7">
        <v>501</v>
      </c>
      <c r="AE3" s="7">
        <v>903</v>
      </c>
      <c r="AF3" s="7">
        <v>501</v>
      </c>
      <c r="AG3" s="7">
        <v>501</v>
      </c>
      <c r="AH3" s="7">
        <v>501</v>
      </c>
      <c r="AI3" s="7">
        <v>102</v>
      </c>
      <c r="AJ3" s="7">
        <v>102</v>
      </c>
      <c r="AK3" s="7">
        <v>1001</v>
      </c>
      <c r="AL3" s="7">
        <v>1001</v>
      </c>
      <c r="AM3" s="7">
        <v>501</v>
      </c>
      <c r="AN3" s="7">
        <v>903</v>
      </c>
      <c r="AO3" s="7">
        <v>501</v>
      </c>
      <c r="AP3" s="7">
        <v>501</v>
      </c>
      <c r="AQ3" s="7">
        <v>102</v>
      </c>
      <c r="AR3" s="7">
        <v>102</v>
      </c>
      <c r="AS3" s="7">
        <v>102</v>
      </c>
      <c r="AT3" s="7">
        <v>604</v>
      </c>
      <c r="AU3" s="7">
        <v>501</v>
      </c>
      <c r="AV3" s="7">
        <v>501</v>
      </c>
      <c r="AW3" s="7">
        <v>903</v>
      </c>
      <c r="AX3" s="7">
        <v>501</v>
      </c>
      <c r="AY3" s="7">
        <v>501</v>
      </c>
      <c r="AZ3" s="7">
        <v>102</v>
      </c>
      <c r="BA3" s="7">
        <v>102</v>
      </c>
      <c r="BB3" s="7">
        <v>501</v>
      </c>
      <c r="BC3" s="7">
        <v>501</v>
      </c>
      <c r="BD3" s="7">
        <v>1001</v>
      </c>
      <c r="BE3" s="7">
        <v>903</v>
      </c>
      <c r="BF3" s="7">
        <v>903</v>
      </c>
      <c r="BG3" s="7">
        <v>501</v>
      </c>
      <c r="BH3" s="7">
        <v>1001</v>
      </c>
      <c r="BI3" s="7">
        <v>1001</v>
      </c>
      <c r="BJ3" s="7">
        <v>102</v>
      </c>
      <c r="BK3" s="7">
        <v>1001</v>
      </c>
      <c r="BL3" s="7">
        <v>1001</v>
      </c>
      <c r="BM3" s="7">
        <v>1001</v>
      </c>
      <c r="BN3" s="7">
        <v>102</v>
      </c>
      <c r="BO3" s="7">
        <v>1001</v>
      </c>
      <c r="BP3" s="7">
        <v>1001</v>
      </c>
      <c r="BQ3" s="10">
        <v>1000</v>
      </c>
      <c r="BR3" s="10">
        <v>1000</v>
      </c>
      <c r="BS3" s="10">
        <v>100</v>
      </c>
      <c r="BT3" s="10">
        <v>100</v>
      </c>
      <c r="BU3" s="10">
        <v>100</v>
      </c>
      <c r="BV3" s="10">
        <v>100</v>
      </c>
      <c r="BW3" s="10">
        <v>100</v>
      </c>
      <c r="BX3" s="10">
        <v>100</v>
      </c>
      <c r="BY3" s="10">
        <v>1000</v>
      </c>
      <c r="BZ3" s="10">
        <v>500</v>
      </c>
      <c r="CA3" s="10">
        <v>100</v>
      </c>
      <c r="CB3" s="10">
        <v>100</v>
      </c>
      <c r="CC3" s="10">
        <v>100</v>
      </c>
      <c r="CD3" s="10">
        <v>100</v>
      </c>
      <c r="CE3" s="10">
        <v>900</v>
      </c>
      <c r="CF3" s="10">
        <v>100</v>
      </c>
      <c r="CG3" s="10">
        <v>1000</v>
      </c>
      <c r="CH3" s="10">
        <v>500</v>
      </c>
      <c r="CI3" s="10">
        <v>500</v>
      </c>
      <c r="CJ3" s="10">
        <v>100</v>
      </c>
      <c r="CK3" s="10">
        <v>100</v>
      </c>
      <c r="CL3" s="10">
        <v>100</v>
      </c>
      <c r="CM3" s="10">
        <v>100</v>
      </c>
      <c r="CN3" s="10">
        <v>100</v>
      </c>
      <c r="CO3" s="10">
        <v>1000</v>
      </c>
      <c r="CP3" s="10">
        <v>500</v>
      </c>
      <c r="CQ3" s="10">
        <v>900</v>
      </c>
      <c r="CR3" s="10">
        <v>500</v>
      </c>
      <c r="CS3" s="10">
        <v>500</v>
      </c>
      <c r="CT3" s="10">
        <v>500</v>
      </c>
      <c r="CU3" s="10">
        <v>100</v>
      </c>
      <c r="CV3" s="10">
        <v>100</v>
      </c>
      <c r="CW3" s="10">
        <v>1000</v>
      </c>
      <c r="CX3" s="10">
        <v>1000</v>
      </c>
      <c r="CY3" s="10">
        <v>500</v>
      </c>
      <c r="CZ3" s="10">
        <v>900</v>
      </c>
      <c r="DA3" s="10">
        <v>500</v>
      </c>
      <c r="DB3" s="10">
        <v>500</v>
      </c>
      <c r="DC3" s="10">
        <v>100</v>
      </c>
      <c r="DD3" s="10">
        <v>100</v>
      </c>
      <c r="DE3" s="10">
        <v>100</v>
      </c>
      <c r="DF3" s="10">
        <v>600</v>
      </c>
      <c r="DG3" s="10">
        <v>500</v>
      </c>
      <c r="DH3" s="10">
        <v>500</v>
      </c>
      <c r="DI3" s="10">
        <v>900</v>
      </c>
      <c r="DJ3" s="10">
        <v>500</v>
      </c>
      <c r="DK3" s="10">
        <v>500</v>
      </c>
      <c r="DL3" s="10">
        <v>100</v>
      </c>
      <c r="DM3" s="10">
        <v>100</v>
      </c>
      <c r="DN3" s="10">
        <v>500</v>
      </c>
      <c r="DO3" s="10">
        <v>500</v>
      </c>
      <c r="DP3" s="10">
        <v>1000</v>
      </c>
      <c r="DQ3" s="10">
        <v>900</v>
      </c>
      <c r="DR3" s="10">
        <v>900</v>
      </c>
      <c r="DS3" s="10">
        <v>500</v>
      </c>
      <c r="DT3" s="10">
        <v>1000</v>
      </c>
      <c r="DU3" s="10">
        <v>1000</v>
      </c>
      <c r="DV3" s="10">
        <v>100</v>
      </c>
      <c r="DW3" s="10">
        <v>1000</v>
      </c>
      <c r="DX3" s="10">
        <v>1000</v>
      </c>
      <c r="DY3" s="10">
        <v>1000</v>
      </c>
      <c r="DZ3" s="10">
        <v>100</v>
      </c>
      <c r="EA3" s="10">
        <v>1000</v>
      </c>
      <c r="EB3" s="10">
        <v>1000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5703125" bestFit="1" customWidth="1"/>
    <col min="6" max="6" width="43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70">
        <v>1001</v>
      </c>
      <c r="B2" s="38"/>
      <c r="C2" s="53">
        <v>1000</v>
      </c>
      <c r="D2" s="53" t="s">
        <v>339</v>
      </c>
      <c r="E2" s="53" t="s">
        <v>386</v>
      </c>
      <c r="F2" s="53" t="s">
        <v>387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385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81"/>
    </row>
    <row r="3" spans="1:34" x14ac:dyDescent="0.25">
      <c r="A3" s="73">
        <v>1001</v>
      </c>
      <c r="B3" s="31"/>
      <c r="C3">
        <v>1000</v>
      </c>
      <c r="E3" t="s">
        <v>386</v>
      </c>
      <c r="F3" t="s">
        <v>387</v>
      </c>
      <c r="H3" t="s">
        <v>333</v>
      </c>
      <c r="I3" t="s">
        <v>334</v>
      </c>
      <c r="J3" t="s">
        <v>335</v>
      </c>
      <c r="N3" t="s">
        <v>385</v>
      </c>
      <c r="AH3" s="78"/>
    </row>
    <row r="4" spans="1:34" x14ac:dyDescent="0.25">
      <c r="A4" s="73">
        <v>106</v>
      </c>
      <c r="B4" s="31"/>
      <c r="C4">
        <v>100</v>
      </c>
      <c r="E4" t="s">
        <v>386</v>
      </c>
      <c r="F4" t="s">
        <v>387</v>
      </c>
      <c r="H4" t="s">
        <v>333</v>
      </c>
      <c r="I4" t="s">
        <v>334</v>
      </c>
      <c r="J4" t="s">
        <v>335</v>
      </c>
      <c r="N4" t="s">
        <v>385</v>
      </c>
      <c r="AH4" s="78"/>
    </row>
    <row r="5" spans="1:34" x14ac:dyDescent="0.25">
      <c r="A5" s="73">
        <v>106</v>
      </c>
      <c r="B5" s="31"/>
      <c r="C5">
        <v>100</v>
      </c>
      <c r="E5" t="s">
        <v>386</v>
      </c>
      <c r="F5" t="s">
        <v>387</v>
      </c>
      <c r="H5" t="s">
        <v>333</v>
      </c>
      <c r="I5" t="s">
        <v>334</v>
      </c>
      <c r="J5" t="s">
        <v>335</v>
      </c>
      <c r="N5" t="s">
        <v>385</v>
      </c>
      <c r="AH5" s="78"/>
    </row>
    <row r="6" spans="1:34" x14ac:dyDescent="0.25">
      <c r="A6" s="73">
        <v>106</v>
      </c>
      <c r="B6" s="31"/>
      <c r="C6">
        <v>100</v>
      </c>
      <c r="E6" t="s">
        <v>386</v>
      </c>
      <c r="F6" t="s">
        <v>387</v>
      </c>
      <c r="H6" t="s">
        <v>333</v>
      </c>
      <c r="I6" t="s">
        <v>334</v>
      </c>
      <c r="J6" t="s">
        <v>335</v>
      </c>
      <c r="N6" t="s">
        <v>385</v>
      </c>
      <c r="AH6" s="78"/>
    </row>
    <row r="7" spans="1:34" x14ac:dyDescent="0.25">
      <c r="A7" s="73">
        <v>106</v>
      </c>
      <c r="B7" s="31"/>
      <c r="C7">
        <v>100</v>
      </c>
      <c r="E7" t="s">
        <v>386</v>
      </c>
      <c r="F7" t="s">
        <v>387</v>
      </c>
      <c r="H7" t="s">
        <v>333</v>
      </c>
      <c r="I7" t="s">
        <v>334</v>
      </c>
      <c r="J7" t="s">
        <v>335</v>
      </c>
      <c r="N7" t="s">
        <v>385</v>
      </c>
      <c r="AH7" s="78"/>
    </row>
    <row r="8" spans="1:34" x14ac:dyDescent="0.25">
      <c r="A8" s="73">
        <v>102</v>
      </c>
      <c r="B8" s="31"/>
      <c r="C8">
        <v>100</v>
      </c>
      <c r="E8" t="s">
        <v>386</v>
      </c>
      <c r="F8" t="s">
        <v>387</v>
      </c>
      <c r="H8" t="s">
        <v>333</v>
      </c>
      <c r="I8" t="s">
        <v>334</v>
      </c>
      <c r="J8" t="s">
        <v>335</v>
      </c>
      <c r="N8" t="s">
        <v>385</v>
      </c>
      <c r="AH8" s="78"/>
    </row>
    <row r="9" spans="1:34" x14ac:dyDescent="0.25">
      <c r="A9" s="73">
        <v>102</v>
      </c>
      <c r="B9" s="31"/>
      <c r="C9">
        <v>100</v>
      </c>
      <c r="E9" t="s">
        <v>386</v>
      </c>
      <c r="F9" t="s">
        <v>387</v>
      </c>
      <c r="H9" t="s">
        <v>333</v>
      </c>
      <c r="I9" t="s">
        <v>334</v>
      </c>
      <c r="J9" t="s">
        <v>335</v>
      </c>
      <c r="N9" t="s">
        <v>385</v>
      </c>
      <c r="AH9" s="78"/>
    </row>
    <row r="10" spans="1:34" x14ac:dyDescent="0.25">
      <c r="A10" s="73">
        <v>1001</v>
      </c>
      <c r="B10" s="31"/>
      <c r="C10">
        <v>1000</v>
      </c>
      <c r="E10" t="s">
        <v>386</v>
      </c>
      <c r="F10" t="s">
        <v>387</v>
      </c>
      <c r="H10" t="s">
        <v>333</v>
      </c>
      <c r="I10" t="s">
        <v>334</v>
      </c>
      <c r="J10" t="s">
        <v>335</v>
      </c>
      <c r="N10" t="s">
        <v>385</v>
      </c>
      <c r="AH10" s="78"/>
    </row>
    <row r="11" spans="1:34" x14ac:dyDescent="0.25">
      <c r="A11" s="73">
        <v>501</v>
      </c>
      <c r="B11" s="31"/>
      <c r="C11">
        <v>500</v>
      </c>
      <c r="E11" t="s">
        <v>386</v>
      </c>
      <c r="F11" t="s">
        <v>387</v>
      </c>
      <c r="H11" t="s">
        <v>333</v>
      </c>
      <c r="I11" t="s">
        <v>334</v>
      </c>
      <c r="J11" t="s">
        <v>335</v>
      </c>
      <c r="N11" t="s">
        <v>385</v>
      </c>
      <c r="AH11" s="78"/>
    </row>
    <row r="12" spans="1:34" x14ac:dyDescent="0.25">
      <c r="A12" s="73">
        <v>106</v>
      </c>
      <c r="B12" s="31"/>
      <c r="C12">
        <v>100</v>
      </c>
      <c r="E12" t="s">
        <v>386</v>
      </c>
      <c r="F12" t="s">
        <v>387</v>
      </c>
      <c r="H12" t="s">
        <v>333</v>
      </c>
      <c r="I12" t="s">
        <v>334</v>
      </c>
      <c r="J12" t="s">
        <v>335</v>
      </c>
      <c r="N12" t="s">
        <v>385</v>
      </c>
      <c r="AH12" s="78"/>
    </row>
    <row r="13" spans="1:34" x14ac:dyDescent="0.25">
      <c r="A13" s="73">
        <v>106</v>
      </c>
      <c r="B13" s="31"/>
      <c r="C13">
        <v>100</v>
      </c>
      <c r="E13" t="s">
        <v>386</v>
      </c>
      <c r="F13" t="s">
        <v>387</v>
      </c>
      <c r="H13" t="s">
        <v>333</v>
      </c>
      <c r="I13" t="s">
        <v>334</v>
      </c>
      <c r="J13" t="s">
        <v>335</v>
      </c>
      <c r="N13" t="s">
        <v>385</v>
      </c>
      <c r="AH13" s="78"/>
    </row>
    <row r="14" spans="1:34" x14ac:dyDescent="0.25">
      <c r="A14" s="73">
        <v>106</v>
      </c>
      <c r="B14" s="31"/>
      <c r="C14">
        <v>100</v>
      </c>
      <c r="E14" t="s">
        <v>386</v>
      </c>
      <c r="F14" t="s">
        <v>387</v>
      </c>
      <c r="H14" t="s">
        <v>333</v>
      </c>
      <c r="I14" t="s">
        <v>334</v>
      </c>
      <c r="J14" t="s">
        <v>335</v>
      </c>
      <c r="N14" t="s">
        <v>385</v>
      </c>
      <c r="AH14" s="78"/>
    </row>
    <row r="15" spans="1:34" x14ac:dyDescent="0.25">
      <c r="A15" s="73">
        <v>106</v>
      </c>
      <c r="B15" s="31"/>
      <c r="C15">
        <v>100</v>
      </c>
      <c r="E15" t="s">
        <v>386</v>
      </c>
      <c r="F15" t="s">
        <v>387</v>
      </c>
      <c r="H15" t="s">
        <v>333</v>
      </c>
      <c r="I15" t="s">
        <v>334</v>
      </c>
      <c r="J15" t="s">
        <v>335</v>
      </c>
      <c r="N15" t="s">
        <v>385</v>
      </c>
      <c r="AH15" s="78"/>
    </row>
    <row r="16" spans="1:34" x14ac:dyDescent="0.25">
      <c r="A16" s="73">
        <v>903</v>
      </c>
      <c r="B16" s="31"/>
      <c r="C16">
        <v>900</v>
      </c>
      <c r="E16" t="s">
        <v>386</v>
      </c>
      <c r="F16" t="s">
        <v>387</v>
      </c>
      <c r="H16" t="s">
        <v>333</v>
      </c>
      <c r="I16" t="s">
        <v>334</v>
      </c>
      <c r="J16" t="s">
        <v>335</v>
      </c>
      <c r="N16" t="s">
        <v>385</v>
      </c>
      <c r="AH16" s="78"/>
    </row>
    <row r="17" spans="1:34" x14ac:dyDescent="0.25">
      <c r="A17" s="73">
        <v>102</v>
      </c>
      <c r="B17" s="31"/>
      <c r="C17">
        <v>100</v>
      </c>
      <c r="E17" t="s">
        <v>386</v>
      </c>
      <c r="F17" t="s">
        <v>387</v>
      </c>
      <c r="H17" t="s">
        <v>333</v>
      </c>
      <c r="I17" t="s">
        <v>334</v>
      </c>
      <c r="J17" t="s">
        <v>335</v>
      </c>
      <c r="N17" t="s">
        <v>385</v>
      </c>
      <c r="AH17" s="78"/>
    </row>
    <row r="18" spans="1:34" x14ac:dyDescent="0.25">
      <c r="A18" s="73">
        <v>1001</v>
      </c>
      <c r="B18" s="31"/>
      <c r="C18">
        <v>1000</v>
      </c>
      <c r="E18" t="s">
        <v>386</v>
      </c>
      <c r="F18" t="s">
        <v>387</v>
      </c>
      <c r="H18" t="s">
        <v>333</v>
      </c>
      <c r="I18" t="s">
        <v>334</v>
      </c>
      <c r="J18" t="s">
        <v>335</v>
      </c>
      <c r="N18" t="s">
        <v>385</v>
      </c>
      <c r="AH18" s="78"/>
    </row>
    <row r="19" spans="1:34" x14ac:dyDescent="0.25">
      <c r="A19" s="73">
        <v>501</v>
      </c>
      <c r="B19" s="31"/>
      <c r="C19">
        <v>500</v>
      </c>
      <c r="E19" t="s">
        <v>386</v>
      </c>
      <c r="F19" t="s">
        <v>387</v>
      </c>
      <c r="H19" t="s">
        <v>333</v>
      </c>
      <c r="I19" t="s">
        <v>334</v>
      </c>
      <c r="J19" t="s">
        <v>335</v>
      </c>
      <c r="N19" t="s">
        <v>385</v>
      </c>
      <c r="AH19" s="78"/>
    </row>
    <row r="20" spans="1:34" x14ac:dyDescent="0.25">
      <c r="A20" s="73">
        <v>501</v>
      </c>
      <c r="B20" s="31"/>
      <c r="C20">
        <v>500</v>
      </c>
      <c r="E20" t="s">
        <v>386</v>
      </c>
      <c r="F20" t="s">
        <v>387</v>
      </c>
      <c r="H20" t="s">
        <v>333</v>
      </c>
      <c r="I20" t="s">
        <v>334</v>
      </c>
      <c r="J20" t="s">
        <v>335</v>
      </c>
      <c r="N20" t="s">
        <v>385</v>
      </c>
      <c r="AH20" s="78"/>
    </row>
    <row r="21" spans="1:34" x14ac:dyDescent="0.25">
      <c r="A21" s="73">
        <v>102</v>
      </c>
      <c r="B21" s="31"/>
      <c r="C21">
        <v>100</v>
      </c>
      <c r="E21" t="s">
        <v>386</v>
      </c>
      <c r="F21" t="s">
        <v>387</v>
      </c>
      <c r="H21" t="s">
        <v>333</v>
      </c>
      <c r="I21" t="s">
        <v>334</v>
      </c>
      <c r="J21" t="s">
        <v>335</v>
      </c>
      <c r="N21" t="s">
        <v>385</v>
      </c>
      <c r="AH21" s="78"/>
    </row>
    <row r="22" spans="1:34" x14ac:dyDescent="0.25">
      <c r="A22" s="73">
        <v>102</v>
      </c>
      <c r="B22" s="31"/>
      <c r="C22">
        <v>100</v>
      </c>
      <c r="E22" t="s">
        <v>386</v>
      </c>
      <c r="F22" t="s">
        <v>387</v>
      </c>
      <c r="H22" t="s">
        <v>333</v>
      </c>
      <c r="I22" t="s">
        <v>334</v>
      </c>
      <c r="J22" t="s">
        <v>335</v>
      </c>
      <c r="N22" t="s">
        <v>385</v>
      </c>
      <c r="AH22" s="78"/>
    </row>
    <row r="23" spans="1:34" x14ac:dyDescent="0.25">
      <c r="A23" s="73">
        <v>102</v>
      </c>
      <c r="B23" s="31"/>
      <c r="C23">
        <v>100</v>
      </c>
      <c r="E23" t="s">
        <v>386</v>
      </c>
      <c r="F23" t="s">
        <v>387</v>
      </c>
      <c r="H23" t="s">
        <v>333</v>
      </c>
      <c r="I23" t="s">
        <v>334</v>
      </c>
      <c r="J23" t="s">
        <v>335</v>
      </c>
      <c r="N23" t="s">
        <v>385</v>
      </c>
      <c r="AH23" s="78"/>
    </row>
    <row r="24" spans="1:34" x14ac:dyDescent="0.25">
      <c r="A24" s="73">
        <v>102</v>
      </c>
      <c r="B24" s="31"/>
      <c r="C24">
        <v>100</v>
      </c>
      <c r="E24" t="s">
        <v>386</v>
      </c>
      <c r="F24" t="s">
        <v>387</v>
      </c>
      <c r="H24" t="s">
        <v>333</v>
      </c>
      <c r="I24" t="s">
        <v>334</v>
      </c>
      <c r="J24" t="s">
        <v>335</v>
      </c>
      <c r="N24" t="s">
        <v>385</v>
      </c>
      <c r="AH24" s="78"/>
    </row>
    <row r="25" spans="1:34" x14ac:dyDescent="0.25">
      <c r="A25" s="73">
        <v>102</v>
      </c>
      <c r="B25" s="31"/>
      <c r="C25">
        <v>100</v>
      </c>
      <c r="E25" t="s">
        <v>386</v>
      </c>
      <c r="F25" t="s">
        <v>387</v>
      </c>
      <c r="H25" t="s">
        <v>333</v>
      </c>
      <c r="I25" t="s">
        <v>334</v>
      </c>
      <c r="J25" t="s">
        <v>335</v>
      </c>
      <c r="N25" t="s">
        <v>385</v>
      </c>
      <c r="AH25" s="78"/>
    </row>
    <row r="26" spans="1:34" x14ac:dyDescent="0.25">
      <c r="A26" s="73">
        <v>1001</v>
      </c>
      <c r="B26" s="31"/>
      <c r="C26">
        <v>1000</v>
      </c>
      <c r="E26" t="s">
        <v>386</v>
      </c>
      <c r="F26" t="s">
        <v>387</v>
      </c>
      <c r="H26" t="s">
        <v>333</v>
      </c>
      <c r="I26" t="s">
        <v>334</v>
      </c>
      <c r="J26" t="s">
        <v>335</v>
      </c>
      <c r="N26" t="s">
        <v>385</v>
      </c>
      <c r="AH26" s="78"/>
    </row>
    <row r="27" spans="1:34" x14ac:dyDescent="0.25">
      <c r="A27" s="73">
        <v>501</v>
      </c>
      <c r="B27" s="31"/>
      <c r="C27">
        <v>500</v>
      </c>
      <c r="E27" t="s">
        <v>386</v>
      </c>
      <c r="F27" t="s">
        <v>387</v>
      </c>
      <c r="H27" t="s">
        <v>333</v>
      </c>
      <c r="I27" t="s">
        <v>334</v>
      </c>
      <c r="J27" t="s">
        <v>335</v>
      </c>
      <c r="N27" t="s">
        <v>385</v>
      </c>
      <c r="AH27" s="78"/>
    </row>
    <row r="28" spans="1:34" x14ac:dyDescent="0.25">
      <c r="A28" s="73">
        <v>903</v>
      </c>
      <c r="B28" s="31"/>
      <c r="C28">
        <v>900</v>
      </c>
      <c r="E28" t="s">
        <v>386</v>
      </c>
      <c r="F28" t="s">
        <v>387</v>
      </c>
      <c r="H28" t="s">
        <v>333</v>
      </c>
      <c r="I28" t="s">
        <v>334</v>
      </c>
      <c r="J28" t="s">
        <v>335</v>
      </c>
      <c r="N28" t="s">
        <v>385</v>
      </c>
      <c r="AH28" s="78"/>
    </row>
    <row r="29" spans="1:34" x14ac:dyDescent="0.25">
      <c r="A29" s="73">
        <v>501</v>
      </c>
      <c r="B29" s="31"/>
      <c r="C29">
        <v>500</v>
      </c>
      <c r="E29" t="s">
        <v>386</v>
      </c>
      <c r="F29" t="s">
        <v>387</v>
      </c>
      <c r="H29" t="s">
        <v>333</v>
      </c>
      <c r="I29" t="s">
        <v>334</v>
      </c>
      <c r="J29" t="s">
        <v>335</v>
      </c>
      <c r="N29" t="s">
        <v>385</v>
      </c>
      <c r="AH29" s="78"/>
    </row>
    <row r="30" spans="1:34" x14ac:dyDescent="0.25">
      <c r="A30" s="73">
        <v>501</v>
      </c>
      <c r="B30" s="31"/>
      <c r="C30">
        <v>500</v>
      </c>
      <c r="E30" t="s">
        <v>386</v>
      </c>
      <c r="F30" t="s">
        <v>387</v>
      </c>
      <c r="H30" t="s">
        <v>333</v>
      </c>
      <c r="I30" t="s">
        <v>334</v>
      </c>
      <c r="J30" t="s">
        <v>335</v>
      </c>
      <c r="N30" t="s">
        <v>385</v>
      </c>
      <c r="AH30" s="78"/>
    </row>
    <row r="31" spans="1:34" x14ac:dyDescent="0.25">
      <c r="A31" s="73">
        <v>501</v>
      </c>
      <c r="B31" s="31"/>
      <c r="C31">
        <v>500</v>
      </c>
      <c r="E31" t="s">
        <v>386</v>
      </c>
      <c r="F31" t="s">
        <v>387</v>
      </c>
      <c r="H31" t="s">
        <v>333</v>
      </c>
      <c r="I31" t="s">
        <v>334</v>
      </c>
      <c r="J31" t="s">
        <v>335</v>
      </c>
      <c r="N31" t="s">
        <v>385</v>
      </c>
      <c r="AH31" s="78"/>
    </row>
    <row r="32" spans="1:34" x14ac:dyDescent="0.25">
      <c r="A32" s="73">
        <v>102</v>
      </c>
      <c r="B32" s="31"/>
      <c r="C32">
        <v>100</v>
      </c>
      <c r="E32" t="s">
        <v>386</v>
      </c>
      <c r="F32" t="s">
        <v>387</v>
      </c>
      <c r="H32" t="s">
        <v>333</v>
      </c>
      <c r="I32" t="s">
        <v>334</v>
      </c>
      <c r="J32" t="s">
        <v>335</v>
      </c>
      <c r="N32" t="s">
        <v>385</v>
      </c>
      <c r="AH32" s="78"/>
    </row>
    <row r="33" spans="1:34" x14ac:dyDescent="0.25">
      <c r="A33" s="73">
        <v>102</v>
      </c>
      <c r="B33" s="31"/>
      <c r="C33">
        <v>100</v>
      </c>
      <c r="E33" t="s">
        <v>386</v>
      </c>
      <c r="F33" t="s">
        <v>387</v>
      </c>
      <c r="H33" t="s">
        <v>333</v>
      </c>
      <c r="I33" t="s">
        <v>334</v>
      </c>
      <c r="J33" t="s">
        <v>335</v>
      </c>
      <c r="N33" t="s">
        <v>385</v>
      </c>
      <c r="AH33" s="78"/>
    </row>
    <row r="34" spans="1:34" x14ac:dyDescent="0.25">
      <c r="A34" s="73">
        <v>1001</v>
      </c>
      <c r="B34" s="31"/>
      <c r="C34">
        <v>1000</v>
      </c>
      <c r="E34" t="s">
        <v>386</v>
      </c>
      <c r="F34" t="s">
        <v>387</v>
      </c>
      <c r="H34" t="s">
        <v>333</v>
      </c>
      <c r="I34" t="s">
        <v>334</v>
      </c>
      <c r="J34" t="s">
        <v>335</v>
      </c>
      <c r="N34" t="s">
        <v>385</v>
      </c>
      <c r="AH34" s="78"/>
    </row>
    <row r="35" spans="1:34" x14ac:dyDescent="0.25">
      <c r="A35" s="73">
        <v>1001</v>
      </c>
      <c r="B35" s="31"/>
      <c r="C35">
        <v>1000</v>
      </c>
      <c r="E35" t="s">
        <v>386</v>
      </c>
      <c r="F35" t="s">
        <v>387</v>
      </c>
      <c r="H35" t="s">
        <v>333</v>
      </c>
      <c r="I35" t="s">
        <v>334</v>
      </c>
      <c r="J35" t="s">
        <v>335</v>
      </c>
      <c r="N35" t="s">
        <v>385</v>
      </c>
      <c r="AH35" s="78"/>
    </row>
    <row r="36" spans="1:34" x14ac:dyDescent="0.25">
      <c r="A36" s="73">
        <v>501</v>
      </c>
      <c r="B36" s="31"/>
      <c r="C36">
        <v>500</v>
      </c>
      <c r="E36" t="s">
        <v>386</v>
      </c>
      <c r="F36" t="s">
        <v>387</v>
      </c>
      <c r="H36" t="s">
        <v>333</v>
      </c>
      <c r="I36" t="s">
        <v>334</v>
      </c>
      <c r="J36" t="s">
        <v>335</v>
      </c>
      <c r="N36" t="s">
        <v>385</v>
      </c>
      <c r="AH36" s="78"/>
    </row>
    <row r="37" spans="1:34" x14ac:dyDescent="0.25">
      <c r="A37" s="73">
        <v>903</v>
      </c>
      <c r="B37" s="31"/>
      <c r="C37">
        <v>900</v>
      </c>
      <c r="E37" t="s">
        <v>386</v>
      </c>
      <c r="F37" t="s">
        <v>387</v>
      </c>
      <c r="H37" t="s">
        <v>333</v>
      </c>
      <c r="I37" t="s">
        <v>334</v>
      </c>
      <c r="J37" t="s">
        <v>335</v>
      </c>
      <c r="N37" t="s">
        <v>385</v>
      </c>
      <c r="AH37" s="78"/>
    </row>
    <row r="38" spans="1:34" x14ac:dyDescent="0.25">
      <c r="A38" s="73">
        <v>501</v>
      </c>
      <c r="B38" s="31"/>
      <c r="C38">
        <v>500</v>
      </c>
      <c r="E38" t="s">
        <v>386</v>
      </c>
      <c r="F38" t="s">
        <v>387</v>
      </c>
      <c r="H38" t="s">
        <v>333</v>
      </c>
      <c r="I38" t="s">
        <v>334</v>
      </c>
      <c r="J38" t="s">
        <v>335</v>
      </c>
      <c r="N38" t="s">
        <v>385</v>
      </c>
      <c r="AH38" s="78"/>
    </row>
    <row r="39" spans="1:34" x14ac:dyDescent="0.25">
      <c r="A39" s="73">
        <v>501</v>
      </c>
      <c r="B39" s="31"/>
      <c r="C39">
        <v>500</v>
      </c>
      <c r="E39" t="s">
        <v>386</v>
      </c>
      <c r="F39" t="s">
        <v>387</v>
      </c>
      <c r="H39" t="s">
        <v>333</v>
      </c>
      <c r="I39" t="s">
        <v>334</v>
      </c>
      <c r="J39" t="s">
        <v>335</v>
      </c>
      <c r="N39" t="s">
        <v>385</v>
      </c>
      <c r="AH39" s="78"/>
    </row>
    <row r="40" spans="1:34" x14ac:dyDescent="0.25">
      <c r="A40" s="73">
        <v>102</v>
      </c>
      <c r="B40" s="31"/>
      <c r="C40">
        <v>100</v>
      </c>
      <c r="E40" t="s">
        <v>386</v>
      </c>
      <c r="F40" t="s">
        <v>387</v>
      </c>
      <c r="H40" t="s">
        <v>333</v>
      </c>
      <c r="I40" t="s">
        <v>334</v>
      </c>
      <c r="J40" t="s">
        <v>335</v>
      </c>
      <c r="N40" t="s">
        <v>385</v>
      </c>
      <c r="AH40" s="78"/>
    </row>
    <row r="41" spans="1:34" x14ac:dyDescent="0.25">
      <c r="A41" s="73">
        <v>102</v>
      </c>
      <c r="B41" s="31"/>
      <c r="C41">
        <v>100</v>
      </c>
      <c r="E41" t="s">
        <v>386</v>
      </c>
      <c r="F41" t="s">
        <v>387</v>
      </c>
      <c r="H41" t="s">
        <v>333</v>
      </c>
      <c r="I41" t="s">
        <v>334</v>
      </c>
      <c r="J41" t="s">
        <v>335</v>
      </c>
      <c r="N41" t="s">
        <v>385</v>
      </c>
      <c r="AH41" s="78"/>
    </row>
    <row r="42" spans="1:34" x14ac:dyDescent="0.25">
      <c r="A42" s="73">
        <v>102</v>
      </c>
      <c r="B42" s="31"/>
      <c r="C42">
        <v>100</v>
      </c>
      <c r="E42" t="s">
        <v>386</v>
      </c>
      <c r="F42" t="s">
        <v>387</v>
      </c>
      <c r="H42" t="s">
        <v>333</v>
      </c>
      <c r="I42" t="s">
        <v>334</v>
      </c>
      <c r="J42" t="s">
        <v>335</v>
      </c>
      <c r="N42" t="s">
        <v>385</v>
      </c>
      <c r="AH42" s="78"/>
    </row>
    <row r="43" spans="1:34" x14ac:dyDescent="0.25">
      <c r="A43" s="73">
        <v>604</v>
      </c>
      <c r="B43" s="31"/>
      <c r="C43">
        <v>600</v>
      </c>
      <c r="E43" t="s">
        <v>386</v>
      </c>
      <c r="F43" t="s">
        <v>387</v>
      </c>
      <c r="H43" t="s">
        <v>333</v>
      </c>
      <c r="I43" t="s">
        <v>334</v>
      </c>
      <c r="J43" t="s">
        <v>335</v>
      </c>
      <c r="N43" t="s">
        <v>385</v>
      </c>
      <c r="AH43" s="78"/>
    </row>
    <row r="44" spans="1:34" x14ac:dyDescent="0.25">
      <c r="A44" s="73">
        <v>501</v>
      </c>
      <c r="B44" s="31"/>
      <c r="C44">
        <v>500</v>
      </c>
      <c r="E44" t="s">
        <v>386</v>
      </c>
      <c r="F44" t="s">
        <v>387</v>
      </c>
      <c r="H44" t="s">
        <v>333</v>
      </c>
      <c r="I44" t="s">
        <v>334</v>
      </c>
      <c r="J44" t="s">
        <v>335</v>
      </c>
      <c r="N44" t="s">
        <v>385</v>
      </c>
      <c r="AH44" s="78"/>
    </row>
    <row r="45" spans="1:34" x14ac:dyDescent="0.25">
      <c r="A45" s="73">
        <v>501</v>
      </c>
      <c r="B45" s="31"/>
      <c r="C45">
        <v>500</v>
      </c>
      <c r="E45" t="s">
        <v>386</v>
      </c>
      <c r="F45" t="s">
        <v>387</v>
      </c>
      <c r="H45" t="s">
        <v>333</v>
      </c>
      <c r="I45" t="s">
        <v>334</v>
      </c>
      <c r="J45" t="s">
        <v>335</v>
      </c>
      <c r="N45" t="s">
        <v>385</v>
      </c>
      <c r="AH45" s="78"/>
    </row>
    <row r="46" spans="1:34" x14ac:dyDescent="0.25">
      <c r="A46" s="73">
        <v>903</v>
      </c>
      <c r="B46" s="31"/>
      <c r="C46">
        <v>900</v>
      </c>
      <c r="E46" t="s">
        <v>386</v>
      </c>
      <c r="F46" t="s">
        <v>387</v>
      </c>
      <c r="H46" t="s">
        <v>333</v>
      </c>
      <c r="I46" t="s">
        <v>334</v>
      </c>
      <c r="J46" t="s">
        <v>335</v>
      </c>
      <c r="N46" t="s">
        <v>385</v>
      </c>
      <c r="AH46" s="78"/>
    </row>
    <row r="47" spans="1:34" x14ac:dyDescent="0.25">
      <c r="A47" s="73">
        <v>501</v>
      </c>
      <c r="B47" s="31"/>
      <c r="C47">
        <v>500</v>
      </c>
      <c r="E47" t="s">
        <v>386</v>
      </c>
      <c r="F47" t="s">
        <v>387</v>
      </c>
      <c r="H47" t="s">
        <v>333</v>
      </c>
      <c r="I47" t="s">
        <v>334</v>
      </c>
      <c r="J47" t="s">
        <v>335</v>
      </c>
      <c r="N47" t="s">
        <v>385</v>
      </c>
      <c r="AH47" s="78"/>
    </row>
    <row r="48" spans="1:34" x14ac:dyDescent="0.25">
      <c r="A48" s="73">
        <v>501</v>
      </c>
      <c r="B48" s="31"/>
      <c r="C48">
        <v>500</v>
      </c>
      <c r="E48" t="s">
        <v>386</v>
      </c>
      <c r="F48" t="s">
        <v>387</v>
      </c>
      <c r="H48" t="s">
        <v>333</v>
      </c>
      <c r="I48" t="s">
        <v>334</v>
      </c>
      <c r="J48" t="s">
        <v>335</v>
      </c>
      <c r="N48" t="s">
        <v>385</v>
      </c>
      <c r="AH48" s="78"/>
    </row>
    <row r="49" spans="1:34" x14ac:dyDescent="0.25">
      <c r="A49" s="73">
        <v>102</v>
      </c>
      <c r="B49" s="31"/>
      <c r="C49">
        <v>100</v>
      </c>
      <c r="E49" t="s">
        <v>386</v>
      </c>
      <c r="F49" t="s">
        <v>387</v>
      </c>
      <c r="H49" t="s">
        <v>333</v>
      </c>
      <c r="I49" t="s">
        <v>334</v>
      </c>
      <c r="J49" t="s">
        <v>335</v>
      </c>
      <c r="N49" t="s">
        <v>385</v>
      </c>
      <c r="AH49" s="78"/>
    </row>
    <row r="50" spans="1:34" x14ac:dyDescent="0.25">
      <c r="A50" s="73">
        <v>102</v>
      </c>
      <c r="B50" s="31"/>
      <c r="C50">
        <v>100</v>
      </c>
      <c r="E50" t="s">
        <v>386</v>
      </c>
      <c r="F50" t="s">
        <v>387</v>
      </c>
      <c r="H50" t="s">
        <v>333</v>
      </c>
      <c r="I50" t="s">
        <v>334</v>
      </c>
      <c r="J50" t="s">
        <v>335</v>
      </c>
      <c r="N50" t="s">
        <v>385</v>
      </c>
      <c r="AH50" s="78"/>
    </row>
    <row r="51" spans="1:34" x14ac:dyDescent="0.25">
      <c r="A51" s="73">
        <v>501</v>
      </c>
      <c r="B51" s="31"/>
      <c r="C51">
        <v>500</v>
      </c>
      <c r="E51" t="s">
        <v>386</v>
      </c>
      <c r="F51" t="s">
        <v>387</v>
      </c>
      <c r="H51" t="s">
        <v>333</v>
      </c>
      <c r="I51" t="s">
        <v>334</v>
      </c>
      <c r="J51" t="s">
        <v>335</v>
      </c>
      <c r="N51" t="s">
        <v>385</v>
      </c>
      <c r="AH51" s="78"/>
    </row>
    <row r="52" spans="1:34" x14ac:dyDescent="0.25">
      <c r="A52" s="73">
        <v>501</v>
      </c>
      <c r="B52" s="31"/>
      <c r="C52">
        <v>500</v>
      </c>
      <c r="E52" t="s">
        <v>386</v>
      </c>
      <c r="F52" t="s">
        <v>387</v>
      </c>
      <c r="H52" t="s">
        <v>333</v>
      </c>
      <c r="I52" t="s">
        <v>334</v>
      </c>
      <c r="J52" t="s">
        <v>335</v>
      </c>
      <c r="N52" t="s">
        <v>385</v>
      </c>
      <c r="AH52" s="78"/>
    </row>
    <row r="53" spans="1:34" x14ac:dyDescent="0.25">
      <c r="A53" s="73">
        <v>1001</v>
      </c>
      <c r="B53" s="31"/>
      <c r="C53">
        <v>1000</v>
      </c>
      <c r="E53" t="s">
        <v>386</v>
      </c>
      <c r="F53" t="s">
        <v>387</v>
      </c>
      <c r="H53" t="s">
        <v>333</v>
      </c>
      <c r="I53" t="s">
        <v>334</v>
      </c>
      <c r="J53" t="s">
        <v>335</v>
      </c>
      <c r="N53" t="s">
        <v>385</v>
      </c>
      <c r="AH53" s="78"/>
    </row>
    <row r="54" spans="1:34" x14ac:dyDescent="0.25">
      <c r="A54" s="73">
        <v>903</v>
      </c>
      <c r="B54" s="31"/>
      <c r="C54">
        <v>900</v>
      </c>
      <c r="E54" t="s">
        <v>386</v>
      </c>
      <c r="F54" t="s">
        <v>387</v>
      </c>
      <c r="H54" t="s">
        <v>333</v>
      </c>
      <c r="I54" t="s">
        <v>334</v>
      </c>
      <c r="J54" t="s">
        <v>335</v>
      </c>
      <c r="N54" t="s">
        <v>385</v>
      </c>
      <c r="AH54" s="78"/>
    </row>
    <row r="55" spans="1:34" x14ac:dyDescent="0.25">
      <c r="A55" s="73">
        <v>903</v>
      </c>
      <c r="B55" s="31"/>
      <c r="C55">
        <v>900</v>
      </c>
      <c r="E55" t="s">
        <v>386</v>
      </c>
      <c r="F55" t="s">
        <v>387</v>
      </c>
      <c r="H55" t="s">
        <v>333</v>
      </c>
      <c r="I55" t="s">
        <v>334</v>
      </c>
      <c r="J55" t="s">
        <v>335</v>
      </c>
      <c r="N55" t="s">
        <v>385</v>
      </c>
      <c r="AH55" s="78"/>
    </row>
    <row r="56" spans="1:34" x14ac:dyDescent="0.25">
      <c r="A56" s="73">
        <v>501</v>
      </c>
      <c r="B56" s="31"/>
      <c r="C56">
        <v>500</v>
      </c>
      <c r="E56" t="s">
        <v>386</v>
      </c>
      <c r="F56" t="s">
        <v>387</v>
      </c>
      <c r="H56" t="s">
        <v>333</v>
      </c>
      <c r="I56" t="s">
        <v>334</v>
      </c>
      <c r="J56" t="s">
        <v>335</v>
      </c>
      <c r="N56" t="s">
        <v>385</v>
      </c>
      <c r="AH56" s="78"/>
    </row>
    <row r="57" spans="1:34" x14ac:dyDescent="0.25">
      <c r="A57" s="73">
        <v>1001</v>
      </c>
      <c r="B57" s="31"/>
      <c r="C57">
        <v>1000</v>
      </c>
      <c r="E57" t="s">
        <v>386</v>
      </c>
      <c r="F57" t="s">
        <v>387</v>
      </c>
      <c r="H57" t="s">
        <v>333</v>
      </c>
      <c r="I57" t="s">
        <v>334</v>
      </c>
      <c r="J57" t="s">
        <v>335</v>
      </c>
      <c r="N57" t="s">
        <v>385</v>
      </c>
      <c r="AH57" s="78"/>
    </row>
    <row r="58" spans="1:34" x14ac:dyDescent="0.25">
      <c r="A58" s="73">
        <v>1001</v>
      </c>
      <c r="B58" s="31"/>
      <c r="C58">
        <v>1000</v>
      </c>
      <c r="E58" t="s">
        <v>386</v>
      </c>
      <c r="F58" t="s">
        <v>387</v>
      </c>
      <c r="H58" t="s">
        <v>333</v>
      </c>
      <c r="I58" t="s">
        <v>334</v>
      </c>
      <c r="J58" t="s">
        <v>335</v>
      </c>
      <c r="N58" t="s">
        <v>385</v>
      </c>
      <c r="AH58" s="78"/>
    </row>
    <row r="59" spans="1:34" x14ac:dyDescent="0.25">
      <c r="A59" s="73">
        <v>102</v>
      </c>
      <c r="B59" s="31"/>
      <c r="C59">
        <v>100</v>
      </c>
      <c r="E59" t="s">
        <v>386</v>
      </c>
      <c r="F59" t="s">
        <v>387</v>
      </c>
      <c r="H59" t="s">
        <v>333</v>
      </c>
      <c r="I59" t="s">
        <v>334</v>
      </c>
      <c r="J59" t="s">
        <v>335</v>
      </c>
      <c r="N59" t="s">
        <v>385</v>
      </c>
      <c r="AH59" s="78"/>
    </row>
    <row r="60" spans="1:34" x14ac:dyDescent="0.25">
      <c r="A60" s="73">
        <v>1001</v>
      </c>
      <c r="B60" s="31"/>
      <c r="C60">
        <v>1000</v>
      </c>
      <c r="E60" t="s">
        <v>386</v>
      </c>
      <c r="F60" t="s">
        <v>387</v>
      </c>
      <c r="H60" t="s">
        <v>333</v>
      </c>
      <c r="I60" t="s">
        <v>334</v>
      </c>
      <c r="J60" t="s">
        <v>335</v>
      </c>
      <c r="N60" t="s">
        <v>385</v>
      </c>
      <c r="AH60" s="78"/>
    </row>
    <row r="61" spans="1:34" x14ac:dyDescent="0.25">
      <c r="A61" s="73">
        <v>1001</v>
      </c>
      <c r="B61" s="31"/>
      <c r="C61">
        <v>1000</v>
      </c>
      <c r="E61" t="s">
        <v>386</v>
      </c>
      <c r="F61" t="s">
        <v>387</v>
      </c>
      <c r="H61" t="s">
        <v>333</v>
      </c>
      <c r="I61" t="s">
        <v>334</v>
      </c>
      <c r="J61" t="s">
        <v>335</v>
      </c>
      <c r="N61" t="s">
        <v>385</v>
      </c>
      <c r="AH61" s="78"/>
    </row>
    <row r="62" spans="1:34" x14ac:dyDescent="0.25">
      <c r="A62" s="73">
        <v>1001</v>
      </c>
      <c r="B62" s="31"/>
      <c r="C62">
        <v>1000</v>
      </c>
      <c r="E62" t="s">
        <v>386</v>
      </c>
      <c r="F62" t="s">
        <v>387</v>
      </c>
      <c r="H62" t="s">
        <v>333</v>
      </c>
      <c r="I62" t="s">
        <v>334</v>
      </c>
      <c r="J62" t="s">
        <v>335</v>
      </c>
      <c r="N62" t="s">
        <v>385</v>
      </c>
      <c r="AH62" s="78"/>
    </row>
    <row r="63" spans="1:34" x14ac:dyDescent="0.25">
      <c r="A63" s="73">
        <v>102</v>
      </c>
      <c r="B63" s="31"/>
      <c r="C63">
        <v>100</v>
      </c>
      <c r="E63" t="s">
        <v>386</v>
      </c>
      <c r="F63" t="s">
        <v>387</v>
      </c>
      <c r="H63" t="s">
        <v>333</v>
      </c>
      <c r="I63" t="s">
        <v>334</v>
      </c>
      <c r="J63" t="s">
        <v>335</v>
      </c>
      <c r="N63" t="s">
        <v>385</v>
      </c>
      <c r="AH63" s="78"/>
    </row>
    <row r="64" spans="1:34" x14ac:dyDescent="0.25">
      <c r="A64" s="73">
        <v>1001</v>
      </c>
      <c r="B64" s="31"/>
      <c r="C64">
        <v>1000</v>
      </c>
      <c r="E64" t="s">
        <v>386</v>
      </c>
      <c r="F64" t="s">
        <v>387</v>
      </c>
      <c r="H64" t="s">
        <v>333</v>
      </c>
      <c r="I64" t="s">
        <v>334</v>
      </c>
      <c r="J64" t="s">
        <v>335</v>
      </c>
      <c r="N64" t="s">
        <v>385</v>
      </c>
      <c r="AH64" s="78"/>
    </row>
    <row r="65" spans="1:34" ht="15.75" thickBot="1" x14ac:dyDescent="0.3">
      <c r="A65" s="74">
        <v>1001</v>
      </c>
      <c r="B65" s="39"/>
      <c r="C65" s="40">
        <v>1000</v>
      </c>
      <c r="D65" s="40" t="s">
        <v>340</v>
      </c>
      <c r="E65" s="40" t="s">
        <v>386</v>
      </c>
      <c r="F65" s="40" t="s">
        <v>387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385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79"/>
    </row>
    <row r="66" spans="1:34" ht="15.75" thickTop="1" x14ac:dyDescent="0.2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570312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392</v>
      </c>
      <c r="E3" s="7">
        <v>102</v>
      </c>
      <c r="F3" s="7">
        <v>102</v>
      </c>
      <c r="G3" s="7">
        <v>102</v>
      </c>
      <c r="H3" s="7">
        <v>303</v>
      </c>
      <c r="I3" s="7">
        <v>303</v>
      </c>
      <c r="J3" s="7">
        <v>903</v>
      </c>
      <c r="K3" s="7">
        <v>303</v>
      </c>
      <c r="L3" s="7">
        <v>102</v>
      </c>
      <c r="M3" s="7">
        <v>303</v>
      </c>
      <c r="N3" s="7">
        <v>604</v>
      </c>
      <c r="O3" s="7">
        <v>501</v>
      </c>
      <c r="P3" s="7">
        <v>604</v>
      </c>
      <c r="Q3" s="7">
        <v>903</v>
      </c>
      <c r="R3" s="7">
        <v>102</v>
      </c>
      <c r="S3" s="7">
        <v>704</v>
      </c>
      <c r="T3" s="7">
        <v>303</v>
      </c>
      <c r="U3" s="7">
        <v>303</v>
      </c>
      <c r="V3" s="7">
        <v>501</v>
      </c>
      <c r="W3" s="7">
        <v>903</v>
      </c>
      <c r="X3" s="7">
        <v>604</v>
      </c>
      <c r="Y3" s="7">
        <v>501</v>
      </c>
      <c r="Z3" s="7">
        <v>102</v>
      </c>
      <c r="AA3" s="7">
        <v>501</v>
      </c>
      <c r="AB3" s="7">
        <v>303</v>
      </c>
      <c r="AC3" s="7">
        <v>303</v>
      </c>
      <c r="AD3" s="7">
        <v>501</v>
      </c>
      <c r="AE3" s="7">
        <v>501</v>
      </c>
      <c r="AF3" s="7">
        <v>501</v>
      </c>
      <c r="AG3" s="7">
        <v>903</v>
      </c>
      <c r="AH3" s="7">
        <v>501</v>
      </c>
      <c r="AI3" s="7">
        <v>501</v>
      </c>
      <c r="AJ3" s="7">
        <v>303</v>
      </c>
      <c r="AK3" s="7">
        <v>303</v>
      </c>
      <c r="AL3" s="7">
        <v>903</v>
      </c>
      <c r="AM3" s="7">
        <v>501</v>
      </c>
      <c r="AN3" s="7">
        <v>102</v>
      </c>
      <c r="AO3" s="7">
        <v>903</v>
      </c>
      <c r="AP3" s="7">
        <v>903</v>
      </c>
      <c r="AQ3" s="7">
        <v>501</v>
      </c>
      <c r="AR3" s="7">
        <v>303</v>
      </c>
      <c r="AS3" s="7">
        <v>303</v>
      </c>
      <c r="AT3" s="7">
        <v>501</v>
      </c>
      <c r="AU3" s="7">
        <v>903</v>
      </c>
      <c r="AV3" s="7">
        <v>903</v>
      </c>
      <c r="AW3" s="7">
        <v>604</v>
      </c>
      <c r="AX3" s="7">
        <v>604</v>
      </c>
      <c r="AY3" s="7">
        <v>903</v>
      </c>
      <c r="AZ3" s="7">
        <v>303</v>
      </c>
      <c r="BA3" s="7">
        <v>102</v>
      </c>
      <c r="BB3" s="7">
        <v>501</v>
      </c>
      <c r="BC3" s="7">
        <v>903</v>
      </c>
      <c r="BD3" s="7">
        <v>501</v>
      </c>
      <c r="BE3" s="7">
        <v>501</v>
      </c>
      <c r="BF3" s="7">
        <v>501</v>
      </c>
      <c r="BG3" s="7">
        <v>1001</v>
      </c>
      <c r="BH3" s="7">
        <v>1001</v>
      </c>
      <c r="BI3" s="7">
        <v>303</v>
      </c>
      <c r="BJ3" s="7">
        <v>102</v>
      </c>
      <c r="BK3" s="7">
        <v>1001</v>
      </c>
      <c r="BL3" s="7">
        <v>1001</v>
      </c>
      <c r="BM3" s="7">
        <v>303</v>
      </c>
      <c r="BN3" s="7">
        <v>1001</v>
      </c>
      <c r="BO3" s="7">
        <v>102</v>
      </c>
      <c r="BP3" s="7">
        <v>1001</v>
      </c>
      <c r="BQ3" s="10">
        <v>100</v>
      </c>
      <c r="BR3" s="10">
        <v>100</v>
      </c>
      <c r="BS3" s="10">
        <v>100</v>
      </c>
      <c r="BT3" s="10">
        <v>300</v>
      </c>
      <c r="BU3" s="10">
        <v>300</v>
      </c>
      <c r="BV3" s="10">
        <v>900</v>
      </c>
      <c r="BW3" s="10">
        <v>300</v>
      </c>
      <c r="BX3" s="10">
        <v>100</v>
      </c>
      <c r="BY3" s="10">
        <v>300</v>
      </c>
      <c r="BZ3" s="10">
        <v>600</v>
      </c>
      <c r="CA3" s="10">
        <v>500</v>
      </c>
      <c r="CB3" s="10">
        <v>600</v>
      </c>
      <c r="CC3" s="10">
        <v>900</v>
      </c>
      <c r="CD3" s="10">
        <v>100</v>
      </c>
      <c r="CE3" s="10">
        <v>700</v>
      </c>
      <c r="CF3" s="10">
        <v>300</v>
      </c>
      <c r="CG3" s="10">
        <v>300</v>
      </c>
      <c r="CH3" s="10">
        <v>500</v>
      </c>
      <c r="CI3" s="10">
        <v>900</v>
      </c>
      <c r="CJ3" s="10">
        <v>600</v>
      </c>
      <c r="CK3" s="10">
        <v>500</v>
      </c>
      <c r="CL3" s="10">
        <v>100</v>
      </c>
      <c r="CM3" s="10">
        <v>500</v>
      </c>
      <c r="CN3" s="10">
        <v>300</v>
      </c>
      <c r="CO3" s="10">
        <v>300</v>
      </c>
      <c r="CP3" s="10">
        <v>500</v>
      </c>
      <c r="CQ3" s="10">
        <v>500</v>
      </c>
      <c r="CR3" s="10">
        <v>500</v>
      </c>
      <c r="CS3" s="10">
        <v>900</v>
      </c>
      <c r="CT3" s="10">
        <v>500</v>
      </c>
      <c r="CU3" s="10">
        <v>500</v>
      </c>
      <c r="CV3" s="10">
        <v>300</v>
      </c>
      <c r="CW3" s="10">
        <v>300</v>
      </c>
      <c r="CX3" s="10">
        <v>900</v>
      </c>
      <c r="CY3" s="10">
        <v>500</v>
      </c>
      <c r="CZ3" s="10">
        <v>100</v>
      </c>
      <c r="DA3" s="10">
        <v>900</v>
      </c>
      <c r="DB3" s="10">
        <v>900</v>
      </c>
      <c r="DC3" s="10">
        <v>500</v>
      </c>
      <c r="DD3" s="10">
        <v>300</v>
      </c>
      <c r="DE3" s="10">
        <v>300</v>
      </c>
      <c r="DF3" s="10">
        <v>500</v>
      </c>
      <c r="DG3" s="10">
        <v>900</v>
      </c>
      <c r="DH3" s="10">
        <v>900</v>
      </c>
      <c r="DI3" s="10">
        <v>600</v>
      </c>
      <c r="DJ3" s="10">
        <v>600</v>
      </c>
      <c r="DK3" s="10">
        <v>900</v>
      </c>
      <c r="DL3" s="10">
        <v>300</v>
      </c>
      <c r="DM3" s="10">
        <v>100</v>
      </c>
      <c r="DN3" s="10">
        <v>500</v>
      </c>
      <c r="DO3" s="10">
        <v>900</v>
      </c>
      <c r="DP3" s="10">
        <v>500</v>
      </c>
      <c r="DQ3" s="10">
        <v>500</v>
      </c>
      <c r="DR3" s="10">
        <v>500</v>
      </c>
      <c r="DS3" s="10">
        <v>1000</v>
      </c>
      <c r="DT3" s="10">
        <v>1000</v>
      </c>
      <c r="DU3" s="10">
        <v>300</v>
      </c>
      <c r="DV3" s="10">
        <v>100</v>
      </c>
      <c r="DW3" s="10">
        <v>1000</v>
      </c>
      <c r="DX3" s="10">
        <v>1000</v>
      </c>
      <c r="DY3" s="10">
        <v>300</v>
      </c>
      <c r="DZ3" s="10">
        <v>1000</v>
      </c>
      <c r="EA3" s="10">
        <v>100</v>
      </c>
      <c r="EB3" s="10">
        <v>1000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398</v>
      </c>
      <c r="E3" s="7">
        <v>102</v>
      </c>
      <c r="F3" s="7">
        <v>102</v>
      </c>
      <c r="G3" s="7">
        <v>102</v>
      </c>
      <c r="H3" s="7">
        <v>604</v>
      </c>
      <c r="I3" s="7">
        <v>903</v>
      </c>
      <c r="J3" s="7">
        <v>501</v>
      </c>
      <c r="K3" s="7">
        <v>903</v>
      </c>
      <c r="L3" s="7">
        <v>102</v>
      </c>
      <c r="M3" s="7">
        <v>303</v>
      </c>
      <c r="N3" s="7">
        <v>109</v>
      </c>
      <c r="O3" s="7">
        <v>903</v>
      </c>
      <c r="P3" s="7">
        <v>603</v>
      </c>
      <c r="Q3" s="7">
        <v>903</v>
      </c>
      <c r="R3" s="7">
        <v>903</v>
      </c>
      <c r="S3" s="7">
        <v>109</v>
      </c>
      <c r="T3" s="7">
        <v>102</v>
      </c>
      <c r="U3" s="7">
        <v>501</v>
      </c>
      <c r="V3" s="7">
        <v>903</v>
      </c>
      <c r="W3" s="7">
        <v>109</v>
      </c>
      <c r="X3" s="7">
        <v>903</v>
      </c>
      <c r="Y3" s="7">
        <v>604</v>
      </c>
      <c r="Z3" s="7">
        <v>109</v>
      </c>
      <c r="AA3" s="7">
        <v>501</v>
      </c>
      <c r="AB3" s="7">
        <v>501</v>
      </c>
      <c r="AC3" s="7">
        <v>501</v>
      </c>
      <c r="AD3" s="7">
        <v>903</v>
      </c>
      <c r="AE3" s="7">
        <v>501</v>
      </c>
      <c r="AF3" s="7">
        <v>109</v>
      </c>
      <c r="AG3" s="7">
        <v>109</v>
      </c>
      <c r="AH3" s="7">
        <v>903</v>
      </c>
      <c r="AI3" s="7">
        <v>903</v>
      </c>
      <c r="AJ3" s="7">
        <v>501</v>
      </c>
      <c r="AK3" s="7">
        <v>604</v>
      </c>
      <c r="AL3" s="7">
        <v>903</v>
      </c>
      <c r="AM3" s="7">
        <v>903</v>
      </c>
      <c r="AN3" s="7">
        <v>109</v>
      </c>
      <c r="AO3" s="7">
        <v>109</v>
      </c>
      <c r="AP3" s="7">
        <v>903</v>
      </c>
      <c r="AQ3" s="7">
        <v>903</v>
      </c>
      <c r="AR3" s="7">
        <v>501</v>
      </c>
      <c r="AS3" s="7">
        <v>501</v>
      </c>
      <c r="AT3" s="7">
        <v>903</v>
      </c>
      <c r="AU3" s="7">
        <v>109</v>
      </c>
      <c r="AV3" s="7">
        <v>903</v>
      </c>
      <c r="AW3" s="7">
        <v>903</v>
      </c>
      <c r="AX3" s="7">
        <v>109</v>
      </c>
      <c r="AY3" s="7">
        <v>501</v>
      </c>
      <c r="AZ3" s="7">
        <v>501</v>
      </c>
      <c r="BA3" s="7">
        <v>501</v>
      </c>
      <c r="BB3" s="7">
        <v>109</v>
      </c>
      <c r="BC3" s="7">
        <v>903</v>
      </c>
      <c r="BD3" s="7">
        <v>102</v>
      </c>
      <c r="BE3" s="7">
        <v>501</v>
      </c>
      <c r="BF3" s="7">
        <v>501</v>
      </c>
      <c r="BG3" s="7">
        <v>102</v>
      </c>
      <c r="BH3" s="7">
        <v>903</v>
      </c>
      <c r="BI3" s="7">
        <v>903</v>
      </c>
      <c r="BJ3" s="7">
        <v>102</v>
      </c>
      <c r="BK3" s="7">
        <v>501</v>
      </c>
      <c r="BL3" s="7">
        <v>501</v>
      </c>
      <c r="BM3" s="7">
        <v>501</v>
      </c>
      <c r="BN3" s="7">
        <v>102</v>
      </c>
      <c r="BO3" s="7">
        <v>501</v>
      </c>
      <c r="BP3" s="7">
        <v>903</v>
      </c>
      <c r="BQ3" s="10">
        <v>100</v>
      </c>
      <c r="BR3" s="10">
        <v>100</v>
      </c>
      <c r="BS3" s="10">
        <v>100</v>
      </c>
      <c r="BT3" s="10">
        <v>600</v>
      </c>
      <c r="BU3" s="10">
        <v>900</v>
      </c>
      <c r="BV3" s="10">
        <v>500</v>
      </c>
      <c r="BW3" s="10">
        <v>900</v>
      </c>
      <c r="BX3" s="10">
        <v>100</v>
      </c>
      <c r="BY3" s="10">
        <v>300</v>
      </c>
      <c r="BZ3" s="10">
        <v>100</v>
      </c>
      <c r="CA3" s="10">
        <v>900</v>
      </c>
      <c r="CB3" s="10">
        <v>600</v>
      </c>
      <c r="CC3" s="10">
        <v>900</v>
      </c>
      <c r="CD3" s="10">
        <v>900</v>
      </c>
      <c r="CE3" s="10">
        <v>100</v>
      </c>
      <c r="CF3" s="10">
        <v>100</v>
      </c>
      <c r="CG3" s="10">
        <v>500</v>
      </c>
      <c r="CH3" s="10">
        <v>900</v>
      </c>
      <c r="CI3" s="10">
        <v>100</v>
      </c>
      <c r="CJ3" s="10">
        <v>900</v>
      </c>
      <c r="CK3" s="10">
        <v>600</v>
      </c>
      <c r="CL3" s="10">
        <v>100</v>
      </c>
      <c r="CM3" s="10">
        <v>500</v>
      </c>
      <c r="CN3" s="10">
        <v>500</v>
      </c>
      <c r="CO3" s="10">
        <v>500</v>
      </c>
      <c r="CP3" s="10">
        <v>900</v>
      </c>
      <c r="CQ3" s="10">
        <v>500</v>
      </c>
      <c r="CR3" s="10">
        <v>100</v>
      </c>
      <c r="CS3" s="10">
        <v>100</v>
      </c>
      <c r="CT3" s="10">
        <v>900</v>
      </c>
      <c r="CU3" s="10">
        <v>900</v>
      </c>
      <c r="CV3" s="10">
        <v>500</v>
      </c>
      <c r="CW3" s="10">
        <v>600</v>
      </c>
      <c r="CX3" s="10">
        <v>900</v>
      </c>
      <c r="CY3" s="10">
        <v>900</v>
      </c>
      <c r="CZ3" s="10">
        <v>100</v>
      </c>
      <c r="DA3" s="10">
        <v>100</v>
      </c>
      <c r="DB3" s="10">
        <v>900</v>
      </c>
      <c r="DC3" s="10">
        <v>900</v>
      </c>
      <c r="DD3" s="10">
        <v>500</v>
      </c>
      <c r="DE3" s="10">
        <v>500</v>
      </c>
      <c r="DF3" s="10">
        <v>900</v>
      </c>
      <c r="DG3" s="10">
        <v>100</v>
      </c>
      <c r="DH3" s="10">
        <v>900</v>
      </c>
      <c r="DI3" s="10">
        <v>900</v>
      </c>
      <c r="DJ3" s="10">
        <v>100</v>
      </c>
      <c r="DK3" s="10">
        <v>500</v>
      </c>
      <c r="DL3" s="10">
        <v>500</v>
      </c>
      <c r="DM3" s="10">
        <v>500</v>
      </c>
      <c r="DN3" s="10">
        <v>100</v>
      </c>
      <c r="DO3" s="10">
        <v>900</v>
      </c>
      <c r="DP3" s="10">
        <v>100</v>
      </c>
      <c r="DQ3" s="10">
        <v>500</v>
      </c>
      <c r="DR3" s="10">
        <v>500</v>
      </c>
      <c r="DS3" s="10">
        <v>100</v>
      </c>
      <c r="DT3" s="10">
        <v>900</v>
      </c>
      <c r="DU3" s="10">
        <v>900</v>
      </c>
      <c r="DV3" s="10">
        <v>100</v>
      </c>
      <c r="DW3" s="10">
        <v>500</v>
      </c>
      <c r="DX3" s="10">
        <v>500</v>
      </c>
      <c r="DY3" s="10">
        <v>500</v>
      </c>
      <c r="DZ3" s="10">
        <v>100</v>
      </c>
      <c r="EA3" s="10">
        <v>500</v>
      </c>
      <c r="EB3" s="10">
        <v>900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570312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403</v>
      </c>
      <c r="E3" s="7">
        <v>109</v>
      </c>
      <c r="F3" s="7">
        <v>102</v>
      </c>
      <c r="G3" s="7">
        <v>102</v>
      </c>
      <c r="H3" s="7">
        <v>1001</v>
      </c>
      <c r="I3" s="7">
        <v>1001</v>
      </c>
      <c r="J3" s="7">
        <v>102</v>
      </c>
      <c r="K3" s="7">
        <v>102</v>
      </c>
      <c r="L3" s="7">
        <v>102</v>
      </c>
      <c r="M3" s="7">
        <v>102</v>
      </c>
      <c r="N3" s="7">
        <v>109</v>
      </c>
      <c r="O3" s="7">
        <v>903</v>
      </c>
      <c r="P3" s="7">
        <v>501</v>
      </c>
      <c r="Q3" s="7">
        <v>102</v>
      </c>
      <c r="R3" s="7">
        <v>603</v>
      </c>
      <c r="S3" s="7">
        <v>109</v>
      </c>
      <c r="T3" s="7">
        <v>303</v>
      </c>
      <c r="U3" s="7">
        <v>303</v>
      </c>
      <c r="V3" s="7">
        <v>501</v>
      </c>
      <c r="W3" s="7">
        <v>109</v>
      </c>
      <c r="X3" s="7">
        <v>102</v>
      </c>
      <c r="Y3" s="7">
        <v>102</v>
      </c>
      <c r="Z3" s="7">
        <v>109</v>
      </c>
      <c r="AA3" s="7">
        <v>102</v>
      </c>
      <c r="AB3" s="7">
        <v>303</v>
      </c>
      <c r="AC3" s="7">
        <v>303</v>
      </c>
      <c r="AD3" s="7">
        <v>102</v>
      </c>
      <c r="AE3" s="7">
        <v>501</v>
      </c>
      <c r="AF3" s="7">
        <v>109</v>
      </c>
      <c r="AG3" s="7">
        <v>109</v>
      </c>
      <c r="AH3" s="7">
        <v>903</v>
      </c>
      <c r="AI3" s="7">
        <v>501</v>
      </c>
      <c r="AJ3" s="7">
        <v>303</v>
      </c>
      <c r="AK3" s="7">
        <v>303</v>
      </c>
      <c r="AL3" s="7">
        <v>501</v>
      </c>
      <c r="AM3" s="7">
        <v>102</v>
      </c>
      <c r="AN3" s="7">
        <v>109</v>
      </c>
      <c r="AO3" s="7">
        <v>109</v>
      </c>
      <c r="AP3" s="7">
        <v>501</v>
      </c>
      <c r="AQ3" s="7">
        <v>501</v>
      </c>
      <c r="AR3" s="7">
        <v>303</v>
      </c>
      <c r="AS3" s="7">
        <v>303</v>
      </c>
      <c r="AT3" s="7">
        <v>903</v>
      </c>
      <c r="AU3" s="7">
        <v>109</v>
      </c>
      <c r="AV3" s="7">
        <v>102</v>
      </c>
      <c r="AW3" s="7">
        <v>903</v>
      </c>
      <c r="AX3" s="7">
        <v>109</v>
      </c>
      <c r="AY3" s="7">
        <v>604</v>
      </c>
      <c r="AZ3" s="7">
        <v>303</v>
      </c>
      <c r="BA3" s="7">
        <v>303</v>
      </c>
      <c r="BB3" s="7">
        <v>109</v>
      </c>
      <c r="BC3" s="7">
        <v>501</v>
      </c>
      <c r="BD3" s="7">
        <v>903</v>
      </c>
      <c r="BE3" s="7">
        <v>501</v>
      </c>
      <c r="BF3" s="7">
        <v>501</v>
      </c>
      <c r="BG3" s="7">
        <v>109</v>
      </c>
      <c r="BH3" s="7">
        <v>303</v>
      </c>
      <c r="BI3" s="7">
        <v>303</v>
      </c>
      <c r="BJ3" s="7">
        <v>303</v>
      </c>
      <c r="BK3" s="7">
        <v>102</v>
      </c>
      <c r="BL3" s="7">
        <v>102</v>
      </c>
      <c r="BM3" s="7">
        <v>303</v>
      </c>
      <c r="BN3" s="7">
        <v>303</v>
      </c>
      <c r="BO3" s="7">
        <v>501</v>
      </c>
      <c r="BP3" s="7">
        <v>501</v>
      </c>
      <c r="BQ3" s="10">
        <v>100</v>
      </c>
      <c r="BR3" s="10">
        <v>100</v>
      </c>
      <c r="BS3" s="10">
        <v>100</v>
      </c>
      <c r="BT3" s="10">
        <v>1000</v>
      </c>
      <c r="BU3" s="10">
        <v>1000</v>
      </c>
      <c r="BV3" s="10">
        <v>100</v>
      </c>
      <c r="BW3" s="10">
        <v>100</v>
      </c>
      <c r="BX3" s="10">
        <v>100</v>
      </c>
      <c r="BY3" s="10">
        <v>100</v>
      </c>
      <c r="BZ3" s="10">
        <v>100</v>
      </c>
      <c r="CA3" s="10">
        <v>900</v>
      </c>
      <c r="CB3" s="10">
        <v>500</v>
      </c>
      <c r="CC3" s="10">
        <v>100</v>
      </c>
      <c r="CD3" s="10">
        <v>600</v>
      </c>
      <c r="CE3" s="10">
        <v>100</v>
      </c>
      <c r="CF3" s="10">
        <v>300</v>
      </c>
      <c r="CG3" s="10">
        <v>300</v>
      </c>
      <c r="CH3" s="10">
        <v>500</v>
      </c>
      <c r="CI3" s="10">
        <v>100</v>
      </c>
      <c r="CJ3" s="10">
        <v>100</v>
      </c>
      <c r="CK3" s="10">
        <v>100</v>
      </c>
      <c r="CL3" s="10">
        <v>100</v>
      </c>
      <c r="CM3" s="10">
        <v>100</v>
      </c>
      <c r="CN3" s="10">
        <v>300</v>
      </c>
      <c r="CO3" s="10">
        <v>300</v>
      </c>
      <c r="CP3" s="10">
        <v>100</v>
      </c>
      <c r="CQ3" s="10">
        <v>500</v>
      </c>
      <c r="CR3" s="10">
        <v>100</v>
      </c>
      <c r="CS3" s="10">
        <v>100</v>
      </c>
      <c r="CT3" s="10">
        <v>900</v>
      </c>
      <c r="CU3" s="10">
        <v>500</v>
      </c>
      <c r="CV3" s="10">
        <v>300</v>
      </c>
      <c r="CW3" s="10">
        <v>300</v>
      </c>
      <c r="CX3" s="10">
        <v>500</v>
      </c>
      <c r="CY3" s="10">
        <v>100</v>
      </c>
      <c r="CZ3" s="10">
        <v>100</v>
      </c>
      <c r="DA3" s="10">
        <v>100</v>
      </c>
      <c r="DB3" s="10">
        <v>500</v>
      </c>
      <c r="DC3" s="10">
        <v>500</v>
      </c>
      <c r="DD3" s="10">
        <v>300</v>
      </c>
      <c r="DE3" s="10">
        <v>300</v>
      </c>
      <c r="DF3" s="10">
        <v>900</v>
      </c>
      <c r="DG3" s="10">
        <v>100</v>
      </c>
      <c r="DH3" s="10">
        <v>100</v>
      </c>
      <c r="DI3" s="10">
        <v>900</v>
      </c>
      <c r="DJ3" s="10">
        <v>100</v>
      </c>
      <c r="DK3" s="10">
        <v>600</v>
      </c>
      <c r="DL3" s="10">
        <v>300</v>
      </c>
      <c r="DM3" s="10">
        <v>300</v>
      </c>
      <c r="DN3" s="10">
        <v>100</v>
      </c>
      <c r="DO3" s="10">
        <v>500</v>
      </c>
      <c r="DP3" s="10">
        <v>900</v>
      </c>
      <c r="DQ3" s="10">
        <v>500</v>
      </c>
      <c r="DR3" s="10">
        <v>500</v>
      </c>
      <c r="DS3" s="10">
        <v>100</v>
      </c>
      <c r="DT3" s="10">
        <v>300</v>
      </c>
      <c r="DU3" s="10">
        <v>300</v>
      </c>
      <c r="DV3" s="10">
        <v>300</v>
      </c>
      <c r="DW3" s="10">
        <v>100</v>
      </c>
      <c r="DX3" s="10">
        <v>100</v>
      </c>
      <c r="DY3" s="10">
        <v>300</v>
      </c>
      <c r="DZ3" s="10">
        <v>300</v>
      </c>
      <c r="EA3" s="10">
        <v>500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407</v>
      </c>
      <c r="E3" s="7">
        <v>303</v>
      </c>
      <c r="F3" s="7">
        <v>102</v>
      </c>
      <c r="G3" s="7">
        <v>303</v>
      </c>
      <c r="H3" s="7">
        <v>1001</v>
      </c>
      <c r="I3" s="7">
        <v>1001</v>
      </c>
      <c r="J3" s="7">
        <v>1001</v>
      </c>
      <c r="K3" s="7">
        <v>1001</v>
      </c>
      <c r="L3" s="7">
        <v>1001</v>
      </c>
      <c r="M3" s="7">
        <v>102</v>
      </c>
      <c r="N3" s="7">
        <v>501</v>
      </c>
      <c r="O3" s="7">
        <v>501</v>
      </c>
      <c r="P3" s="7">
        <v>1001</v>
      </c>
      <c r="Q3" s="7">
        <v>1001</v>
      </c>
      <c r="R3" s="7">
        <v>1001</v>
      </c>
      <c r="S3" s="7">
        <v>1001</v>
      </c>
      <c r="T3" s="7">
        <v>102</v>
      </c>
      <c r="U3" s="7">
        <v>1001</v>
      </c>
      <c r="V3" s="7">
        <v>501</v>
      </c>
      <c r="W3" s="7">
        <v>703</v>
      </c>
      <c r="X3" s="7">
        <v>903</v>
      </c>
      <c r="Y3" s="7">
        <v>1001</v>
      </c>
      <c r="Z3" s="7">
        <v>102</v>
      </c>
      <c r="AA3" s="7">
        <v>102</v>
      </c>
      <c r="AB3" s="7">
        <v>102</v>
      </c>
      <c r="AC3" s="7">
        <v>501</v>
      </c>
      <c r="AD3" s="7">
        <v>501</v>
      </c>
      <c r="AE3" s="7">
        <v>501</v>
      </c>
      <c r="AF3" s="7">
        <v>501</v>
      </c>
      <c r="AG3" s="7">
        <v>102</v>
      </c>
      <c r="AH3" s="7">
        <v>102</v>
      </c>
      <c r="AI3" s="7">
        <v>501</v>
      </c>
      <c r="AJ3" s="7">
        <v>102</v>
      </c>
      <c r="AK3" s="7">
        <v>102</v>
      </c>
      <c r="AL3" s="7">
        <v>501</v>
      </c>
      <c r="AM3" s="7">
        <v>903</v>
      </c>
      <c r="AN3" s="7">
        <v>501</v>
      </c>
      <c r="AO3" s="7">
        <v>501</v>
      </c>
      <c r="AP3" s="7">
        <v>501</v>
      </c>
      <c r="AQ3" s="7">
        <v>501</v>
      </c>
      <c r="AR3" s="7">
        <v>102</v>
      </c>
      <c r="AS3" s="7">
        <v>501</v>
      </c>
      <c r="AT3" s="7">
        <v>501</v>
      </c>
      <c r="AU3" s="7">
        <v>501</v>
      </c>
      <c r="AV3" s="7">
        <v>501</v>
      </c>
      <c r="AW3" s="7">
        <v>501</v>
      </c>
      <c r="AX3" s="7">
        <v>501</v>
      </c>
      <c r="AY3" s="7">
        <v>501</v>
      </c>
      <c r="AZ3" s="7">
        <v>303</v>
      </c>
      <c r="BA3" s="7">
        <v>501</v>
      </c>
      <c r="BB3" s="7">
        <v>102</v>
      </c>
      <c r="BC3" s="7">
        <v>501</v>
      </c>
      <c r="BD3" s="7">
        <v>501</v>
      </c>
      <c r="BE3" s="7">
        <v>903</v>
      </c>
      <c r="BF3" s="7">
        <v>903</v>
      </c>
      <c r="BG3" s="7">
        <v>501</v>
      </c>
      <c r="BH3" s="7">
        <v>501</v>
      </c>
      <c r="BI3" s="7">
        <v>102</v>
      </c>
      <c r="BJ3" s="7">
        <v>903</v>
      </c>
      <c r="BK3" s="7">
        <v>501</v>
      </c>
      <c r="BL3" s="7">
        <v>501</v>
      </c>
      <c r="BM3" s="7">
        <v>501</v>
      </c>
      <c r="BN3" s="7">
        <v>501</v>
      </c>
      <c r="BO3" s="7">
        <v>501</v>
      </c>
      <c r="BP3" s="7">
        <v>102</v>
      </c>
      <c r="BQ3" s="10">
        <v>300</v>
      </c>
      <c r="BR3" s="10">
        <v>100</v>
      </c>
      <c r="BS3" s="10">
        <v>300</v>
      </c>
      <c r="BT3" s="10">
        <v>1000</v>
      </c>
      <c r="BU3" s="10">
        <v>1000</v>
      </c>
      <c r="BV3" s="10">
        <v>1000</v>
      </c>
      <c r="BW3" s="10">
        <v>1000</v>
      </c>
      <c r="BX3" s="10">
        <v>1000</v>
      </c>
      <c r="BY3" s="10">
        <v>100</v>
      </c>
      <c r="BZ3" s="10">
        <v>500</v>
      </c>
      <c r="CA3" s="10">
        <v>500</v>
      </c>
      <c r="CB3" s="10">
        <v>1000</v>
      </c>
      <c r="CC3" s="10">
        <v>1000</v>
      </c>
      <c r="CD3" s="10">
        <v>1000</v>
      </c>
      <c r="CE3" s="10">
        <v>1000</v>
      </c>
      <c r="CF3" s="10">
        <v>100</v>
      </c>
      <c r="CG3" s="10">
        <v>1000</v>
      </c>
      <c r="CH3" s="10">
        <v>500</v>
      </c>
      <c r="CI3" s="10">
        <v>700</v>
      </c>
      <c r="CJ3" s="10">
        <v>900</v>
      </c>
      <c r="CK3" s="10">
        <v>1000</v>
      </c>
      <c r="CL3" s="10">
        <v>100</v>
      </c>
      <c r="CM3" s="10">
        <v>100</v>
      </c>
      <c r="CN3" s="10">
        <v>100</v>
      </c>
      <c r="CO3" s="10">
        <v>500</v>
      </c>
      <c r="CP3" s="10">
        <v>500</v>
      </c>
      <c r="CQ3" s="10">
        <v>500</v>
      </c>
      <c r="CR3" s="10">
        <v>500</v>
      </c>
      <c r="CS3" s="10">
        <v>100</v>
      </c>
      <c r="CT3" s="10">
        <v>100</v>
      </c>
      <c r="CU3" s="10">
        <v>500</v>
      </c>
      <c r="CV3" s="10">
        <v>100</v>
      </c>
      <c r="CW3" s="10">
        <v>100</v>
      </c>
      <c r="CX3" s="10">
        <v>500</v>
      </c>
      <c r="CY3" s="10">
        <v>900</v>
      </c>
      <c r="CZ3" s="10">
        <v>500</v>
      </c>
      <c r="DA3" s="10">
        <v>500</v>
      </c>
      <c r="DB3" s="10">
        <v>500</v>
      </c>
      <c r="DC3" s="10">
        <v>500</v>
      </c>
      <c r="DD3" s="10">
        <v>100</v>
      </c>
      <c r="DE3" s="10">
        <v>500</v>
      </c>
      <c r="DF3" s="10">
        <v>500</v>
      </c>
      <c r="DG3" s="10">
        <v>500</v>
      </c>
      <c r="DH3" s="10">
        <v>500</v>
      </c>
      <c r="DI3" s="10">
        <v>500</v>
      </c>
      <c r="DJ3" s="10">
        <v>500</v>
      </c>
      <c r="DK3" s="10">
        <v>500</v>
      </c>
      <c r="DL3" s="10">
        <v>300</v>
      </c>
      <c r="DM3" s="10">
        <v>500</v>
      </c>
      <c r="DN3" s="10">
        <v>100</v>
      </c>
      <c r="DO3" s="10">
        <v>500</v>
      </c>
      <c r="DP3" s="10">
        <v>500</v>
      </c>
      <c r="DQ3" s="10">
        <v>900</v>
      </c>
      <c r="DR3" s="10">
        <v>900</v>
      </c>
      <c r="DS3" s="10">
        <v>500</v>
      </c>
      <c r="DT3" s="10">
        <v>500</v>
      </c>
      <c r="DU3" s="10">
        <v>100</v>
      </c>
      <c r="DV3" s="10">
        <v>900</v>
      </c>
      <c r="DW3" s="10">
        <v>500</v>
      </c>
      <c r="DX3" s="10">
        <v>500</v>
      </c>
      <c r="DY3" s="10">
        <v>500</v>
      </c>
      <c r="DZ3" s="10">
        <v>500</v>
      </c>
      <c r="EA3" s="10">
        <v>500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570312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412</v>
      </c>
      <c r="E3" s="7">
        <v>303</v>
      </c>
      <c r="F3" s="7">
        <v>102</v>
      </c>
      <c r="G3" s="7">
        <v>303</v>
      </c>
      <c r="H3" s="7">
        <v>303</v>
      </c>
      <c r="I3" s="7">
        <v>102</v>
      </c>
      <c r="J3" s="7">
        <v>303</v>
      </c>
      <c r="K3" s="7">
        <v>303</v>
      </c>
      <c r="L3" s="7">
        <v>102</v>
      </c>
      <c r="M3" s="7">
        <v>102</v>
      </c>
      <c r="N3" s="7">
        <v>903</v>
      </c>
      <c r="O3" s="7">
        <v>903</v>
      </c>
      <c r="P3" s="7">
        <v>501</v>
      </c>
      <c r="Q3" s="7">
        <v>501</v>
      </c>
      <c r="R3" s="7">
        <v>501</v>
      </c>
      <c r="S3" s="7">
        <v>501</v>
      </c>
      <c r="T3" s="7">
        <v>501</v>
      </c>
      <c r="U3" s="7">
        <v>303</v>
      </c>
      <c r="V3" s="7">
        <v>501</v>
      </c>
      <c r="W3" s="7">
        <v>501</v>
      </c>
      <c r="X3" s="7">
        <v>501</v>
      </c>
      <c r="Y3" s="7">
        <v>903</v>
      </c>
      <c r="Z3" s="7">
        <v>501</v>
      </c>
      <c r="AA3" s="7">
        <v>501</v>
      </c>
      <c r="AB3" s="7">
        <v>501</v>
      </c>
      <c r="AC3" s="7">
        <v>102</v>
      </c>
      <c r="AD3" s="7">
        <v>903</v>
      </c>
      <c r="AE3" s="7">
        <v>604</v>
      </c>
      <c r="AF3" s="7">
        <v>903</v>
      </c>
      <c r="AG3" s="7">
        <v>501</v>
      </c>
      <c r="AH3" s="7">
        <v>501</v>
      </c>
      <c r="AI3" s="7">
        <v>501</v>
      </c>
      <c r="AJ3" s="7">
        <v>102</v>
      </c>
      <c r="AK3" s="7">
        <v>303</v>
      </c>
      <c r="AL3" s="7">
        <v>102</v>
      </c>
      <c r="AM3" s="7">
        <v>102</v>
      </c>
      <c r="AN3" s="7">
        <v>102</v>
      </c>
      <c r="AO3" s="7">
        <v>903</v>
      </c>
      <c r="AP3" s="7">
        <v>501</v>
      </c>
      <c r="AQ3" s="7">
        <v>501</v>
      </c>
      <c r="AR3" s="7">
        <v>501</v>
      </c>
      <c r="AS3" s="7">
        <v>303</v>
      </c>
      <c r="AT3" s="7">
        <v>501</v>
      </c>
      <c r="AU3" s="7">
        <v>903</v>
      </c>
      <c r="AV3" s="7">
        <v>102</v>
      </c>
      <c r="AW3" s="7">
        <v>501</v>
      </c>
      <c r="AX3" s="7">
        <v>501</v>
      </c>
      <c r="AY3" s="7">
        <v>903</v>
      </c>
      <c r="AZ3" s="7">
        <v>501</v>
      </c>
      <c r="BA3" s="7">
        <v>303</v>
      </c>
      <c r="BB3" s="7">
        <v>501</v>
      </c>
      <c r="BC3" s="7">
        <v>501</v>
      </c>
      <c r="BD3" s="7">
        <v>501</v>
      </c>
      <c r="BE3" s="7">
        <v>501</v>
      </c>
      <c r="BF3" s="7">
        <v>903</v>
      </c>
      <c r="BG3" s="7">
        <v>501</v>
      </c>
      <c r="BH3" s="7">
        <v>501</v>
      </c>
      <c r="BI3" s="7">
        <v>303</v>
      </c>
      <c r="BJ3" s="7">
        <v>303</v>
      </c>
      <c r="BK3" s="7">
        <v>303</v>
      </c>
      <c r="BL3" s="7">
        <v>303</v>
      </c>
      <c r="BM3" s="7">
        <v>303</v>
      </c>
      <c r="BN3" s="7">
        <v>501</v>
      </c>
      <c r="BO3" s="7">
        <v>303</v>
      </c>
      <c r="BP3" s="7">
        <v>303</v>
      </c>
      <c r="BQ3" s="10">
        <v>300</v>
      </c>
      <c r="BR3" s="10">
        <v>100</v>
      </c>
      <c r="BS3" s="10">
        <v>300</v>
      </c>
      <c r="BT3" s="10">
        <v>300</v>
      </c>
      <c r="BU3" s="10">
        <v>100</v>
      </c>
      <c r="BV3" s="10">
        <v>300</v>
      </c>
      <c r="BW3" s="10">
        <v>300</v>
      </c>
      <c r="BX3" s="10">
        <v>100</v>
      </c>
      <c r="BY3" s="10">
        <v>100</v>
      </c>
      <c r="BZ3" s="10">
        <v>900</v>
      </c>
      <c r="CA3" s="10">
        <v>900</v>
      </c>
      <c r="CB3" s="10">
        <v>500</v>
      </c>
      <c r="CC3" s="10">
        <v>500</v>
      </c>
      <c r="CD3" s="10">
        <v>500</v>
      </c>
      <c r="CE3" s="10">
        <v>500</v>
      </c>
      <c r="CF3" s="10">
        <v>500</v>
      </c>
      <c r="CG3" s="10">
        <v>300</v>
      </c>
      <c r="CH3" s="10">
        <v>500</v>
      </c>
      <c r="CI3" s="10">
        <v>500</v>
      </c>
      <c r="CJ3" s="10">
        <v>500</v>
      </c>
      <c r="CK3" s="10">
        <v>900</v>
      </c>
      <c r="CL3" s="10">
        <v>500</v>
      </c>
      <c r="CM3" s="10">
        <v>500</v>
      </c>
      <c r="CN3" s="10">
        <v>500</v>
      </c>
      <c r="CO3" s="10">
        <v>100</v>
      </c>
      <c r="CP3" s="10">
        <v>900</v>
      </c>
      <c r="CQ3" s="10">
        <v>600</v>
      </c>
      <c r="CR3" s="10">
        <v>900</v>
      </c>
      <c r="CS3" s="10">
        <v>500</v>
      </c>
      <c r="CT3" s="10">
        <v>500</v>
      </c>
      <c r="CU3" s="10">
        <v>500</v>
      </c>
      <c r="CV3" s="10">
        <v>100</v>
      </c>
      <c r="CW3" s="10">
        <v>300</v>
      </c>
      <c r="CX3" s="10">
        <v>100</v>
      </c>
      <c r="CY3" s="10">
        <v>100</v>
      </c>
      <c r="CZ3" s="10">
        <v>100</v>
      </c>
      <c r="DA3" s="10">
        <v>900</v>
      </c>
      <c r="DB3" s="10">
        <v>500</v>
      </c>
      <c r="DC3" s="10">
        <v>500</v>
      </c>
      <c r="DD3" s="10">
        <v>500</v>
      </c>
      <c r="DE3" s="10">
        <v>300</v>
      </c>
      <c r="DF3" s="10">
        <v>500</v>
      </c>
      <c r="DG3" s="10">
        <v>900</v>
      </c>
      <c r="DH3" s="10">
        <v>100</v>
      </c>
      <c r="DI3" s="10">
        <v>500</v>
      </c>
      <c r="DJ3" s="10">
        <v>500</v>
      </c>
      <c r="DK3" s="10">
        <v>900</v>
      </c>
      <c r="DL3" s="10">
        <v>500</v>
      </c>
      <c r="DM3" s="10">
        <v>300</v>
      </c>
      <c r="DN3" s="10">
        <v>500</v>
      </c>
      <c r="DO3" s="10">
        <v>500</v>
      </c>
      <c r="DP3" s="10">
        <v>500</v>
      </c>
      <c r="DQ3" s="10">
        <v>500</v>
      </c>
      <c r="DR3" s="10">
        <v>900</v>
      </c>
      <c r="DS3" s="10">
        <v>500</v>
      </c>
      <c r="DT3" s="10">
        <v>500</v>
      </c>
      <c r="DU3" s="10">
        <v>300</v>
      </c>
      <c r="DV3" s="10">
        <v>300</v>
      </c>
      <c r="DW3" s="10">
        <v>300</v>
      </c>
      <c r="DX3" s="10">
        <v>300</v>
      </c>
      <c r="DY3" s="10">
        <v>300</v>
      </c>
      <c r="DZ3" s="10">
        <v>500</v>
      </c>
      <c r="EA3" s="10">
        <v>300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416</v>
      </c>
      <c r="E3" s="7">
        <v>109</v>
      </c>
      <c r="F3" s="7">
        <v>102</v>
      </c>
      <c r="G3" s="7">
        <v>102</v>
      </c>
      <c r="H3" s="7">
        <v>501</v>
      </c>
      <c r="I3" s="7">
        <v>1001</v>
      </c>
      <c r="J3" s="7">
        <v>501</v>
      </c>
      <c r="K3" s="7">
        <v>109</v>
      </c>
      <c r="L3" s="7">
        <v>109</v>
      </c>
      <c r="M3" s="7">
        <v>109</v>
      </c>
      <c r="N3" s="7">
        <v>109</v>
      </c>
      <c r="O3" s="7">
        <v>501</v>
      </c>
      <c r="P3" s="7">
        <v>501</v>
      </c>
      <c r="Q3" s="7">
        <v>501</v>
      </c>
      <c r="R3" s="7">
        <v>903</v>
      </c>
      <c r="S3" s="7">
        <v>109</v>
      </c>
      <c r="T3" s="7">
        <v>501</v>
      </c>
      <c r="U3" s="7">
        <v>109</v>
      </c>
      <c r="V3" s="7">
        <v>501</v>
      </c>
      <c r="W3" s="7">
        <v>109</v>
      </c>
      <c r="X3" s="7">
        <v>703</v>
      </c>
      <c r="Y3" s="7">
        <v>501</v>
      </c>
      <c r="Z3" s="7">
        <v>109</v>
      </c>
      <c r="AA3" s="7">
        <v>501</v>
      </c>
      <c r="AB3" s="7">
        <v>501</v>
      </c>
      <c r="AC3" s="7">
        <v>501</v>
      </c>
      <c r="AD3" s="7">
        <v>501</v>
      </c>
      <c r="AE3" s="7">
        <v>903</v>
      </c>
      <c r="AF3" s="7">
        <v>109</v>
      </c>
      <c r="AG3" s="7">
        <v>109</v>
      </c>
      <c r="AH3" s="7">
        <v>603</v>
      </c>
      <c r="AI3" s="7">
        <v>501</v>
      </c>
      <c r="AJ3" s="7">
        <v>501</v>
      </c>
      <c r="AK3" s="7">
        <v>501</v>
      </c>
      <c r="AL3" s="7">
        <v>903</v>
      </c>
      <c r="AM3" s="7">
        <v>501</v>
      </c>
      <c r="AN3" s="7">
        <v>109</v>
      </c>
      <c r="AO3" s="7">
        <v>109</v>
      </c>
      <c r="AP3" s="7">
        <v>501</v>
      </c>
      <c r="AQ3" s="7">
        <v>501</v>
      </c>
      <c r="AR3" s="7">
        <v>501</v>
      </c>
      <c r="AS3" s="7">
        <v>501</v>
      </c>
      <c r="AT3" s="7">
        <v>903</v>
      </c>
      <c r="AU3" s="7">
        <v>109</v>
      </c>
      <c r="AV3" s="7">
        <v>501</v>
      </c>
      <c r="AW3" s="7">
        <v>501</v>
      </c>
      <c r="AX3" s="7">
        <v>109</v>
      </c>
      <c r="AY3" s="7">
        <v>903</v>
      </c>
      <c r="AZ3" s="7">
        <v>1001</v>
      </c>
      <c r="BA3" s="7">
        <v>501</v>
      </c>
      <c r="BB3" s="7">
        <v>109</v>
      </c>
      <c r="BC3" s="7">
        <v>501</v>
      </c>
      <c r="BD3" s="7">
        <v>903</v>
      </c>
      <c r="BE3" s="7">
        <v>501</v>
      </c>
      <c r="BF3" s="7">
        <v>501</v>
      </c>
      <c r="BG3" s="7">
        <v>109</v>
      </c>
      <c r="BH3" s="7">
        <v>102</v>
      </c>
      <c r="BI3" s="7">
        <v>104</v>
      </c>
      <c r="BJ3" s="7">
        <v>102</v>
      </c>
      <c r="BK3" s="7">
        <v>501</v>
      </c>
      <c r="BL3" s="7">
        <v>501</v>
      </c>
      <c r="BM3" s="7">
        <v>903</v>
      </c>
      <c r="BN3" s="7">
        <v>501</v>
      </c>
      <c r="BO3" s="7">
        <v>501</v>
      </c>
      <c r="BP3" s="7">
        <v>501</v>
      </c>
      <c r="BQ3" s="10">
        <v>100</v>
      </c>
      <c r="BR3" s="10">
        <v>100</v>
      </c>
      <c r="BS3" s="10">
        <v>100</v>
      </c>
      <c r="BT3" s="10">
        <v>500</v>
      </c>
      <c r="BU3" s="10">
        <v>1000</v>
      </c>
      <c r="BV3" s="10">
        <v>500</v>
      </c>
      <c r="BW3" s="10">
        <v>100</v>
      </c>
      <c r="BX3" s="10">
        <v>100</v>
      </c>
      <c r="BY3" s="10">
        <v>100</v>
      </c>
      <c r="BZ3" s="10">
        <v>100</v>
      </c>
      <c r="CA3" s="10">
        <v>500</v>
      </c>
      <c r="CB3" s="10">
        <v>500</v>
      </c>
      <c r="CC3" s="10">
        <v>500</v>
      </c>
      <c r="CD3" s="10">
        <v>900</v>
      </c>
      <c r="CE3" s="10">
        <v>100</v>
      </c>
      <c r="CF3" s="10">
        <v>500</v>
      </c>
      <c r="CG3" s="10">
        <v>100</v>
      </c>
      <c r="CH3" s="10">
        <v>500</v>
      </c>
      <c r="CI3" s="10">
        <v>100</v>
      </c>
      <c r="CJ3" s="10">
        <v>700</v>
      </c>
      <c r="CK3" s="10">
        <v>500</v>
      </c>
      <c r="CL3" s="10">
        <v>100</v>
      </c>
      <c r="CM3" s="10">
        <v>500</v>
      </c>
      <c r="CN3" s="10">
        <v>500</v>
      </c>
      <c r="CO3" s="10">
        <v>500</v>
      </c>
      <c r="CP3" s="10">
        <v>500</v>
      </c>
      <c r="CQ3" s="10">
        <v>900</v>
      </c>
      <c r="CR3" s="10">
        <v>100</v>
      </c>
      <c r="CS3" s="10">
        <v>100</v>
      </c>
      <c r="CT3" s="10">
        <v>600</v>
      </c>
      <c r="CU3" s="10">
        <v>500</v>
      </c>
      <c r="CV3" s="10">
        <v>500</v>
      </c>
      <c r="CW3" s="10">
        <v>500</v>
      </c>
      <c r="CX3" s="10">
        <v>900</v>
      </c>
      <c r="CY3" s="10">
        <v>500</v>
      </c>
      <c r="CZ3" s="10">
        <v>100</v>
      </c>
      <c r="DA3" s="10">
        <v>100</v>
      </c>
      <c r="DB3" s="10">
        <v>500</v>
      </c>
      <c r="DC3" s="10">
        <v>500</v>
      </c>
      <c r="DD3" s="10">
        <v>500</v>
      </c>
      <c r="DE3" s="10">
        <v>500</v>
      </c>
      <c r="DF3" s="10">
        <v>900</v>
      </c>
      <c r="DG3" s="10">
        <v>100</v>
      </c>
      <c r="DH3" s="10">
        <v>500</v>
      </c>
      <c r="DI3" s="10">
        <v>500</v>
      </c>
      <c r="DJ3" s="10">
        <v>100</v>
      </c>
      <c r="DK3" s="10">
        <v>900</v>
      </c>
      <c r="DL3" s="10">
        <v>1000</v>
      </c>
      <c r="DM3" s="10">
        <v>500</v>
      </c>
      <c r="DN3" s="10">
        <v>100</v>
      </c>
      <c r="DO3" s="10">
        <v>500</v>
      </c>
      <c r="DP3" s="10">
        <v>900</v>
      </c>
      <c r="DQ3" s="10">
        <v>500</v>
      </c>
      <c r="DR3" s="10">
        <v>500</v>
      </c>
      <c r="DS3" s="10">
        <v>100</v>
      </c>
      <c r="DT3" s="10">
        <v>100</v>
      </c>
      <c r="DU3" s="10">
        <v>100</v>
      </c>
      <c r="DV3" s="10">
        <v>100</v>
      </c>
      <c r="DW3" s="10">
        <v>500</v>
      </c>
      <c r="DX3" s="10">
        <v>500</v>
      </c>
      <c r="DY3" s="10">
        <v>900</v>
      </c>
      <c r="DZ3" s="10">
        <v>500</v>
      </c>
      <c r="EA3" s="10">
        <v>500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570312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421</v>
      </c>
      <c r="E3" s="7">
        <v>102</v>
      </c>
      <c r="F3" s="7">
        <v>501</v>
      </c>
      <c r="G3" s="7">
        <v>501</v>
      </c>
      <c r="H3" s="7">
        <v>303</v>
      </c>
      <c r="I3" s="7">
        <v>303</v>
      </c>
      <c r="J3" s="7">
        <v>303</v>
      </c>
      <c r="K3" s="7">
        <v>303</v>
      </c>
      <c r="L3" s="7">
        <v>104</v>
      </c>
      <c r="M3" s="7">
        <v>102</v>
      </c>
      <c r="N3" s="7">
        <v>109</v>
      </c>
      <c r="O3" s="7">
        <v>102</v>
      </c>
      <c r="P3" s="7">
        <v>501</v>
      </c>
      <c r="Q3" s="7">
        <v>501</v>
      </c>
      <c r="R3" s="7">
        <v>501</v>
      </c>
      <c r="S3" s="7">
        <v>109</v>
      </c>
      <c r="T3" s="7">
        <v>501</v>
      </c>
      <c r="U3" s="7">
        <v>303</v>
      </c>
      <c r="V3" s="7">
        <v>501</v>
      </c>
      <c r="W3" s="7">
        <v>109</v>
      </c>
      <c r="X3" s="7">
        <v>501</v>
      </c>
      <c r="Y3" s="7">
        <v>102</v>
      </c>
      <c r="Z3" s="7">
        <v>109</v>
      </c>
      <c r="AA3" s="7">
        <v>501</v>
      </c>
      <c r="AB3" s="7">
        <v>104</v>
      </c>
      <c r="AC3" s="7">
        <v>104</v>
      </c>
      <c r="AD3" s="7">
        <v>501</v>
      </c>
      <c r="AE3" s="7">
        <v>102</v>
      </c>
      <c r="AF3" s="7">
        <v>109</v>
      </c>
      <c r="AG3" s="7">
        <v>109</v>
      </c>
      <c r="AH3" s="7">
        <v>501</v>
      </c>
      <c r="AI3" s="7">
        <v>501</v>
      </c>
      <c r="AJ3" s="7">
        <v>303</v>
      </c>
      <c r="AK3" s="7">
        <v>303</v>
      </c>
      <c r="AL3" s="7">
        <v>501</v>
      </c>
      <c r="AM3" s="7">
        <v>501</v>
      </c>
      <c r="AN3" s="7">
        <v>109</v>
      </c>
      <c r="AO3" s="7">
        <v>109</v>
      </c>
      <c r="AP3" s="7">
        <v>501</v>
      </c>
      <c r="AQ3" s="7">
        <v>501</v>
      </c>
      <c r="AR3" s="7">
        <v>303</v>
      </c>
      <c r="AS3" s="7">
        <v>303</v>
      </c>
      <c r="AT3" s="7">
        <v>501</v>
      </c>
      <c r="AU3" s="7">
        <v>109</v>
      </c>
      <c r="AV3" s="7">
        <v>501</v>
      </c>
      <c r="AW3" s="7">
        <v>501</v>
      </c>
      <c r="AX3" s="7">
        <v>109</v>
      </c>
      <c r="AY3" s="7">
        <v>501</v>
      </c>
      <c r="AZ3" s="7">
        <v>303</v>
      </c>
      <c r="BA3" s="7">
        <v>303</v>
      </c>
      <c r="BB3" s="7">
        <v>109</v>
      </c>
      <c r="BC3" s="7">
        <v>501</v>
      </c>
      <c r="BD3" s="7">
        <v>501</v>
      </c>
      <c r="BE3" s="7">
        <v>501</v>
      </c>
      <c r="BF3" s="7">
        <v>501</v>
      </c>
      <c r="BG3" s="7">
        <v>109</v>
      </c>
      <c r="BH3" s="7">
        <v>303</v>
      </c>
      <c r="BI3" s="7">
        <v>104</v>
      </c>
      <c r="BJ3" s="7">
        <v>102</v>
      </c>
      <c r="BK3" s="7">
        <v>303</v>
      </c>
      <c r="BL3" s="7">
        <v>303</v>
      </c>
      <c r="BM3" s="7">
        <v>303</v>
      </c>
      <c r="BN3" s="7">
        <v>303</v>
      </c>
      <c r="BO3" s="7">
        <v>303</v>
      </c>
      <c r="BP3" s="7">
        <v>303</v>
      </c>
      <c r="BQ3" s="10">
        <v>100</v>
      </c>
      <c r="BR3" s="10">
        <v>500</v>
      </c>
      <c r="BS3" s="10">
        <v>500</v>
      </c>
      <c r="BT3" s="10">
        <v>300</v>
      </c>
      <c r="BU3" s="10">
        <v>300</v>
      </c>
      <c r="BV3" s="10">
        <v>300</v>
      </c>
      <c r="BW3" s="10">
        <v>300</v>
      </c>
      <c r="BX3" s="10">
        <v>100</v>
      </c>
      <c r="BY3" s="10">
        <v>100</v>
      </c>
      <c r="BZ3" s="10">
        <v>100</v>
      </c>
      <c r="CA3" s="10">
        <v>100</v>
      </c>
      <c r="CB3" s="10">
        <v>500</v>
      </c>
      <c r="CC3" s="10">
        <v>500</v>
      </c>
      <c r="CD3" s="10">
        <v>500</v>
      </c>
      <c r="CE3" s="10">
        <v>100</v>
      </c>
      <c r="CF3" s="10">
        <v>500</v>
      </c>
      <c r="CG3" s="10">
        <v>300</v>
      </c>
      <c r="CH3" s="10">
        <v>500</v>
      </c>
      <c r="CI3" s="10">
        <v>100</v>
      </c>
      <c r="CJ3" s="10">
        <v>500</v>
      </c>
      <c r="CK3" s="10">
        <v>100</v>
      </c>
      <c r="CL3" s="10">
        <v>100</v>
      </c>
      <c r="CM3" s="10">
        <v>500</v>
      </c>
      <c r="CN3" s="10">
        <v>100</v>
      </c>
      <c r="CO3" s="10">
        <v>100</v>
      </c>
      <c r="CP3" s="10">
        <v>500</v>
      </c>
      <c r="CQ3" s="10">
        <v>100</v>
      </c>
      <c r="CR3" s="10">
        <v>100</v>
      </c>
      <c r="CS3" s="10">
        <v>100</v>
      </c>
      <c r="CT3" s="10">
        <v>500</v>
      </c>
      <c r="CU3" s="10">
        <v>500</v>
      </c>
      <c r="CV3" s="10">
        <v>300</v>
      </c>
      <c r="CW3" s="10">
        <v>300</v>
      </c>
      <c r="CX3" s="10">
        <v>500</v>
      </c>
      <c r="CY3" s="10">
        <v>500</v>
      </c>
      <c r="CZ3" s="10">
        <v>100</v>
      </c>
      <c r="DA3" s="10">
        <v>100</v>
      </c>
      <c r="DB3" s="10">
        <v>500</v>
      </c>
      <c r="DC3" s="10">
        <v>500</v>
      </c>
      <c r="DD3" s="10">
        <v>300</v>
      </c>
      <c r="DE3" s="10">
        <v>300</v>
      </c>
      <c r="DF3" s="10">
        <v>500</v>
      </c>
      <c r="DG3" s="10">
        <v>100</v>
      </c>
      <c r="DH3" s="10">
        <v>500</v>
      </c>
      <c r="DI3" s="10">
        <v>500</v>
      </c>
      <c r="DJ3" s="10">
        <v>100</v>
      </c>
      <c r="DK3" s="10">
        <v>500</v>
      </c>
      <c r="DL3" s="10">
        <v>300</v>
      </c>
      <c r="DM3" s="10">
        <v>300</v>
      </c>
      <c r="DN3" s="10">
        <v>100</v>
      </c>
      <c r="DO3" s="10">
        <v>500</v>
      </c>
      <c r="DP3" s="10">
        <v>500</v>
      </c>
      <c r="DQ3" s="10">
        <v>500</v>
      </c>
      <c r="DR3" s="10">
        <v>500</v>
      </c>
      <c r="DS3" s="10">
        <v>100</v>
      </c>
      <c r="DT3" s="10">
        <v>300</v>
      </c>
      <c r="DU3" s="10">
        <v>100</v>
      </c>
      <c r="DV3" s="10">
        <v>100</v>
      </c>
      <c r="DW3" s="10">
        <v>300</v>
      </c>
      <c r="DX3" s="10">
        <v>300</v>
      </c>
      <c r="DY3" s="10">
        <v>300</v>
      </c>
      <c r="DZ3" s="10">
        <v>300</v>
      </c>
      <c r="EA3" s="10">
        <v>300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425</v>
      </c>
      <c r="E3" s="7">
        <v>501</v>
      </c>
      <c r="F3" s="7">
        <v>501</v>
      </c>
      <c r="G3" s="7">
        <v>102</v>
      </c>
      <c r="H3" s="7">
        <v>501</v>
      </c>
      <c r="I3" s="7">
        <v>501</v>
      </c>
      <c r="J3" s="7">
        <v>501</v>
      </c>
      <c r="K3" s="7">
        <v>501</v>
      </c>
      <c r="L3" s="7">
        <v>104</v>
      </c>
      <c r="M3" s="7">
        <v>501</v>
      </c>
      <c r="N3" s="7">
        <v>102</v>
      </c>
      <c r="O3" s="7">
        <v>903</v>
      </c>
      <c r="P3" s="7">
        <v>903</v>
      </c>
      <c r="Q3" s="7">
        <v>903</v>
      </c>
      <c r="R3" s="7">
        <v>903</v>
      </c>
      <c r="S3" s="7">
        <v>501</v>
      </c>
      <c r="T3" s="7">
        <v>501</v>
      </c>
      <c r="U3" s="7">
        <v>501</v>
      </c>
      <c r="V3" s="7">
        <v>501</v>
      </c>
      <c r="W3" s="7">
        <v>903</v>
      </c>
      <c r="X3" s="7">
        <v>102</v>
      </c>
      <c r="Y3" s="7">
        <v>102</v>
      </c>
      <c r="Z3" s="7">
        <v>501</v>
      </c>
      <c r="AA3" s="7">
        <v>501</v>
      </c>
      <c r="AB3" s="7">
        <v>102</v>
      </c>
      <c r="AC3" s="7">
        <v>303</v>
      </c>
      <c r="AD3" s="7">
        <v>903</v>
      </c>
      <c r="AE3" s="7">
        <v>501</v>
      </c>
      <c r="AF3" s="7">
        <v>102</v>
      </c>
      <c r="AG3" s="7">
        <v>102</v>
      </c>
      <c r="AH3" s="7">
        <v>102</v>
      </c>
      <c r="AI3" s="7">
        <v>102</v>
      </c>
      <c r="AJ3" s="7">
        <v>903</v>
      </c>
      <c r="AK3" s="7">
        <v>303</v>
      </c>
      <c r="AL3" s="7">
        <v>102</v>
      </c>
      <c r="AM3" s="7">
        <v>501</v>
      </c>
      <c r="AN3" s="7">
        <v>102</v>
      </c>
      <c r="AO3" s="7">
        <v>102</v>
      </c>
      <c r="AP3" s="7">
        <v>501</v>
      </c>
      <c r="AQ3" s="7">
        <v>501</v>
      </c>
      <c r="AR3" s="7">
        <v>501</v>
      </c>
      <c r="AS3" s="7">
        <v>303</v>
      </c>
      <c r="AT3" s="7">
        <v>501</v>
      </c>
      <c r="AU3" s="7">
        <v>102</v>
      </c>
      <c r="AV3" s="7">
        <v>102</v>
      </c>
      <c r="AW3" s="7">
        <v>102</v>
      </c>
      <c r="AX3" s="7">
        <v>102</v>
      </c>
      <c r="AY3" s="7">
        <v>102</v>
      </c>
      <c r="AZ3" s="7">
        <v>501</v>
      </c>
      <c r="BA3" s="7">
        <v>102</v>
      </c>
      <c r="BB3" s="7">
        <v>501</v>
      </c>
      <c r="BC3" s="7">
        <v>501</v>
      </c>
      <c r="BD3" s="7">
        <v>501</v>
      </c>
      <c r="BE3" s="7">
        <v>501</v>
      </c>
      <c r="BF3" s="7">
        <v>501</v>
      </c>
      <c r="BG3" s="7">
        <v>501</v>
      </c>
      <c r="BH3" s="7">
        <v>501</v>
      </c>
      <c r="BI3" s="7">
        <v>102</v>
      </c>
      <c r="BJ3" s="7">
        <v>903</v>
      </c>
      <c r="BK3" s="7">
        <v>102</v>
      </c>
      <c r="BL3" s="7">
        <v>501</v>
      </c>
      <c r="BM3" s="7">
        <v>102</v>
      </c>
      <c r="BN3" s="7">
        <v>102</v>
      </c>
      <c r="BO3" s="7">
        <v>102</v>
      </c>
      <c r="BP3" s="7">
        <v>104</v>
      </c>
      <c r="BQ3" s="10">
        <v>500</v>
      </c>
      <c r="BR3" s="10">
        <v>500</v>
      </c>
      <c r="BS3" s="10">
        <v>100</v>
      </c>
      <c r="BT3" s="10">
        <v>500</v>
      </c>
      <c r="BU3" s="10">
        <v>500</v>
      </c>
      <c r="BV3" s="10">
        <v>500</v>
      </c>
      <c r="BW3" s="10">
        <v>500</v>
      </c>
      <c r="BX3" s="10">
        <v>100</v>
      </c>
      <c r="BY3" s="10">
        <v>500</v>
      </c>
      <c r="BZ3" s="10">
        <v>100</v>
      </c>
      <c r="CA3" s="10">
        <v>900</v>
      </c>
      <c r="CB3" s="10">
        <v>900</v>
      </c>
      <c r="CC3" s="10">
        <v>900</v>
      </c>
      <c r="CD3" s="10">
        <v>900</v>
      </c>
      <c r="CE3" s="10">
        <v>500</v>
      </c>
      <c r="CF3" s="10">
        <v>500</v>
      </c>
      <c r="CG3" s="10">
        <v>500</v>
      </c>
      <c r="CH3" s="10">
        <v>500</v>
      </c>
      <c r="CI3" s="10">
        <v>900</v>
      </c>
      <c r="CJ3" s="10">
        <v>100</v>
      </c>
      <c r="CK3" s="10">
        <v>100</v>
      </c>
      <c r="CL3" s="10">
        <v>500</v>
      </c>
      <c r="CM3" s="10">
        <v>500</v>
      </c>
      <c r="CN3" s="10">
        <v>100</v>
      </c>
      <c r="CO3" s="10">
        <v>300</v>
      </c>
      <c r="CP3" s="10">
        <v>900</v>
      </c>
      <c r="CQ3" s="10">
        <v>500</v>
      </c>
      <c r="CR3" s="10">
        <v>100</v>
      </c>
      <c r="CS3" s="10">
        <v>100</v>
      </c>
      <c r="CT3" s="10">
        <v>100</v>
      </c>
      <c r="CU3" s="10">
        <v>100</v>
      </c>
      <c r="CV3" s="10">
        <v>900</v>
      </c>
      <c r="CW3" s="10">
        <v>300</v>
      </c>
      <c r="CX3" s="10">
        <v>100</v>
      </c>
      <c r="CY3" s="10">
        <v>500</v>
      </c>
      <c r="CZ3" s="10">
        <v>100</v>
      </c>
      <c r="DA3" s="10">
        <v>100</v>
      </c>
      <c r="DB3" s="10">
        <v>500</v>
      </c>
      <c r="DC3" s="10">
        <v>500</v>
      </c>
      <c r="DD3" s="10">
        <v>500</v>
      </c>
      <c r="DE3" s="10">
        <v>300</v>
      </c>
      <c r="DF3" s="10">
        <v>500</v>
      </c>
      <c r="DG3" s="10">
        <v>100</v>
      </c>
      <c r="DH3" s="10">
        <v>100</v>
      </c>
      <c r="DI3" s="10">
        <v>100</v>
      </c>
      <c r="DJ3" s="10">
        <v>100</v>
      </c>
      <c r="DK3" s="10">
        <v>100</v>
      </c>
      <c r="DL3" s="10">
        <v>500</v>
      </c>
      <c r="DM3" s="10">
        <v>100</v>
      </c>
      <c r="DN3" s="10">
        <v>500</v>
      </c>
      <c r="DO3" s="10">
        <v>500</v>
      </c>
      <c r="DP3" s="10">
        <v>500</v>
      </c>
      <c r="DQ3" s="10">
        <v>500</v>
      </c>
      <c r="DR3" s="10">
        <v>500</v>
      </c>
      <c r="DS3" s="10">
        <v>500</v>
      </c>
      <c r="DT3" s="10">
        <v>500</v>
      </c>
      <c r="DU3" s="10">
        <v>100</v>
      </c>
      <c r="DV3" s="10">
        <v>900</v>
      </c>
      <c r="DW3" s="10">
        <v>100</v>
      </c>
      <c r="DX3" s="10">
        <v>500</v>
      </c>
      <c r="DY3" s="10">
        <v>100</v>
      </c>
      <c r="DZ3" s="10">
        <v>100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570312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429</v>
      </c>
      <c r="E3" s="7">
        <v>109</v>
      </c>
      <c r="F3" s="7">
        <v>102</v>
      </c>
      <c r="G3" s="7">
        <v>303</v>
      </c>
      <c r="H3" s="7">
        <v>303</v>
      </c>
      <c r="I3" s="7">
        <v>102</v>
      </c>
      <c r="J3" s="7">
        <v>303</v>
      </c>
      <c r="K3" s="7">
        <v>303</v>
      </c>
      <c r="L3" s="7">
        <v>102</v>
      </c>
      <c r="M3" s="7">
        <v>102</v>
      </c>
      <c r="N3" s="7">
        <v>501</v>
      </c>
      <c r="O3" s="7">
        <v>501</v>
      </c>
      <c r="P3" s="7">
        <v>501</v>
      </c>
      <c r="Q3" s="7">
        <v>501</v>
      </c>
      <c r="R3" s="7">
        <v>102</v>
      </c>
      <c r="S3" s="7">
        <v>501</v>
      </c>
      <c r="T3" s="7">
        <v>303</v>
      </c>
      <c r="U3" s="7">
        <v>303</v>
      </c>
      <c r="V3" s="7">
        <v>501</v>
      </c>
      <c r="W3" s="7">
        <v>501</v>
      </c>
      <c r="X3" s="7">
        <v>501</v>
      </c>
      <c r="Y3" s="7">
        <v>501</v>
      </c>
      <c r="Z3" s="7">
        <v>604</v>
      </c>
      <c r="AA3" s="7">
        <v>604</v>
      </c>
      <c r="AB3" s="7">
        <v>303</v>
      </c>
      <c r="AC3" s="7">
        <v>303</v>
      </c>
      <c r="AD3" s="7">
        <v>501</v>
      </c>
      <c r="AE3" s="7">
        <v>903</v>
      </c>
      <c r="AF3" s="7">
        <v>501</v>
      </c>
      <c r="AG3" s="7">
        <v>501</v>
      </c>
      <c r="AH3" s="7">
        <v>903</v>
      </c>
      <c r="AI3" s="7">
        <v>501</v>
      </c>
      <c r="AJ3" s="7">
        <v>303</v>
      </c>
      <c r="AK3" s="7">
        <v>303</v>
      </c>
      <c r="AL3" s="7">
        <v>501</v>
      </c>
      <c r="AM3" s="7">
        <v>501</v>
      </c>
      <c r="AN3" s="7">
        <v>501</v>
      </c>
      <c r="AO3" s="7">
        <v>501</v>
      </c>
      <c r="AP3" s="7">
        <v>303</v>
      </c>
      <c r="AQ3" s="7">
        <v>501</v>
      </c>
      <c r="AR3" s="7">
        <v>303</v>
      </c>
      <c r="AS3" s="7">
        <v>102</v>
      </c>
      <c r="AT3" s="7">
        <v>501</v>
      </c>
      <c r="AU3" s="7">
        <v>903</v>
      </c>
      <c r="AV3" s="7">
        <v>501</v>
      </c>
      <c r="AW3" s="7">
        <v>501</v>
      </c>
      <c r="AX3" s="7">
        <v>501</v>
      </c>
      <c r="AY3" s="7">
        <v>501</v>
      </c>
      <c r="AZ3" s="7">
        <v>501</v>
      </c>
      <c r="BA3" s="7">
        <v>102</v>
      </c>
      <c r="BB3" s="7">
        <v>501</v>
      </c>
      <c r="BC3" s="7">
        <v>903</v>
      </c>
      <c r="BD3" s="7">
        <v>501</v>
      </c>
      <c r="BE3" s="7">
        <v>903</v>
      </c>
      <c r="BF3" s="7">
        <v>501</v>
      </c>
      <c r="BG3" s="7">
        <v>501</v>
      </c>
      <c r="BH3" s="7">
        <v>501</v>
      </c>
      <c r="BI3" s="7">
        <v>303</v>
      </c>
      <c r="BJ3" s="7">
        <v>303</v>
      </c>
      <c r="BK3" s="7">
        <v>303</v>
      </c>
      <c r="BL3" s="7">
        <v>303</v>
      </c>
      <c r="BM3" s="7">
        <v>303</v>
      </c>
      <c r="BN3" s="7">
        <v>303</v>
      </c>
      <c r="BO3" s="7">
        <v>303</v>
      </c>
      <c r="BP3" s="7">
        <v>303</v>
      </c>
      <c r="BQ3" s="10">
        <v>100</v>
      </c>
      <c r="BR3" s="10">
        <v>100</v>
      </c>
      <c r="BS3" s="10">
        <v>300</v>
      </c>
      <c r="BT3" s="10">
        <v>300</v>
      </c>
      <c r="BU3" s="10">
        <v>100</v>
      </c>
      <c r="BV3" s="10">
        <v>300</v>
      </c>
      <c r="BW3" s="10">
        <v>300</v>
      </c>
      <c r="BX3" s="10">
        <v>100</v>
      </c>
      <c r="BY3" s="10">
        <v>100</v>
      </c>
      <c r="BZ3" s="10">
        <v>500</v>
      </c>
      <c r="CA3" s="10">
        <v>500</v>
      </c>
      <c r="CB3" s="10">
        <v>500</v>
      </c>
      <c r="CC3" s="10">
        <v>500</v>
      </c>
      <c r="CD3" s="10">
        <v>100</v>
      </c>
      <c r="CE3" s="10">
        <v>500</v>
      </c>
      <c r="CF3" s="10">
        <v>300</v>
      </c>
      <c r="CG3" s="10">
        <v>300</v>
      </c>
      <c r="CH3" s="10">
        <v>500</v>
      </c>
      <c r="CI3" s="10">
        <v>500</v>
      </c>
      <c r="CJ3" s="10">
        <v>500</v>
      </c>
      <c r="CK3" s="10">
        <v>500</v>
      </c>
      <c r="CL3" s="10">
        <v>600</v>
      </c>
      <c r="CM3" s="10">
        <v>600</v>
      </c>
      <c r="CN3" s="10">
        <v>300</v>
      </c>
      <c r="CO3" s="10">
        <v>300</v>
      </c>
      <c r="CP3" s="10">
        <v>500</v>
      </c>
      <c r="CQ3" s="10">
        <v>900</v>
      </c>
      <c r="CR3" s="10">
        <v>500</v>
      </c>
      <c r="CS3" s="10">
        <v>500</v>
      </c>
      <c r="CT3" s="10">
        <v>900</v>
      </c>
      <c r="CU3" s="10">
        <v>500</v>
      </c>
      <c r="CV3" s="10">
        <v>300</v>
      </c>
      <c r="CW3" s="10">
        <v>300</v>
      </c>
      <c r="CX3" s="10">
        <v>500</v>
      </c>
      <c r="CY3" s="10">
        <v>500</v>
      </c>
      <c r="CZ3" s="10">
        <v>500</v>
      </c>
      <c r="DA3" s="10">
        <v>500</v>
      </c>
      <c r="DB3" s="10">
        <v>300</v>
      </c>
      <c r="DC3" s="10">
        <v>500</v>
      </c>
      <c r="DD3" s="10">
        <v>300</v>
      </c>
      <c r="DE3" s="10">
        <v>100</v>
      </c>
      <c r="DF3" s="10">
        <v>500</v>
      </c>
      <c r="DG3" s="10">
        <v>900</v>
      </c>
      <c r="DH3" s="10">
        <v>500</v>
      </c>
      <c r="DI3" s="10">
        <v>500</v>
      </c>
      <c r="DJ3" s="10">
        <v>500</v>
      </c>
      <c r="DK3" s="10">
        <v>500</v>
      </c>
      <c r="DL3" s="10">
        <v>500</v>
      </c>
      <c r="DM3" s="10">
        <v>100</v>
      </c>
      <c r="DN3" s="10">
        <v>500</v>
      </c>
      <c r="DO3" s="10">
        <v>900</v>
      </c>
      <c r="DP3" s="10">
        <v>500</v>
      </c>
      <c r="DQ3" s="10">
        <v>900</v>
      </c>
      <c r="DR3" s="10">
        <v>500</v>
      </c>
      <c r="DS3" s="10">
        <v>500</v>
      </c>
      <c r="DT3" s="10">
        <v>500</v>
      </c>
      <c r="DU3" s="10">
        <v>300</v>
      </c>
      <c r="DV3" s="10">
        <v>300</v>
      </c>
      <c r="DW3" s="10">
        <v>300</v>
      </c>
      <c r="DX3" s="10">
        <v>300</v>
      </c>
      <c r="DY3" s="10">
        <v>300</v>
      </c>
      <c r="DZ3" s="10">
        <v>300</v>
      </c>
      <c r="EA3" s="10">
        <v>300</v>
      </c>
      <c r="EB3" s="10">
        <v>300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433</v>
      </c>
      <c r="E3" s="7">
        <v>102</v>
      </c>
      <c r="F3" s="7">
        <v>501</v>
      </c>
      <c r="G3" s="7">
        <v>501</v>
      </c>
      <c r="H3" s="7">
        <v>501</v>
      </c>
      <c r="I3" s="7">
        <v>501</v>
      </c>
      <c r="J3" s="7">
        <v>501</v>
      </c>
      <c r="K3" s="7">
        <v>501</v>
      </c>
      <c r="L3" s="7">
        <v>501</v>
      </c>
      <c r="M3" s="7">
        <v>102</v>
      </c>
      <c r="N3" s="7">
        <v>109</v>
      </c>
      <c r="O3" s="7">
        <v>501</v>
      </c>
      <c r="P3" s="7">
        <v>603</v>
      </c>
      <c r="Q3" s="7">
        <v>903</v>
      </c>
      <c r="R3" s="7">
        <v>501</v>
      </c>
      <c r="S3" s="7">
        <v>109</v>
      </c>
      <c r="T3" s="7">
        <v>501</v>
      </c>
      <c r="U3" s="7">
        <v>102</v>
      </c>
      <c r="V3" s="7">
        <v>603</v>
      </c>
      <c r="W3" s="7">
        <v>109</v>
      </c>
      <c r="X3" s="7">
        <v>603</v>
      </c>
      <c r="Y3" s="7">
        <v>903</v>
      </c>
      <c r="Z3" s="7">
        <v>109</v>
      </c>
      <c r="AA3" s="7">
        <v>501</v>
      </c>
      <c r="AB3" s="7">
        <v>501</v>
      </c>
      <c r="AC3" s="7">
        <v>102</v>
      </c>
      <c r="AD3" s="7">
        <v>903</v>
      </c>
      <c r="AE3" s="7">
        <v>501</v>
      </c>
      <c r="AF3" s="7">
        <v>102</v>
      </c>
      <c r="AG3" s="7">
        <v>102</v>
      </c>
      <c r="AH3" s="7">
        <v>117</v>
      </c>
      <c r="AI3" s="7">
        <v>501</v>
      </c>
      <c r="AJ3" s="7">
        <v>501</v>
      </c>
      <c r="AK3" s="7">
        <v>501</v>
      </c>
      <c r="AL3" s="7">
        <v>903</v>
      </c>
      <c r="AM3" s="7">
        <v>102</v>
      </c>
      <c r="AN3" s="7">
        <v>109</v>
      </c>
      <c r="AO3" s="7">
        <v>109</v>
      </c>
      <c r="AP3" s="7">
        <v>117</v>
      </c>
      <c r="AQ3" s="7">
        <v>117</v>
      </c>
      <c r="AR3" s="7">
        <v>501</v>
      </c>
      <c r="AS3" s="7">
        <v>102</v>
      </c>
      <c r="AT3" s="7">
        <v>903</v>
      </c>
      <c r="AU3" s="7">
        <v>109</v>
      </c>
      <c r="AV3" s="7">
        <v>903</v>
      </c>
      <c r="AW3" s="7">
        <v>604</v>
      </c>
      <c r="AX3" s="7">
        <v>109</v>
      </c>
      <c r="AY3" s="7">
        <v>501</v>
      </c>
      <c r="AZ3" s="7">
        <v>501</v>
      </c>
      <c r="BA3" s="7">
        <v>102</v>
      </c>
      <c r="BB3" s="7">
        <v>109</v>
      </c>
      <c r="BC3" s="7">
        <v>903</v>
      </c>
      <c r="BD3" s="7">
        <v>501</v>
      </c>
      <c r="BE3" s="7">
        <v>903</v>
      </c>
      <c r="BF3" s="7">
        <v>501</v>
      </c>
      <c r="BG3" s="7">
        <v>109</v>
      </c>
      <c r="BH3" s="7">
        <v>501</v>
      </c>
      <c r="BI3" s="7">
        <v>109</v>
      </c>
      <c r="BJ3" s="7">
        <v>102</v>
      </c>
      <c r="BK3" s="7">
        <v>501</v>
      </c>
      <c r="BL3" s="7">
        <v>903</v>
      </c>
      <c r="BM3" s="7">
        <v>501</v>
      </c>
      <c r="BN3" s="7">
        <v>501</v>
      </c>
      <c r="BO3" s="7">
        <v>501</v>
      </c>
      <c r="BP3" s="7">
        <v>109</v>
      </c>
      <c r="BQ3" s="10">
        <v>100</v>
      </c>
      <c r="BR3" s="10">
        <v>500</v>
      </c>
      <c r="BS3" s="10">
        <v>500</v>
      </c>
      <c r="BT3" s="10">
        <v>500</v>
      </c>
      <c r="BU3" s="10">
        <v>500</v>
      </c>
      <c r="BV3" s="10">
        <v>500</v>
      </c>
      <c r="BW3" s="10">
        <v>500</v>
      </c>
      <c r="BX3" s="10">
        <v>500</v>
      </c>
      <c r="BY3" s="10">
        <v>100</v>
      </c>
      <c r="BZ3" s="10">
        <v>100</v>
      </c>
      <c r="CA3" s="10">
        <v>500</v>
      </c>
      <c r="CB3" s="10">
        <v>600</v>
      </c>
      <c r="CC3" s="10">
        <v>900</v>
      </c>
      <c r="CD3" s="10">
        <v>500</v>
      </c>
      <c r="CE3" s="10">
        <v>100</v>
      </c>
      <c r="CF3" s="10">
        <v>500</v>
      </c>
      <c r="CG3" s="10">
        <v>100</v>
      </c>
      <c r="CH3" s="10">
        <v>600</v>
      </c>
      <c r="CI3" s="10">
        <v>100</v>
      </c>
      <c r="CJ3" s="10">
        <v>600</v>
      </c>
      <c r="CK3" s="10">
        <v>900</v>
      </c>
      <c r="CL3" s="10">
        <v>100</v>
      </c>
      <c r="CM3" s="10">
        <v>500</v>
      </c>
      <c r="CN3" s="10">
        <v>500</v>
      </c>
      <c r="CO3" s="10">
        <v>100</v>
      </c>
      <c r="CP3" s="10">
        <v>900</v>
      </c>
      <c r="CQ3" s="10">
        <v>500</v>
      </c>
      <c r="CR3" s="10">
        <v>100</v>
      </c>
      <c r="CS3" s="10">
        <v>100</v>
      </c>
      <c r="CT3" s="10">
        <v>100</v>
      </c>
      <c r="CU3" s="10">
        <v>500</v>
      </c>
      <c r="CV3" s="10">
        <v>500</v>
      </c>
      <c r="CW3" s="10">
        <v>500</v>
      </c>
      <c r="CX3" s="10">
        <v>900</v>
      </c>
      <c r="CY3" s="10">
        <v>100</v>
      </c>
      <c r="CZ3" s="10">
        <v>100</v>
      </c>
      <c r="DA3" s="10">
        <v>100</v>
      </c>
      <c r="DB3" s="10">
        <v>100</v>
      </c>
      <c r="DC3" s="10">
        <v>100</v>
      </c>
      <c r="DD3" s="10">
        <v>500</v>
      </c>
      <c r="DE3" s="10">
        <v>100</v>
      </c>
      <c r="DF3" s="10">
        <v>900</v>
      </c>
      <c r="DG3" s="10">
        <v>100</v>
      </c>
      <c r="DH3" s="10">
        <v>900</v>
      </c>
      <c r="DI3" s="10">
        <v>600</v>
      </c>
      <c r="DJ3" s="10">
        <v>100</v>
      </c>
      <c r="DK3" s="10">
        <v>500</v>
      </c>
      <c r="DL3" s="10">
        <v>500</v>
      </c>
      <c r="DM3" s="10">
        <v>100</v>
      </c>
      <c r="DN3" s="10">
        <v>100</v>
      </c>
      <c r="DO3" s="10">
        <v>900</v>
      </c>
      <c r="DP3" s="10">
        <v>500</v>
      </c>
      <c r="DQ3" s="10">
        <v>900</v>
      </c>
      <c r="DR3" s="10">
        <v>500</v>
      </c>
      <c r="DS3" s="10">
        <v>100</v>
      </c>
      <c r="DT3" s="10">
        <v>500</v>
      </c>
      <c r="DU3" s="10">
        <v>100</v>
      </c>
      <c r="DV3" s="10">
        <v>100</v>
      </c>
      <c r="DW3" s="10">
        <v>500</v>
      </c>
      <c r="DX3" s="10">
        <v>900</v>
      </c>
      <c r="DY3" s="10">
        <v>500</v>
      </c>
      <c r="DZ3" s="10">
        <v>500</v>
      </c>
      <c r="EA3" s="10">
        <v>500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42578125" bestFit="1" customWidth="1"/>
    <col min="6" max="6" width="43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82">
        <v>102</v>
      </c>
      <c r="B2" s="38"/>
      <c r="C2" s="53">
        <v>100</v>
      </c>
      <c r="D2" s="53" t="s">
        <v>339</v>
      </c>
      <c r="E2" s="53" t="s">
        <v>394</v>
      </c>
      <c r="F2" s="53" t="s">
        <v>395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393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93"/>
    </row>
    <row r="3" spans="1:34" x14ac:dyDescent="0.25">
      <c r="A3" s="85">
        <v>102</v>
      </c>
      <c r="B3" s="31"/>
      <c r="C3">
        <v>100</v>
      </c>
      <c r="E3" t="s">
        <v>394</v>
      </c>
      <c r="F3" t="s">
        <v>395</v>
      </c>
      <c r="H3" t="s">
        <v>333</v>
      </c>
      <c r="I3" t="s">
        <v>334</v>
      </c>
      <c r="J3" t="s">
        <v>335</v>
      </c>
      <c r="N3" t="s">
        <v>393</v>
      </c>
      <c r="AH3" s="90"/>
    </row>
    <row r="4" spans="1:34" x14ac:dyDescent="0.25">
      <c r="A4" s="85">
        <v>102</v>
      </c>
      <c r="B4" s="31"/>
      <c r="C4">
        <v>100</v>
      </c>
      <c r="E4" t="s">
        <v>394</v>
      </c>
      <c r="F4" t="s">
        <v>395</v>
      </c>
      <c r="H4" t="s">
        <v>333</v>
      </c>
      <c r="I4" t="s">
        <v>334</v>
      </c>
      <c r="J4" t="s">
        <v>335</v>
      </c>
      <c r="N4" t="s">
        <v>393</v>
      </c>
      <c r="AH4" s="90"/>
    </row>
    <row r="5" spans="1:34" x14ac:dyDescent="0.25">
      <c r="A5" s="85">
        <v>303</v>
      </c>
      <c r="B5" s="31"/>
      <c r="C5">
        <v>300</v>
      </c>
      <c r="E5" t="s">
        <v>394</v>
      </c>
      <c r="F5" t="s">
        <v>395</v>
      </c>
      <c r="H5" t="s">
        <v>333</v>
      </c>
      <c r="I5" t="s">
        <v>334</v>
      </c>
      <c r="J5" t="s">
        <v>335</v>
      </c>
      <c r="N5" t="s">
        <v>393</v>
      </c>
      <c r="AH5" s="90"/>
    </row>
    <row r="6" spans="1:34" x14ac:dyDescent="0.25">
      <c r="A6" s="85">
        <v>303</v>
      </c>
      <c r="B6" s="31"/>
      <c r="C6">
        <v>300</v>
      </c>
      <c r="E6" t="s">
        <v>394</v>
      </c>
      <c r="F6" t="s">
        <v>395</v>
      </c>
      <c r="H6" t="s">
        <v>333</v>
      </c>
      <c r="I6" t="s">
        <v>334</v>
      </c>
      <c r="J6" t="s">
        <v>335</v>
      </c>
      <c r="N6" t="s">
        <v>393</v>
      </c>
      <c r="AH6" s="90"/>
    </row>
    <row r="7" spans="1:34" x14ac:dyDescent="0.25">
      <c r="A7" s="85">
        <v>903</v>
      </c>
      <c r="B7" s="31"/>
      <c r="C7">
        <v>900</v>
      </c>
      <c r="E7" t="s">
        <v>394</v>
      </c>
      <c r="F7" t="s">
        <v>395</v>
      </c>
      <c r="H7" t="s">
        <v>333</v>
      </c>
      <c r="I7" t="s">
        <v>334</v>
      </c>
      <c r="J7" t="s">
        <v>335</v>
      </c>
      <c r="N7" t="s">
        <v>393</v>
      </c>
      <c r="AH7" s="90"/>
    </row>
    <row r="8" spans="1:34" x14ac:dyDescent="0.25">
      <c r="A8" s="85">
        <v>303</v>
      </c>
      <c r="B8" s="31"/>
      <c r="C8">
        <v>300</v>
      </c>
      <c r="E8" t="s">
        <v>394</v>
      </c>
      <c r="F8" t="s">
        <v>395</v>
      </c>
      <c r="H8" t="s">
        <v>333</v>
      </c>
      <c r="I8" t="s">
        <v>334</v>
      </c>
      <c r="J8" t="s">
        <v>335</v>
      </c>
      <c r="N8" t="s">
        <v>393</v>
      </c>
      <c r="AH8" s="90"/>
    </row>
    <row r="9" spans="1:34" x14ac:dyDescent="0.25">
      <c r="A9" s="85">
        <v>102</v>
      </c>
      <c r="B9" s="31"/>
      <c r="C9">
        <v>100</v>
      </c>
      <c r="E9" t="s">
        <v>394</v>
      </c>
      <c r="F9" t="s">
        <v>395</v>
      </c>
      <c r="H9" t="s">
        <v>333</v>
      </c>
      <c r="I9" t="s">
        <v>334</v>
      </c>
      <c r="J9" t="s">
        <v>335</v>
      </c>
      <c r="N9" t="s">
        <v>393</v>
      </c>
      <c r="AH9" s="90"/>
    </row>
    <row r="10" spans="1:34" x14ac:dyDescent="0.25">
      <c r="A10" s="85">
        <v>303</v>
      </c>
      <c r="B10" s="31"/>
      <c r="C10">
        <v>300</v>
      </c>
      <c r="E10" t="s">
        <v>394</v>
      </c>
      <c r="F10" t="s">
        <v>395</v>
      </c>
      <c r="H10" t="s">
        <v>333</v>
      </c>
      <c r="I10" t="s">
        <v>334</v>
      </c>
      <c r="J10" t="s">
        <v>335</v>
      </c>
      <c r="N10" t="s">
        <v>393</v>
      </c>
      <c r="AH10" s="90"/>
    </row>
    <row r="11" spans="1:34" x14ac:dyDescent="0.25">
      <c r="A11" s="85">
        <v>604</v>
      </c>
      <c r="B11" s="31"/>
      <c r="C11">
        <v>600</v>
      </c>
      <c r="E11" t="s">
        <v>394</v>
      </c>
      <c r="F11" t="s">
        <v>395</v>
      </c>
      <c r="H11" t="s">
        <v>333</v>
      </c>
      <c r="I11" t="s">
        <v>334</v>
      </c>
      <c r="J11" t="s">
        <v>335</v>
      </c>
      <c r="N11" t="s">
        <v>393</v>
      </c>
      <c r="AH11" s="90"/>
    </row>
    <row r="12" spans="1:34" x14ac:dyDescent="0.25">
      <c r="A12" s="85">
        <v>501</v>
      </c>
      <c r="B12" s="31"/>
      <c r="C12">
        <v>500</v>
      </c>
      <c r="E12" t="s">
        <v>394</v>
      </c>
      <c r="F12" t="s">
        <v>395</v>
      </c>
      <c r="H12" t="s">
        <v>333</v>
      </c>
      <c r="I12" t="s">
        <v>334</v>
      </c>
      <c r="J12" t="s">
        <v>335</v>
      </c>
      <c r="N12" t="s">
        <v>393</v>
      </c>
      <c r="AH12" s="90"/>
    </row>
    <row r="13" spans="1:34" x14ac:dyDescent="0.25">
      <c r="A13" s="85">
        <v>604</v>
      </c>
      <c r="B13" s="31"/>
      <c r="C13">
        <v>600</v>
      </c>
      <c r="E13" t="s">
        <v>394</v>
      </c>
      <c r="F13" t="s">
        <v>395</v>
      </c>
      <c r="H13" t="s">
        <v>333</v>
      </c>
      <c r="I13" t="s">
        <v>334</v>
      </c>
      <c r="J13" t="s">
        <v>335</v>
      </c>
      <c r="N13" t="s">
        <v>393</v>
      </c>
      <c r="AH13" s="90"/>
    </row>
    <row r="14" spans="1:34" x14ac:dyDescent="0.25">
      <c r="A14" s="85">
        <v>903</v>
      </c>
      <c r="B14" s="31"/>
      <c r="C14">
        <v>900</v>
      </c>
      <c r="E14" t="s">
        <v>394</v>
      </c>
      <c r="F14" t="s">
        <v>395</v>
      </c>
      <c r="H14" t="s">
        <v>333</v>
      </c>
      <c r="I14" t="s">
        <v>334</v>
      </c>
      <c r="J14" t="s">
        <v>335</v>
      </c>
      <c r="N14" t="s">
        <v>393</v>
      </c>
      <c r="AH14" s="90"/>
    </row>
    <row r="15" spans="1:34" x14ac:dyDescent="0.25">
      <c r="A15" s="85">
        <v>102</v>
      </c>
      <c r="B15" s="31"/>
      <c r="C15">
        <v>100</v>
      </c>
      <c r="E15" t="s">
        <v>394</v>
      </c>
      <c r="F15" t="s">
        <v>395</v>
      </c>
      <c r="H15" t="s">
        <v>333</v>
      </c>
      <c r="I15" t="s">
        <v>334</v>
      </c>
      <c r="J15" t="s">
        <v>335</v>
      </c>
      <c r="N15" t="s">
        <v>393</v>
      </c>
      <c r="AH15" s="90"/>
    </row>
    <row r="16" spans="1:34" x14ac:dyDescent="0.25">
      <c r="A16" s="85">
        <v>704</v>
      </c>
      <c r="B16" s="31"/>
      <c r="C16">
        <v>700</v>
      </c>
      <c r="E16" t="s">
        <v>394</v>
      </c>
      <c r="F16" t="s">
        <v>395</v>
      </c>
      <c r="H16" t="s">
        <v>333</v>
      </c>
      <c r="I16" t="s">
        <v>334</v>
      </c>
      <c r="J16" t="s">
        <v>335</v>
      </c>
      <c r="N16" t="s">
        <v>393</v>
      </c>
      <c r="AH16" s="90"/>
    </row>
    <row r="17" spans="1:34" x14ac:dyDescent="0.25">
      <c r="A17" s="85">
        <v>303</v>
      </c>
      <c r="B17" s="31"/>
      <c r="C17">
        <v>300</v>
      </c>
      <c r="E17" t="s">
        <v>394</v>
      </c>
      <c r="F17" t="s">
        <v>395</v>
      </c>
      <c r="H17" t="s">
        <v>333</v>
      </c>
      <c r="I17" t="s">
        <v>334</v>
      </c>
      <c r="J17" t="s">
        <v>335</v>
      </c>
      <c r="N17" t="s">
        <v>393</v>
      </c>
      <c r="AH17" s="90"/>
    </row>
    <row r="18" spans="1:34" x14ac:dyDescent="0.25">
      <c r="A18" s="85">
        <v>303</v>
      </c>
      <c r="B18" s="31"/>
      <c r="C18">
        <v>300</v>
      </c>
      <c r="E18" t="s">
        <v>394</v>
      </c>
      <c r="F18" t="s">
        <v>395</v>
      </c>
      <c r="H18" t="s">
        <v>333</v>
      </c>
      <c r="I18" t="s">
        <v>334</v>
      </c>
      <c r="J18" t="s">
        <v>335</v>
      </c>
      <c r="N18" t="s">
        <v>393</v>
      </c>
      <c r="AH18" s="90"/>
    </row>
    <row r="19" spans="1:34" x14ac:dyDescent="0.25">
      <c r="A19" s="85">
        <v>501</v>
      </c>
      <c r="B19" s="31"/>
      <c r="C19">
        <v>500</v>
      </c>
      <c r="E19" t="s">
        <v>394</v>
      </c>
      <c r="F19" t="s">
        <v>395</v>
      </c>
      <c r="H19" t="s">
        <v>333</v>
      </c>
      <c r="I19" t="s">
        <v>334</v>
      </c>
      <c r="J19" t="s">
        <v>335</v>
      </c>
      <c r="N19" t="s">
        <v>393</v>
      </c>
      <c r="AH19" s="90"/>
    </row>
    <row r="20" spans="1:34" x14ac:dyDescent="0.25">
      <c r="A20" s="85">
        <v>903</v>
      </c>
      <c r="B20" s="31"/>
      <c r="C20">
        <v>900</v>
      </c>
      <c r="E20" t="s">
        <v>394</v>
      </c>
      <c r="F20" t="s">
        <v>395</v>
      </c>
      <c r="H20" t="s">
        <v>333</v>
      </c>
      <c r="I20" t="s">
        <v>334</v>
      </c>
      <c r="J20" t="s">
        <v>335</v>
      </c>
      <c r="N20" t="s">
        <v>393</v>
      </c>
      <c r="AH20" s="90"/>
    </row>
    <row r="21" spans="1:34" x14ac:dyDescent="0.25">
      <c r="A21" s="85">
        <v>604</v>
      </c>
      <c r="B21" s="31"/>
      <c r="C21">
        <v>600</v>
      </c>
      <c r="E21" t="s">
        <v>394</v>
      </c>
      <c r="F21" t="s">
        <v>395</v>
      </c>
      <c r="H21" t="s">
        <v>333</v>
      </c>
      <c r="I21" t="s">
        <v>334</v>
      </c>
      <c r="J21" t="s">
        <v>335</v>
      </c>
      <c r="N21" t="s">
        <v>393</v>
      </c>
      <c r="AH21" s="90"/>
    </row>
    <row r="22" spans="1:34" x14ac:dyDescent="0.25">
      <c r="A22" s="85">
        <v>501</v>
      </c>
      <c r="B22" s="31"/>
      <c r="C22">
        <v>500</v>
      </c>
      <c r="E22" t="s">
        <v>394</v>
      </c>
      <c r="F22" t="s">
        <v>395</v>
      </c>
      <c r="H22" t="s">
        <v>333</v>
      </c>
      <c r="I22" t="s">
        <v>334</v>
      </c>
      <c r="J22" t="s">
        <v>335</v>
      </c>
      <c r="N22" t="s">
        <v>393</v>
      </c>
      <c r="AH22" s="90"/>
    </row>
    <row r="23" spans="1:34" x14ac:dyDescent="0.25">
      <c r="A23" s="85">
        <v>102</v>
      </c>
      <c r="B23" s="31"/>
      <c r="C23">
        <v>100</v>
      </c>
      <c r="E23" t="s">
        <v>394</v>
      </c>
      <c r="F23" t="s">
        <v>395</v>
      </c>
      <c r="H23" t="s">
        <v>333</v>
      </c>
      <c r="I23" t="s">
        <v>334</v>
      </c>
      <c r="J23" t="s">
        <v>335</v>
      </c>
      <c r="N23" t="s">
        <v>393</v>
      </c>
      <c r="AH23" s="90"/>
    </row>
    <row r="24" spans="1:34" x14ac:dyDescent="0.25">
      <c r="A24" s="85">
        <v>501</v>
      </c>
      <c r="B24" s="31"/>
      <c r="C24">
        <v>500</v>
      </c>
      <c r="E24" t="s">
        <v>394</v>
      </c>
      <c r="F24" t="s">
        <v>395</v>
      </c>
      <c r="H24" t="s">
        <v>333</v>
      </c>
      <c r="I24" t="s">
        <v>334</v>
      </c>
      <c r="J24" t="s">
        <v>335</v>
      </c>
      <c r="N24" t="s">
        <v>393</v>
      </c>
      <c r="AH24" s="90"/>
    </row>
    <row r="25" spans="1:34" x14ac:dyDescent="0.25">
      <c r="A25" s="85">
        <v>303</v>
      </c>
      <c r="B25" s="31"/>
      <c r="C25">
        <v>300</v>
      </c>
      <c r="E25" t="s">
        <v>394</v>
      </c>
      <c r="F25" t="s">
        <v>395</v>
      </c>
      <c r="H25" t="s">
        <v>333</v>
      </c>
      <c r="I25" t="s">
        <v>334</v>
      </c>
      <c r="J25" t="s">
        <v>335</v>
      </c>
      <c r="N25" t="s">
        <v>393</v>
      </c>
      <c r="AH25" s="90"/>
    </row>
    <row r="26" spans="1:34" x14ac:dyDescent="0.25">
      <c r="A26" s="85">
        <v>303</v>
      </c>
      <c r="B26" s="31"/>
      <c r="C26">
        <v>300</v>
      </c>
      <c r="E26" t="s">
        <v>394</v>
      </c>
      <c r="F26" t="s">
        <v>395</v>
      </c>
      <c r="H26" t="s">
        <v>333</v>
      </c>
      <c r="I26" t="s">
        <v>334</v>
      </c>
      <c r="J26" t="s">
        <v>335</v>
      </c>
      <c r="N26" t="s">
        <v>393</v>
      </c>
      <c r="AH26" s="90"/>
    </row>
    <row r="27" spans="1:34" x14ac:dyDescent="0.25">
      <c r="A27" s="85">
        <v>501</v>
      </c>
      <c r="B27" s="31"/>
      <c r="C27">
        <v>500</v>
      </c>
      <c r="E27" t="s">
        <v>394</v>
      </c>
      <c r="F27" t="s">
        <v>395</v>
      </c>
      <c r="H27" t="s">
        <v>333</v>
      </c>
      <c r="I27" t="s">
        <v>334</v>
      </c>
      <c r="J27" t="s">
        <v>335</v>
      </c>
      <c r="N27" t="s">
        <v>393</v>
      </c>
      <c r="AH27" s="90"/>
    </row>
    <row r="28" spans="1:34" x14ac:dyDescent="0.25">
      <c r="A28" s="85">
        <v>501</v>
      </c>
      <c r="B28" s="31"/>
      <c r="C28">
        <v>500</v>
      </c>
      <c r="E28" t="s">
        <v>394</v>
      </c>
      <c r="F28" t="s">
        <v>395</v>
      </c>
      <c r="H28" t="s">
        <v>333</v>
      </c>
      <c r="I28" t="s">
        <v>334</v>
      </c>
      <c r="J28" t="s">
        <v>335</v>
      </c>
      <c r="N28" t="s">
        <v>393</v>
      </c>
      <c r="AH28" s="90"/>
    </row>
    <row r="29" spans="1:34" x14ac:dyDescent="0.25">
      <c r="A29" s="85">
        <v>501</v>
      </c>
      <c r="B29" s="31"/>
      <c r="C29">
        <v>500</v>
      </c>
      <c r="E29" t="s">
        <v>394</v>
      </c>
      <c r="F29" t="s">
        <v>395</v>
      </c>
      <c r="H29" t="s">
        <v>333</v>
      </c>
      <c r="I29" t="s">
        <v>334</v>
      </c>
      <c r="J29" t="s">
        <v>335</v>
      </c>
      <c r="N29" t="s">
        <v>393</v>
      </c>
      <c r="AH29" s="90"/>
    </row>
    <row r="30" spans="1:34" x14ac:dyDescent="0.25">
      <c r="A30" s="85">
        <v>903</v>
      </c>
      <c r="B30" s="31"/>
      <c r="C30">
        <v>900</v>
      </c>
      <c r="E30" t="s">
        <v>394</v>
      </c>
      <c r="F30" t="s">
        <v>395</v>
      </c>
      <c r="H30" t="s">
        <v>333</v>
      </c>
      <c r="I30" t="s">
        <v>334</v>
      </c>
      <c r="J30" t="s">
        <v>335</v>
      </c>
      <c r="N30" t="s">
        <v>393</v>
      </c>
      <c r="AH30" s="90"/>
    </row>
    <row r="31" spans="1:34" x14ac:dyDescent="0.25">
      <c r="A31" s="85">
        <v>501</v>
      </c>
      <c r="B31" s="31"/>
      <c r="C31">
        <v>500</v>
      </c>
      <c r="E31" t="s">
        <v>394</v>
      </c>
      <c r="F31" t="s">
        <v>395</v>
      </c>
      <c r="H31" t="s">
        <v>333</v>
      </c>
      <c r="I31" t="s">
        <v>334</v>
      </c>
      <c r="J31" t="s">
        <v>335</v>
      </c>
      <c r="N31" t="s">
        <v>393</v>
      </c>
      <c r="AH31" s="90"/>
    </row>
    <row r="32" spans="1:34" x14ac:dyDescent="0.25">
      <c r="A32" s="85">
        <v>501</v>
      </c>
      <c r="B32" s="31"/>
      <c r="C32">
        <v>500</v>
      </c>
      <c r="E32" t="s">
        <v>394</v>
      </c>
      <c r="F32" t="s">
        <v>395</v>
      </c>
      <c r="H32" t="s">
        <v>333</v>
      </c>
      <c r="I32" t="s">
        <v>334</v>
      </c>
      <c r="J32" t="s">
        <v>335</v>
      </c>
      <c r="N32" t="s">
        <v>393</v>
      </c>
      <c r="AH32" s="90"/>
    </row>
    <row r="33" spans="1:34" x14ac:dyDescent="0.25">
      <c r="A33" s="85">
        <v>303</v>
      </c>
      <c r="B33" s="31"/>
      <c r="C33">
        <v>300</v>
      </c>
      <c r="E33" t="s">
        <v>394</v>
      </c>
      <c r="F33" t="s">
        <v>395</v>
      </c>
      <c r="H33" t="s">
        <v>333</v>
      </c>
      <c r="I33" t="s">
        <v>334</v>
      </c>
      <c r="J33" t="s">
        <v>335</v>
      </c>
      <c r="N33" t="s">
        <v>393</v>
      </c>
      <c r="AH33" s="90"/>
    </row>
    <row r="34" spans="1:34" x14ac:dyDescent="0.25">
      <c r="A34" s="85">
        <v>303</v>
      </c>
      <c r="B34" s="31"/>
      <c r="C34">
        <v>300</v>
      </c>
      <c r="E34" t="s">
        <v>394</v>
      </c>
      <c r="F34" t="s">
        <v>395</v>
      </c>
      <c r="H34" t="s">
        <v>333</v>
      </c>
      <c r="I34" t="s">
        <v>334</v>
      </c>
      <c r="J34" t="s">
        <v>335</v>
      </c>
      <c r="N34" t="s">
        <v>393</v>
      </c>
      <c r="AH34" s="90"/>
    </row>
    <row r="35" spans="1:34" x14ac:dyDescent="0.25">
      <c r="A35" s="85">
        <v>903</v>
      </c>
      <c r="B35" s="31"/>
      <c r="C35">
        <v>900</v>
      </c>
      <c r="E35" t="s">
        <v>394</v>
      </c>
      <c r="F35" t="s">
        <v>395</v>
      </c>
      <c r="H35" t="s">
        <v>333</v>
      </c>
      <c r="I35" t="s">
        <v>334</v>
      </c>
      <c r="J35" t="s">
        <v>335</v>
      </c>
      <c r="N35" t="s">
        <v>393</v>
      </c>
      <c r="AH35" s="90"/>
    </row>
    <row r="36" spans="1:34" x14ac:dyDescent="0.25">
      <c r="A36" s="85">
        <v>501</v>
      </c>
      <c r="B36" s="31"/>
      <c r="C36">
        <v>500</v>
      </c>
      <c r="E36" t="s">
        <v>394</v>
      </c>
      <c r="F36" t="s">
        <v>395</v>
      </c>
      <c r="H36" t="s">
        <v>333</v>
      </c>
      <c r="I36" t="s">
        <v>334</v>
      </c>
      <c r="J36" t="s">
        <v>335</v>
      </c>
      <c r="N36" t="s">
        <v>393</v>
      </c>
      <c r="AH36" s="90"/>
    </row>
    <row r="37" spans="1:34" x14ac:dyDescent="0.25">
      <c r="A37" s="85">
        <v>102</v>
      </c>
      <c r="B37" s="31"/>
      <c r="C37">
        <v>100</v>
      </c>
      <c r="E37" t="s">
        <v>394</v>
      </c>
      <c r="F37" t="s">
        <v>395</v>
      </c>
      <c r="H37" t="s">
        <v>333</v>
      </c>
      <c r="I37" t="s">
        <v>334</v>
      </c>
      <c r="J37" t="s">
        <v>335</v>
      </c>
      <c r="N37" t="s">
        <v>393</v>
      </c>
      <c r="AH37" s="90"/>
    </row>
    <row r="38" spans="1:34" x14ac:dyDescent="0.25">
      <c r="A38" s="85">
        <v>903</v>
      </c>
      <c r="B38" s="31"/>
      <c r="C38">
        <v>900</v>
      </c>
      <c r="E38" t="s">
        <v>394</v>
      </c>
      <c r="F38" t="s">
        <v>395</v>
      </c>
      <c r="H38" t="s">
        <v>333</v>
      </c>
      <c r="I38" t="s">
        <v>334</v>
      </c>
      <c r="J38" t="s">
        <v>335</v>
      </c>
      <c r="N38" t="s">
        <v>393</v>
      </c>
      <c r="AH38" s="90"/>
    </row>
    <row r="39" spans="1:34" x14ac:dyDescent="0.25">
      <c r="A39" s="85">
        <v>903</v>
      </c>
      <c r="B39" s="31"/>
      <c r="C39">
        <v>900</v>
      </c>
      <c r="E39" t="s">
        <v>394</v>
      </c>
      <c r="F39" t="s">
        <v>395</v>
      </c>
      <c r="H39" t="s">
        <v>333</v>
      </c>
      <c r="I39" t="s">
        <v>334</v>
      </c>
      <c r="J39" t="s">
        <v>335</v>
      </c>
      <c r="N39" t="s">
        <v>393</v>
      </c>
      <c r="AH39" s="90"/>
    </row>
    <row r="40" spans="1:34" x14ac:dyDescent="0.25">
      <c r="A40" s="85">
        <v>501</v>
      </c>
      <c r="B40" s="31"/>
      <c r="C40">
        <v>500</v>
      </c>
      <c r="E40" t="s">
        <v>394</v>
      </c>
      <c r="F40" t="s">
        <v>395</v>
      </c>
      <c r="H40" t="s">
        <v>333</v>
      </c>
      <c r="I40" t="s">
        <v>334</v>
      </c>
      <c r="J40" t="s">
        <v>335</v>
      </c>
      <c r="N40" t="s">
        <v>393</v>
      </c>
      <c r="AH40" s="90"/>
    </row>
    <row r="41" spans="1:34" x14ac:dyDescent="0.25">
      <c r="A41" s="85">
        <v>303</v>
      </c>
      <c r="B41" s="31"/>
      <c r="C41">
        <v>300</v>
      </c>
      <c r="E41" t="s">
        <v>394</v>
      </c>
      <c r="F41" t="s">
        <v>395</v>
      </c>
      <c r="H41" t="s">
        <v>333</v>
      </c>
      <c r="I41" t="s">
        <v>334</v>
      </c>
      <c r="J41" t="s">
        <v>335</v>
      </c>
      <c r="N41" t="s">
        <v>393</v>
      </c>
      <c r="AH41" s="90"/>
    </row>
    <row r="42" spans="1:34" x14ac:dyDescent="0.25">
      <c r="A42" s="85">
        <v>303</v>
      </c>
      <c r="B42" s="31"/>
      <c r="C42">
        <v>300</v>
      </c>
      <c r="E42" t="s">
        <v>394</v>
      </c>
      <c r="F42" t="s">
        <v>395</v>
      </c>
      <c r="H42" t="s">
        <v>333</v>
      </c>
      <c r="I42" t="s">
        <v>334</v>
      </c>
      <c r="J42" t="s">
        <v>335</v>
      </c>
      <c r="N42" t="s">
        <v>393</v>
      </c>
      <c r="AH42" s="90"/>
    </row>
    <row r="43" spans="1:34" x14ac:dyDescent="0.25">
      <c r="A43" s="85">
        <v>501</v>
      </c>
      <c r="B43" s="31"/>
      <c r="C43">
        <v>500</v>
      </c>
      <c r="E43" t="s">
        <v>394</v>
      </c>
      <c r="F43" t="s">
        <v>395</v>
      </c>
      <c r="H43" t="s">
        <v>333</v>
      </c>
      <c r="I43" t="s">
        <v>334</v>
      </c>
      <c r="J43" t="s">
        <v>335</v>
      </c>
      <c r="N43" t="s">
        <v>393</v>
      </c>
      <c r="AH43" s="90"/>
    </row>
    <row r="44" spans="1:34" x14ac:dyDescent="0.25">
      <c r="A44" s="85">
        <v>903</v>
      </c>
      <c r="B44" s="31"/>
      <c r="C44">
        <v>900</v>
      </c>
      <c r="E44" t="s">
        <v>394</v>
      </c>
      <c r="F44" t="s">
        <v>395</v>
      </c>
      <c r="H44" t="s">
        <v>333</v>
      </c>
      <c r="I44" t="s">
        <v>334</v>
      </c>
      <c r="J44" t="s">
        <v>335</v>
      </c>
      <c r="N44" t="s">
        <v>393</v>
      </c>
      <c r="AH44" s="90"/>
    </row>
    <row r="45" spans="1:34" x14ac:dyDescent="0.25">
      <c r="A45" s="85">
        <v>903</v>
      </c>
      <c r="B45" s="31"/>
      <c r="C45">
        <v>900</v>
      </c>
      <c r="E45" t="s">
        <v>394</v>
      </c>
      <c r="F45" t="s">
        <v>395</v>
      </c>
      <c r="H45" t="s">
        <v>333</v>
      </c>
      <c r="I45" t="s">
        <v>334</v>
      </c>
      <c r="J45" t="s">
        <v>335</v>
      </c>
      <c r="N45" t="s">
        <v>393</v>
      </c>
      <c r="AH45" s="90"/>
    </row>
    <row r="46" spans="1:34" x14ac:dyDescent="0.25">
      <c r="A46" s="85">
        <v>604</v>
      </c>
      <c r="B46" s="31"/>
      <c r="C46">
        <v>600</v>
      </c>
      <c r="E46" t="s">
        <v>394</v>
      </c>
      <c r="F46" t="s">
        <v>395</v>
      </c>
      <c r="H46" t="s">
        <v>333</v>
      </c>
      <c r="I46" t="s">
        <v>334</v>
      </c>
      <c r="J46" t="s">
        <v>335</v>
      </c>
      <c r="N46" t="s">
        <v>393</v>
      </c>
      <c r="AH46" s="90"/>
    </row>
    <row r="47" spans="1:34" x14ac:dyDescent="0.25">
      <c r="A47" s="85">
        <v>604</v>
      </c>
      <c r="B47" s="31"/>
      <c r="C47">
        <v>600</v>
      </c>
      <c r="E47" t="s">
        <v>394</v>
      </c>
      <c r="F47" t="s">
        <v>395</v>
      </c>
      <c r="H47" t="s">
        <v>333</v>
      </c>
      <c r="I47" t="s">
        <v>334</v>
      </c>
      <c r="J47" t="s">
        <v>335</v>
      </c>
      <c r="N47" t="s">
        <v>393</v>
      </c>
      <c r="AH47" s="90"/>
    </row>
    <row r="48" spans="1:34" x14ac:dyDescent="0.25">
      <c r="A48" s="85">
        <v>903</v>
      </c>
      <c r="B48" s="31"/>
      <c r="C48">
        <v>900</v>
      </c>
      <c r="E48" t="s">
        <v>394</v>
      </c>
      <c r="F48" t="s">
        <v>395</v>
      </c>
      <c r="H48" t="s">
        <v>333</v>
      </c>
      <c r="I48" t="s">
        <v>334</v>
      </c>
      <c r="J48" t="s">
        <v>335</v>
      </c>
      <c r="N48" t="s">
        <v>393</v>
      </c>
      <c r="AH48" s="90"/>
    </row>
    <row r="49" spans="1:34" x14ac:dyDescent="0.25">
      <c r="A49" s="85">
        <v>303</v>
      </c>
      <c r="B49" s="31"/>
      <c r="C49">
        <v>300</v>
      </c>
      <c r="E49" t="s">
        <v>394</v>
      </c>
      <c r="F49" t="s">
        <v>395</v>
      </c>
      <c r="H49" t="s">
        <v>333</v>
      </c>
      <c r="I49" t="s">
        <v>334</v>
      </c>
      <c r="J49" t="s">
        <v>335</v>
      </c>
      <c r="N49" t="s">
        <v>393</v>
      </c>
      <c r="AH49" s="90"/>
    </row>
    <row r="50" spans="1:34" x14ac:dyDescent="0.25">
      <c r="A50" s="85">
        <v>102</v>
      </c>
      <c r="B50" s="31"/>
      <c r="C50">
        <v>100</v>
      </c>
      <c r="E50" t="s">
        <v>394</v>
      </c>
      <c r="F50" t="s">
        <v>395</v>
      </c>
      <c r="H50" t="s">
        <v>333</v>
      </c>
      <c r="I50" t="s">
        <v>334</v>
      </c>
      <c r="J50" t="s">
        <v>335</v>
      </c>
      <c r="N50" t="s">
        <v>393</v>
      </c>
      <c r="AH50" s="90"/>
    </row>
    <row r="51" spans="1:34" x14ac:dyDescent="0.25">
      <c r="A51" s="85">
        <v>501</v>
      </c>
      <c r="B51" s="31"/>
      <c r="C51">
        <v>500</v>
      </c>
      <c r="E51" t="s">
        <v>394</v>
      </c>
      <c r="F51" t="s">
        <v>395</v>
      </c>
      <c r="H51" t="s">
        <v>333</v>
      </c>
      <c r="I51" t="s">
        <v>334</v>
      </c>
      <c r="J51" t="s">
        <v>335</v>
      </c>
      <c r="N51" t="s">
        <v>393</v>
      </c>
      <c r="AH51" s="90"/>
    </row>
    <row r="52" spans="1:34" x14ac:dyDescent="0.25">
      <c r="A52" s="85">
        <v>903</v>
      </c>
      <c r="B52" s="31"/>
      <c r="C52">
        <v>900</v>
      </c>
      <c r="E52" t="s">
        <v>394</v>
      </c>
      <c r="F52" t="s">
        <v>395</v>
      </c>
      <c r="H52" t="s">
        <v>333</v>
      </c>
      <c r="I52" t="s">
        <v>334</v>
      </c>
      <c r="J52" t="s">
        <v>335</v>
      </c>
      <c r="N52" t="s">
        <v>393</v>
      </c>
      <c r="AH52" s="90"/>
    </row>
    <row r="53" spans="1:34" x14ac:dyDescent="0.25">
      <c r="A53" s="85">
        <v>501</v>
      </c>
      <c r="B53" s="31"/>
      <c r="C53">
        <v>500</v>
      </c>
      <c r="E53" t="s">
        <v>394</v>
      </c>
      <c r="F53" t="s">
        <v>395</v>
      </c>
      <c r="H53" t="s">
        <v>333</v>
      </c>
      <c r="I53" t="s">
        <v>334</v>
      </c>
      <c r="J53" t="s">
        <v>335</v>
      </c>
      <c r="N53" t="s">
        <v>393</v>
      </c>
      <c r="AH53" s="90"/>
    </row>
    <row r="54" spans="1:34" x14ac:dyDescent="0.25">
      <c r="A54" s="85">
        <v>501</v>
      </c>
      <c r="B54" s="31"/>
      <c r="C54">
        <v>500</v>
      </c>
      <c r="E54" t="s">
        <v>394</v>
      </c>
      <c r="F54" t="s">
        <v>395</v>
      </c>
      <c r="H54" t="s">
        <v>333</v>
      </c>
      <c r="I54" t="s">
        <v>334</v>
      </c>
      <c r="J54" t="s">
        <v>335</v>
      </c>
      <c r="N54" t="s">
        <v>393</v>
      </c>
      <c r="AH54" s="90"/>
    </row>
    <row r="55" spans="1:34" x14ac:dyDescent="0.25">
      <c r="A55" s="85">
        <v>501</v>
      </c>
      <c r="B55" s="31"/>
      <c r="C55">
        <v>500</v>
      </c>
      <c r="E55" t="s">
        <v>394</v>
      </c>
      <c r="F55" t="s">
        <v>395</v>
      </c>
      <c r="H55" t="s">
        <v>333</v>
      </c>
      <c r="I55" t="s">
        <v>334</v>
      </c>
      <c r="J55" t="s">
        <v>335</v>
      </c>
      <c r="N55" t="s">
        <v>393</v>
      </c>
      <c r="AH55" s="90"/>
    </row>
    <row r="56" spans="1:34" x14ac:dyDescent="0.25">
      <c r="A56" s="85">
        <v>1001</v>
      </c>
      <c r="B56" s="31"/>
      <c r="C56">
        <v>1000</v>
      </c>
      <c r="E56" t="s">
        <v>394</v>
      </c>
      <c r="F56" t="s">
        <v>395</v>
      </c>
      <c r="H56" t="s">
        <v>333</v>
      </c>
      <c r="I56" t="s">
        <v>334</v>
      </c>
      <c r="J56" t="s">
        <v>335</v>
      </c>
      <c r="N56" t="s">
        <v>393</v>
      </c>
      <c r="AH56" s="90"/>
    </row>
    <row r="57" spans="1:34" x14ac:dyDescent="0.25">
      <c r="A57" s="85">
        <v>1001</v>
      </c>
      <c r="B57" s="31"/>
      <c r="C57">
        <v>1000</v>
      </c>
      <c r="E57" t="s">
        <v>394</v>
      </c>
      <c r="F57" t="s">
        <v>395</v>
      </c>
      <c r="H57" t="s">
        <v>333</v>
      </c>
      <c r="I57" t="s">
        <v>334</v>
      </c>
      <c r="J57" t="s">
        <v>335</v>
      </c>
      <c r="N57" t="s">
        <v>393</v>
      </c>
      <c r="AH57" s="90"/>
    </row>
    <row r="58" spans="1:34" x14ac:dyDescent="0.25">
      <c r="A58" s="85">
        <v>303</v>
      </c>
      <c r="B58" s="31"/>
      <c r="C58">
        <v>300</v>
      </c>
      <c r="E58" t="s">
        <v>394</v>
      </c>
      <c r="F58" t="s">
        <v>395</v>
      </c>
      <c r="H58" t="s">
        <v>333</v>
      </c>
      <c r="I58" t="s">
        <v>334</v>
      </c>
      <c r="J58" t="s">
        <v>335</v>
      </c>
      <c r="N58" t="s">
        <v>393</v>
      </c>
      <c r="AH58" s="90"/>
    </row>
    <row r="59" spans="1:34" x14ac:dyDescent="0.25">
      <c r="A59" s="85">
        <v>102</v>
      </c>
      <c r="B59" s="31"/>
      <c r="C59">
        <v>100</v>
      </c>
      <c r="E59" t="s">
        <v>394</v>
      </c>
      <c r="F59" t="s">
        <v>395</v>
      </c>
      <c r="H59" t="s">
        <v>333</v>
      </c>
      <c r="I59" t="s">
        <v>334</v>
      </c>
      <c r="J59" t="s">
        <v>335</v>
      </c>
      <c r="N59" t="s">
        <v>393</v>
      </c>
      <c r="AH59" s="90"/>
    </row>
    <row r="60" spans="1:34" x14ac:dyDescent="0.25">
      <c r="A60" s="85">
        <v>1001</v>
      </c>
      <c r="B60" s="31"/>
      <c r="C60">
        <v>1000</v>
      </c>
      <c r="E60" t="s">
        <v>394</v>
      </c>
      <c r="F60" t="s">
        <v>395</v>
      </c>
      <c r="H60" t="s">
        <v>333</v>
      </c>
      <c r="I60" t="s">
        <v>334</v>
      </c>
      <c r="J60" t="s">
        <v>335</v>
      </c>
      <c r="N60" t="s">
        <v>393</v>
      </c>
      <c r="AH60" s="90"/>
    </row>
    <row r="61" spans="1:34" x14ac:dyDescent="0.25">
      <c r="A61" s="85">
        <v>1001</v>
      </c>
      <c r="B61" s="31"/>
      <c r="C61">
        <v>1000</v>
      </c>
      <c r="E61" t="s">
        <v>394</v>
      </c>
      <c r="F61" t="s">
        <v>395</v>
      </c>
      <c r="H61" t="s">
        <v>333</v>
      </c>
      <c r="I61" t="s">
        <v>334</v>
      </c>
      <c r="J61" t="s">
        <v>335</v>
      </c>
      <c r="N61" t="s">
        <v>393</v>
      </c>
      <c r="AH61" s="90"/>
    </row>
    <row r="62" spans="1:34" x14ac:dyDescent="0.25">
      <c r="A62" s="85">
        <v>303</v>
      </c>
      <c r="B62" s="31"/>
      <c r="C62">
        <v>300</v>
      </c>
      <c r="E62" t="s">
        <v>394</v>
      </c>
      <c r="F62" t="s">
        <v>395</v>
      </c>
      <c r="H62" t="s">
        <v>333</v>
      </c>
      <c r="I62" t="s">
        <v>334</v>
      </c>
      <c r="J62" t="s">
        <v>335</v>
      </c>
      <c r="N62" t="s">
        <v>393</v>
      </c>
      <c r="AH62" s="90"/>
    </row>
    <row r="63" spans="1:34" x14ac:dyDescent="0.25">
      <c r="A63" s="85">
        <v>1001</v>
      </c>
      <c r="B63" s="31"/>
      <c r="C63">
        <v>1000</v>
      </c>
      <c r="E63" t="s">
        <v>394</v>
      </c>
      <c r="F63" t="s">
        <v>395</v>
      </c>
      <c r="H63" t="s">
        <v>333</v>
      </c>
      <c r="I63" t="s">
        <v>334</v>
      </c>
      <c r="J63" t="s">
        <v>335</v>
      </c>
      <c r="N63" t="s">
        <v>393</v>
      </c>
      <c r="AH63" s="90"/>
    </row>
    <row r="64" spans="1:34" x14ac:dyDescent="0.25">
      <c r="A64" s="85">
        <v>102</v>
      </c>
      <c r="B64" s="31"/>
      <c r="C64">
        <v>100</v>
      </c>
      <c r="E64" t="s">
        <v>394</v>
      </c>
      <c r="F64" t="s">
        <v>395</v>
      </c>
      <c r="H64" t="s">
        <v>333</v>
      </c>
      <c r="I64" t="s">
        <v>334</v>
      </c>
      <c r="J64" t="s">
        <v>335</v>
      </c>
      <c r="N64" t="s">
        <v>393</v>
      </c>
      <c r="AH64" s="90"/>
    </row>
    <row r="65" spans="1:34" ht="15.75" thickBot="1" x14ac:dyDescent="0.3">
      <c r="A65" s="86">
        <v>1001</v>
      </c>
      <c r="B65" s="39"/>
      <c r="C65" s="40">
        <v>1000</v>
      </c>
      <c r="D65" s="40" t="s">
        <v>340</v>
      </c>
      <c r="E65" s="40" t="s">
        <v>394</v>
      </c>
      <c r="F65" s="40" t="s">
        <v>395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393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91"/>
    </row>
    <row r="66" spans="1:34" ht="15.75" thickTop="1" x14ac:dyDescent="0.25"/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570312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438</v>
      </c>
      <c r="E3" s="7">
        <v>104</v>
      </c>
      <c r="F3" s="7">
        <v>303</v>
      </c>
      <c r="G3" s="7">
        <v>303</v>
      </c>
      <c r="H3" s="7">
        <v>303</v>
      </c>
      <c r="I3" s="7">
        <v>501</v>
      </c>
      <c r="J3" s="7">
        <v>303</v>
      </c>
      <c r="K3" s="7">
        <v>501</v>
      </c>
      <c r="L3" s="7">
        <v>104</v>
      </c>
      <c r="M3" s="7">
        <v>102</v>
      </c>
      <c r="N3" s="7">
        <v>109</v>
      </c>
      <c r="O3" s="7">
        <v>603</v>
      </c>
      <c r="P3" s="7">
        <v>501</v>
      </c>
      <c r="Q3" s="7">
        <v>501</v>
      </c>
      <c r="R3" s="7">
        <v>501</v>
      </c>
      <c r="S3" s="7">
        <v>109</v>
      </c>
      <c r="T3" s="7">
        <v>303</v>
      </c>
      <c r="U3" s="7">
        <v>303</v>
      </c>
      <c r="V3" s="7">
        <v>501</v>
      </c>
      <c r="W3" s="7">
        <v>109</v>
      </c>
      <c r="X3" s="7">
        <v>603</v>
      </c>
      <c r="Y3" s="7">
        <v>102</v>
      </c>
      <c r="Z3" s="7">
        <v>109</v>
      </c>
      <c r="AA3" s="7">
        <v>501</v>
      </c>
      <c r="AB3" s="7">
        <v>303</v>
      </c>
      <c r="AC3" s="7">
        <v>303</v>
      </c>
      <c r="AD3" s="7">
        <v>117</v>
      </c>
      <c r="AE3" s="7">
        <v>117</v>
      </c>
      <c r="AF3" s="7">
        <v>109</v>
      </c>
      <c r="AG3" s="7">
        <v>109</v>
      </c>
      <c r="AH3" s="7">
        <v>117</v>
      </c>
      <c r="AI3" s="7">
        <v>117</v>
      </c>
      <c r="AJ3" s="7">
        <v>501</v>
      </c>
      <c r="AK3" s="7">
        <v>303</v>
      </c>
      <c r="AL3" s="7">
        <v>102</v>
      </c>
      <c r="AM3" s="7">
        <v>117</v>
      </c>
      <c r="AN3" s="7">
        <v>109</v>
      </c>
      <c r="AO3" s="7">
        <v>109</v>
      </c>
      <c r="AP3" s="7">
        <v>117</v>
      </c>
      <c r="AQ3" s="7">
        <v>117</v>
      </c>
      <c r="AR3" s="7">
        <v>501</v>
      </c>
      <c r="AS3" s="7">
        <v>102</v>
      </c>
      <c r="AT3" s="7">
        <v>102</v>
      </c>
      <c r="AU3" s="7">
        <v>109</v>
      </c>
      <c r="AV3" s="7">
        <v>501</v>
      </c>
      <c r="AW3" s="7">
        <v>501</v>
      </c>
      <c r="AX3" s="7">
        <v>109</v>
      </c>
      <c r="AY3" s="7">
        <v>501</v>
      </c>
      <c r="AZ3" s="7">
        <v>303</v>
      </c>
      <c r="BA3" s="7">
        <v>303</v>
      </c>
      <c r="BB3" s="7">
        <v>109</v>
      </c>
      <c r="BC3" s="7">
        <v>501</v>
      </c>
      <c r="BD3" s="7">
        <v>501</v>
      </c>
      <c r="BE3" s="7">
        <v>903</v>
      </c>
      <c r="BF3" s="7">
        <v>501</v>
      </c>
      <c r="BG3" s="7">
        <v>109</v>
      </c>
      <c r="BH3" s="7">
        <v>501</v>
      </c>
      <c r="BI3" s="7">
        <v>104</v>
      </c>
      <c r="BJ3" s="7">
        <v>303</v>
      </c>
      <c r="BK3" s="7">
        <v>303</v>
      </c>
      <c r="BL3" s="7">
        <v>303</v>
      </c>
      <c r="BM3" s="7">
        <v>303</v>
      </c>
      <c r="BN3" s="7">
        <v>303</v>
      </c>
      <c r="BO3" s="7">
        <v>303</v>
      </c>
      <c r="BP3" s="7">
        <v>104</v>
      </c>
      <c r="BQ3" s="10">
        <v>100</v>
      </c>
      <c r="BR3" s="10">
        <v>300</v>
      </c>
      <c r="BS3" s="10">
        <v>300</v>
      </c>
      <c r="BT3" s="10">
        <v>300</v>
      </c>
      <c r="BU3" s="10">
        <v>500</v>
      </c>
      <c r="BV3" s="10">
        <v>300</v>
      </c>
      <c r="BW3" s="10">
        <v>500</v>
      </c>
      <c r="BX3" s="10">
        <v>100</v>
      </c>
      <c r="BY3" s="10">
        <v>100</v>
      </c>
      <c r="BZ3" s="10">
        <v>100</v>
      </c>
      <c r="CA3" s="10">
        <v>600</v>
      </c>
      <c r="CB3" s="10">
        <v>500</v>
      </c>
      <c r="CC3" s="10">
        <v>500</v>
      </c>
      <c r="CD3" s="10">
        <v>500</v>
      </c>
      <c r="CE3" s="10">
        <v>100</v>
      </c>
      <c r="CF3" s="10">
        <v>300</v>
      </c>
      <c r="CG3" s="10">
        <v>300</v>
      </c>
      <c r="CH3" s="10">
        <v>500</v>
      </c>
      <c r="CI3" s="10">
        <v>100</v>
      </c>
      <c r="CJ3" s="10">
        <v>600</v>
      </c>
      <c r="CK3" s="10">
        <v>100</v>
      </c>
      <c r="CL3" s="10">
        <v>100</v>
      </c>
      <c r="CM3" s="10">
        <v>500</v>
      </c>
      <c r="CN3" s="10">
        <v>300</v>
      </c>
      <c r="CO3" s="10">
        <v>300</v>
      </c>
      <c r="CP3" s="10">
        <v>100</v>
      </c>
      <c r="CQ3" s="10">
        <v>100</v>
      </c>
      <c r="CR3" s="10">
        <v>100</v>
      </c>
      <c r="CS3" s="10">
        <v>100</v>
      </c>
      <c r="CT3" s="10">
        <v>100</v>
      </c>
      <c r="CU3" s="10">
        <v>100</v>
      </c>
      <c r="CV3" s="10">
        <v>500</v>
      </c>
      <c r="CW3" s="10">
        <v>300</v>
      </c>
      <c r="CX3" s="10">
        <v>100</v>
      </c>
      <c r="CY3" s="10">
        <v>100</v>
      </c>
      <c r="CZ3" s="10">
        <v>100</v>
      </c>
      <c r="DA3" s="10">
        <v>100</v>
      </c>
      <c r="DB3" s="10">
        <v>100</v>
      </c>
      <c r="DC3" s="10">
        <v>100</v>
      </c>
      <c r="DD3" s="10">
        <v>500</v>
      </c>
      <c r="DE3" s="10">
        <v>100</v>
      </c>
      <c r="DF3" s="10">
        <v>100</v>
      </c>
      <c r="DG3" s="10">
        <v>100</v>
      </c>
      <c r="DH3" s="10">
        <v>500</v>
      </c>
      <c r="DI3" s="10">
        <v>500</v>
      </c>
      <c r="DJ3" s="10">
        <v>100</v>
      </c>
      <c r="DK3" s="10">
        <v>500</v>
      </c>
      <c r="DL3" s="10">
        <v>300</v>
      </c>
      <c r="DM3" s="10">
        <v>300</v>
      </c>
      <c r="DN3" s="10">
        <v>100</v>
      </c>
      <c r="DO3" s="10">
        <v>500</v>
      </c>
      <c r="DP3" s="10">
        <v>500</v>
      </c>
      <c r="DQ3" s="10">
        <v>900</v>
      </c>
      <c r="DR3" s="10">
        <v>500</v>
      </c>
      <c r="DS3" s="10">
        <v>100</v>
      </c>
      <c r="DT3" s="10">
        <v>500</v>
      </c>
      <c r="DU3" s="10">
        <v>100</v>
      </c>
      <c r="DV3" s="10">
        <v>300</v>
      </c>
      <c r="DW3" s="10">
        <v>300</v>
      </c>
      <c r="DX3" s="10">
        <v>300</v>
      </c>
      <c r="DY3" s="10">
        <v>300</v>
      </c>
      <c r="DZ3" s="10">
        <v>300</v>
      </c>
      <c r="EA3" s="10">
        <v>300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442</v>
      </c>
      <c r="E3" s="7">
        <v>109</v>
      </c>
      <c r="F3" s="7">
        <v>501</v>
      </c>
      <c r="G3" s="7">
        <v>501</v>
      </c>
      <c r="H3" s="7">
        <v>501</v>
      </c>
      <c r="I3" s="7">
        <v>501</v>
      </c>
      <c r="J3" s="7">
        <v>604</v>
      </c>
      <c r="K3" s="7">
        <v>501</v>
      </c>
      <c r="L3" s="7">
        <v>102</v>
      </c>
      <c r="M3" s="7">
        <v>102</v>
      </c>
      <c r="N3" s="7">
        <v>501</v>
      </c>
      <c r="O3" s="7">
        <v>102</v>
      </c>
      <c r="P3" s="7">
        <v>604</v>
      </c>
      <c r="Q3" s="7">
        <v>501</v>
      </c>
      <c r="R3" s="7">
        <v>501</v>
      </c>
      <c r="S3" s="7">
        <v>501</v>
      </c>
      <c r="T3" s="7">
        <v>501</v>
      </c>
      <c r="U3" s="7">
        <v>102</v>
      </c>
      <c r="V3" s="7">
        <v>501</v>
      </c>
      <c r="W3" s="7">
        <v>501</v>
      </c>
      <c r="X3" s="7">
        <v>501</v>
      </c>
      <c r="Y3" s="7">
        <v>604</v>
      </c>
      <c r="Z3" s="7">
        <v>703</v>
      </c>
      <c r="AA3" s="7">
        <v>501</v>
      </c>
      <c r="AB3" s="7">
        <v>501</v>
      </c>
      <c r="AC3" s="7">
        <v>501</v>
      </c>
      <c r="AD3" s="7">
        <v>501</v>
      </c>
      <c r="AE3" s="7">
        <v>501</v>
      </c>
      <c r="AF3" s="7">
        <v>501</v>
      </c>
      <c r="AG3" s="7">
        <v>501</v>
      </c>
      <c r="AH3" s="7">
        <v>903</v>
      </c>
      <c r="AI3" s="7">
        <v>501</v>
      </c>
      <c r="AJ3" s="7">
        <v>102</v>
      </c>
      <c r="AK3" s="7">
        <v>903</v>
      </c>
      <c r="AL3" s="7">
        <v>903</v>
      </c>
      <c r="AM3" s="7">
        <v>501</v>
      </c>
      <c r="AN3" s="7">
        <v>603</v>
      </c>
      <c r="AO3" s="7">
        <v>604</v>
      </c>
      <c r="AP3" s="7">
        <v>102</v>
      </c>
      <c r="AQ3" s="7">
        <v>501</v>
      </c>
      <c r="AR3" s="7">
        <v>102</v>
      </c>
      <c r="AS3" s="7">
        <v>501</v>
      </c>
      <c r="AT3" s="7">
        <v>501</v>
      </c>
      <c r="AU3" s="7">
        <v>501</v>
      </c>
      <c r="AV3" s="7">
        <v>501</v>
      </c>
      <c r="AW3" s="7">
        <v>501</v>
      </c>
      <c r="AX3" s="7">
        <v>501</v>
      </c>
      <c r="AY3" s="7">
        <v>501</v>
      </c>
      <c r="AZ3" s="7">
        <v>501</v>
      </c>
      <c r="BA3" s="7">
        <v>102</v>
      </c>
      <c r="BB3" s="7">
        <v>501</v>
      </c>
      <c r="BC3" s="7">
        <v>501</v>
      </c>
      <c r="BD3" s="7">
        <v>501</v>
      </c>
      <c r="BE3" s="7">
        <v>501</v>
      </c>
      <c r="BF3" s="7">
        <v>501</v>
      </c>
      <c r="BG3" s="7">
        <v>903</v>
      </c>
      <c r="BH3" s="7">
        <v>501</v>
      </c>
      <c r="BI3" s="7">
        <v>109</v>
      </c>
      <c r="BJ3" s="7">
        <v>109</v>
      </c>
      <c r="BK3" s="7">
        <v>501</v>
      </c>
      <c r="BL3" s="7">
        <v>501</v>
      </c>
      <c r="BM3" s="7">
        <v>604</v>
      </c>
      <c r="BN3" s="7">
        <v>501</v>
      </c>
      <c r="BO3" s="7">
        <v>604</v>
      </c>
      <c r="BP3" s="7">
        <v>102</v>
      </c>
      <c r="BQ3" s="10">
        <v>100</v>
      </c>
      <c r="BR3" s="10">
        <v>500</v>
      </c>
      <c r="BS3" s="10">
        <v>500</v>
      </c>
      <c r="BT3" s="10">
        <v>500</v>
      </c>
      <c r="BU3" s="10">
        <v>500</v>
      </c>
      <c r="BV3" s="10">
        <v>600</v>
      </c>
      <c r="BW3" s="10">
        <v>500</v>
      </c>
      <c r="BX3" s="10">
        <v>100</v>
      </c>
      <c r="BY3" s="10">
        <v>100</v>
      </c>
      <c r="BZ3" s="10">
        <v>500</v>
      </c>
      <c r="CA3" s="10">
        <v>100</v>
      </c>
      <c r="CB3" s="10">
        <v>600</v>
      </c>
      <c r="CC3" s="10">
        <v>500</v>
      </c>
      <c r="CD3" s="10">
        <v>500</v>
      </c>
      <c r="CE3" s="10">
        <v>500</v>
      </c>
      <c r="CF3" s="10">
        <v>500</v>
      </c>
      <c r="CG3" s="10">
        <v>100</v>
      </c>
      <c r="CH3" s="10">
        <v>500</v>
      </c>
      <c r="CI3" s="10">
        <v>500</v>
      </c>
      <c r="CJ3" s="10">
        <v>500</v>
      </c>
      <c r="CK3" s="10">
        <v>600</v>
      </c>
      <c r="CL3" s="10">
        <v>700</v>
      </c>
      <c r="CM3" s="10">
        <v>500</v>
      </c>
      <c r="CN3" s="10">
        <v>500</v>
      </c>
      <c r="CO3" s="10">
        <v>500</v>
      </c>
      <c r="CP3" s="10">
        <v>500</v>
      </c>
      <c r="CQ3" s="10">
        <v>500</v>
      </c>
      <c r="CR3" s="10">
        <v>500</v>
      </c>
      <c r="CS3" s="10">
        <v>500</v>
      </c>
      <c r="CT3" s="10">
        <v>900</v>
      </c>
      <c r="CU3" s="10">
        <v>500</v>
      </c>
      <c r="CV3" s="10">
        <v>100</v>
      </c>
      <c r="CW3" s="10">
        <v>900</v>
      </c>
      <c r="CX3" s="10">
        <v>900</v>
      </c>
      <c r="CY3" s="10">
        <v>500</v>
      </c>
      <c r="CZ3" s="10">
        <v>600</v>
      </c>
      <c r="DA3" s="10">
        <v>600</v>
      </c>
      <c r="DB3" s="10">
        <v>100</v>
      </c>
      <c r="DC3" s="10">
        <v>500</v>
      </c>
      <c r="DD3" s="10">
        <v>100</v>
      </c>
      <c r="DE3" s="10">
        <v>500</v>
      </c>
      <c r="DF3" s="10">
        <v>500</v>
      </c>
      <c r="DG3" s="10">
        <v>500</v>
      </c>
      <c r="DH3" s="10">
        <v>500</v>
      </c>
      <c r="DI3" s="10">
        <v>500</v>
      </c>
      <c r="DJ3" s="10">
        <v>500</v>
      </c>
      <c r="DK3" s="10">
        <v>500</v>
      </c>
      <c r="DL3" s="10">
        <v>500</v>
      </c>
      <c r="DM3" s="10">
        <v>100</v>
      </c>
      <c r="DN3" s="10">
        <v>500</v>
      </c>
      <c r="DO3" s="10">
        <v>500</v>
      </c>
      <c r="DP3" s="10">
        <v>500</v>
      </c>
      <c r="DQ3" s="10">
        <v>500</v>
      </c>
      <c r="DR3" s="10">
        <v>500</v>
      </c>
      <c r="DS3" s="10">
        <v>900</v>
      </c>
      <c r="DT3" s="10">
        <v>500</v>
      </c>
      <c r="DU3" s="10">
        <v>100</v>
      </c>
      <c r="DV3" s="10">
        <v>100</v>
      </c>
      <c r="DW3" s="10">
        <v>500</v>
      </c>
      <c r="DX3" s="10">
        <v>500</v>
      </c>
      <c r="DY3" s="10">
        <v>600</v>
      </c>
      <c r="DZ3" s="10">
        <v>500</v>
      </c>
      <c r="EA3" s="10">
        <v>600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570312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446</v>
      </c>
      <c r="E3" s="7">
        <v>303</v>
      </c>
      <c r="F3" s="7">
        <v>303</v>
      </c>
      <c r="G3" s="7">
        <v>303</v>
      </c>
      <c r="H3" s="7">
        <v>502</v>
      </c>
      <c r="I3" s="7">
        <v>303</v>
      </c>
      <c r="J3" s="7">
        <v>502</v>
      </c>
      <c r="K3" s="7">
        <v>303</v>
      </c>
      <c r="L3" s="7">
        <v>102</v>
      </c>
      <c r="M3" s="7">
        <v>303</v>
      </c>
      <c r="N3" s="7">
        <v>903</v>
      </c>
      <c r="O3" s="7">
        <v>501</v>
      </c>
      <c r="P3" s="7">
        <v>501</v>
      </c>
      <c r="Q3" s="7">
        <v>501</v>
      </c>
      <c r="R3" s="7">
        <v>604</v>
      </c>
      <c r="S3" s="7">
        <v>501</v>
      </c>
      <c r="T3" s="7">
        <v>303</v>
      </c>
      <c r="U3" s="7">
        <v>102</v>
      </c>
      <c r="V3" s="7">
        <v>903</v>
      </c>
      <c r="W3" s="7">
        <v>903</v>
      </c>
      <c r="X3" s="7">
        <v>604</v>
      </c>
      <c r="Y3" s="7">
        <v>501</v>
      </c>
      <c r="Z3" s="7">
        <v>102</v>
      </c>
      <c r="AA3" s="7">
        <v>501</v>
      </c>
      <c r="AB3" s="7">
        <v>303</v>
      </c>
      <c r="AC3" s="7">
        <v>303</v>
      </c>
      <c r="AD3" s="7">
        <v>501</v>
      </c>
      <c r="AE3" s="7">
        <v>501</v>
      </c>
      <c r="AF3" s="7">
        <v>501</v>
      </c>
      <c r="AG3" s="7">
        <v>501</v>
      </c>
      <c r="AH3" s="7">
        <v>501</v>
      </c>
      <c r="AI3" s="7">
        <v>501</v>
      </c>
      <c r="AJ3" s="7">
        <v>303</v>
      </c>
      <c r="AK3" s="7">
        <v>303</v>
      </c>
      <c r="AL3" s="7">
        <v>501</v>
      </c>
      <c r="AM3" s="7">
        <v>102</v>
      </c>
      <c r="AN3" s="7">
        <v>501</v>
      </c>
      <c r="AO3" s="7">
        <v>604</v>
      </c>
      <c r="AP3" s="7">
        <v>604</v>
      </c>
      <c r="AQ3" s="7">
        <v>501</v>
      </c>
      <c r="AR3" s="7">
        <v>303</v>
      </c>
      <c r="AS3" s="7">
        <v>303</v>
      </c>
      <c r="AT3" s="7">
        <v>903</v>
      </c>
      <c r="AU3" s="7">
        <v>501</v>
      </c>
      <c r="AV3" s="7">
        <v>501</v>
      </c>
      <c r="AW3" s="7">
        <v>603</v>
      </c>
      <c r="AX3" s="7">
        <v>604</v>
      </c>
      <c r="AY3" s="7">
        <v>501</v>
      </c>
      <c r="AZ3" s="7">
        <v>501</v>
      </c>
      <c r="BA3" s="7">
        <v>303</v>
      </c>
      <c r="BB3" s="7">
        <v>501</v>
      </c>
      <c r="BC3" s="7">
        <v>501</v>
      </c>
      <c r="BD3" s="7">
        <v>501</v>
      </c>
      <c r="BE3" s="7">
        <v>604</v>
      </c>
      <c r="BF3" s="7">
        <v>903</v>
      </c>
      <c r="BG3" s="7">
        <v>501</v>
      </c>
      <c r="BH3" s="7">
        <v>303</v>
      </c>
      <c r="BI3" s="7">
        <v>303</v>
      </c>
      <c r="BJ3" s="7">
        <v>303</v>
      </c>
      <c r="BK3" s="7">
        <v>303</v>
      </c>
      <c r="BL3" s="7">
        <v>303</v>
      </c>
      <c r="BM3" s="7">
        <v>502</v>
      </c>
      <c r="BN3" s="7">
        <v>502</v>
      </c>
      <c r="BO3" s="7">
        <v>303</v>
      </c>
      <c r="BP3" s="7">
        <v>104</v>
      </c>
      <c r="BQ3" s="10">
        <v>300</v>
      </c>
      <c r="BR3" s="10">
        <v>300</v>
      </c>
      <c r="BS3" s="10">
        <v>300</v>
      </c>
      <c r="BT3" s="10">
        <v>500</v>
      </c>
      <c r="BU3" s="10">
        <v>300</v>
      </c>
      <c r="BV3" s="10">
        <v>500</v>
      </c>
      <c r="BW3" s="10">
        <v>300</v>
      </c>
      <c r="BX3" s="10">
        <v>100</v>
      </c>
      <c r="BY3" s="10">
        <v>300</v>
      </c>
      <c r="BZ3" s="10">
        <v>900</v>
      </c>
      <c r="CA3" s="10">
        <v>500</v>
      </c>
      <c r="CB3" s="10">
        <v>500</v>
      </c>
      <c r="CC3" s="10">
        <v>500</v>
      </c>
      <c r="CD3" s="10">
        <v>600</v>
      </c>
      <c r="CE3" s="10">
        <v>500</v>
      </c>
      <c r="CF3" s="10">
        <v>300</v>
      </c>
      <c r="CG3" s="10">
        <v>100</v>
      </c>
      <c r="CH3" s="10">
        <v>900</v>
      </c>
      <c r="CI3" s="10">
        <v>900</v>
      </c>
      <c r="CJ3" s="10">
        <v>600</v>
      </c>
      <c r="CK3" s="10">
        <v>500</v>
      </c>
      <c r="CL3" s="10">
        <v>100</v>
      </c>
      <c r="CM3" s="10">
        <v>500</v>
      </c>
      <c r="CN3" s="10">
        <v>300</v>
      </c>
      <c r="CO3" s="10">
        <v>300</v>
      </c>
      <c r="CP3" s="10">
        <v>500</v>
      </c>
      <c r="CQ3" s="10">
        <v>500</v>
      </c>
      <c r="CR3" s="10">
        <v>500</v>
      </c>
      <c r="CS3" s="10">
        <v>500</v>
      </c>
      <c r="CT3" s="10">
        <v>500</v>
      </c>
      <c r="CU3" s="10">
        <v>500</v>
      </c>
      <c r="CV3" s="10">
        <v>300</v>
      </c>
      <c r="CW3" s="10">
        <v>300</v>
      </c>
      <c r="CX3" s="10">
        <v>500</v>
      </c>
      <c r="CY3" s="10">
        <v>100</v>
      </c>
      <c r="CZ3" s="10">
        <v>500</v>
      </c>
      <c r="DA3" s="10">
        <v>600</v>
      </c>
      <c r="DB3" s="10">
        <v>600</v>
      </c>
      <c r="DC3" s="10">
        <v>500</v>
      </c>
      <c r="DD3" s="10">
        <v>300</v>
      </c>
      <c r="DE3" s="10">
        <v>300</v>
      </c>
      <c r="DF3" s="10">
        <v>900</v>
      </c>
      <c r="DG3" s="10">
        <v>500</v>
      </c>
      <c r="DH3" s="10">
        <v>500</v>
      </c>
      <c r="DI3" s="10">
        <v>600</v>
      </c>
      <c r="DJ3" s="10">
        <v>600</v>
      </c>
      <c r="DK3" s="10">
        <v>500</v>
      </c>
      <c r="DL3" s="10">
        <v>500</v>
      </c>
      <c r="DM3" s="10">
        <v>300</v>
      </c>
      <c r="DN3" s="10">
        <v>500</v>
      </c>
      <c r="DO3" s="10">
        <v>500</v>
      </c>
      <c r="DP3" s="10">
        <v>500</v>
      </c>
      <c r="DQ3" s="10">
        <v>600</v>
      </c>
      <c r="DR3" s="10">
        <v>900</v>
      </c>
      <c r="DS3" s="10">
        <v>500</v>
      </c>
      <c r="DT3" s="10">
        <v>300</v>
      </c>
      <c r="DU3" s="10">
        <v>300</v>
      </c>
      <c r="DV3" s="10">
        <v>300</v>
      </c>
      <c r="DW3" s="10">
        <v>300</v>
      </c>
      <c r="DX3" s="10">
        <v>300</v>
      </c>
      <c r="DY3" s="10">
        <v>500</v>
      </c>
      <c r="DZ3" s="10">
        <v>500</v>
      </c>
      <c r="EA3" s="10">
        <v>300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710937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452</v>
      </c>
      <c r="E3" s="7">
        <v>109</v>
      </c>
      <c r="F3" s="7">
        <v>604</v>
      </c>
      <c r="G3" s="7">
        <v>501</v>
      </c>
      <c r="H3" s="7">
        <v>501</v>
      </c>
      <c r="I3" s="7">
        <v>501</v>
      </c>
      <c r="J3" s="7">
        <v>102</v>
      </c>
      <c r="K3" s="7">
        <v>501</v>
      </c>
      <c r="L3" s="7">
        <v>104</v>
      </c>
      <c r="M3" s="7">
        <v>102</v>
      </c>
      <c r="N3" s="7">
        <v>109</v>
      </c>
      <c r="O3" s="7">
        <v>501</v>
      </c>
      <c r="P3" s="7">
        <v>903</v>
      </c>
      <c r="Q3" s="7">
        <v>501</v>
      </c>
      <c r="R3" s="7">
        <v>603</v>
      </c>
      <c r="S3" s="7">
        <v>109</v>
      </c>
      <c r="T3" s="7">
        <v>501</v>
      </c>
      <c r="U3" s="7">
        <v>501</v>
      </c>
      <c r="V3" s="7">
        <v>903</v>
      </c>
      <c r="W3" s="7">
        <v>109</v>
      </c>
      <c r="X3" s="7">
        <v>903</v>
      </c>
      <c r="Y3" s="7">
        <v>903</v>
      </c>
      <c r="Z3" s="7">
        <v>109</v>
      </c>
      <c r="AA3" s="7">
        <v>501</v>
      </c>
      <c r="AB3" s="7">
        <v>603</v>
      </c>
      <c r="AC3" s="7">
        <v>501</v>
      </c>
      <c r="AD3" s="7">
        <v>501</v>
      </c>
      <c r="AE3" s="7">
        <v>603</v>
      </c>
      <c r="AF3" s="7">
        <v>109</v>
      </c>
      <c r="AG3" s="7">
        <v>109</v>
      </c>
      <c r="AH3" s="7">
        <v>903</v>
      </c>
      <c r="AI3" s="7">
        <v>903</v>
      </c>
      <c r="AJ3" s="7">
        <v>501</v>
      </c>
      <c r="AK3" s="7">
        <v>303</v>
      </c>
      <c r="AL3" s="7">
        <v>603</v>
      </c>
      <c r="AM3" s="7">
        <v>603</v>
      </c>
      <c r="AN3" s="7">
        <v>109</v>
      </c>
      <c r="AO3" s="7">
        <v>109</v>
      </c>
      <c r="AP3" s="7">
        <v>903</v>
      </c>
      <c r="AQ3" s="7">
        <v>903</v>
      </c>
      <c r="AR3" s="7">
        <v>501</v>
      </c>
      <c r="AS3" s="7">
        <v>104</v>
      </c>
      <c r="AT3" s="7">
        <v>501</v>
      </c>
      <c r="AU3" s="7">
        <v>109</v>
      </c>
      <c r="AV3" s="7">
        <v>903</v>
      </c>
      <c r="AW3" s="7">
        <v>501</v>
      </c>
      <c r="AX3" s="7">
        <v>109</v>
      </c>
      <c r="AY3" s="7">
        <v>501</v>
      </c>
      <c r="AZ3" s="7">
        <v>903</v>
      </c>
      <c r="BA3" s="7">
        <v>104</v>
      </c>
      <c r="BB3" s="7">
        <v>109</v>
      </c>
      <c r="BC3" s="7">
        <v>102</v>
      </c>
      <c r="BD3" s="7">
        <v>501</v>
      </c>
      <c r="BE3" s="7">
        <v>501</v>
      </c>
      <c r="BF3" s="7">
        <v>501</v>
      </c>
      <c r="BG3" s="7">
        <v>109</v>
      </c>
      <c r="BH3" s="7">
        <v>501</v>
      </c>
      <c r="BI3" s="7">
        <v>104</v>
      </c>
      <c r="BJ3" s="7">
        <v>501</v>
      </c>
      <c r="BK3" s="7">
        <v>501</v>
      </c>
      <c r="BL3" s="7">
        <v>501</v>
      </c>
      <c r="BM3" s="7">
        <v>501</v>
      </c>
      <c r="BN3" s="7">
        <v>604</v>
      </c>
      <c r="BO3" s="7">
        <v>102</v>
      </c>
      <c r="BP3" s="7">
        <v>102</v>
      </c>
      <c r="BQ3" s="10">
        <v>100</v>
      </c>
      <c r="BR3" s="10">
        <v>600</v>
      </c>
      <c r="BS3" s="10">
        <v>500</v>
      </c>
      <c r="BT3" s="10">
        <v>500</v>
      </c>
      <c r="BU3" s="10">
        <v>500</v>
      </c>
      <c r="BV3" s="10">
        <v>100</v>
      </c>
      <c r="BW3" s="10">
        <v>500</v>
      </c>
      <c r="BX3" s="10">
        <v>100</v>
      </c>
      <c r="BY3" s="10">
        <v>100</v>
      </c>
      <c r="BZ3" s="10">
        <v>100</v>
      </c>
      <c r="CA3" s="10">
        <v>500</v>
      </c>
      <c r="CB3" s="10">
        <v>900</v>
      </c>
      <c r="CC3" s="10">
        <v>500</v>
      </c>
      <c r="CD3" s="10">
        <v>600</v>
      </c>
      <c r="CE3" s="10">
        <v>100</v>
      </c>
      <c r="CF3" s="10">
        <v>500</v>
      </c>
      <c r="CG3" s="10">
        <v>500</v>
      </c>
      <c r="CH3" s="10">
        <v>900</v>
      </c>
      <c r="CI3" s="10">
        <v>100</v>
      </c>
      <c r="CJ3" s="10">
        <v>900</v>
      </c>
      <c r="CK3" s="10">
        <v>900</v>
      </c>
      <c r="CL3" s="10">
        <v>100</v>
      </c>
      <c r="CM3" s="10">
        <v>500</v>
      </c>
      <c r="CN3" s="10">
        <v>600</v>
      </c>
      <c r="CO3" s="10">
        <v>500</v>
      </c>
      <c r="CP3" s="10">
        <v>500</v>
      </c>
      <c r="CQ3" s="10">
        <v>600</v>
      </c>
      <c r="CR3" s="10">
        <v>100</v>
      </c>
      <c r="CS3" s="10">
        <v>100</v>
      </c>
      <c r="CT3" s="10">
        <v>900</v>
      </c>
      <c r="CU3" s="10">
        <v>900</v>
      </c>
      <c r="CV3" s="10">
        <v>500</v>
      </c>
      <c r="CW3" s="10">
        <v>300</v>
      </c>
      <c r="CX3" s="10">
        <v>600</v>
      </c>
      <c r="CY3" s="10">
        <v>600</v>
      </c>
      <c r="CZ3" s="10">
        <v>100</v>
      </c>
      <c r="DA3" s="10">
        <v>100</v>
      </c>
      <c r="DB3" s="10">
        <v>900</v>
      </c>
      <c r="DC3" s="10">
        <v>900</v>
      </c>
      <c r="DD3" s="10">
        <v>500</v>
      </c>
      <c r="DE3" s="10">
        <v>100</v>
      </c>
      <c r="DF3" s="10">
        <v>500</v>
      </c>
      <c r="DG3" s="10">
        <v>100</v>
      </c>
      <c r="DH3" s="10">
        <v>900</v>
      </c>
      <c r="DI3" s="10">
        <v>500</v>
      </c>
      <c r="DJ3" s="10">
        <v>100</v>
      </c>
      <c r="DK3" s="10">
        <v>500</v>
      </c>
      <c r="DL3" s="10">
        <v>900</v>
      </c>
      <c r="DM3" s="10">
        <v>100</v>
      </c>
      <c r="DN3" s="10">
        <v>100</v>
      </c>
      <c r="DO3" s="10">
        <v>100</v>
      </c>
      <c r="DP3" s="10">
        <v>500</v>
      </c>
      <c r="DQ3" s="10">
        <v>500</v>
      </c>
      <c r="DR3" s="10">
        <v>500</v>
      </c>
      <c r="DS3" s="10">
        <v>100</v>
      </c>
      <c r="DT3" s="10">
        <v>500</v>
      </c>
      <c r="DU3" s="10">
        <v>100</v>
      </c>
      <c r="DV3" s="10">
        <v>500</v>
      </c>
      <c r="DW3" s="10">
        <v>500</v>
      </c>
      <c r="DX3" s="10">
        <v>500</v>
      </c>
      <c r="DY3" s="10">
        <v>500</v>
      </c>
      <c r="DZ3" s="10">
        <v>600</v>
      </c>
      <c r="EA3" s="10">
        <v>100</v>
      </c>
      <c r="EB3" s="10">
        <v>100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N3"/>
  <sheetViews>
    <sheetView workbookViewId="0"/>
  </sheetViews>
  <sheetFormatPr baseColWidth="10" defaultRowHeight="15" x14ac:dyDescent="0.25"/>
  <cols>
    <col min="1" max="1" width="2" style="2" customWidth="1"/>
    <col min="2" max="2" width="16.5703125" style="2" bestFit="1" customWidth="1"/>
    <col min="3" max="4" width="2.140625" style="4" customWidth="1"/>
    <col min="5" max="13" width="5.7109375" style="7" customWidth="1"/>
    <col min="14" max="68" width="6.7109375" style="7" customWidth="1"/>
    <col min="69" max="77" width="6.5703125" style="10" customWidth="1"/>
    <col min="78" max="132" width="7.5703125" style="10" customWidth="1"/>
    <col min="133" max="141" width="6" style="13" customWidth="1"/>
    <col min="142" max="196" width="7" style="13" customWidth="1"/>
  </cols>
  <sheetData>
    <row r="1" spans="1:196" x14ac:dyDescent="0.25">
      <c r="E1" s="6" t="s">
        <v>4</v>
      </c>
      <c r="BQ1" s="9" t="s">
        <v>69</v>
      </c>
      <c r="EC1" s="12" t="s">
        <v>134</v>
      </c>
    </row>
    <row r="2" spans="1:196" x14ac:dyDescent="0.25">
      <c r="B2" s="3" t="s">
        <v>0</v>
      </c>
      <c r="C2" s="5" t="s">
        <v>1</v>
      </c>
      <c r="D2" s="5" t="s">
        <v>2</v>
      </c>
      <c r="E2" s="8" t="s">
        <v>3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8" t="s">
        <v>14</v>
      </c>
      <c r="P2" s="8" t="s">
        <v>15</v>
      </c>
      <c r="Q2" s="8" t="s">
        <v>16</v>
      </c>
      <c r="R2" s="8" t="s">
        <v>17</v>
      </c>
      <c r="S2" s="8" t="s">
        <v>18</v>
      </c>
      <c r="T2" s="8" t="s">
        <v>19</v>
      </c>
      <c r="U2" s="8" t="s">
        <v>20</v>
      </c>
      <c r="V2" s="8" t="s">
        <v>21</v>
      </c>
      <c r="W2" s="8" t="s">
        <v>22</v>
      </c>
      <c r="X2" s="8" t="s">
        <v>23</v>
      </c>
      <c r="Y2" s="8" t="s">
        <v>24</v>
      </c>
      <c r="Z2" s="8" t="s">
        <v>25</v>
      </c>
      <c r="AA2" s="8" t="s">
        <v>26</v>
      </c>
      <c r="AB2" s="8" t="s">
        <v>27</v>
      </c>
      <c r="AC2" s="8" t="s">
        <v>28</v>
      </c>
      <c r="AD2" s="8" t="s">
        <v>29</v>
      </c>
      <c r="AE2" s="8" t="s">
        <v>30</v>
      </c>
      <c r="AF2" s="8" t="s">
        <v>31</v>
      </c>
      <c r="AG2" s="8" t="s">
        <v>32</v>
      </c>
      <c r="AH2" s="8" t="s">
        <v>33</v>
      </c>
      <c r="AI2" s="8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8" t="s">
        <v>40</v>
      </c>
      <c r="AP2" s="8" t="s">
        <v>41</v>
      </c>
      <c r="AQ2" s="8" t="s">
        <v>42</v>
      </c>
      <c r="AR2" s="8" t="s">
        <v>43</v>
      </c>
      <c r="AS2" s="8" t="s">
        <v>44</v>
      </c>
      <c r="AT2" s="8" t="s">
        <v>45</v>
      </c>
      <c r="AU2" s="8" t="s">
        <v>46</v>
      </c>
      <c r="AV2" s="8" t="s">
        <v>47</v>
      </c>
      <c r="AW2" s="8" t="s">
        <v>48</v>
      </c>
      <c r="AX2" s="8" t="s">
        <v>49</v>
      </c>
      <c r="AY2" s="8" t="s">
        <v>50</v>
      </c>
      <c r="AZ2" s="8" t="s">
        <v>51</v>
      </c>
      <c r="BA2" s="8" t="s">
        <v>52</v>
      </c>
      <c r="BB2" s="8" t="s">
        <v>53</v>
      </c>
      <c r="BC2" s="8" t="s">
        <v>54</v>
      </c>
      <c r="BD2" s="8" t="s">
        <v>55</v>
      </c>
      <c r="BE2" s="8" t="s">
        <v>56</v>
      </c>
      <c r="BF2" s="8" t="s">
        <v>57</v>
      </c>
      <c r="BG2" s="8" t="s">
        <v>58</v>
      </c>
      <c r="BH2" s="8" t="s">
        <v>59</v>
      </c>
      <c r="BI2" s="8" t="s">
        <v>60</v>
      </c>
      <c r="BJ2" s="8" t="s">
        <v>61</v>
      </c>
      <c r="BK2" s="8" t="s">
        <v>62</v>
      </c>
      <c r="BL2" s="8" t="s">
        <v>63</v>
      </c>
      <c r="BM2" s="8" t="s">
        <v>64</v>
      </c>
      <c r="BN2" s="8" t="s">
        <v>65</v>
      </c>
      <c r="BO2" s="8" t="s">
        <v>66</v>
      </c>
      <c r="BP2" s="8" t="s">
        <v>67</v>
      </c>
      <c r="BQ2" s="11" t="s">
        <v>68</v>
      </c>
      <c r="BR2" s="11" t="s">
        <v>70</v>
      </c>
      <c r="BS2" s="11" t="s">
        <v>71</v>
      </c>
      <c r="BT2" s="11" t="s">
        <v>72</v>
      </c>
      <c r="BU2" s="11" t="s">
        <v>73</v>
      </c>
      <c r="BV2" s="11" t="s">
        <v>74</v>
      </c>
      <c r="BW2" s="11" t="s">
        <v>75</v>
      </c>
      <c r="BX2" s="11" t="s">
        <v>76</v>
      </c>
      <c r="BY2" s="11" t="s">
        <v>77</v>
      </c>
      <c r="BZ2" s="11" t="s">
        <v>78</v>
      </c>
      <c r="CA2" s="11" t="s">
        <v>79</v>
      </c>
      <c r="CB2" s="11" t="s">
        <v>80</v>
      </c>
      <c r="CC2" s="11" t="s">
        <v>81</v>
      </c>
      <c r="CD2" s="11" t="s">
        <v>82</v>
      </c>
      <c r="CE2" s="11" t="s">
        <v>83</v>
      </c>
      <c r="CF2" s="11" t="s">
        <v>84</v>
      </c>
      <c r="CG2" s="11" t="s">
        <v>85</v>
      </c>
      <c r="CH2" s="11" t="s">
        <v>86</v>
      </c>
      <c r="CI2" s="11" t="s">
        <v>87</v>
      </c>
      <c r="CJ2" s="11" t="s">
        <v>88</v>
      </c>
      <c r="CK2" s="11" t="s">
        <v>89</v>
      </c>
      <c r="CL2" s="11" t="s">
        <v>90</v>
      </c>
      <c r="CM2" s="11" t="s">
        <v>91</v>
      </c>
      <c r="CN2" s="11" t="s">
        <v>92</v>
      </c>
      <c r="CO2" s="11" t="s">
        <v>93</v>
      </c>
      <c r="CP2" s="11" t="s">
        <v>94</v>
      </c>
      <c r="CQ2" s="11" t="s">
        <v>95</v>
      </c>
      <c r="CR2" s="11" t="s">
        <v>96</v>
      </c>
      <c r="CS2" s="11" t="s">
        <v>97</v>
      </c>
      <c r="CT2" s="11" t="s">
        <v>98</v>
      </c>
      <c r="CU2" s="11" t="s">
        <v>99</v>
      </c>
      <c r="CV2" s="11" t="s">
        <v>100</v>
      </c>
      <c r="CW2" s="11" t="s">
        <v>101</v>
      </c>
      <c r="CX2" s="11" t="s">
        <v>102</v>
      </c>
      <c r="CY2" s="11" t="s">
        <v>103</v>
      </c>
      <c r="CZ2" s="11" t="s">
        <v>104</v>
      </c>
      <c r="DA2" s="11" t="s">
        <v>105</v>
      </c>
      <c r="DB2" s="11" t="s">
        <v>106</v>
      </c>
      <c r="DC2" s="11" t="s">
        <v>107</v>
      </c>
      <c r="DD2" s="11" t="s">
        <v>108</v>
      </c>
      <c r="DE2" s="11" t="s">
        <v>109</v>
      </c>
      <c r="DF2" s="11" t="s">
        <v>110</v>
      </c>
      <c r="DG2" s="11" t="s">
        <v>111</v>
      </c>
      <c r="DH2" s="11" t="s">
        <v>112</v>
      </c>
      <c r="DI2" s="11" t="s">
        <v>113</v>
      </c>
      <c r="DJ2" s="11" t="s">
        <v>114</v>
      </c>
      <c r="DK2" s="11" t="s">
        <v>115</v>
      </c>
      <c r="DL2" s="11" t="s">
        <v>116</v>
      </c>
      <c r="DM2" s="11" t="s">
        <v>117</v>
      </c>
      <c r="DN2" s="11" t="s">
        <v>118</v>
      </c>
      <c r="DO2" s="11" t="s">
        <v>119</v>
      </c>
      <c r="DP2" s="11" t="s">
        <v>120</v>
      </c>
      <c r="DQ2" s="11" t="s">
        <v>121</v>
      </c>
      <c r="DR2" s="11" t="s">
        <v>122</v>
      </c>
      <c r="DS2" s="11" t="s">
        <v>123</v>
      </c>
      <c r="DT2" s="11" t="s">
        <v>124</v>
      </c>
      <c r="DU2" s="11" t="s">
        <v>125</v>
      </c>
      <c r="DV2" s="11" t="s">
        <v>126</v>
      </c>
      <c r="DW2" s="11" t="s">
        <v>127</v>
      </c>
      <c r="DX2" s="11" t="s">
        <v>128</v>
      </c>
      <c r="DY2" s="11" t="s">
        <v>129</v>
      </c>
      <c r="DZ2" s="11" t="s">
        <v>130</v>
      </c>
      <c r="EA2" s="11" t="s">
        <v>131</v>
      </c>
      <c r="EB2" s="11" t="s">
        <v>132</v>
      </c>
      <c r="EC2" s="14" t="s">
        <v>133</v>
      </c>
      <c r="ED2" s="14" t="s">
        <v>135</v>
      </c>
      <c r="EE2" s="14" t="s">
        <v>136</v>
      </c>
      <c r="EF2" s="14" t="s">
        <v>137</v>
      </c>
      <c r="EG2" s="14" t="s">
        <v>138</v>
      </c>
      <c r="EH2" s="14" t="s">
        <v>139</v>
      </c>
      <c r="EI2" s="14" t="s">
        <v>140</v>
      </c>
      <c r="EJ2" s="14" t="s">
        <v>141</v>
      </c>
      <c r="EK2" s="14" t="s">
        <v>142</v>
      </c>
      <c r="EL2" s="14" t="s">
        <v>143</v>
      </c>
      <c r="EM2" s="14" t="s">
        <v>144</v>
      </c>
      <c r="EN2" s="14" t="s">
        <v>145</v>
      </c>
      <c r="EO2" s="14" t="s">
        <v>146</v>
      </c>
      <c r="EP2" s="14" t="s">
        <v>147</v>
      </c>
      <c r="EQ2" s="14" t="s">
        <v>148</v>
      </c>
      <c r="ER2" s="14" t="s">
        <v>149</v>
      </c>
      <c r="ES2" s="14" t="s">
        <v>150</v>
      </c>
      <c r="ET2" s="14" t="s">
        <v>151</v>
      </c>
      <c r="EU2" s="14" t="s">
        <v>152</v>
      </c>
      <c r="EV2" s="14" t="s">
        <v>153</v>
      </c>
      <c r="EW2" s="14" t="s">
        <v>154</v>
      </c>
      <c r="EX2" s="14" t="s">
        <v>155</v>
      </c>
      <c r="EY2" s="14" t="s">
        <v>156</v>
      </c>
      <c r="EZ2" s="14" t="s">
        <v>157</v>
      </c>
      <c r="FA2" s="14" t="s">
        <v>158</v>
      </c>
      <c r="FB2" s="14" t="s">
        <v>159</v>
      </c>
      <c r="FC2" s="14" t="s">
        <v>160</v>
      </c>
      <c r="FD2" s="14" t="s">
        <v>161</v>
      </c>
      <c r="FE2" s="14" t="s">
        <v>162</v>
      </c>
      <c r="FF2" s="14" t="s">
        <v>163</v>
      </c>
      <c r="FG2" s="14" t="s">
        <v>164</v>
      </c>
      <c r="FH2" s="14" t="s">
        <v>165</v>
      </c>
      <c r="FI2" s="14" t="s">
        <v>166</v>
      </c>
      <c r="FJ2" s="14" t="s">
        <v>167</v>
      </c>
      <c r="FK2" s="14" t="s">
        <v>168</v>
      </c>
      <c r="FL2" s="14" t="s">
        <v>169</v>
      </c>
      <c r="FM2" s="14" t="s">
        <v>170</v>
      </c>
      <c r="FN2" s="14" t="s">
        <v>171</v>
      </c>
      <c r="FO2" s="14" t="s">
        <v>172</v>
      </c>
      <c r="FP2" s="14" t="s">
        <v>173</v>
      </c>
      <c r="FQ2" s="14" t="s">
        <v>174</v>
      </c>
      <c r="FR2" s="14" t="s">
        <v>175</v>
      </c>
      <c r="FS2" s="14" t="s">
        <v>176</v>
      </c>
      <c r="FT2" s="14" t="s">
        <v>177</v>
      </c>
      <c r="FU2" s="14" t="s">
        <v>178</v>
      </c>
      <c r="FV2" s="14" t="s">
        <v>179</v>
      </c>
      <c r="FW2" s="14" t="s">
        <v>180</v>
      </c>
      <c r="FX2" s="14" t="s">
        <v>181</v>
      </c>
      <c r="FY2" s="14" t="s">
        <v>182</v>
      </c>
      <c r="FZ2" s="14" t="s">
        <v>183</v>
      </c>
      <c r="GA2" s="14" t="s">
        <v>184</v>
      </c>
      <c r="GB2" s="14" t="s">
        <v>185</v>
      </c>
      <c r="GC2" s="14" t="s">
        <v>186</v>
      </c>
      <c r="GD2" s="14" t="s">
        <v>187</v>
      </c>
      <c r="GE2" s="14" t="s">
        <v>188</v>
      </c>
      <c r="GF2" s="14" t="s">
        <v>189</v>
      </c>
      <c r="GG2" s="14" t="s">
        <v>190</v>
      </c>
      <c r="GH2" s="14" t="s">
        <v>191</v>
      </c>
      <c r="GI2" s="14" t="s">
        <v>192</v>
      </c>
      <c r="GJ2" s="14" t="s">
        <v>193</v>
      </c>
      <c r="GK2" s="14" t="s">
        <v>194</v>
      </c>
      <c r="GL2" s="14" t="s">
        <v>195</v>
      </c>
      <c r="GM2" s="14" t="s">
        <v>196</v>
      </c>
      <c r="GN2" s="14" t="s">
        <v>197</v>
      </c>
    </row>
    <row r="3" spans="1:196" x14ac:dyDescent="0.25">
      <c r="A3" s="2">
        <v>1</v>
      </c>
      <c r="B3" s="2" t="s">
        <v>456</v>
      </c>
      <c r="E3" s="7">
        <v>303</v>
      </c>
      <c r="F3" s="7">
        <v>102</v>
      </c>
      <c r="G3" s="7">
        <v>102</v>
      </c>
      <c r="H3" s="7">
        <v>303</v>
      </c>
      <c r="I3" s="7">
        <v>303</v>
      </c>
      <c r="J3" s="7">
        <v>102</v>
      </c>
      <c r="K3" s="7">
        <v>303</v>
      </c>
      <c r="L3" s="7">
        <v>104</v>
      </c>
      <c r="M3" s="7">
        <v>502</v>
      </c>
      <c r="N3" s="7">
        <v>109</v>
      </c>
      <c r="O3" s="7">
        <v>903</v>
      </c>
      <c r="P3" s="7">
        <v>102</v>
      </c>
      <c r="Q3" s="7">
        <v>501</v>
      </c>
      <c r="R3" s="7">
        <v>903</v>
      </c>
      <c r="S3" s="7">
        <v>109</v>
      </c>
      <c r="T3" s="7">
        <v>102</v>
      </c>
      <c r="U3" s="7">
        <v>502</v>
      </c>
      <c r="V3" s="7">
        <v>102</v>
      </c>
      <c r="W3" s="7">
        <v>109</v>
      </c>
      <c r="X3" s="7">
        <v>501</v>
      </c>
      <c r="Y3" s="7">
        <v>501</v>
      </c>
      <c r="Z3" s="7">
        <v>109</v>
      </c>
      <c r="AA3" s="7">
        <v>501</v>
      </c>
      <c r="AB3" s="7">
        <v>501</v>
      </c>
      <c r="AC3" s="7">
        <v>102</v>
      </c>
      <c r="AD3" s="7">
        <v>501</v>
      </c>
      <c r="AE3" s="7">
        <v>903</v>
      </c>
      <c r="AF3" s="7">
        <v>109</v>
      </c>
      <c r="AG3" s="7">
        <v>109</v>
      </c>
      <c r="AH3" s="7">
        <v>102</v>
      </c>
      <c r="AI3" s="7">
        <v>102</v>
      </c>
      <c r="AJ3" s="7">
        <v>102</v>
      </c>
      <c r="AK3" s="7">
        <v>102</v>
      </c>
      <c r="AL3" s="7">
        <v>102</v>
      </c>
      <c r="AM3" s="7">
        <v>102</v>
      </c>
      <c r="AN3" s="7">
        <v>109</v>
      </c>
      <c r="AO3" s="7">
        <v>109</v>
      </c>
      <c r="AP3" s="7">
        <v>102</v>
      </c>
      <c r="AQ3" s="7">
        <v>102</v>
      </c>
      <c r="AR3" s="7">
        <v>303</v>
      </c>
      <c r="AS3" s="7">
        <v>303</v>
      </c>
      <c r="AT3" s="7">
        <v>102</v>
      </c>
      <c r="AU3" s="7">
        <v>109</v>
      </c>
      <c r="AV3" s="7">
        <v>501</v>
      </c>
      <c r="AW3" s="7">
        <v>501</v>
      </c>
      <c r="AX3" s="7">
        <v>109</v>
      </c>
      <c r="AY3" s="7">
        <v>501</v>
      </c>
      <c r="AZ3" s="7">
        <v>501</v>
      </c>
      <c r="BA3" s="7">
        <v>303</v>
      </c>
      <c r="BB3" s="7">
        <v>109</v>
      </c>
      <c r="BC3" s="7">
        <v>102</v>
      </c>
      <c r="BD3" s="7">
        <v>102</v>
      </c>
      <c r="BE3" s="7">
        <v>501</v>
      </c>
      <c r="BF3" s="7">
        <v>501</v>
      </c>
      <c r="BG3" s="7">
        <v>109</v>
      </c>
      <c r="BH3" s="7">
        <v>501</v>
      </c>
      <c r="BI3" s="7">
        <v>303</v>
      </c>
      <c r="BJ3" s="7">
        <v>303</v>
      </c>
      <c r="BK3" s="7">
        <v>303</v>
      </c>
      <c r="BL3" s="7">
        <v>303</v>
      </c>
      <c r="BM3" s="7">
        <v>303</v>
      </c>
      <c r="BN3" s="7">
        <v>303</v>
      </c>
      <c r="BO3" s="7">
        <v>303</v>
      </c>
      <c r="BP3" s="7">
        <v>502</v>
      </c>
      <c r="BQ3" s="10">
        <v>300</v>
      </c>
      <c r="BR3" s="10">
        <v>100</v>
      </c>
      <c r="BS3" s="10">
        <v>100</v>
      </c>
      <c r="BT3" s="10">
        <v>300</v>
      </c>
      <c r="BU3" s="10">
        <v>300</v>
      </c>
      <c r="BV3" s="10">
        <v>100</v>
      </c>
      <c r="BW3" s="10">
        <v>300</v>
      </c>
      <c r="BX3" s="10">
        <v>100</v>
      </c>
      <c r="BY3" s="10">
        <v>500</v>
      </c>
      <c r="BZ3" s="10">
        <v>100</v>
      </c>
      <c r="CA3" s="10">
        <v>900</v>
      </c>
      <c r="CB3" s="10">
        <v>100</v>
      </c>
      <c r="CC3" s="10">
        <v>500</v>
      </c>
      <c r="CD3" s="10">
        <v>900</v>
      </c>
      <c r="CE3" s="10">
        <v>100</v>
      </c>
      <c r="CF3" s="10">
        <v>100</v>
      </c>
      <c r="CG3" s="10">
        <v>500</v>
      </c>
      <c r="CH3" s="10">
        <v>100</v>
      </c>
      <c r="CI3" s="10">
        <v>100</v>
      </c>
      <c r="CJ3" s="10">
        <v>500</v>
      </c>
      <c r="CK3" s="10">
        <v>500</v>
      </c>
      <c r="CL3" s="10">
        <v>100</v>
      </c>
      <c r="CM3" s="10">
        <v>500</v>
      </c>
      <c r="CN3" s="10">
        <v>500</v>
      </c>
      <c r="CO3" s="10">
        <v>100</v>
      </c>
      <c r="CP3" s="10">
        <v>500</v>
      </c>
      <c r="CQ3" s="10">
        <v>900</v>
      </c>
      <c r="CR3" s="10">
        <v>100</v>
      </c>
      <c r="CS3" s="10">
        <v>100</v>
      </c>
      <c r="CT3" s="10">
        <v>100</v>
      </c>
      <c r="CU3" s="10">
        <v>100</v>
      </c>
      <c r="CV3" s="10">
        <v>100</v>
      </c>
      <c r="CW3" s="10">
        <v>100</v>
      </c>
      <c r="CX3" s="10">
        <v>100</v>
      </c>
      <c r="CY3" s="10">
        <v>100</v>
      </c>
      <c r="CZ3" s="10">
        <v>100</v>
      </c>
      <c r="DA3" s="10">
        <v>100</v>
      </c>
      <c r="DB3" s="10">
        <v>100</v>
      </c>
      <c r="DC3" s="10">
        <v>100</v>
      </c>
      <c r="DD3" s="10">
        <v>300</v>
      </c>
      <c r="DE3" s="10">
        <v>300</v>
      </c>
      <c r="DF3" s="10">
        <v>100</v>
      </c>
      <c r="DG3" s="10">
        <v>100</v>
      </c>
      <c r="DH3" s="10">
        <v>500</v>
      </c>
      <c r="DI3" s="10">
        <v>500</v>
      </c>
      <c r="DJ3" s="10">
        <v>100</v>
      </c>
      <c r="DK3" s="10">
        <v>500</v>
      </c>
      <c r="DL3" s="10">
        <v>500</v>
      </c>
      <c r="DM3" s="10">
        <v>300</v>
      </c>
      <c r="DN3" s="10">
        <v>100</v>
      </c>
      <c r="DO3" s="10">
        <v>100</v>
      </c>
      <c r="DP3" s="10">
        <v>100</v>
      </c>
      <c r="DQ3" s="10">
        <v>500</v>
      </c>
      <c r="DR3" s="10">
        <v>500</v>
      </c>
      <c r="DS3" s="10">
        <v>100</v>
      </c>
      <c r="DT3" s="10">
        <v>500</v>
      </c>
      <c r="DU3" s="10">
        <v>300</v>
      </c>
      <c r="DV3" s="10">
        <v>300</v>
      </c>
      <c r="DW3" s="10">
        <v>300</v>
      </c>
      <c r="DX3" s="10">
        <v>300</v>
      </c>
      <c r="DY3" s="10">
        <v>300</v>
      </c>
      <c r="DZ3" s="10">
        <v>300</v>
      </c>
      <c r="EA3" s="10">
        <v>300</v>
      </c>
      <c r="EB3" s="10">
        <v>500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570312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14" width="3.7109375" bestFit="1" customWidth="1"/>
    <col min="15" max="15" width="4.5703125" bestFit="1" customWidth="1"/>
    <col min="16" max="16" width="3.7109375" bestFit="1" customWidth="1"/>
    <col min="17" max="17" width="3.7109375" style="17" bestFit="1" customWidth="1"/>
    <col min="18" max="18" width="3.7109375" style="10" bestFit="1" customWidth="1"/>
    <col min="19" max="35" width="3.7109375" bestFit="1" customWidth="1"/>
    <col min="36" max="36" width="4.570312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4.570312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198</v>
      </c>
      <c r="F3" s="29">
        <f>IF(P3=0,0,COUNTIF(Lekeitio_2_1a_imgsummary!BQ3:EB3,"100")*100/P3)</f>
        <v>35.9375</v>
      </c>
      <c r="G3">
        <f>IF(P3=0,0,COUNTIF(Lekeitio_2_1a_imgsummary!BQ3:EB3,"200")*100/P3)</f>
        <v>0</v>
      </c>
      <c r="H3">
        <f>IF(P3=0,0,COUNTIF(Lekeitio_2_1a_imgsummary!BQ3:EB3,"300")*100/P3)</f>
        <v>0</v>
      </c>
      <c r="I3">
        <f>IF(P3=0,0,COUNTIF(Lekeitio_2_1a_imgsummary!BQ3:EB3,"400")*100/P3)</f>
        <v>0</v>
      </c>
      <c r="J3">
        <f>IF(P3=0,0,COUNTIF(Lekeitio_2_1a_imgsummary!BQ3:EB3,"500")*100/P3)</f>
        <v>0</v>
      </c>
      <c r="K3">
        <f>IF(P3=0,0,COUNTIF(Lekeitio_2_1a_imgsummary!BQ3:EB3,"600")*100/P3)</f>
        <v>0</v>
      </c>
      <c r="L3">
        <f>IF(P3=0,0,COUNTIF(Lekeitio_2_1a_imgsummary!BQ3:EB3,"700")*100/P3)</f>
        <v>0</v>
      </c>
      <c r="M3">
        <f>IF(P3=0,0,COUNTIF(Lekeitio_2_1a_imgsummary!BQ3:EB3,"800")*100/P3)</f>
        <v>0</v>
      </c>
      <c r="N3">
        <f>IF(P3=0,0,COUNTIF(Lekeitio_2_1a_imgsummary!BQ3:EB3,"900")*100/P3)</f>
        <v>0</v>
      </c>
      <c r="O3" s="29">
        <f>IF(P3=0,0,COUNTIF(Lekeitio_2_1a_imgsummary!BQ3:EB3,"1000")*100/P3)</f>
        <v>64.0625</v>
      </c>
      <c r="P3">
        <f>64-COUNTIF(Lekeitio_2_1a_imgsummary!BQ3:EB3,"TWS")</f>
        <v>64</v>
      </c>
      <c r="S3">
        <f>IF(P3=0,0,COUNTIF(Lekeitio_2_1a_imgsummary!E3:BP3,"108")*100/P3)</f>
        <v>0</v>
      </c>
      <c r="T3">
        <f>IF(P3=0,0,COUNTIF(Lekeitio_2_1a_imgsummary!E3:BP3,"105")*100/P3)</f>
        <v>0</v>
      </c>
      <c r="U3">
        <f>IF(P3=0,0,COUNTIF(Lekeitio_2_1a_imgsummary!E3:BP3,"103")*100/P3)</f>
        <v>0</v>
      </c>
      <c r="V3">
        <f>IF(P3=0,0,COUNTIF(Lekeitio_2_1a_imgsummary!E3:BP3,"107")*100/P3)</f>
        <v>0</v>
      </c>
      <c r="W3">
        <f>IF(P3=0,0,COUNTIF(Lekeitio_2_1a_imgsummary!E3:BP3,"101")*100/P3)</f>
        <v>0</v>
      </c>
      <c r="X3">
        <f>IF(P3=0,0,COUNTIF(Lekeitio_2_1a_imgsummary!E3:BP3,"106")*100/P3)</f>
        <v>0</v>
      </c>
      <c r="Y3" s="29">
        <f>IF(P3=0,0,COUNTIF(Lekeitio_2_1a_imgsummary!E3:BP3,"102")*100/P3)</f>
        <v>9.375</v>
      </c>
      <c r="Z3">
        <f>IF(P3=0,0,COUNTIF(Lekeitio_2_1a_imgsummary!E3:BP3,"104")*100/P3)</f>
        <v>0</v>
      </c>
      <c r="AA3">
        <f>IF(P3=0,0,COUNTIF(Lekeitio_2_1a_imgsummary!E3:BP3,"111")*100/P3)</f>
        <v>0</v>
      </c>
      <c r="AB3">
        <f>IF(P3=0,0,COUNTIF(Lekeitio_2_1a_imgsummary!E3:BP3,"112")*100/P3)</f>
        <v>0</v>
      </c>
      <c r="AC3">
        <f>IF(P3=0,0,COUNTIF(Lekeitio_2_1a_imgsummary!E3:BP3,"113")*100/P3)</f>
        <v>0</v>
      </c>
      <c r="AD3">
        <f>IF(P3=0,0,COUNTIF(Lekeitio_2_1a_imgsummary!E3:BP3,"114")*100/P3)</f>
        <v>0</v>
      </c>
      <c r="AE3">
        <f>IF(P3=0,0,COUNTIF(Lekeitio_2_1a_imgsummary!E3:BP3,"115")*100/P3)</f>
        <v>0</v>
      </c>
      <c r="AF3">
        <f>IF(P3=0,0,COUNTIF(Lekeitio_2_1a_imgsummary!E3:BP3,"116")*100/P3)</f>
        <v>0</v>
      </c>
      <c r="AG3">
        <f>IF(P3=0,0,COUNTIF(Lekeitio_2_1a_imgsummary!E3:BP3,"117")*100/P3)</f>
        <v>0</v>
      </c>
      <c r="AH3">
        <f>IF(P3=0,0,COUNTIF(Lekeitio_2_1a_imgsummary!E3:BP3,"118")*100/P3)</f>
        <v>0</v>
      </c>
      <c r="AI3" s="29">
        <f>IF(P3=0,0,COUNTIF(Lekeitio_2_1a_imgsummary!E3:BP3,"109")*100/P3)</f>
        <v>1.5625</v>
      </c>
      <c r="AJ3" s="29">
        <f>IF(P3=0,0,COUNTIF(Lekeitio_2_1a_imgsummary!E3:BP3,"110")*100/P3)</f>
        <v>25</v>
      </c>
      <c r="AL3">
        <f>IF(P3=0,0,COUNTIF(Lekeitio_2_1a_imgsummary!E3:BP3,"202")*100/P3)</f>
        <v>0</v>
      </c>
      <c r="AM3">
        <f>IF(P3=0,0,COUNTIF(Lekeitio_2_1a_imgsummary!E3:BP3,"201")*100/P3)</f>
        <v>0</v>
      </c>
      <c r="AO3">
        <f>IF(P3=0,0,COUNTIF(Lekeitio_2_1a_imgsummary!E3:BP3,"306")*100/P3)</f>
        <v>0</v>
      </c>
      <c r="AP3">
        <f>IF(P3=0,0,COUNTIF(Lekeitio_2_1a_imgsummary!E3:BP3,"302")*100/P3)</f>
        <v>0</v>
      </c>
      <c r="AQ3">
        <f>IF(P3=0,0,COUNTIF(Lekeitio_2_1a_imgsummary!E3:BP3,"307")*100/P3)</f>
        <v>0</v>
      </c>
      <c r="AR3">
        <f>IF(P3=0,0,COUNTIF(Lekeitio_2_1a_imgsummary!E3:BP3,"303")*100/P3)</f>
        <v>0</v>
      </c>
      <c r="AS3">
        <f>IF(P3=0,0,COUNTIF(Lekeitio_2_1a_imgsummary!E3:BP3,"304")*100/P3)</f>
        <v>0</v>
      </c>
      <c r="AT3">
        <f>IF(P3=0,0,COUNTIF(Lekeitio_2_1a_imgsummary!E3:BP3,"305")*100/P3)</f>
        <v>0</v>
      </c>
      <c r="AV3">
        <f>IF(P3=0,0,COUNTIF(Lekeitio_2_1a_imgsummary!E3:BP3,"401")*100/P3)</f>
        <v>0</v>
      </c>
      <c r="AW3">
        <f>IF(P3=0,0,COUNTIF(Lekeitio_2_1a_imgsummary!E3:BP3,"402")*100/P3)</f>
        <v>0</v>
      </c>
      <c r="AY3">
        <f>IF(P3=0,0,COUNTIF(Lekeitio_2_1a_imgsummary!E3:BP3,"501")*100/P3)</f>
        <v>0</v>
      </c>
      <c r="AZ3">
        <f>IF(P3=0,0,COUNTIF(Lekeitio_2_1a_imgsummary!E3:BP3,"502")*100/P3)</f>
        <v>0</v>
      </c>
      <c r="BA3">
        <f>IF(P3=0,0,COUNTIF(Lekeitio_2_1a_imgsummary!E3:BP3,"503")*100/P3)</f>
        <v>0</v>
      </c>
      <c r="BB3">
        <f>IF(P3=0,0,COUNTIF(Lekeitio_2_1a_imgsummary!E3:BP3,"504")*100/P3)</f>
        <v>0</v>
      </c>
      <c r="BD3">
        <f>IF(P3=0,0,COUNTIF(Lekeitio_2_1a_imgsummary!E3:BP3,"601")*100/P3)</f>
        <v>0</v>
      </c>
      <c r="BE3">
        <f>IF(P3=0,0,COUNTIF(Lekeitio_2_1a_imgsummary!E3:BP3,"602")*100/P3)</f>
        <v>0</v>
      </c>
      <c r="BF3">
        <f>IF(P3=0,0,COUNTIF(Lekeitio_2_1a_imgsummary!E3:BP3,"603")*100/P3)</f>
        <v>0</v>
      </c>
      <c r="BG3">
        <f>IF(P3=0,0,COUNTIF(Lekeitio_2_1a_imgsummary!E3:BP3,"604")*100/P3)</f>
        <v>0</v>
      </c>
      <c r="BI3">
        <f>IF(P3=0,0,COUNTIF(Lekeitio_2_1a_imgsummary!E3:BP3,"701")*100/P3)</f>
        <v>0</v>
      </c>
      <c r="BJ3">
        <f>IF(P3=0,0,COUNTIF(Lekeitio_2_1a_imgsummary!E3:BP3,"702")*100/P3)</f>
        <v>0</v>
      </c>
      <c r="BK3">
        <f>IF(P3=0,0,COUNTIF(Lekeitio_2_1a_imgsummary!E3:BP3,"703")*100/P3)</f>
        <v>0</v>
      </c>
      <c r="BL3">
        <f>IF(P3=0,0,COUNTIF(Lekeitio_2_1a_imgsummary!E3:BP3,"705")*100/P3)</f>
        <v>0</v>
      </c>
      <c r="BM3">
        <f>IF(P3=0,0,COUNTIF(Lekeitio_2_1a_imgsummary!E3:BP3,"704")*100/P3)</f>
        <v>0</v>
      </c>
      <c r="BO3">
        <f>IF(P3=0,0,COUNTIF(Lekeitio_2_1a_imgsummary!E3:BP3,"801")*100/P3)</f>
        <v>0</v>
      </c>
      <c r="BP3">
        <f>IF(P3=0,0,COUNTIF(Lekeitio_2_1a_imgsummary!E3:BP3,"802")*100/P3)</f>
        <v>0</v>
      </c>
      <c r="BR3">
        <f>IF(P3=0,0,COUNTIF(Lekeitio_2_1a_imgsummary!E3:BP3,"901")*100/P3)</f>
        <v>0</v>
      </c>
      <c r="BS3">
        <f>IF(P3=0,0,COUNTIF(Lekeitio_2_1a_imgsummary!E3:BP3,"902")*100/P3)</f>
        <v>0</v>
      </c>
      <c r="BT3">
        <f>IF(P3=0,0,COUNTIF(Lekeitio_2_1a_imgsummary!E3:BP3,"904")*100/P3)</f>
        <v>0</v>
      </c>
      <c r="BU3">
        <f>IF(P3=0,0,COUNTIF(Lekeitio_2_1a_imgsummary!E3:BP3,"905")*100/P3)</f>
        <v>0</v>
      </c>
      <c r="BV3">
        <f>IF(P3=0,0,COUNTIF(Lekeitio_2_1a_imgsummary!E3:BP3,"903")*100/P3)</f>
        <v>0</v>
      </c>
      <c r="BX3" s="29">
        <f>IF(P3=0,0,COUNTIF(Lekeitio_2_1a_imgsummary!E3:BP3,"1001")*100/P3)</f>
        <v>64.0625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4" width="3.7109375" bestFit="1" customWidth="1"/>
    <col min="15" max="15" width="4.5703125" bestFit="1" customWidth="1"/>
    <col min="16" max="16" width="3.7109375" bestFit="1" customWidth="1"/>
    <col min="17" max="17" width="3.7109375" style="17" bestFit="1" customWidth="1"/>
    <col min="18" max="18" width="3.7109375" style="10" bestFit="1" customWidth="1"/>
    <col min="19" max="23" width="3.7109375" bestFit="1" customWidth="1"/>
    <col min="24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4.570312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384</v>
      </c>
      <c r="F3" s="29">
        <f>IF(P3=0,0,COUNTIF(Lekeitio_2_1b_imgsummary!BQ3:EB3,"100")*100/P3)</f>
        <v>39.0625</v>
      </c>
      <c r="G3">
        <f>IF(P3=0,0,COUNTIF(Lekeitio_2_1b_imgsummary!BQ3:EB3,"200")*100/P3)</f>
        <v>0</v>
      </c>
      <c r="H3">
        <f>IF(P3=0,0,COUNTIF(Lekeitio_2_1b_imgsummary!BQ3:EB3,"300")*100/P3)</f>
        <v>0</v>
      </c>
      <c r="I3">
        <f>IF(P3=0,0,COUNTIF(Lekeitio_2_1b_imgsummary!BQ3:EB3,"400")*100/P3)</f>
        <v>0</v>
      </c>
      <c r="J3" s="29">
        <f>IF(P3=0,0,COUNTIF(Lekeitio_2_1b_imgsummary!BQ3:EB3,"500")*100/P3)</f>
        <v>26.5625</v>
      </c>
      <c r="K3" s="29">
        <f>IF(P3=0,0,COUNTIF(Lekeitio_2_1b_imgsummary!BQ3:EB3,"600")*100/P3)</f>
        <v>1.5625</v>
      </c>
      <c r="L3">
        <f>IF(P3=0,0,COUNTIF(Lekeitio_2_1b_imgsummary!BQ3:EB3,"700")*100/P3)</f>
        <v>0</v>
      </c>
      <c r="M3">
        <f>IF(P3=0,0,COUNTIF(Lekeitio_2_1b_imgsummary!BQ3:EB3,"800")*100/P3)</f>
        <v>0</v>
      </c>
      <c r="N3" s="29">
        <f>IF(P3=0,0,COUNTIF(Lekeitio_2_1b_imgsummary!BQ3:EB3,"900")*100/P3)</f>
        <v>9.375</v>
      </c>
      <c r="O3" s="29">
        <f>IF(P3=0,0,COUNTIF(Lekeitio_2_1b_imgsummary!BQ3:EB3,"1000")*100/P3)</f>
        <v>23.4375</v>
      </c>
      <c r="P3">
        <f>64-COUNTIF(Lekeitio_2_1b_imgsummary!BQ3:EB3,"TWS")</f>
        <v>64</v>
      </c>
      <c r="S3">
        <f>IF(P3=0,0,COUNTIF(Lekeitio_2_1b_imgsummary!E3:BP3,"108")*100/P3)</f>
        <v>0</v>
      </c>
      <c r="T3">
        <f>IF(P3=0,0,COUNTIF(Lekeitio_2_1b_imgsummary!E3:BP3,"105")*100/P3)</f>
        <v>0</v>
      </c>
      <c r="U3">
        <f>IF(P3=0,0,COUNTIF(Lekeitio_2_1b_imgsummary!E3:BP3,"103")*100/P3)</f>
        <v>0</v>
      </c>
      <c r="V3">
        <f>IF(P3=0,0,COUNTIF(Lekeitio_2_1b_imgsummary!E3:BP3,"107")*100/P3)</f>
        <v>0</v>
      </c>
      <c r="W3">
        <f>IF(P3=0,0,COUNTIF(Lekeitio_2_1b_imgsummary!E3:BP3,"101")*100/P3)</f>
        <v>0</v>
      </c>
      <c r="X3" s="29">
        <f>IF(P3=0,0,COUNTIF(Lekeitio_2_1b_imgsummary!E3:BP3,"106")*100/P3)</f>
        <v>12.5</v>
      </c>
      <c r="Y3" s="29">
        <f>IF(P3=0,0,COUNTIF(Lekeitio_2_1b_imgsummary!E3:BP3,"102")*100/P3)</f>
        <v>26.5625</v>
      </c>
      <c r="Z3">
        <f>IF(P3=0,0,COUNTIF(Lekeitio_2_1b_imgsummary!E3:BP3,"104")*100/P3)</f>
        <v>0</v>
      </c>
      <c r="AA3">
        <f>IF(P3=0,0,COUNTIF(Lekeitio_2_1b_imgsummary!E3:BP3,"111")*100/P3)</f>
        <v>0</v>
      </c>
      <c r="AB3">
        <f>IF(P3=0,0,COUNTIF(Lekeitio_2_1b_imgsummary!E3:BP3,"112")*100/P3)</f>
        <v>0</v>
      </c>
      <c r="AC3">
        <f>IF(P3=0,0,COUNTIF(Lekeitio_2_1b_imgsummary!E3:BP3,"113")*100/P3)</f>
        <v>0</v>
      </c>
      <c r="AD3">
        <f>IF(P3=0,0,COUNTIF(Lekeitio_2_1b_imgsummary!E3:BP3,"114")*100/P3)</f>
        <v>0</v>
      </c>
      <c r="AE3">
        <f>IF(P3=0,0,COUNTIF(Lekeitio_2_1b_imgsummary!E3:BP3,"115")*100/P3)</f>
        <v>0</v>
      </c>
      <c r="AF3">
        <f>IF(P3=0,0,COUNTIF(Lekeitio_2_1b_imgsummary!E3:BP3,"116")*100/P3)</f>
        <v>0</v>
      </c>
      <c r="AG3">
        <f>IF(P3=0,0,COUNTIF(Lekeitio_2_1b_imgsummary!E3:BP3,"117")*100/P3)</f>
        <v>0</v>
      </c>
      <c r="AH3">
        <f>IF(P3=0,0,COUNTIF(Lekeitio_2_1b_imgsummary!E3:BP3,"118")*100/P3)</f>
        <v>0</v>
      </c>
      <c r="AI3">
        <f>IF(P3=0,0,COUNTIF(Lekeitio_2_1b_imgsummary!E3:BP3,"109")*100/P3)</f>
        <v>0</v>
      </c>
      <c r="AJ3">
        <f>IF(P3=0,0,COUNTIF(Lekeitio_2_1b_imgsummary!E3:BP3,"110")*100/P3)</f>
        <v>0</v>
      </c>
      <c r="AL3">
        <f>IF(P3=0,0,COUNTIF(Lekeitio_2_1b_imgsummary!E3:BP3,"202")*100/P3)</f>
        <v>0</v>
      </c>
      <c r="AM3">
        <f>IF(P3=0,0,COUNTIF(Lekeitio_2_1b_imgsummary!E3:BP3,"201")*100/P3)</f>
        <v>0</v>
      </c>
      <c r="AO3">
        <f>IF(P3=0,0,COUNTIF(Lekeitio_2_1b_imgsummary!E3:BP3,"306")*100/P3)</f>
        <v>0</v>
      </c>
      <c r="AP3">
        <f>IF(P3=0,0,COUNTIF(Lekeitio_2_1b_imgsummary!E3:BP3,"302")*100/P3)</f>
        <v>0</v>
      </c>
      <c r="AQ3">
        <f>IF(P3=0,0,COUNTIF(Lekeitio_2_1b_imgsummary!E3:BP3,"307")*100/P3)</f>
        <v>0</v>
      </c>
      <c r="AR3">
        <f>IF(P3=0,0,COUNTIF(Lekeitio_2_1b_imgsummary!E3:BP3,"303")*100/P3)</f>
        <v>0</v>
      </c>
      <c r="AS3">
        <f>IF(P3=0,0,COUNTIF(Lekeitio_2_1b_imgsummary!E3:BP3,"304")*100/P3)</f>
        <v>0</v>
      </c>
      <c r="AT3">
        <f>IF(P3=0,0,COUNTIF(Lekeitio_2_1b_imgsummary!E3:BP3,"305")*100/P3)</f>
        <v>0</v>
      </c>
      <c r="AV3">
        <f>IF(P3=0,0,COUNTIF(Lekeitio_2_1b_imgsummary!E3:BP3,"401")*100/P3)</f>
        <v>0</v>
      </c>
      <c r="AW3">
        <f>IF(P3=0,0,COUNTIF(Lekeitio_2_1b_imgsummary!E3:BP3,"402")*100/P3)</f>
        <v>0</v>
      </c>
      <c r="AY3" s="29">
        <f>IF(P3=0,0,COUNTIF(Lekeitio_2_1b_imgsummary!E3:BP3,"501")*100/P3)</f>
        <v>26.5625</v>
      </c>
      <c r="AZ3">
        <f>IF(P3=0,0,COUNTIF(Lekeitio_2_1b_imgsummary!E3:BP3,"502")*100/P3)</f>
        <v>0</v>
      </c>
      <c r="BA3">
        <f>IF(P3=0,0,COUNTIF(Lekeitio_2_1b_imgsummary!E3:BP3,"503")*100/P3)</f>
        <v>0</v>
      </c>
      <c r="BB3">
        <f>IF(P3=0,0,COUNTIF(Lekeitio_2_1b_imgsummary!E3:BP3,"504")*100/P3)</f>
        <v>0</v>
      </c>
      <c r="BD3">
        <f>IF(P3=0,0,COUNTIF(Lekeitio_2_1b_imgsummary!E3:BP3,"601")*100/P3)</f>
        <v>0</v>
      </c>
      <c r="BE3">
        <f>IF(P3=0,0,COUNTIF(Lekeitio_2_1b_imgsummary!E3:BP3,"602")*100/P3)</f>
        <v>0</v>
      </c>
      <c r="BF3">
        <f>IF(P3=0,0,COUNTIF(Lekeitio_2_1b_imgsummary!E3:BP3,"603")*100/P3)</f>
        <v>0</v>
      </c>
      <c r="BG3" s="29">
        <f>IF(P3=0,0,COUNTIF(Lekeitio_2_1b_imgsummary!E3:BP3,"604")*100/P3)</f>
        <v>1.5625</v>
      </c>
      <c r="BI3">
        <f>IF(P3=0,0,COUNTIF(Lekeitio_2_1b_imgsummary!E3:BP3,"701")*100/P3)</f>
        <v>0</v>
      </c>
      <c r="BJ3">
        <f>IF(P3=0,0,COUNTIF(Lekeitio_2_1b_imgsummary!E3:BP3,"702")*100/P3)</f>
        <v>0</v>
      </c>
      <c r="BK3">
        <f>IF(P3=0,0,COUNTIF(Lekeitio_2_1b_imgsummary!E3:BP3,"703")*100/P3)</f>
        <v>0</v>
      </c>
      <c r="BL3">
        <f>IF(P3=0,0,COUNTIF(Lekeitio_2_1b_imgsummary!E3:BP3,"705")*100/P3)</f>
        <v>0</v>
      </c>
      <c r="BM3">
        <f>IF(P3=0,0,COUNTIF(Lekeitio_2_1b_imgsummary!E3:BP3,"704")*100/P3)</f>
        <v>0</v>
      </c>
      <c r="BO3">
        <f>IF(P3=0,0,COUNTIF(Lekeitio_2_1b_imgsummary!E3:BP3,"801")*100/P3)</f>
        <v>0</v>
      </c>
      <c r="BP3">
        <f>IF(P3=0,0,COUNTIF(Lekeitio_2_1b_imgsummary!E3:BP3,"802")*100/P3)</f>
        <v>0</v>
      </c>
      <c r="BR3">
        <f>IF(P3=0,0,COUNTIF(Lekeitio_2_1b_imgsummary!E3:BP3,"901")*100/P3)</f>
        <v>0</v>
      </c>
      <c r="BS3">
        <f>IF(P3=0,0,COUNTIF(Lekeitio_2_1b_imgsummary!E3:BP3,"902")*100/P3)</f>
        <v>0</v>
      </c>
      <c r="BT3">
        <f>IF(P3=0,0,COUNTIF(Lekeitio_2_1b_imgsummary!E3:BP3,"904")*100/P3)</f>
        <v>0</v>
      </c>
      <c r="BU3">
        <f>IF(P3=0,0,COUNTIF(Lekeitio_2_1b_imgsummary!E3:BP3,"905")*100/P3)</f>
        <v>0</v>
      </c>
      <c r="BV3" s="29">
        <f>IF(P3=0,0,COUNTIF(Lekeitio_2_1b_imgsummary!E3:BP3,"903")*100/P3)</f>
        <v>9.375</v>
      </c>
      <c r="BX3" s="29">
        <f>IF(P3=0,0,COUNTIF(Lekeitio_2_1b_imgsummary!E3:BP3,"1001")*100/P3)</f>
        <v>23.4375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570312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392</v>
      </c>
      <c r="F3" s="29">
        <f>IF(P3=0,0,COUNTIF(Lekeitio_2_2a_imgsummary!BQ3:EB3,"100")*100/P3)</f>
        <v>15.625</v>
      </c>
      <c r="G3">
        <f>IF(P3=0,0,COUNTIF(Lekeitio_2_2a_imgsummary!BQ3:EB3,"200")*100/P3)</f>
        <v>0</v>
      </c>
      <c r="H3" s="29">
        <f>IF(P3=0,0,COUNTIF(Lekeitio_2_2a_imgsummary!BQ3:EB3,"300")*100/P3)</f>
        <v>23.4375</v>
      </c>
      <c r="I3">
        <f>IF(P3=0,0,COUNTIF(Lekeitio_2_2a_imgsummary!BQ3:EB3,"400")*100/P3)</f>
        <v>0</v>
      </c>
      <c r="J3" s="29">
        <f>IF(P3=0,0,COUNTIF(Lekeitio_2_2a_imgsummary!BQ3:EB3,"500")*100/P3)</f>
        <v>25</v>
      </c>
      <c r="K3" s="29">
        <f>IF(P3=0,0,COUNTIF(Lekeitio_2_2a_imgsummary!BQ3:EB3,"600")*100/P3)</f>
        <v>7.8125</v>
      </c>
      <c r="L3" s="29">
        <f>IF(P3=0,0,COUNTIF(Lekeitio_2_2a_imgsummary!BQ3:EB3,"700")*100/P3)</f>
        <v>1.5625</v>
      </c>
      <c r="M3">
        <f>IF(P3=0,0,COUNTIF(Lekeitio_2_2a_imgsummary!BQ3:EB3,"800")*100/P3)</f>
        <v>0</v>
      </c>
      <c r="N3" s="29">
        <f>IF(P3=0,0,COUNTIF(Lekeitio_2_2a_imgsummary!BQ3:EB3,"900")*100/P3)</f>
        <v>17.1875</v>
      </c>
      <c r="O3" s="29">
        <f>IF(P3=0,0,COUNTIF(Lekeitio_2_2a_imgsummary!BQ3:EB3,"1000")*100/P3)</f>
        <v>9.375</v>
      </c>
      <c r="P3">
        <f>64-COUNTIF(Lekeitio_2_2a_imgsummary!BQ3:EB3,"TWS")</f>
        <v>64</v>
      </c>
      <c r="S3">
        <f>IF(P3=0,0,COUNTIF(Lekeitio_2_2a_imgsummary!E3:BP3,"108")*100/P3)</f>
        <v>0</v>
      </c>
      <c r="T3">
        <f>IF(P3=0,0,COUNTIF(Lekeitio_2_2a_imgsummary!E3:BP3,"105")*100/P3)</f>
        <v>0</v>
      </c>
      <c r="U3">
        <f>IF(P3=0,0,COUNTIF(Lekeitio_2_2a_imgsummary!E3:BP3,"103")*100/P3)</f>
        <v>0</v>
      </c>
      <c r="V3">
        <f>IF(P3=0,0,COUNTIF(Lekeitio_2_2a_imgsummary!E3:BP3,"107")*100/P3)</f>
        <v>0</v>
      </c>
      <c r="W3">
        <f>IF(P3=0,0,COUNTIF(Lekeitio_2_2a_imgsummary!E3:BP3,"101")*100/P3)</f>
        <v>0</v>
      </c>
      <c r="X3">
        <f>IF(P3=0,0,COUNTIF(Lekeitio_2_2a_imgsummary!E3:BP3,"106")*100/P3)</f>
        <v>0</v>
      </c>
      <c r="Y3" s="29">
        <f>IF(P3=0,0,COUNTIF(Lekeitio_2_2a_imgsummary!E3:BP3,"102")*100/P3)</f>
        <v>15.625</v>
      </c>
      <c r="Z3">
        <f>IF(P3=0,0,COUNTIF(Lekeitio_2_2a_imgsummary!E3:BP3,"104")*100/P3)</f>
        <v>0</v>
      </c>
      <c r="AA3">
        <f>IF(P3=0,0,COUNTIF(Lekeitio_2_2a_imgsummary!E3:BP3,"111")*100/P3)</f>
        <v>0</v>
      </c>
      <c r="AB3">
        <f>IF(P3=0,0,COUNTIF(Lekeitio_2_2a_imgsummary!E3:BP3,"112")*100/P3)</f>
        <v>0</v>
      </c>
      <c r="AC3">
        <f>IF(P3=0,0,COUNTIF(Lekeitio_2_2a_imgsummary!E3:BP3,"113")*100/P3)</f>
        <v>0</v>
      </c>
      <c r="AD3">
        <f>IF(P3=0,0,COUNTIF(Lekeitio_2_2a_imgsummary!E3:BP3,"114")*100/P3)</f>
        <v>0</v>
      </c>
      <c r="AE3">
        <f>IF(P3=0,0,COUNTIF(Lekeitio_2_2a_imgsummary!E3:BP3,"115")*100/P3)</f>
        <v>0</v>
      </c>
      <c r="AF3">
        <f>IF(P3=0,0,COUNTIF(Lekeitio_2_2a_imgsummary!E3:BP3,"116")*100/P3)</f>
        <v>0</v>
      </c>
      <c r="AG3">
        <f>IF(P3=0,0,COUNTIF(Lekeitio_2_2a_imgsummary!E3:BP3,"117")*100/P3)</f>
        <v>0</v>
      </c>
      <c r="AH3">
        <f>IF(P3=0,0,COUNTIF(Lekeitio_2_2a_imgsummary!E3:BP3,"118")*100/P3)</f>
        <v>0</v>
      </c>
      <c r="AI3">
        <f>IF(P3=0,0,COUNTIF(Lekeitio_2_2a_imgsummary!E3:BP3,"109")*100/P3)</f>
        <v>0</v>
      </c>
      <c r="AJ3">
        <f>IF(P3=0,0,COUNTIF(Lekeitio_2_2a_imgsummary!E3:BP3,"110")*100/P3)</f>
        <v>0</v>
      </c>
      <c r="AL3">
        <f>IF(P3=0,0,COUNTIF(Lekeitio_2_2a_imgsummary!E3:BP3,"202")*100/P3)</f>
        <v>0</v>
      </c>
      <c r="AM3">
        <f>IF(P3=0,0,COUNTIF(Lekeitio_2_2a_imgsummary!E3:BP3,"201")*100/P3)</f>
        <v>0</v>
      </c>
      <c r="AO3">
        <f>IF(P3=0,0,COUNTIF(Lekeitio_2_2a_imgsummary!E3:BP3,"306")*100/P3)</f>
        <v>0</v>
      </c>
      <c r="AP3">
        <f>IF(P3=0,0,COUNTIF(Lekeitio_2_2a_imgsummary!E3:BP3,"302")*100/P3)</f>
        <v>0</v>
      </c>
      <c r="AQ3">
        <f>IF(P3=0,0,COUNTIF(Lekeitio_2_2a_imgsummary!E3:BP3,"307")*100/P3)</f>
        <v>0</v>
      </c>
      <c r="AR3" s="29">
        <f>IF(P3=0,0,COUNTIF(Lekeitio_2_2a_imgsummary!E3:BP3,"303")*100/P3)</f>
        <v>23.4375</v>
      </c>
      <c r="AS3">
        <f>IF(P3=0,0,COUNTIF(Lekeitio_2_2a_imgsummary!E3:BP3,"304")*100/P3)</f>
        <v>0</v>
      </c>
      <c r="AT3">
        <f>IF(P3=0,0,COUNTIF(Lekeitio_2_2a_imgsummary!E3:BP3,"305")*100/P3)</f>
        <v>0</v>
      </c>
      <c r="AV3">
        <f>IF(P3=0,0,COUNTIF(Lekeitio_2_2a_imgsummary!E3:BP3,"401")*100/P3)</f>
        <v>0</v>
      </c>
      <c r="AW3">
        <f>IF(P3=0,0,COUNTIF(Lekeitio_2_2a_imgsummary!E3:BP3,"402")*100/P3)</f>
        <v>0</v>
      </c>
      <c r="AY3" s="29">
        <f>IF(P3=0,0,COUNTIF(Lekeitio_2_2a_imgsummary!E3:BP3,"501")*100/P3)</f>
        <v>25</v>
      </c>
      <c r="AZ3">
        <f>IF(P3=0,0,COUNTIF(Lekeitio_2_2a_imgsummary!E3:BP3,"502")*100/P3)</f>
        <v>0</v>
      </c>
      <c r="BA3">
        <f>IF(P3=0,0,COUNTIF(Lekeitio_2_2a_imgsummary!E3:BP3,"503")*100/P3)</f>
        <v>0</v>
      </c>
      <c r="BB3">
        <f>IF(P3=0,0,COUNTIF(Lekeitio_2_2a_imgsummary!E3:BP3,"504")*100/P3)</f>
        <v>0</v>
      </c>
      <c r="BD3">
        <f>IF(P3=0,0,COUNTIF(Lekeitio_2_2a_imgsummary!E3:BP3,"601")*100/P3)</f>
        <v>0</v>
      </c>
      <c r="BE3">
        <f>IF(P3=0,0,COUNTIF(Lekeitio_2_2a_imgsummary!E3:BP3,"602")*100/P3)</f>
        <v>0</v>
      </c>
      <c r="BF3">
        <f>IF(P3=0,0,COUNTIF(Lekeitio_2_2a_imgsummary!E3:BP3,"603")*100/P3)</f>
        <v>0</v>
      </c>
      <c r="BG3" s="29">
        <f>IF(P3=0,0,COUNTIF(Lekeitio_2_2a_imgsummary!E3:BP3,"604")*100/P3)</f>
        <v>7.8125</v>
      </c>
      <c r="BI3">
        <f>IF(P3=0,0,COUNTIF(Lekeitio_2_2a_imgsummary!E3:BP3,"701")*100/P3)</f>
        <v>0</v>
      </c>
      <c r="BJ3">
        <f>IF(P3=0,0,COUNTIF(Lekeitio_2_2a_imgsummary!E3:BP3,"702")*100/P3)</f>
        <v>0</v>
      </c>
      <c r="BK3">
        <f>IF(P3=0,0,COUNTIF(Lekeitio_2_2a_imgsummary!E3:BP3,"703")*100/P3)</f>
        <v>0</v>
      </c>
      <c r="BL3">
        <f>IF(P3=0,0,COUNTIF(Lekeitio_2_2a_imgsummary!E3:BP3,"705")*100/P3)</f>
        <v>0</v>
      </c>
      <c r="BM3" s="29">
        <f>IF(P3=0,0,COUNTIF(Lekeitio_2_2a_imgsummary!E3:BP3,"704")*100/P3)</f>
        <v>1.5625</v>
      </c>
      <c r="BO3">
        <f>IF(P3=0,0,COUNTIF(Lekeitio_2_2a_imgsummary!E3:BP3,"801")*100/P3)</f>
        <v>0</v>
      </c>
      <c r="BP3">
        <f>IF(P3=0,0,COUNTIF(Lekeitio_2_2a_imgsummary!E3:BP3,"802")*100/P3)</f>
        <v>0</v>
      </c>
      <c r="BR3">
        <f>IF(P3=0,0,COUNTIF(Lekeitio_2_2a_imgsummary!E3:BP3,"901")*100/P3)</f>
        <v>0</v>
      </c>
      <c r="BS3">
        <f>IF(P3=0,0,COUNTIF(Lekeitio_2_2a_imgsummary!E3:BP3,"902")*100/P3)</f>
        <v>0</v>
      </c>
      <c r="BT3">
        <f>IF(P3=0,0,COUNTIF(Lekeitio_2_2a_imgsummary!E3:BP3,"904")*100/P3)</f>
        <v>0</v>
      </c>
      <c r="BU3">
        <f>IF(P3=0,0,COUNTIF(Lekeitio_2_2a_imgsummary!E3:BP3,"905")*100/P3)</f>
        <v>0</v>
      </c>
      <c r="BV3" s="29">
        <f>IF(P3=0,0,COUNTIF(Lekeitio_2_2a_imgsummary!E3:BP3,"903")*100/P3)</f>
        <v>17.1875</v>
      </c>
      <c r="BX3" s="29">
        <f>IF(P3=0,0,COUNTIF(Lekeitio_2_2a_imgsummary!E3:BP3,"1001")*100/P3)</f>
        <v>9.375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398</v>
      </c>
      <c r="F3" s="29">
        <f>IF(P3=0,0,COUNTIF(Lekeitio_2_2b_imgsummary!BQ3:EB3,"100")*100/P3)</f>
        <v>31.25</v>
      </c>
      <c r="G3">
        <f>IF(P3=0,0,COUNTIF(Lekeitio_2_2b_imgsummary!BQ3:EB3,"200")*100/P3)</f>
        <v>0</v>
      </c>
      <c r="H3" s="29">
        <f>IF(P3=0,0,COUNTIF(Lekeitio_2_2b_imgsummary!BQ3:EB3,"300")*100/P3)</f>
        <v>1.5625</v>
      </c>
      <c r="I3">
        <f>IF(P3=0,0,COUNTIF(Lekeitio_2_2b_imgsummary!BQ3:EB3,"400")*100/P3)</f>
        <v>0</v>
      </c>
      <c r="J3" s="29">
        <f>IF(P3=0,0,COUNTIF(Lekeitio_2_2b_imgsummary!BQ3:EB3,"500")*100/P3)</f>
        <v>28.125</v>
      </c>
      <c r="K3" s="29">
        <f>IF(P3=0,0,COUNTIF(Lekeitio_2_2b_imgsummary!BQ3:EB3,"600")*100/P3)</f>
        <v>6.25</v>
      </c>
      <c r="L3">
        <f>IF(P3=0,0,COUNTIF(Lekeitio_2_2b_imgsummary!BQ3:EB3,"700")*100/P3)</f>
        <v>0</v>
      </c>
      <c r="M3">
        <f>IF(P3=0,0,COUNTIF(Lekeitio_2_2b_imgsummary!BQ3:EB3,"800")*100/P3)</f>
        <v>0</v>
      </c>
      <c r="N3" s="29">
        <f>IF(P3=0,0,COUNTIF(Lekeitio_2_2b_imgsummary!BQ3:EB3,"900")*100/P3)</f>
        <v>32.8125</v>
      </c>
      <c r="O3">
        <f>IF(P3=0,0,COUNTIF(Lekeitio_2_2b_imgsummary!BQ3:EB3,"1000")*100/P3)</f>
        <v>0</v>
      </c>
      <c r="P3">
        <f>64-COUNTIF(Lekeitio_2_2b_imgsummary!BQ3:EB3,"TWS")</f>
        <v>64</v>
      </c>
      <c r="S3">
        <f>IF(P3=0,0,COUNTIF(Lekeitio_2_2b_imgsummary!E3:BP3,"108")*100/P3)</f>
        <v>0</v>
      </c>
      <c r="T3">
        <f>IF(P3=0,0,COUNTIF(Lekeitio_2_2b_imgsummary!E3:BP3,"105")*100/P3)</f>
        <v>0</v>
      </c>
      <c r="U3">
        <f>IF(P3=0,0,COUNTIF(Lekeitio_2_2b_imgsummary!E3:BP3,"103")*100/P3)</f>
        <v>0</v>
      </c>
      <c r="V3">
        <f>IF(P3=0,0,COUNTIF(Lekeitio_2_2b_imgsummary!E3:BP3,"107")*100/P3)</f>
        <v>0</v>
      </c>
      <c r="W3">
        <f>IF(P3=0,0,COUNTIF(Lekeitio_2_2b_imgsummary!E3:BP3,"101")*100/P3)</f>
        <v>0</v>
      </c>
      <c r="X3">
        <f>IF(P3=0,0,COUNTIF(Lekeitio_2_2b_imgsummary!E3:BP3,"106")*100/P3)</f>
        <v>0</v>
      </c>
      <c r="Y3" s="29">
        <f>IF(P3=0,0,COUNTIF(Lekeitio_2_2b_imgsummary!E3:BP3,"102")*100/P3)</f>
        <v>14.0625</v>
      </c>
      <c r="Z3">
        <f>IF(P3=0,0,COUNTIF(Lekeitio_2_2b_imgsummary!E3:BP3,"104")*100/P3)</f>
        <v>0</v>
      </c>
      <c r="AA3">
        <f>IF(P3=0,0,COUNTIF(Lekeitio_2_2b_imgsummary!E3:BP3,"111")*100/P3)</f>
        <v>0</v>
      </c>
      <c r="AB3">
        <f>IF(P3=0,0,COUNTIF(Lekeitio_2_2b_imgsummary!E3:BP3,"112")*100/P3)</f>
        <v>0</v>
      </c>
      <c r="AC3">
        <f>IF(P3=0,0,COUNTIF(Lekeitio_2_2b_imgsummary!E3:BP3,"113")*100/P3)</f>
        <v>0</v>
      </c>
      <c r="AD3">
        <f>IF(P3=0,0,COUNTIF(Lekeitio_2_2b_imgsummary!E3:BP3,"114")*100/P3)</f>
        <v>0</v>
      </c>
      <c r="AE3">
        <f>IF(P3=0,0,COUNTIF(Lekeitio_2_2b_imgsummary!E3:BP3,"115")*100/P3)</f>
        <v>0</v>
      </c>
      <c r="AF3">
        <f>IF(P3=0,0,COUNTIF(Lekeitio_2_2b_imgsummary!E3:BP3,"116")*100/P3)</f>
        <v>0</v>
      </c>
      <c r="AG3">
        <f>IF(P3=0,0,COUNTIF(Lekeitio_2_2b_imgsummary!E3:BP3,"117")*100/P3)</f>
        <v>0</v>
      </c>
      <c r="AH3">
        <f>IF(P3=0,0,COUNTIF(Lekeitio_2_2b_imgsummary!E3:BP3,"118")*100/P3)</f>
        <v>0</v>
      </c>
      <c r="AI3" s="29">
        <f>IF(P3=0,0,COUNTIF(Lekeitio_2_2b_imgsummary!E3:BP3,"109")*100/P3)</f>
        <v>17.1875</v>
      </c>
      <c r="AJ3">
        <f>IF(P3=0,0,COUNTIF(Lekeitio_2_2b_imgsummary!E3:BP3,"110")*100/P3)</f>
        <v>0</v>
      </c>
      <c r="AL3">
        <f>IF(P3=0,0,COUNTIF(Lekeitio_2_2b_imgsummary!E3:BP3,"202")*100/P3)</f>
        <v>0</v>
      </c>
      <c r="AM3">
        <f>IF(P3=0,0,COUNTIF(Lekeitio_2_2b_imgsummary!E3:BP3,"201")*100/P3)</f>
        <v>0</v>
      </c>
      <c r="AO3">
        <f>IF(P3=0,0,COUNTIF(Lekeitio_2_2b_imgsummary!E3:BP3,"306")*100/P3)</f>
        <v>0</v>
      </c>
      <c r="AP3">
        <f>IF(P3=0,0,COUNTIF(Lekeitio_2_2b_imgsummary!E3:BP3,"302")*100/P3)</f>
        <v>0</v>
      </c>
      <c r="AQ3">
        <f>IF(P3=0,0,COUNTIF(Lekeitio_2_2b_imgsummary!E3:BP3,"307")*100/P3)</f>
        <v>0</v>
      </c>
      <c r="AR3" s="29">
        <f>IF(P3=0,0,COUNTIF(Lekeitio_2_2b_imgsummary!E3:BP3,"303")*100/P3)</f>
        <v>1.5625</v>
      </c>
      <c r="AS3">
        <f>IF(P3=0,0,COUNTIF(Lekeitio_2_2b_imgsummary!E3:BP3,"304")*100/P3)</f>
        <v>0</v>
      </c>
      <c r="AT3">
        <f>IF(P3=0,0,COUNTIF(Lekeitio_2_2b_imgsummary!E3:BP3,"305")*100/P3)</f>
        <v>0</v>
      </c>
      <c r="AV3">
        <f>IF(P3=0,0,COUNTIF(Lekeitio_2_2b_imgsummary!E3:BP3,"401")*100/P3)</f>
        <v>0</v>
      </c>
      <c r="AW3">
        <f>IF(P3=0,0,COUNTIF(Lekeitio_2_2b_imgsummary!E3:BP3,"402")*100/P3)</f>
        <v>0</v>
      </c>
      <c r="AY3" s="29">
        <f>IF(P3=0,0,COUNTIF(Lekeitio_2_2b_imgsummary!E3:BP3,"501")*100/P3)</f>
        <v>28.125</v>
      </c>
      <c r="AZ3">
        <f>IF(P3=0,0,COUNTIF(Lekeitio_2_2b_imgsummary!E3:BP3,"502")*100/P3)</f>
        <v>0</v>
      </c>
      <c r="BA3">
        <f>IF(P3=0,0,COUNTIF(Lekeitio_2_2b_imgsummary!E3:BP3,"503")*100/P3)</f>
        <v>0</v>
      </c>
      <c r="BB3">
        <f>IF(P3=0,0,COUNTIF(Lekeitio_2_2b_imgsummary!E3:BP3,"504")*100/P3)</f>
        <v>0</v>
      </c>
      <c r="BD3">
        <f>IF(P3=0,0,COUNTIF(Lekeitio_2_2b_imgsummary!E3:BP3,"601")*100/P3)</f>
        <v>0</v>
      </c>
      <c r="BE3">
        <f>IF(P3=0,0,COUNTIF(Lekeitio_2_2b_imgsummary!E3:BP3,"602")*100/P3)</f>
        <v>0</v>
      </c>
      <c r="BF3" s="29">
        <f>IF(P3=0,0,COUNTIF(Lekeitio_2_2b_imgsummary!E3:BP3,"603")*100/P3)</f>
        <v>1.5625</v>
      </c>
      <c r="BG3" s="29">
        <f>IF(P3=0,0,COUNTIF(Lekeitio_2_2b_imgsummary!E3:BP3,"604")*100/P3)</f>
        <v>4.6875</v>
      </c>
      <c r="BI3">
        <f>IF(P3=0,0,COUNTIF(Lekeitio_2_2b_imgsummary!E3:BP3,"701")*100/P3)</f>
        <v>0</v>
      </c>
      <c r="BJ3">
        <f>IF(P3=0,0,COUNTIF(Lekeitio_2_2b_imgsummary!E3:BP3,"702")*100/P3)</f>
        <v>0</v>
      </c>
      <c r="BK3">
        <f>IF(P3=0,0,COUNTIF(Lekeitio_2_2b_imgsummary!E3:BP3,"703")*100/P3)</f>
        <v>0</v>
      </c>
      <c r="BL3">
        <f>IF(P3=0,0,COUNTIF(Lekeitio_2_2b_imgsummary!E3:BP3,"705")*100/P3)</f>
        <v>0</v>
      </c>
      <c r="BM3">
        <f>IF(P3=0,0,COUNTIF(Lekeitio_2_2b_imgsummary!E3:BP3,"704")*100/P3)</f>
        <v>0</v>
      </c>
      <c r="BO3">
        <f>IF(P3=0,0,COUNTIF(Lekeitio_2_2b_imgsummary!E3:BP3,"801")*100/P3)</f>
        <v>0</v>
      </c>
      <c r="BP3">
        <f>IF(P3=0,0,COUNTIF(Lekeitio_2_2b_imgsummary!E3:BP3,"802")*100/P3)</f>
        <v>0</v>
      </c>
      <c r="BR3">
        <f>IF(P3=0,0,COUNTIF(Lekeitio_2_2b_imgsummary!E3:BP3,"901")*100/P3)</f>
        <v>0</v>
      </c>
      <c r="BS3">
        <f>IF(P3=0,0,COUNTIF(Lekeitio_2_2b_imgsummary!E3:BP3,"902")*100/P3)</f>
        <v>0</v>
      </c>
      <c r="BT3">
        <f>IF(P3=0,0,COUNTIF(Lekeitio_2_2b_imgsummary!E3:BP3,"904")*100/P3)</f>
        <v>0</v>
      </c>
      <c r="BU3">
        <f>IF(P3=0,0,COUNTIF(Lekeitio_2_2b_imgsummary!E3:BP3,"905")*100/P3)</f>
        <v>0</v>
      </c>
      <c r="BV3" s="29">
        <f>IF(P3=0,0,COUNTIF(Lekeitio_2_2b_imgsummary!E3:BP3,"903")*100/P3)</f>
        <v>32.8125</v>
      </c>
      <c r="BX3">
        <f>IF(P3=0,0,COUNTIF(Lekeitio_2_2b_imgsummary!E3:BP3,"1001")*100/P3)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570312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403</v>
      </c>
      <c r="F3" s="29">
        <f>IF(P3=0,0,COUNTIF(Lekeitio_2_3a_imgsummary!BQ3:EB3,"100")*100/P3)</f>
        <v>43.75</v>
      </c>
      <c r="G3">
        <f>IF(P3=0,0,COUNTIF(Lekeitio_2_3a_imgsummary!BQ3:EB3,"200")*100/P3)</f>
        <v>0</v>
      </c>
      <c r="H3" s="29">
        <f>IF(P3=0,0,COUNTIF(Lekeitio_2_3a_imgsummary!BQ3:EB3,"300")*100/P3)</f>
        <v>23.4375</v>
      </c>
      <c r="I3">
        <f>IF(P3=0,0,COUNTIF(Lekeitio_2_3a_imgsummary!BQ3:EB3,"400")*100/P3)</f>
        <v>0</v>
      </c>
      <c r="J3" s="29">
        <f>IF(P3=0,0,COUNTIF(Lekeitio_2_3a_imgsummary!BQ3:EB3,"500")*100/P3)</f>
        <v>18.75</v>
      </c>
      <c r="K3" s="29">
        <f>IF(P3=0,0,COUNTIF(Lekeitio_2_3a_imgsummary!BQ3:EB3,"600")*100/P3)</f>
        <v>3.125</v>
      </c>
      <c r="L3">
        <f>IF(P3=0,0,COUNTIF(Lekeitio_2_3a_imgsummary!BQ3:EB3,"700")*100/P3)</f>
        <v>0</v>
      </c>
      <c r="M3">
        <f>IF(P3=0,0,COUNTIF(Lekeitio_2_3a_imgsummary!BQ3:EB3,"800")*100/P3)</f>
        <v>0</v>
      </c>
      <c r="N3" s="29">
        <f>IF(P3=0,0,COUNTIF(Lekeitio_2_3a_imgsummary!BQ3:EB3,"900")*100/P3)</f>
        <v>7.8125</v>
      </c>
      <c r="O3" s="29">
        <f>IF(P3=0,0,COUNTIF(Lekeitio_2_3a_imgsummary!BQ3:EB3,"1000")*100/P3)</f>
        <v>3.125</v>
      </c>
      <c r="P3">
        <f>64-COUNTIF(Lekeitio_2_3a_imgsummary!BQ3:EB3,"TWS")</f>
        <v>64</v>
      </c>
      <c r="S3">
        <f>IF(P3=0,0,COUNTIF(Lekeitio_2_3a_imgsummary!E3:BP3,"108")*100/P3)</f>
        <v>0</v>
      </c>
      <c r="T3">
        <f>IF(P3=0,0,COUNTIF(Lekeitio_2_3a_imgsummary!E3:BP3,"105")*100/P3)</f>
        <v>0</v>
      </c>
      <c r="U3">
        <f>IF(P3=0,0,COUNTIF(Lekeitio_2_3a_imgsummary!E3:BP3,"103")*100/P3)</f>
        <v>0</v>
      </c>
      <c r="V3">
        <f>IF(P3=0,0,COUNTIF(Lekeitio_2_3a_imgsummary!E3:BP3,"107")*100/P3)</f>
        <v>0</v>
      </c>
      <c r="W3">
        <f>IF(P3=0,0,COUNTIF(Lekeitio_2_3a_imgsummary!E3:BP3,"101")*100/P3)</f>
        <v>0</v>
      </c>
      <c r="X3">
        <f>IF(P3=0,0,COUNTIF(Lekeitio_2_3a_imgsummary!E3:BP3,"106")*100/P3)</f>
        <v>0</v>
      </c>
      <c r="Y3" s="29">
        <f>IF(P3=0,0,COUNTIF(Lekeitio_2_3a_imgsummary!E3:BP3,"102")*100/P3)</f>
        <v>23.4375</v>
      </c>
      <c r="Z3">
        <f>IF(P3=0,0,COUNTIF(Lekeitio_2_3a_imgsummary!E3:BP3,"104")*100/P3)</f>
        <v>0</v>
      </c>
      <c r="AA3">
        <f>IF(P3=0,0,COUNTIF(Lekeitio_2_3a_imgsummary!E3:BP3,"111")*100/P3)</f>
        <v>0</v>
      </c>
      <c r="AB3">
        <f>IF(P3=0,0,COUNTIF(Lekeitio_2_3a_imgsummary!E3:BP3,"112")*100/P3)</f>
        <v>0</v>
      </c>
      <c r="AC3">
        <f>IF(P3=0,0,COUNTIF(Lekeitio_2_3a_imgsummary!E3:BP3,"113")*100/P3)</f>
        <v>0</v>
      </c>
      <c r="AD3">
        <f>IF(P3=0,0,COUNTIF(Lekeitio_2_3a_imgsummary!E3:BP3,"114")*100/P3)</f>
        <v>0</v>
      </c>
      <c r="AE3">
        <f>IF(P3=0,0,COUNTIF(Lekeitio_2_3a_imgsummary!E3:BP3,"115")*100/P3)</f>
        <v>0</v>
      </c>
      <c r="AF3">
        <f>IF(P3=0,0,COUNTIF(Lekeitio_2_3a_imgsummary!E3:BP3,"116")*100/P3)</f>
        <v>0</v>
      </c>
      <c r="AG3">
        <f>IF(P3=0,0,COUNTIF(Lekeitio_2_3a_imgsummary!E3:BP3,"117")*100/P3)</f>
        <v>0</v>
      </c>
      <c r="AH3">
        <f>IF(P3=0,0,COUNTIF(Lekeitio_2_3a_imgsummary!E3:BP3,"118")*100/P3)</f>
        <v>0</v>
      </c>
      <c r="AI3" s="29">
        <f>IF(P3=0,0,COUNTIF(Lekeitio_2_3a_imgsummary!E3:BP3,"109")*100/P3)</f>
        <v>20.3125</v>
      </c>
      <c r="AJ3">
        <f>IF(P3=0,0,COUNTIF(Lekeitio_2_3a_imgsummary!E3:BP3,"110")*100/P3)</f>
        <v>0</v>
      </c>
      <c r="AL3">
        <f>IF(P3=0,0,COUNTIF(Lekeitio_2_3a_imgsummary!E3:BP3,"202")*100/P3)</f>
        <v>0</v>
      </c>
      <c r="AM3">
        <f>IF(P3=0,0,COUNTIF(Lekeitio_2_3a_imgsummary!E3:BP3,"201")*100/P3)</f>
        <v>0</v>
      </c>
      <c r="AO3">
        <f>IF(P3=0,0,COUNTIF(Lekeitio_2_3a_imgsummary!E3:BP3,"306")*100/P3)</f>
        <v>0</v>
      </c>
      <c r="AP3">
        <f>IF(P3=0,0,COUNTIF(Lekeitio_2_3a_imgsummary!E3:BP3,"302")*100/P3)</f>
        <v>0</v>
      </c>
      <c r="AQ3">
        <f>IF(P3=0,0,COUNTIF(Lekeitio_2_3a_imgsummary!E3:BP3,"307")*100/P3)</f>
        <v>0</v>
      </c>
      <c r="AR3" s="29">
        <f>IF(P3=0,0,COUNTIF(Lekeitio_2_3a_imgsummary!E3:BP3,"303")*100/P3)</f>
        <v>23.4375</v>
      </c>
      <c r="AS3">
        <f>IF(P3=0,0,COUNTIF(Lekeitio_2_3a_imgsummary!E3:BP3,"304")*100/P3)</f>
        <v>0</v>
      </c>
      <c r="AT3">
        <f>IF(P3=0,0,COUNTIF(Lekeitio_2_3a_imgsummary!E3:BP3,"305")*100/P3)</f>
        <v>0</v>
      </c>
      <c r="AV3">
        <f>IF(P3=0,0,COUNTIF(Lekeitio_2_3a_imgsummary!E3:BP3,"401")*100/P3)</f>
        <v>0</v>
      </c>
      <c r="AW3">
        <f>IF(P3=0,0,COUNTIF(Lekeitio_2_3a_imgsummary!E3:BP3,"402")*100/P3)</f>
        <v>0</v>
      </c>
      <c r="AY3" s="29">
        <f>IF(P3=0,0,COUNTIF(Lekeitio_2_3a_imgsummary!E3:BP3,"501")*100/P3)</f>
        <v>18.75</v>
      </c>
      <c r="AZ3">
        <f>IF(P3=0,0,COUNTIF(Lekeitio_2_3a_imgsummary!E3:BP3,"502")*100/P3)</f>
        <v>0</v>
      </c>
      <c r="BA3">
        <f>IF(P3=0,0,COUNTIF(Lekeitio_2_3a_imgsummary!E3:BP3,"503")*100/P3)</f>
        <v>0</v>
      </c>
      <c r="BB3">
        <f>IF(P3=0,0,COUNTIF(Lekeitio_2_3a_imgsummary!E3:BP3,"504")*100/P3)</f>
        <v>0</v>
      </c>
      <c r="BD3">
        <f>IF(P3=0,0,COUNTIF(Lekeitio_2_3a_imgsummary!E3:BP3,"601")*100/P3)</f>
        <v>0</v>
      </c>
      <c r="BE3">
        <f>IF(P3=0,0,COUNTIF(Lekeitio_2_3a_imgsummary!E3:BP3,"602")*100/P3)</f>
        <v>0</v>
      </c>
      <c r="BF3" s="29">
        <f>IF(P3=0,0,COUNTIF(Lekeitio_2_3a_imgsummary!E3:BP3,"603")*100/P3)</f>
        <v>1.5625</v>
      </c>
      <c r="BG3" s="29">
        <f>IF(P3=0,0,COUNTIF(Lekeitio_2_3a_imgsummary!E3:BP3,"604")*100/P3)</f>
        <v>1.5625</v>
      </c>
      <c r="BI3">
        <f>IF(P3=0,0,COUNTIF(Lekeitio_2_3a_imgsummary!E3:BP3,"701")*100/P3)</f>
        <v>0</v>
      </c>
      <c r="BJ3">
        <f>IF(P3=0,0,COUNTIF(Lekeitio_2_3a_imgsummary!E3:BP3,"702")*100/P3)</f>
        <v>0</v>
      </c>
      <c r="BK3">
        <f>IF(P3=0,0,COUNTIF(Lekeitio_2_3a_imgsummary!E3:BP3,"703")*100/P3)</f>
        <v>0</v>
      </c>
      <c r="BL3">
        <f>IF(P3=0,0,COUNTIF(Lekeitio_2_3a_imgsummary!E3:BP3,"705")*100/P3)</f>
        <v>0</v>
      </c>
      <c r="BM3">
        <f>IF(P3=0,0,COUNTIF(Lekeitio_2_3a_imgsummary!E3:BP3,"704")*100/P3)</f>
        <v>0</v>
      </c>
      <c r="BO3">
        <f>IF(P3=0,0,COUNTIF(Lekeitio_2_3a_imgsummary!E3:BP3,"801")*100/P3)</f>
        <v>0</v>
      </c>
      <c r="BP3">
        <f>IF(P3=0,0,COUNTIF(Lekeitio_2_3a_imgsummary!E3:BP3,"802")*100/P3)</f>
        <v>0</v>
      </c>
      <c r="BR3">
        <f>IF(P3=0,0,COUNTIF(Lekeitio_2_3a_imgsummary!E3:BP3,"901")*100/P3)</f>
        <v>0</v>
      </c>
      <c r="BS3">
        <f>IF(P3=0,0,COUNTIF(Lekeitio_2_3a_imgsummary!E3:BP3,"902")*100/P3)</f>
        <v>0</v>
      </c>
      <c r="BT3">
        <f>IF(P3=0,0,COUNTIF(Lekeitio_2_3a_imgsummary!E3:BP3,"904")*100/P3)</f>
        <v>0</v>
      </c>
      <c r="BU3">
        <f>IF(P3=0,0,COUNTIF(Lekeitio_2_3a_imgsummary!E3:BP3,"905")*100/P3)</f>
        <v>0</v>
      </c>
      <c r="BV3" s="29">
        <f>IF(P3=0,0,COUNTIF(Lekeitio_2_3a_imgsummary!E3:BP3,"903")*100/P3)</f>
        <v>7.8125</v>
      </c>
      <c r="BX3" s="29">
        <f>IF(P3=0,0,COUNTIF(Lekeitio_2_3a_imgsummary!E3:BP3,"1001")*100/P3)</f>
        <v>3.125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5703125" bestFit="1" customWidth="1"/>
    <col min="6" max="6" width="43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94">
        <v>102</v>
      </c>
      <c r="B2" s="38"/>
      <c r="C2" s="53">
        <v>100</v>
      </c>
      <c r="D2" s="53" t="s">
        <v>339</v>
      </c>
      <c r="E2" s="53" t="s">
        <v>400</v>
      </c>
      <c r="F2" s="53" t="s">
        <v>401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399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05"/>
    </row>
    <row r="3" spans="1:34" x14ac:dyDescent="0.25">
      <c r="A3" s="97">
        <v>102</v>
      </c>
      <c r="B3" s="31"/>
      <c r="C3">
        <v>100</v>
      </c>
      <c r="E3" t="s">
        <v>400</v>
      </c>
      <c r="F3" t="s">
        <v>401</v>
      </c>
      <c r="H3" t="s">
        <v>333</v>
      </c>
      <c r="I3" t="s">
        <v>334</v>
      </c>
      <c r="J3" t="s">
        <v>335</v>
      </c>
      <c r="N3" t="s">
        <v>399</v>
      </c>
      <c r="AH3" s="102"/>
    </row>
    <row r="4" spans="1:34" x14ac:dyDescent="0.25">
      <c r="A4" s="97">
        <v>102</v>
      </c>
      <c r="B4" s="31"/>
      <c r="C4">
        <v>100</v>
      </c>
      <c r="E4" t="s">
        <v>400</v>
      </c>
      <c r="F4" t="s">
        <v>401</v>
      </c>
      <c r="H4" t="s">
        <v>333</v>
      </c>
      <c r="I4" t="s">
        <v>334</v>
      </c>
      <c r="J4" t="s">
        <v>335</v>
      </c>
      <c r="N4" t="s">
        <v>399</v>
      </c>
      <c r="AH4" s="102"/>
    </row>
    <row r="5" spans="1:34" x14ac:dyDescent="0.25">
      <c r="A5" s="97">
        <v>604</v>
      </c>
      <c r="B5" s="31"/>
      <c r="C5">
        <v>600</v>
      </c>
      <c r="E5" t="s">
        <v>400</v>
      </c>
      <c r="F5" t="s">
        <v>401</v>
      </c>
      <c r="H5" t="s">
        <v>333</v>
      </c>
      <c r="I5" t="s">
        <v>334</v>
      </c>
      <c r="J5" t="s">
        <v>335</v>
      </c>
      <c r="N5" t="s">
        <v>399</v>
      </c>
      <c r="AH5" s="102"/>
    </row>
    <row r="6" spans="1:34" x14ac:dyDescent="0.25">
      <c r="A6" s="97">
        <v>903</v>
      </c>
      <c r="B6" s="31"/>
      <c r="C6">
        <v>900</v>
      </c>
      <c r="E6" t="s">
        <v>400</v>
      </c>
      <c r="F6" t="s">
        <v>401</v>
      </c>
      <c r="H6" t="s">
        <v>333</v>
      </c>
      <c r="I6" t="s">
        <v>334</v>
      </c>
      <c r="J6" t="s">
        <v>335</v>
      </c>
      <c r="N6" t="s">
        <v>399</v>
      </c>
      <c r="AH6" s="102"/>
    </row>
    <row r="7" spans="1:34" x14ac:dyDescent="0.25">
      <c r="A7" s="97">
        <v>501</v>
      </c>
      <c r="B7" s="31"/>
      <c r="C7">
        <v>500</v>
      </c>
      <c r="E7" t="s">
        <v>400</v>
      </c>
      <c r="F7" t="s">
        <v>401</v>
      </c>
      <c r="H7" t="s">
        <v>333</v>
      </c>
      <c r="I7" t="s">
        <v>334</v>
      </c>
      <c r="J7" t="s">
        <v>335</v>
      </c>
      <c r="N7" t="s">
        <v>399</v>
      </c>
      <c r="AH7" s="102"/>
    </row>
    <row r="8" spans="1:34" x14ac:dyDescent="0.25">
      <c r="A8" s="97">
        <v>903</v>
      </c>
      <c r="B8" s="31"/>
      <c r="C8">
        <v>900</v>
      </c>
      <c r="E8" t="s">
        <v>400</v>
      </c>
      <c r="F8" t="s">
        <v>401</v>
      </c>
      <c r="H8" t="s">
        <v>333</v>
      </c>
      <c r="I8" t="s">
        <v>334</v>
      </c>
      <c r="J8" t="s">
        <v>335</v>
      </c>
      <c r="N8" t="s">
        <v>399</v>
      </c>
      <c r="AH8" s="102"/>
    </row>
    <row r="9" spans="1:34" x14ac:dyDescent="0.25">
      <c r="A9" s="97">
        <v>102</v>
      </c>
      <c r="B9" s="31"/>
      <c r="C9">
        <v>100</v>
      </c>
      <c r="E9" t="s">
        <v>400</v>
      </c>
      <c r="F9" t="s">
        <v>401</v>
      </c>
      <c r="H9" t="s">
        <v>333</v>
      </c>
      <c r="I9" t="s">
        <v>334</v>
      </c>
      <c r="J9" t="s">
        <v>335</v>
      </c>
      <c r="N9" t="s">
        <v>399</v>
      </c>
      <c r="AH9" s="102"/>
    </row>
    <row r="10" spans="1:34" x14ac:dyDescent="0.25">
      <c r="A10" s="97">
        <v>303</v>
      </c>
      <c r="B10" s="31"/>
      <c r="C10">
        <v>300</v>
      </c>
      <c r="E10" t="s">
        <v>400</v>
      </c>
      <c r="F10" t="s">
        <v>401</v>
      </c>
      <c r="H10" t="s">
        <v>333</v>
      </c>
      <c r="I10" t="s">
        <v>334</v>
      </c>
      <c r="J10" t="s">
        <v>335</v>
      </c>
      <c r="N10" t="s">
        <v>399</v>
      </c>
      <c r="AH10" s="102"/>
    </row>
    <row r="11" spans="1:34" x14ac:dyDescent="0.25">
      <c r="A11" s="97">
        <v>109</v>
      </c>
      <c r="B11" s="31"/>
      <c r="C11">
        <v>100</v>
      </c>
      <c r="E11" t="s">
        <v>400</v>
      </c>
      <c r="F11" t="s">
        <v>401</v>
      </c>
      <c r="H11" t="s">
        <v>333</v>
      </c>
      <c r="I11" t="s">
        <v>334</v>
      </c>
      <c r="J11" t="s">
        <v>335</v>
      </c>
      <c r="N11" t="s">
        <v>399</v>
      </c>
      <c r="AH11" s="102"/>
    </row>
    <row r="12" spans="1:34" x14ac:dyDescent="0.25">
      <c r="A12" s="97">
        <v>903</v>
      </c>
      <c r="B12" s="31"/>
      <c r="C12">
        <v>900</v>
      </c>
      <c r="E12" t="s">
        <v>400</v>
      </c>
      <c r="F12" t="s">
        <v>401</v>
      </c>
      <c r="H12" t="s">
        <v>333</v>
      </c>
      <c r="I12" t="s">
        <v>334</v>
      </c>
      <c r="J12" t="s">
        <v>335</v>
      </c>
      <c r="N12" t="s">
        <v>399</v>
      </c>
      <c r="AH12" s="102"/>
    </row>
    <row r="13" spans="1:34" x14ac:dyDescent="0.25">
      <c r="A13" s="97">
        <v>603</v>
      </c>
      <c r="B13" s="31"/>
      <c r="C13">
        <v>600</v>
      </c>
      <c r="E13" t="s">
        <v>400</v>
      </c>
      <c r="F13" t="s">
        <v>401</v>
      </c>
      <c r="H13" t="s">
        <v>333</v>
      </c>
      <c r="I13" t="s">
        <v>334</v>
      </c>
      <c r="J13" t="s">
        <v>335</v>
      </c>
      <c r="N13" t="s">
        <v>399</v>
      </c>
      <c r="AH13" s="102"/>
    </row>
    <row r="14" spans="1:34" x14ac:dyDescent="0.25">
      <c r="A14" s="97">
        <v>903</v>
      </c>
      <c r="B14" s="31"/>
      <c r="C14">
        <v>900</v>
      </c>
      <c r="E14" t="s">
        <v>400</v>
      </c>
      <c r="F14" t="s">
        <v>401</v>
      </c>
      <c r="H14" t="s">
        <v>333</v>
      </c>
      <c r="I14" t="s">
        <v>334</v>
      </c>
      <c r="J14" t="s">
        <v>335</v>
      </c>
      <c r="N14" t="s">
        <v>399</v>
      </c>
      <c r="AH14" s="102"/>
    </row>
    <row r="15" spans="1:34" x14ac:dyDescent="0.25">
      <c r="A15" s="97">
        <v>903</v>
      </c>
      <c r="B15" s="31"/>
      <c r="C15">
        <v>900</v>
      </c>
      <c r="E15" t="s">
        <v>400</v>
      </c>
      <c r="F15" t="s">
        <v>401</v>
      </c>
      <c r="H15" t="s">
        <v>333</v>
      </c>
      <c r="I15" t="s">
        <v>334</v>
      </c>
      <c r="J15" t="s">
        <v>335</v>
      </c>
      <c r="N15" t="s">
        <v>399</v>
      </c>
      <c r="AH15" s="102"/>
    </row>
    <row r="16" spans="1:34" x14ac:dyDescent="0.25">
      <c r="A16" s="97">
        <v>109</v>
      </c>
      <c r="B16" s="31"/>
      <c r="C16">
        <v>100</v>
      </c>
      <c r="E16" t="s">
        <v>400</v>
      </c>
      <c r="F16" t="s">
        <v>401</v>
      </c>
      <c r="H16" t="s">
        <v>333</v>
      </c>
      <c r="I16" t="s">
        <v>334</v>
      </c>
      <c r="J16" t="s">
        <v>335</v>
      </c>
      <c r="N16" t="s">
        <v>399</v>
      </c>
      <c r="AH16" s="102"/>
    </row>
    <row r="17" spans="1:34" x14ac:dyDescent="0.25">
      <c r="A17" s="97">
        <v>102</v>
      </c>
      <c r="B17" s="31"/>
      <c r="C17">
        <v>100</v>
      </c>
      <c r="E17" t="s">
        <v>400</v>
      </c>
      <c r="F17" t="s">
        <v>401</v>
      </c>
      <c r="H17" t="s">
        <v>333</v>
      </c>
      <c r="I17" t="s">
        <v>334</v>
      </c>
      <c r="J17" t="s">
        <v>335</v>
      </c>
      <c r="N17" t="s">
        <v>399</v>
      </c>
      <c r="AH17" s="102"/>
    </row>
    <row r="18" spans="1:34" x14ac:dyDescent="0.25">
      <c r="A18" s="97">
        <v>501</v>
      </c>
      <c r="B18" s="31"/>
      <c r="C18">
        <v>500</v>
      </c>
      <c r="E18" t="s">
        <v>400</v>
      </c>
      <c r="F18" t="s">
        <v>401</v>
      </c>
      <c r="H18" t="s">
        <v>333</v>
      </c>
      <c r="I18" t="s">
        <v>334</v>
      </c>
      <c r="J18" t="s">
        <v>335</v>
      </c>
      <c r="N18" t="s">
        <v>399</v>
      </c>
      <c r="AH18" s="102"/>
    </row>
    <row r="19" spans="1:34" x14ac:dyDescent="0.25">
      <c r="A19" s="97">
        <v>903</v>
      </c>
      <c r="B19" s="31"/>
      <c r="C19">
        <v>900</v>
      </c>
      <c r="E19" t="s">
        <v>400</v>
      </c>
      <c r="F19" t="s">
        <v>401</v>
      </c>
      <c r="H19" t="s">
        <v>333</v>
      </c>
      <c r="I19" t="s">
        <v>334</v>
      </c>
      <c r="J19" t="s">
        <v>335</v>
      </c>
      <c r="N19" t="s">
        <v>399</v>
      </c>
      <c r="AH19" s="102"/>
    </row>
    <row r="20" spans="1:34" x14ac:dyDescent="0.25">
      <c r="A20" s="97">
        <v>109</v>
      </c>
      <c r="B20" s="31"/>
      <c r="C20">
        <v>100</v>
      </c>
      <c r="E20" t="s">
        <v>400</v>
      </c>
      <c r="F20" t="s">
        <v>401</v>
      </c>
      <c r="H20" t="s">
        <v>333</v>
      </c>
      <c r="I20" t="s">
        <v>334</v>
      </c>
      <c r="J20" t="s">
        <v>335</v>
      </c>
      <c r="N20" t="s">
        <v>399</v>
      </c>
      <c r="AH20" s="102"/>
    </row>
    <row r="21" spans="1:34" x14ac:dyDescent="0.25">
      <c r="A21" s="97">
        <v>903</v>
      </c>
      <c r="B21" s="31"/>
      <c r="C21">
        <v>900</v>
      </c>
      <c r="E21" t="s">
        <v>400</v>
      </c>
      <c r="F21" t="s">
        <v>401</v>
      </c>
      <c r="H21" t="s">
        <v>333</v>
      </c>
      <c r="I21" t="s">
        <v>334</v>
      </c>
      <c r="J21" t="s">
        <v>335</v>
      </c>
      <c r="N21" t="s">
        <v>399</v>
      </c>
      <c r="AH21" s="102"/>
    </row>
    <row r="22" spans="1:34" x14ac:dyDescent="0.25">
      <c r="A22" s="97">
        <v>604</v>
      </c>
      <c r="B22" s="31"/>
      <c r="C22">
        <v>600</v>
      </c>
      <c r="E22" t="s">
        <v>400</v>
      </c>
      <c r="F22" t="s">
        <v>401</v>
      </c>
      <c r="H22" t="s">
        <v>333</v>
      </c>
      <c r="I22" t="s">
        <v>334</v>
      </c>
      <c r="J22" t="s">
        <v>335</v>
      </c>
      <c r="N22" t="s">
        <v>399</v>
      </c>
      <c r="AH22" s="102"/>
    </row>
    <row r="23" spans="1:34" x14ac:dyDescent="0.25">
      <c r="A23" s="97">
        <v>109</v>
      </c>
      <c r="B23" s="31"/>
      <c r="C23">
        <v>100</v>
      </c>
      <c r="E23" t="s">
        <v>400</v>
      </c>
      <c r="F23" t="s">
        <v>401</v>
      </c>
      <c r="H23" t="s">
        <v>333</v>
      </c>
      <c r="I23" t="s">
        <v>334</v>
      </c>
      <c r="J23" t="s">
        <v>335</v>
      </c>
      <c r="N23" t="s">
        <v>399</v>
      </c>
      <c r="AH23" s="102"/>
    </row>
    <row r="24" spans="1:34" x14ac:dyDescent="0.25">
      <c r="A24" s="97">
        <v>501</v>
      </c>
      <c r="B24" s="31"/>
      <c r="C24">
        <v>500</v>
      </c>
      <c r="E24" t="s">
        <v>400</v>
      </c>
      <c r="F24" t="s">
        <v>401</v>
      </c>
      <c r="H24" t="s">
        <v>333</v>
      </c>
      <c r="I24" t="s">
        <v>334</v>
      </c>
      <c r="J24" t="s">
        <v>335</v>
      </c>
      <c r="N24" t="s">
        <v>399</v>
      </c>
      <c r="AH24" s="102"/>
    </row>
    <row r="25" spans="1:34" x14ac:dyDescent="0.25">
      <c r="A25" s="97">
        <v>501</v>
      </c>
      <c r="B25" s="31"/>
      <c r="C25">
        <v>500</v>
      </c>
      <c r="E25" t="s">
        <v>400</v>
      </c>
      <c r="F25" t="s">
        <v>401</v>
      </c>
      <c r="H25" t="s">
        <v>333</v>
      </c>
      <c r="I25" t="s">
        <v>334</v>
      </c>
      <c r="J25" t="s">
        <v>335</v>
      </c>
      <c r="N25" t="s">
        <v>399</v>
      </c>
      <c r="AH25" s="102"/>
    </row>
    <row r="26" spans="1:34" x14ac:dyDescent="0.25">
      <c r="A26" s="97">
        <v>501</v>
      </c>
      <c r="B26" s="31"/>
      <c r="C26">
        <v>500</v>
      </c>
      <c r="E26" t="s">
        <v>400</v>
      </c>
      <c r="F26" t="s">
        <v>401</v>
      </c>
      <c r="H26" t="s">
        <v>333</v>
      </c>
      <c r="I26" t="s">
        <v>334</v>
      </c>
      <c r="J26" t="s">
        <v>335</v>
      </c>
      <c r="N26" t="s">
        <v>399</v>
      </c>
      <c r="AH26" s="102"/>
    </row>
    <row r="27" spans="1:34" x14ac:dyDescent="0.25">
      <c r="A27" s="97">
        <v>903</v>
      </c>
      <c r="B27" s="31"/>
      <c r="C27">
        <v>900</v>
      </c>
      <c r="E27" t="s">
        <v>400</v>
      </c>
      <c r="F27" t="s">
        <v>401</v>
      </c>
      <c r="H27" t="s">
        <v>333</v>
      </c>
      <c r="I27" t="s">
        <v>334</v>
      </c>
      <c r="J27" t="s">
        <v>335</v>
      </c>
      <c r="N27" t="s">
        <v>399</v>
      </c>
      <c r="AH27" s="102"/>
    </row>
    <row r="28" spans="1:34" x14ac:dyDescent="0.25">
      <c r="A28" s="97">
        <v>501</v>
      </c>
      <c r="B28" s="31"/>
      <c r="C28">
        <v>500</v>
      </c>
      <c r="E28" t="s">
        <v>400</v>
      </c>
      <c r="F28" t="s">
        <v>401</v>
      </c>
      <c r="H28" t="s">
        <v>333</v>
      </c>
      <c r="I28" t="s">
        <v>334</v>
      </c>
      <c r="J28" t="s">
        <v>335</v>
      </c>
      <c r="N28" t="s">
        <v>399</v>
      </c>
      <c r="AH28" s="102"/>
    </row>
    <row r="29" spans="1:34" x14ac:dyDescent="0.25">
      <c r="A29" s="97">
        <v>109</v>
      </c>
      <c r="B29" s="31"/>
      <c r="C29">
        <v>100</v>
      </c>
      <c r="E29" t="s">
        <v>400</v>
      </c>
      <c r="F29" t="s">
        <v>401</v>
      </c>
      <c r="H29" t="s">
        <v>333</v>
      </c>
      <c r="I29" t="s">
        <v>334</v>
      </c>
      <c r="J29" t="s">
        <v>335</v>
      </c>
      <c r="N29" t="s">
        <v>399</v>
      </c>
      <c r="AH29" s="102"/>
    </row>
    <row r="30" spans="1:34" x14ac:dyDescent="0.25">
      <c r="A30" s="97">
        <v>109</v>
      </c>
      <c r="B30" s="31"/>
      <c r="C30">
        <v>100</v>
      </c>
      <c r="E30" t="s">
        <v>400</v>
      </c>
      <c r="F30" t="s">
        <v>401</v>
      </c>
      <c r="H30" t="s">
        <v>333</v>
      </c>
      <c r="I30" t="s">
        <v>334</v>
      </c>
      <c r="J30" t="s">
        <v>335</v>
      </c>
      <c r="N30" t="s">
        <v>399</v>
      </c>
      <c r="AH30" s="102"/>
    </row>
    <row r="31" spans="1:34" x14ac:dyDescent="0.25">
      <c r="A31" s="97">
        <v>903</v>
      </c>
      <c r="B31" s="31"/>
      <c r="C31">
        <v>900</v>
      </c>
      <c r="E31" t="s">
        <v>400</v>
      </c>
      <c r="F31" t="s">
        <v>401</v>
      </c>
      <c r="H31" t="s">
        <v>333</v>
      </c>
      <c r="I31" t="s">
        <v>334</v>
      </c>
      <c r="J31" t="s">
        <v>335</v>
      </c>
      <c r="N31" t="s">
        <v>399</v>
      </c>
      <c r="AH31" s="102"/>
    </row>
    <row r="32" spans="1:34" x14ac:dyDescent="0.25">
      <c r="A32" s="97">
        <v>903</v>
      </c>
      <c r="B32" s="31"/>
      <c r="C32">
        <v>900</v>
      </c>
      <c r="E32" t="s">
        <v>400</v>
      </c>
      <c r="F32" t="s">
        <v>401</v>
      </c>
      <c r="H32" t="s">
        <v>333</v>
      </c>
      <c r="I32" t="s">
        <v>334</v>
      </c>
      <c r="J32" t="s">
        <v>335</v>
      </c>
      <c r="N32" t="s">
        <v>399</v>
      </c>
      <c r="AH32" s="102"/>
    </row>
    <row r="33" spans="1:34" x14ac:dyDescent="0.25">
      <c r="A33" s="97">
        <v>501</v>
      </c>
      <c r="B33" s="31"/>
      <c r="C33">
        <v>500</v>
      </c>
      <c r="E33" t="s">
        <v>400</v>
      </c>
      <c r="F33" t="s">
        <v>401</v>
      </c>
      <c r="H33" t="s">
        <v>333</v>
      </c>
      <c r="I33" t="s">
        <v>334</v>
      </c>
      <c r="J33" t="s">
        <v>335</v>
      </c>
      <c r="N33" t="s">
        <v>399</v>
      </c>
      <c r="AH33" s="102"/>
    </row>
    <row r="34" spans="1:34" x14ac:dyDescent="0.25">
      <c r="A34" s="97">
        <v>604</v>
      </c>
      <c r="B34" s="31"/>
      <c r="C34">
        <v>600</v>
      </c>
      <c r="E34" t="s">
        <v>400</v>
      </c>
      <c r="F34" t="s">
        <v>401</v>
      </c>
      <c r="H34" t="s">
        <v>333</v>
      </c>
      <c r="I34" t="s">
        <v>334</v>
      </c>
      <c r="J34" t="s">
        <v>335</v>
      </c>
      <c r="N34" t="s">
        <v>399</v>
      </c>
      <c r="AH34" s="102"/>
    </row>
    <row r="35" spans="1:34" x14ac:dyDescent="0.25">
      <c r="A35" s="97">
        <v>903</v>
      </c>
      <c r="B35" s="31"/>
      <c r="C35">
        <v>900</v>
      </c>
      <c r="E35" t="s">
        <v>400</v>
      </c>
      <c r="F35" t="s">
        <v>401</v>
      </c>
      <c r="H35" t="s">
        <v>333</v>
      </c>
      <c r="I35" t="s">
        <v>334</v>
      </c>
      <c r="J35" t="s">
        <v>335</v>
      </c>
      <c r="N35" t="s">
        <v>399</v>
      </c>
      <c r="AH35" s="102"/>
    </row>
    <row r="36" spans="1:34" x14ac:dyDescent="0.25">
      <c r="A36" s="97">
        <v>903</v>
      </c>
      <c r="B36" s="31"/>
      <c r="C36">
        <v>900</v>
      </c>
      <c r="E36" t="s">
        <v>400</v>
      </c>
      <c r="F36" t="s">
        <v>401</v>
      </c>
      <c r="H36" t="s">
        <v>333</v>
      </c>
      <c r="I36" t="s">
        <v>334</v>
      </c>
      <c r="J36" t="s">
        <v>335</v>
      </c>
      <c r="N36" t="s">
        <v>399</v>
      </c>
      <c r="AH36" s="102"/>
    </row>
    <row r="37" spans="1:34" x14ac:dyDescent="0.25">
      <c r="A37" s="97">
        <v>109</v>
      </c>
      <c r="B37" s="31"/>
      <c r="C37">
        <v>100</v>
      </c>
      <c r="E37" t="s">
        <v>400</v>
      </c>
      <c r="F37" t="s">
        <v>401</v>
      </c>
      <c r="H37" t="s">
        <v>333</v>
      </c>
      <c r="I37" t="s">
        <v>334</v>
      </c>
      <c r="J37" t="s">
        <v>335</v>
      </c>
      <c r="N37" t="s">
        <v>399</v>
      </c>
      <c r="AH37" s="102"/>
    </row>
    <row r="38" spans="1:34" x14ac:dyDescent="0.25">
      <c r="A38" s="97">
        <v>109</v>
      </c>
      <c r="B38" s="31"/>
      <c r="C38">
        <v>100</v>
      </c>
      <c r="E38" t="s">
        <v>400</v>
      </c>
      <c r="F38" t="s">
        <v>401</v>
      </c>
      <c r="H38" t="s">
        <v>333</v>
      </c>
      <c r="I38" t="s">
        <v>334</v>
      </c>
      <c r="J38" t="s">
        <v>335</v>
      </c>
      <c r="N38" t="s">
        <v>399</v>
      </c>
      <c r="AH38" s="102"/>
    </row>
    <row r="39" spans="1:34" x14ac:dyDescent="0.25">
      <c r="A39" s="97">
        <v>903</v>
      </c>
      <c r="B39" s="31"/>
      <c r="C39">
        <v>900</v>
      </c>
      <c r="E39" t="s">
        <v>400</v>
      </c>
      <c r="F39" t="s">
        <v>401</v>
      </c>
      <c r="H39" t="s">
        <v>333</v>
      </c>
      <c r="I39" t="s">
        <v>334</v>
      </c>
      <c r="J39" t="s">
        <v>335</v>
      </c>
      <c r="N39" t="s">
        <v>399</v>
      </c>
      <c r="AH39" s="102"/>
    </row>
    <row r="40" spans="1:34" x14ac:dyDescent="0.25">
      <c r="A40" s="97">
        <v>903</v>
      </c>
      <c r="B40" s="31"/>
      <c r="C40">
        <v>900</v>
      </c>
      <c r="E40" t="s">
        <v>400</v>
      </c>
      <c r="F40" t="s">
        <v>401</v>
      </c>
      <c r="H40" t="s">
        <v>333</v>
      </c>
      <c r="I40" t="s">
        <v>334</v>
      </c>
      <c r="J40" t="s">
        <v>335</v>
      </c>
      <c r="N40" t="s">
        <v>399</v>
      </c>
      <c r="AH40" s="102"/>
    </row>
    <row r="41" spans="1:34" x14ac:dyDescent="0.25">
      <c r="A41" s="97">
        <v>501</v>
      </c>
      <c r="B41" s="31"/>
      <c r="C41">
        <v>500</v>
      </c>
      <c r="E41" t="s">
        <v>400</v>
      </c>
      <c r="F41" t="s">
        <v>401</v>
      </c>
      <c r="H41" t="s">
        <v>333</v>
      </c>
      <c r="I41" t="s">
        <v>334</v>
      </c>
      <c r="J41" t="s">
        <v>335</v>
      </c>
      <c r="N41" t="s">
        <v>399</v>
      </c>
      <c r="AH41" s="102"/>
    </row>
    <row r="42" spans="1:34" x14ac:dyDescent="0.25">
      <c r="A42" s="97">
        <v>501</v>
      </c>
      <c r="B42" s="31"/>
      <c r="C42">
        <v>500</v>
      </c>
      <c r="E42" t="s">
        <v>400</v>
      </c>
      <c r="F42" t="s">
        <v>401</v>
      </c>
      <c r="H42" t="s">
        <v>333</v>
      </c>
      <c r="I42" t="s">
        <v>334</v>
      </c>
      <c r="J42" t="s">
        <v>335</v>
      </c>
      <c r="N42" t="s">
        <v>399</v>
      </c>
      <c r="AH42" s="102"/>
    </row>
    <row r="43" spans="1:34" x14ac:dyDescent="0.25">
      <c r="A43" s="97">
        <v>903</v>
      </c>
      <c r="B43" s="31"/>
      <c r="C43">
        <v>900</v>
      </c>
      <c r="E43" t="s">
        <v>400</v>
      </c>
      <c r="F43" t="s">
        <v>401</v>
      </c>
      <c r="H43" t="s">
        <v>333</v>
      </c>
      <c r="I43" t="s">
        <v>334</v>
      </c>
      <c r="J43" t="s">
        <v>335</v>
      </c>
      <c r="N43" t="s">
        <v>399</v>
      </c>
      <c r="AH43" s="102"/>
    </row>
    <row r="44" spans="1:34" x14ac:dyDescent="0.25">
      <c r="A44" s="97">
        <v>109</v>
      </c>
      <c r="B44" s="31"/>
      <c r="C44">
        <v>100</v>
      </c>
      <c r="E44" t="s">
        <v>400</v>
      </c>
      <c r="F44" t="s">
        <v>401</v>
      </c>
      <c r="H44" t="s">
        <v>333</v>
      </c>
      <c r="I44" t="s">
        <v>334</v>
      </c>
      <c r="J44" t="s">
        <v>335</v>
      </c>
      <c r="N44" t="s">
        <v>399</v>
      </c>
      <c r="AH44" s="102"/>
    </row>
    <row r="45" spans="1:34" x14ac:dyDescent="0.25">
      <c r="A45" s="97">
        <v>903</v>
      </c>
      <c r="B45" s="31"/>
      <c r="C45">
        <v>900</v>
      </c>
      <c r="E45" t="s">
        <v>400</v>
      </c>
      <c r="F45" t="s">
        <v>401</v>
      </c>
      <c r="H45" t="s">
        <v>333</v>
      </c>
      <c r="I45" t="s">
        <v>334</v>
      </c>
      <c r="J45" t="s">
        <v>335</v>
      </c>
      <c r="N45" t="s">
        <v>399</v>
      </c>
      <c r="AH45" s="102"/>
    </row>
    <row r="46" spans="1:34" x14ac:dyDescent="0.25">
      <c r="A46" s="97">
        <v>903</v>
      </c>
      <c r="B46" s="31"/>
      <c r="C46">
        <v>900</v>
      </c>
      <c r="E46" t="s">
        <v>400</v>
      </c>
      <c r="F46" t="s">
        <v>401</v>
      </c>
      <c r="H46" t="s">
        <v>333</v>
      </c>
      <c r="I46" t="s">
        <v>334</v>
      </c>
      <c r="J46" t="s">
        <v>335</v>
      </c>
      <c r="N46" t="s">
        <v>399</v>
      </c>
      <c r="AH46" s="102"/>
    </row>
    <row r="47" spans="1:34" x14ac:dyDescent="0.25">
      <c r="A47" s="97">
        <v>109</v>
      </c>
      <c r="B47" s="31"/>
      <c r="C47">
        <v>100</v>
      </c>
      <c r="E47" t="s">
        <v>400</v>
      </c>
      <c r="F47" t="s">
        <v>401</v>
      </c>
      <c r="H47" t="s">
        <v>333</v>
      </c>
      <c r="I47" t="s">
        <v>334</v>
      </c>
      <c r="J47" t="s">
        <v>335</v>
      </c>
      <c r="N47" t="s">
        <v>399</v>
      </c>
      <c r="AH47" s="102"/>
    </row>
    <row r="48" spans="1:34" x14ac:dyDescent="0.25">
      <c r="A48" s="97">
        <v>501</v>
      </c>
      <c r="B48" s="31"/>
      <c r="C48">
        <v>500</v>
      </c>
      <c r="E48" t="s">
        <v>400</v>
      </c>
      <c r="F48" t="s">
        <v>401</v>
      </c>
      <c r="H48" t="s">
        <v>333</v>
      </c>
      <c r="I48" t="s">
        <v>334</v>
      </c>
      <c r="J48" t="s">
        <v>335</v>
      </c>
      <c r="N48" t="s">
        <v>399</v>
      </c>
      <c r="AH48" s="102"/>
    </row>
    <row r="49" spans="1:34" x14ac:dyDescent="0.25">
      <c r="A49" s="97">
        <v>501</v>
      </c>
      <c r="B49" s="31"/>
      <c r="C49">
        <v>500</v>
      </c>
      <c r="E49" t="s">
        <v>400</v>
      </c>
      <c r="F49" t="s">
        <v>401</v>
      </c>
      <c r="H49" t="s">
        <v>333</v>
      </c>
      <c r="I49" t="s">
        <v>334</v>
      </c>
      <c r="J49" t="s">
        <v>335</v>
      </c>
      <c r="N49" t="s">
        <v>399</v>
      </c>
      <c r="AH49" s="102"/>
    </row>
    <row r="50" spans="1:34" x14ac:dyDescent="0.25">
      <c r="A50" s="97">
        <v>501</v>
      </c>
      <c r="B50" s="31"/>
      <c r="C50">
        <v>500</v>
      </c>
      <c r="E50" t="s">
        <v>400</v>
      </c>
      <c r="F50" t="s">
        <v>401</v>
      </c>
      <c r="H50" t="s">
        <v>333</v>
      </c>
      <c r="I50" t="s">
        <v>334</v>
      </c>
      <c r="J50" t="s">
        <v>335</v>
      </c>
      <c r="N50" t="s">
        <v>399</v>
      </c>
      <c r="AH50" s="102"/>
    </row>
    <row r="51" spans="1:34" x14ac:dyDescent="0.25">
      <c r="A51" s="97">
        <v>109</v>
      </c>
      <c r="B51" s="31"/>
      <c r="C51">
        <v>100</v>
      </c>
      <c r="E51" t="s">
        <v>400</v>
      </c>
      <c r="F51" t="s">
        <v>401</v>
      </c>
      <c r="H51" t="s">
        <v>333</v>
      </c>
      <c r="I51" t="s">
        <v>334</v>
      </c>
      <c r="J51" t="s">
        <v>335</v>
      </c>
      <c r="N51" t="s">
        <v>399</v>
      </c>
      <c r="AH51" s="102"/>
    </row>
    <row r="52" spans="1:34" x14ac:dyDescent="0.25">
      <c r="A52" s="97">
        <v>903</v>
      </c>
      <c r="B52" s="31"/>
      <c r="C52">
        <v>900</v>
      </c>
      <c r="E52" t="s">
        <v>400</v>
      </c>
      <c r="F52" t="s">
        <v>401</v>
      </c>
      <c r="H52" t="s">
        <v>333</v>
      </c>
      <c r="I52" t="s">
        <v>334</v>
      </c>
      <c r="J52" t="s">
        <v>335</v>
      </c>
      <c r="N52" t="s">
        <v>399</v>
      </c>
      <c r="AH52" s="102"/>
    </row>
    <row r="53" spans="1:34" x14ac:dyDescent="0.25">
      <c r="A53" s="97">
        <v>102</v>
      </c>
      <c r="B53" s="31"/>
      <c r="C53">
        <v>100</v>
      </c>
      <c r="E53" t="s">
        <v>400</v>
      </c>
      <c r="F53" t="s">
        <v>401</v>
      </c>
      <c r="H53" t="s">
        <v>333</v>
      </c>
      <c r="I53" t="s">
        <v>334</v>
      </c>
      <c r="J53" t="s">
        <v>335</v>
      </c>
      <c r="N53" t="s">
        <v>399</v>
      </c>
      <c r="AH53" s="102"/>
    </row>
    <row r="54" spans="1:34" x14ac:dyDescent="0.25">
      <c r="A54" s="97">
        <v>501</v>
      </c>
      <c r="B54" s="31"/>
      <c r="C54">
        <v>500</v>
      </c>
      <c r="E54" t="s">
        <v>400</v>
      </c>
      <c r="F54" t="s">
        <v>401</v>
      </c>
      <c r="H54" t="s">
        <v>333</v>
      </c>
      <c r="I54" t="s">
        <v>334</v>
      </c>
      <c r="J54" t="s">
        <v>335</v>
      </c>
      <c r="N54" t="s">
        <v>399</v>
      </c>
      <c r="AH54" s="102"/>
    </row>
    <row r="55" spans="1:34" x14ac:dyDescent="0.25">
      <c r="A55" s="97">
        <v>501</v>
      </c>
      <c r="B55" s="31"/>
      <c r="C55">
        <v>500</v>
      </c>
      <c r="E55" t="s">
        <v>400</v>
      </c>
      <c r="F55" t="s">
        <v>401</v>
      </c>
      <c r="H55" t="s">
        <v>333</v>
      </c>
      <c r="I55" t="s">
        <v>334</v>
      </c>
      <c r="J55" t="s">
        <v>335</v>
      </c>
      <c r="N55" t="s">
        <v>399</v>
      </c>
      <c r="AH55" s="102"/>
    </row>
    <row r="56" spans="1:34" x14ac:dyDescent="0.25">
      <c r="A56" s="97">
        <v>102</v>
      </c>
      <c r="B56" s="31"/>
      <c r="C56">
        <v>100</v>
      </c>
      <c r="E56" t="s">
        <v>400</v>
      </c>
      <c r="F56" t="s">
        <v>401</v>
      </c>
      <c r="H56" t="s">
        <v>333</v>
      </c>
      <c r="I56" t="s">
        <v>334</v>
      </c>
      <c r="J56" t="s">
        <v>335</v>
      </c>
      <c r="N56" t="s">
        <v>399</v>
      </c>
      <c r="AH56" s="102"/>
    </row>
    <row r="57" spans="1:34" x14ac:dyDescent="0.25">
      <c r="A57" s="97">
        <v>903</v>
      </c>
      <c r="B57" s="31"/>
      <c r="C57">
        <v>900</v>
      </c>
      <c r="E57" t="s">
        <v>400</v>
      </c>
      <c r="F57" t="s">
        <v>401</v>
      </c>
      <c r="H57" t="s">
        <v>333</v>
      </c>
      <c r="I57" t="s">
        <v>334</v>
      </c>
      <c r="J57" t="s">
        <v>335</v>
      </c>
      <c r="N57" t="s">
        <v>399</v>
      </c>
      <c r="AH57" s="102"/>
    </row>
    <row r="58" spans="1:34" x14ac:dyDescent="0.25">
      <c r="A58" s="97">
        <v>903</v>
      </c>
      <c r="B58" s="31"/>
      <c r="C58">
        <v>900</v>
      </c>
      <c r="E58" t="s">
        <v>400</v>
      </c>
      <c r="F58" t="s">
        <v>401</v>
      </c>
      <c r="H58" t="s">
        <v>333</v>
      </c>
      <c r="I58" t="s">
        <v>334</v>
      </c>
      <c r="J58" t="s">
        <v>335</v>
      </c>
      <c r="N58" t="s">
        <v>399</v>
      </c>
      <c r="AH58" s="102"/>
    </row>
    <row r="59" spans="1:34" x14ac:dyDescent="0.25">
      <c r="A59" s="97">
        <v>102</v>
      </c>
      <c r="B59" s="31"/>
      <c r="C59">
        <v>100</v>
      </c>
      <c r="E59" t="s">
        <v>400</v>
      </c>
      <c r="F59" t="s">
        <v>401</v>
      </c>
      <c r="H59" t="s">
        <v>333</v>
      </c>
      <c r="I59" t="s">
        <v>334</v>
      </c>
      <c r="J59" t="s">
        <v>335</v>
      </c>
      <c r="N59" t="s">
        <v>399</v>
      </c>
      <c r="AH59" s="102"/>
    </row>
    <row r="60" spans="1:34" x14ac:dyDescent="0.25">
      <c r="A60" s="97">
        <v>501</v>
      </c>
      <c r="B60" s="31"/>
      <c r="C60">
        <v>500</v>
      </c>
      <c r="E60" t="s">
        <v>400</v>
      </c>
      <c r="F60" t="s">
        <v>401</v>
      </c>
      <c r="H60" t="s">
        <v>333</v>
      </c>
      <c r="I60" t="s">
        <v>334</v>
      </c>
      <c r="J60" t="s">
        <v>335</v>
      </c>
      <c r="N60" t="s">
        <v>399</v>
      </c>
      <c r="AH60" s="102"/>
    </row>
    <row r="61" spans="1:34" x14ac:dyDescent="0.25">
      <c r="A61" s="97">
        <v>501</v>
      </c>
      <c r="B61" s="31"/>
      <c r="C61">
        <v>500</v>
      </c>
      <c r="E61" t="s">
        <v>400</v>
      </c>
      <c r="F61" t="s">
        <v>401</v>
      </c>
      <c r="H61" t="s">
        <v>333</v>
      </c>
      <c r="I61" t="s">
        <v>334</v>
      </c>
      <c r="J61" t="s">
        <v>335</v>
      </c>
      <c r="N61" t="s">
        <v>399</v>
      </c>
      <c r="AH61" s="102"/>
    </row>
    <row r="62" spans="1:34" x14ac:dyDescent="0.25">
      <c r="A62" s="97">
        <v>501</v>
      </c>
      <c r="B62" s="31"/>
      <c r="C62">
        <v>500</v>
      </c>
      <c r="E62" t="s">
        <v>400</v>
      </c>
      <c r="F62" t="s">
        <v>401</v>
      </c>
      <c r="H62" t="s">
        <v>333</v>
      </c>
      <c r="I62" t="s">
        <v>334</v>
      </c>
      <c r="J62" t="s">
        <v>335</v>
      </c>
      <c r="N62" t="s">
        <v>399</v>
      </c>
      <c r="AH62" s="102"/>
    </row>
    <row r="63" spans="1:34" x14ac:dyDescent="0.25">
      <c r="A63" s="97">
        <v>102</v>
      </c>
      <c r="B63" s="31"/>
      <c r="C63">
        <v>100</v>
      </c>
      <c r="E63" t="s">
        <v>400</v>
      </c>
      <c r="F63" t="s">
        <v>401</v>
      </c>
      <c r="H63" t="s">
        <v>333</v>
      </c>
      <c r="I63" t="s">
        <v>334</v>
      </c>
      <c r="J63" t="s">
        <v>335</v>
      </c>
      <c r="N63" t="s">
        <v>399</v>
      </c>
      <c r="AH63" s="102"/>
    </row>
    <row r="64" spans="1:34" x14ac:dyDescent="0.25">
      <c r="A64" s="97">
        <v>501</v>
      </c>
      <c r="B64" s="31"/>
      <c r="C64">
        <v>500</v>
      </c>
      <c r="E64" t="s">
        <v>400</v>
      </c>
      <c r="F64" t="s">
        <v>401</v>
      </c>
      <c r="H64" t="s">
        <v>333</v>
      </c>
      <c r="I64" t="s">
        <v>334</v>
      </c>
      <c r="J64" t="s">
        <v>335</v>
      </c>
      <c r="N64" t="s">
        <v>399</v>
      </c>
      <c r="AH64" s="102"/>
    </row>
    <row r="65" spans="1:34" ht="15.75" thickBot="1" x14ac:dyDescent="0.3">
      <c r="A65" s="98">
        <v>903</v>
      </c>
      <c r="B65" s="39"/>
      <c r="C65" s="40">
        <v>900</v>
      </c>
      <c r="D65" s="40" t="s">
        <v>340</v>
      </c>
      <c r="E65" s="40" t="s">
        <v>400</v>
      </c>
      <c r="F65" s="40" t="s">
        <v>401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399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03"/>
    </row>
    <row r="66" spans="1:34" ht="15.75" thickTop="1" x14ac:dyDescent="0.25"/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4" width="3.7109375" bestFit="1" customWidth="1"/>
    <col min="15" max="15" width="4.5703125" bestFit="1" customWidth="1"/>
    <col min="16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4.570312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407</v>
      </c>
      <c r="F3" s="29">
        <f>IF(P3=0,0,COUNTIF(Lekeitio_2_3b_imgsummary!BQ3:EB3,"100")*100/P3)</f>
        <v>21.875</v>
      </c>
      <c r="G3">
        <f>IF(P3=0,0,COUNTIF(Lekeitio_2_3b_imgsummary!BQ3:EB3,"200")*100/P3)</f>
        <v>0</v>
      </c>
      <c r="H3" s="29">
        <f>IF(P3=0,0,COUNTIF(Lekeitio_2_3b_imgsummary!BQ3:EB3,"300")*100/P3)</f>
        <v>4.6875</v>
      </c>
      <c r="I3">
        <f>IF(P3=0,0,COUNTIF(Lekeitio_2_3b_imgsummary!BQ3:EB3,"400")*100/P3)</f>
        <v>0</v>
      </c>
      <c r="J3" s="29">
        <f>IF(P3=0,0,COUNTIF(Lekeitio_2_3b_imgsummary!BQ3:EB3,"500")*100/P3)</f>
        <v>46.875</v>
      </c>
      <c r="K3">
        <f>IF(P3=0,0,COUNTIF(Lekeitio_2_3b_imgsummary!BQ3:EB3,"600")*100/P3)</f>
        <v>0</v>
      </c>
      <c r="L3" s="29">
        <f>IF(P3=0,0,COUNTIF(Lekeitio_2_3b_imgsummary!BQ3:EB3,"700")*100/P3)</f>
        <v>1.5625</v>
      </c>
      <c r="M3">
        <f>IF(P3=0,0,COUNTIF(Lekeitio_2_3b_imgsummary!BQ3:EB3,"800")*100/P3)</f>
        <v>0</v>
      </c>
      <c r="N3" s="29">
        <f>IF(P3=0,0,COUNTIF(Lekeitio_2_3b_imgsummary!BQ3:EB3,"900")*100/P3)</f>
        <v>7.8125</v>
      </c>
      <c r="O3" s="29">
        <f>IF(P3=0,0,COUNTIF(Lekeitio_2_3b_imgsummary!BQ3:EB3,"1000")*100/P3)</f>
        <v>17.1875</v>
      </c>
      <c r="P3">
        <f>64-COUNTIF(Lekeitio_2_3b_imgsummary!BQ3:EB3,"TWS")</f>
        <v>64</v>
      </c>
      <c r="S3">
        <f>IF(P3=0,0,COUNTIF(Lekeitio_2_3b_imgsummary!E3:BP3,"108")*100/P3)</f>
        <v>0</v>
      </c>
      <c r="T3">
        <f>IF(P3=0,0,COUNTIF(Lekeitio_2_3b_imgsummary!E3:BP3,"105")*100/P3)</f>
        <v>0</v>
      </c>
      <c r="U3">
        <f>IF(P3=0,0,COUNTIF(Lekeitio_2_3b_imgsummary!E3:BP3,"103")*100/P3)</f>
        <v>0</v>
      </c>
      <c r="V3">
        <f>IF(P3=0,0,COUNTIF(Lekeitio_2_3b_imgsummary!E3:BP3,"107")*100/P3)</f>
        <v>0</v>
      </c>
      <c r="W3">
        <f>IF(P3=0,0,COUNTIF(Lekeitio_2_3b_imgsummary!E3:BP3,"101")*100/P3)</f>
        <v>0</v>
      </c>
      <c r="X3">
        <f>IF(P3=0,0,COUNTIF(Lekeitio_2_3b_imgsummary!E3:BP3,"106")*100/P3)</f>
        <v>0</v>
      </c>
      <c r="Y3" s="29">
        <f>IF(P3=0,0,COUNTIF(Lekeitio_2_3b_imgsummary!E3:BP3,"102")*100/P3)</f>
        <v>21.875</v>
      </c>
      <c r="Z3">
        <f>IF(P3=0,0,COUNTIF(Lekeitio_2_3b_imgsummary!E3:BP3,"104")*100/P3)</f>
        <v>0</v>
      </c>
      <c r="AA3">
        <f>IF(P3=0,0,COUNTIF(Lekeitio_2_3b_imgsummary!E3:BP3,"111")*100/P3)</f>
        <v>0</v>
      </c>
      <c r="AB3">
        <f>IF(P3=0,0,COUNTIF(Lekeitio_2_3b_imgsummary!E3:BP3,"112")*100/P3)</f>
        <v>0</v>
      </c>
      <c r="AC3">
        <f>IF(P3=0,0,COUNTIF(Lekeitio_2_3b_imgsummary!E3:BP3,"113")*100/P3)</f>
        <v>0</v>
      </c>
      <c r="AD3">
        <f>IF(P3=0,0,COUNTIF(Lekeitio_2_3b_imgsummary!E3:BP3,"114")*100/P3)</f>
        <v>0</v>
      </c>
      <c r="AE3">
        <f>IF(P3=0,0,COUNTIF(Lekeitio_2_3b_imgsummary!E3:BP3,"115")*100/P3)</f>
        <v>0</v>
      </c>
      <c r="AF3">
        <f>IF(P3=0,0,COUNTIF(Lekeitio_2_3b_imgsummary!E3:BP3,"116")*100/P3)</f>
        <v>0</v>
      </c>
      <c r="AG3">
        <f>IF(P3=0,0,COUNTIF(Lekeitio_2_3b_imgsummary!E3:BP3,"117")*100/P3)</f>
        <v>0</v>
      </c>
      <c r="AH3">
        <f>IF(P3=0,0,COUNTIF(Lekeitio_2_3b_imgsummary!E3:BP3,"118")*100/P3)</f>
        <v>0</v>
      </c>
      <c r="AI3">
        <f>IF(P3=0,0,COUNTIF(Lekeitio_2_3b_imgsummary!E3:BP3,"109")*100/P3)</f>
        <v>0</v>
      </c>
      <c r="AJ3">
        <f>IF(P3=0,0,COUNTIF(Lekeitio_2_3b_imgsummary!E3:BP3,"110")*100/P3)</f>
        <v>0</v>
      </c>
      <c r="AL3">
        <f>IF(P3=0,0,COUNTIF(Lekeitio_2_3b_imgsummary!E3:BP3,"202")*100/P3)</f>
        <v>0</v>
      </c>
      <c r="AM3">
        <f>IF(P3=0,0,COUNTIF(Lekeitio_2_3b_imgsummary!E3:BP3,"201")*100/P3)</f>
        <v>0</v>
      </c>
      <c r="AO3">
        <f>IF(P3=0,0,COUNTIF(Lekeitio_2_3b_imgsummary!E3:BP3,"306")*100/P3)</f>
        <v>0</v>
      </c>
      <c r="AP3">
        <f>IF(P3=0,0,COUNTIF(Lekeitio_2_3b_imgsummary!E3:BP3,"302")*100/P3)</f>
        <v>0</v>
      </c>
      <c r="AQ3">
        <f>IF(P3=0,0,COUNTIF(Lekeitio_2_3b_imgsummary!E3:BP3,"307")*100/P3)</f>
        <v>0</v>
      </c>
      <c r="AR3" s="29">
        <f>IF(P3=0,0,COUNTIF(Lekeitio_2_3b_imgsummary!E3:BP3,"303")*100/P3)</f>
        <v>4.6875</v>
      </c>
      <c r="AS3">
        <f>IF(P3=0,0,COUNTIF(Lekeitio_2_3b_imgsummary!E3:BP3,"304")*100/P3)</f>
        <v>0</v>
      </c>
      <c r="AT3">
        <f>IF(P3=0,0,COUNTIF(Lekeitio_2_3b_imgsummary!E3:BP3,"305")*100/P3)</f>
        <v>0</v>
      </c>
      <c r="AV3">
        <f>IF(P3=0,0,COUNTIF(Lekeitio_2_3b_imgsummary!E3:BP3,"401")*100/P3)</f>
        <v>0</v>
      </c>
      <c r="AW3">
        <f>IF(P3=0,0,COUNTIF(Lekeitio_2_3b_imgsummary!E3:BP3,"402")*100/P3)</f>
        <v>0</v>
      </c>
      <c r="AY3" s="29">
        <f>IF(P3=0,0,COUNTIF(Lekeitio_2_3b_imgsummary!E3:BP3,"501")*100/P3)</f>
        <v>46.875</v>
      </c>
      <c r="AZ3">
        <f>IF(P3=0,0,COUNTIF(Lekeitio_2_3b_imgsummary!E3:BP3,"502")*100/P3)</f>
        <v>0</v>
      </c>
      <c r="BA3">
        <f>IF(P3=0,0,COUNTIF(Lekeitio_2_3b_imgsummary!E3:BP3,"503")*100/P3)</f>
        <v>0</v>
      </c>
      <c r="BB3">
        <f>IF(P3=0,0,COUNTIF(Lekeitio_2_3b_imgsummary!E3:BP3,"504")*100/P3)</f>
        <v>0</v>
      </c>
      <c r="BD3">
        <f>IF(P3=0,0,COUNTIF(Lekeitio_2_3b_imgsummary!E3:BP3,"601")*100/P3)</f>
        <v>0</v>
      </c>
      <c r="BE3">
        <f>IF(P3=0,0,COUNTIF(Lekeitio_2_3b_imgsummary!E3:BP3,"602")*100/P3)</f>
        <v>0</v>
      </c>
      <c r="BF3">
        <f>IF(P3=0,0,COUNTIF(Lekeitio_2_3b_imgsummary!E3:BP3,"603")*100/P3)</f>
        <v>0</v>
      </c>
      <c r="BG3">
        <f>IF(P3=0,0,COUNTIF(Lekeitio_2_3b_imgsummary!E3:BP3,"604")*100/P3)</f>
        <v>0</v>
      </c>
      <c r="BI3">
        <f>IF(P3=0,0,COUNTIF(Lekeitio_2_3b_imgsummary!E3:BP3,"701")*100/P3)</f>
        <v>0</v>
      </c>
      <c r="BJ3">
        <f>IF(P3=0,0,COUNTIF(Lekeitio_2_3b_imgsummary!E3:BP3,"702")*100/P3)</f>
        <v>0</v>
      </c>
      <c r="BK3" s="29">
        <f>IF(P3=0,0,COUNTIF(Lekeitio_2_3b_imgsummary!E3:BP3,"703")*100/P3)</f>
        <v>1.5625</v>
      </c>
      <c r="BL3">
        <f>IF(P3=0,0,COUNTIF(Lekeitio_2_3b_imgsummary!E3:BP3,"705")*100/P3)</f>
        <v>0</v>
      </c>
      <c r="BM3">
        <f>IF(P3=0,0,COUNTIF(Lekeitio_2_3b_imgsummary!E3:BP3,"704")*100/P3)</f>
        <v>0</v>
      </c>
      <c r="BO3">
        <f>IF(P3=0,0,COUNTIF(Lekeitio_2_3b_imgsummary!E3:BP3,"801")*100/P3)</f>
        <v>0</v>
      </c>
      <c r="BP3">
        <f>IF(P3=0,0,COUNTIF(Lekeitio_2_3b_imgsummary!E3:BP3,"802")*100/P3)</f>
        <v>0</v>
      </c>
      <c r="BR3">
        <f>IF(P3=0,0,COUNTIF(Lekeitio_2_3b_imgsummary!E3:BP3,"901")*100/P3)</f>
        <v>0</v>
      </c>
      <c r="BS3">
        <f>IF(P3=0,0,COUNTIF(Lekeitio_2_3b_imgsummary!E3:BP3,"902")*100/P3)</f>
        <v>0</v>
      </c>
      <c r="BT3">
        <f>IF(P3=0,0,COUNTIF(Lekeitio_2_3b_imgsummary!E3:BP3,"904")*100/P3)</f>
        <v>0</v>
      </c>
      <c r="BU3">
        <f>IF(P3=0,0,COUNTIF(Lekeitio_2_3b_imgsummary!E3:BP3,"905")*100/P3)</f>
        <v>0</v>
      </c>
      <c r="BV3" s="29">
        <f>IF(P3=0,0,COUNTIF(Lekeitio_2_3b_imgsummary!E3:BP3,"903")*100/P3)</f>
        <v>7.8125</v>
      </c>
      <c r="BX3" s="29">
        <f>IF(P3=0,0,COUNTIF(Lekeitio_2_3b_imgsummary!E3:BP3,"1001")*100/P3)</f>
        <v>17.1875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570312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412</v>
      </c>
      <c r="F3" s="29">
        <f>IF(P3=0,0,COUNTIF(Lekeitio_2_4a_imgsummary!BQ3:EB3,"100")*100/P3)</f>
        <v>15.625</v>
      </c>
      <c r="G3">
        <f>IF(P3=0,0,COUNTIF(Lekeitio_2_4a_imgsummary!BQ3:EB3,"200")*100/P3)</f>
        <v>0</v>
      </c>
      <c r="H3" s="29">
        <f>IF(P3=0,0,COUNTIF(Lekeitio_2_4a_imgsummary!BQ3:EB3,"300")*100/P3)</f>
        <v>25</v>
      </c>
      <c r="I3">
        <f>IF(P3=0,0,COUNTIF(Lekeitio_2_4a_imgsummary!BQ3:EB3,"400")*100/P3)</f>
        <v>0</v>
      </c>
      <c r="J3" s="29">
        <f>IF(P3=0,0,COUNTIF(Lekeitio_2_4a_imgsummary!BQ3:EB3,"500")*100/P3)</f>
        <v>43.75</v>
      </c>
      <c r="K3" s="29">
        <f>IF(P3=0,0,COUNTIF(Lekeitio_2_4a_imgsummary!BQ3:EB3,"600")*100/P3)</f>
        <v>1.5625</v>
      </c>
      <c r="L3">
        <f>IF(P3=0,0,COUNTIF(Lekeitio_2_4a_imgsummary!BQ3:EB3,"700")*100/P3)</f>
        <v>0</v>
      </c>
      <c r="M3">
        <f>IF(P3=0,0,COUNTIF(Lekeitio_2_4a_imgsummary!BQ3:EB3,"800")*100/P3)</f>
        <v>0</v>
      </c>
      <c r="N3" s="29">
        <f>IF(P3=0,0,COUNTIF(Lekeitio_2_4a_imgsummary!BQ3:EB3,"900")*100/P3)</f>
        <v>14.0625</v>
      </c>
      <c r="O3">
        <f>IF(P3=0,0,COUNTIF(Lekeitio_2_4a_imgsummary!BQ3:EB3,"1000")*100/P3)</f>
        <v>0</v>
      </c>
      <c r="P3">
        <f>64-COUNTIF(Lekeitio_2_4a_imgsummary!BQ3:EB3,"TWS")</f>
        <v>64</v>
      </c>
      <c r="S3">
        <f>IF(P3=0,0,COUNTIF(Lekeitio_2_4a_imgsummary!E3:BP3,"108")*100/P3)</f>
        <v>0</v>
      </c>
      <c r="T3">
        <f>IF(P3=0,0,COUNTIF(Lekeitio_2_4a_imgsummary!E3:BP3,"105")*100/P3)</f>
        <v>0</v>
      </c>
      <c r="U3">
        <f>IF(P3=0,0,COUNTIF(Lekeitio_2_4a_imgsummary!E3:BP3,"103")*100/P3)</f>
        <v>0</v>
      </c>
      <c r="V3">
        <f>IF(P3=0,0,COUNTIF(Lekeitio_2_4a_imgsummary!E3:BP3,"107")*100/P3)</f>
        <v>0</v>
      </c>
      <c r="W3">
        <f>IF(P3=0,0,COUNTIF(Lekeitio_2_4a_imgsummary!E3:BP3,"101")*100/P3)</f>
        <v>0</v>
      </c>
      <c r="X3">
        <f>IF(P3=0,0,COUNTIF(Lekeitio_2_4a_imgsummary!E3:BP3,"106")*100/P3)</f>
        <v>0</v>
      </c>
      <c r="Y3" s="29">
        <f>IF(P3=0,0,COUNTIF(Lekeitio_2_4a_imgsummary!E3:BP3,"102")*100/P3)</f>
        <v>15.625</v>
      </c>
      <c r="Z3">
        <f>IF(P3=0,0,COUNTIF(Lekeitio_2_4a_imgsummary!E3:BP3,"104")*100/P3)</f>
        <v>0</v>
      </c>
      <c r="AA3">
        <f>IF(P3=0,0,COUNTIF(Lekeitio_2_4a_imgsummary!E3:BP3,"111")*100/P3)</f>
        <v>0</v>
      </c>
      <c r="AB3">
        <f>IF(P3=0,0,COUNTIF(Lekeitio_2_4a_imgsummary!E3:BP3,"112")*100/P3)</f>
        <v>0</v>
      </c>
      <c r="AC3">
        <f>IF(P3=0,0,COUNTIF(Lekeitio_2_4a_imgsummary!E3:BP3,"113")*100/P3)</f>
        <v>0</v>
      </c>
      <c r="AD3">
        <f>IF(P3=0,0,COUNTIF(Lekeitio_2_4a_imgsummary!E3:BP3,"114")*100/P3)</f>
        <v>0</v>
      </c>
      <c r="AE3">
        <f>IF(P3=0,0,COUNTIF(Lekeitio_2_4a_imgsummary!E3:BP3,"115")*100/P3)</f>
        <v>0</v>
      </c>
      <c r="AF3">
        <f>IF(P3=0,0,COUNTIF(Lekeitio_2_4a_imgsummary!E3:BP3,"116")*100/P3)</f>
        <v>0</v>
      </c>
      <c r="AG3">
        <f>IF(P3=0,0,COUNTIF(Lekeitio_2_4a_imgsummary!E3:BP3,"117")*100/P3)</f>
        <v>0</v>
      </c>
      <c r="AH3">
        <f>IF(P3=0,0,COUNTIF(Lekeitio_2_4a_imgsummary!E3:BP3,"118")*100/P3)</f>
        <v>0</v>
      </c>
      <c r="AI3">
        <f>IF(P3=0,0,COUNTIF(Lekeitio_2_4a_imgsummary!E3:BP3,"109")*100/P3)</f>
        <v>0</v>
      </c>
      <c r="AJ3">
        <f>IF(P3=0,0,COUNTIF(Lekeitio_2_4a_imgsummary!E3:BP3,"110")*100/P3)</f>
        <v>0</v>
      </c>
      <c r="AL3">
        <f>IF(P3=0,0,COUNTIF(Lekeitio_2_4a_imgsummary!E3:BP3,"202")*100/P3)</f>
        <v>0</v>
      </c>
      <c r="AM3">
        <f>IF(P3=0,0,COUNTIF(Lekeitio_2_4a_imgsummary!E3:BP3,"201")*100/P3)</f>
        <v>0</v>
      </c>
      <c r="AO3">
        <f>IF(P3=0,0,COUNTIF(Lekeitio_2_4a_imgsummary!E3:BP3,"306")*100/P3)</f>
        <v>0</v>
      </c>
      <c r="AP3">
        <f>IF(P3=0,0,COUNTIF(Lekeitio_2_4a_imgsummary!E3:BP3,"302")*100/P3)</f>
        <v>0</v>
      </c>
      <c r="AQ3">
        <f>IF(P3=0,0,COUNTIF(Lekeitio_2_4a_imgsummary!E3:BP3,"307")*100/P3)</f>
        <v>0</v>
      </c>
      <c r="AR3" s="29">
        <f>IF(P3=0,0,COUNTIF(Lekeitio_2_4a_imgsummary!E3:BP3,"303")*100/P3)</f>
        <v>25</v>
      </c>
      <c r="AS3">
        <f>IF(P3=0,0,COUNTIF(Lekeitio_2_4a_imgsummary!E3:BP3,"304")*100/P3)</f>
        <v>0</v>
      </c>
      <c r="AT3">
        <f>IF(P3=0,0,COUNTIF(Lekeitio_2_4a_imgsummary!E3:BP3,"305")*100/P3)</f>
        <v>0</v>
      </c>
      <c r="AV3">
        <f>IF(P3=0,0,COUNTIF(Lekeitio_2_4a_imgsummary!E3:BP3,"401")*100/P3)</f>
        <v>0</v>
      </c>
      <c r="AW3">
        <f>IF(P3=0,0,COUNTIF(Lekeitio_2_4a_imgsummary!E3:BP3,"402")*100/P3)</f>
        <v>0</v>
      </c>
      <c r="AY3" s="29">
        <f>IF(P3=0,0,COUNTIF(Lekeitio_2_4a_imgsummary!E3:BP3,"501")*100/P3)</f>
        <v>43.75</v>
      </c>
      <c r="AZ3">
        <f>IF(P3=0,0,COUNTIF(Lekeitio_2_4a_imgsummary!E3:BP3,"502")*100/P3)</f>
        <v>0</v>
      </c>
      <c r="BA3">
        <f>IF(P3=0,0,COUNTIF(Lekeitio_2_4a_imgsummary!E3:BP3,"503")*100/P3)</f>
        <v>0</v>
      </c>
      <c r="BB3">
        <f>IF(P3=0,0,COUNTIF(Lekeitio_2_4a_imgsummary!E3:BP3,"504")*100/P3)</f>
        <v>0</v>
      </c>
      <c r="BD3">
        <f>IF(P3=0,0,COUNTIF(Lekeitio_2_4a_imgsummary!E3:BP3,"601")*100/P3)</f>
        <v>0</v>
      </c>
      <c r="BE3">
        <f>IF(P3=0,0,COUNTIF(Lekeitio_2_4a_imgsummary!E3:BP3,"602")*100/P3)</f>
        <v>0</v>
      </c>
      <c r="BF3">
        <f>IF(P3=0,0,COUNTIF(Lekeitio_2_4a_imgsummary!E3:BP3,"603")*100/P3)</f>
        <v>0</v>
      </c>
      <c r="BG3" s="29">
        <f>IF(P3=0,0,COUNTIF(Lekeitio_2_4a_imgsummary!E3:BP3,"604")*100/P3)</f>
        <v>1.5625</v>
      </c>
      <c r="BI3">
        <f>IF(P3=0,0,COUNTIF(Lekeitio_2_4a_imgsummary!E3:BP3,"701")*100/P3)</f>
        <v>0</v>
      </c>
      <c r="BJ3">
        <f>IF(P3=0,0,COUNTIF(Lekeitio_2_4a_imgsummary!E3:BP3,"702")*100/P3)</f>
        <v>0</v>
      </c>
      <c r="BK3">
        <f>IF(P3=0,0,COUNTIF(Lekeitio_2_4a_imgsummary!E3:BP3,"703")*100/P3)</f>
        <v>0</v>
      </c>
      <c r="BL3">
        <f>IF(P3=0,0,COUNTIF(Lekeitio_2_4a_imgsummary!E3:BP3,"705")*100/P3)</f>
        <v>0</v>
      </c>
      <c r="BM3">
        <f>IF(P3=0,0,COUNTIF(Lekeitio_2_4a_imgsummary!E3:BP3,"704")*100/P3)</f>
        <v>0</v>
      </c>
      <c r="BO3">
        <f>IF(P3=0,0,COUNTIF(Lekeitio_2_4a_imgsummary!E3:BP3,"801")*100/P3)</f>
        <v>0</v>
      </c>
      <c r="BP3">
        <f>IF(P3=0,0,COUNTIF(Lekeitio_2_4a_imgsummary!E3:BP3,"802")*100/P3)</f>
        <v>0</v>
      </c>
      <c r="BR3">
        <f>IF(P3=0,0,COUNTIF(Lekeitio_2_4a_imgsummary!E3:BP3,"901")*100/P3)</f>
        <v>0</v>
      </c>
      <c r="BS3">
        <f>IF(P3=0,0,COUNTIF(Lekeitio_2_4a_imgsummary!E3:BP3,"902")*100/P3)</f>
        <v>0</v>
      </c>
      <c r="BT3">
        <f>IF(P3=0,0,COUNTIF(Lekeitio_2_4a_imgsummary!E3:BP3,"904")*100/P3)</f>
        <v>0</v>
      </c>
      <c r="BU3">
        <f>IF(P3=0,0,COUNTIF(Lekeitio_2_4a_imgsummary!E3:BP3,"905")*100/P3)</f>
        <v>0</v>
      </c>
      <c r="BV3" s="29">
        <f>IF(P3=0,0,COUNTIF(Lekeitio_2_4a_imgsummary!E3:BP3,"903")*100/P3)</f>
        <v>14.0625</v>
      </c>
      <c r="BX3">
        <f>IF(P3=0,0,COUNTIF(Lekeitio_2_4a_imgsummary!E3:BP3,"1001")*100/P3)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416</v>
      </c>
      <c r="F3" s="29">
        <f>IF(P3=0,0,COUNTIF(Lekeitio_2_4b_imgsummary!BQ3:EB3,"100")*100/P3)</f>
        <v>34.375</v>
      </c>
      <c r="G3">
        <f>IF(P3=0,0,COUNTIF(Lekeitio_2_4b_imgsummary!BQ3:EB3,"200")*100/P3)</f>
        <v>0</v>
      </c>
      <c r="H3">
        <f>IF(P3=0,0,COUNTIF(Lekeitio_2_4b_imgsummary!BQ3:EB3,"300")*100/P3)</f>
        <v>0</v>
      </c>
      <c r="I3">
        <f>IF(P3=0,0,COUNTIF(Lekeitio_2_4b_imgsummary!BQ3:EB3,"400")*100/P3)</f>
        <v>0</v>
      </c>
      <c r="J3" s="29">
        <f>IF(P3=0,0,COUNTIF(Lekeitio_2_4b_imgsummary!BQ3:EB3,"500")*100/P3)</f>
        <v>48.4375</v>
      </c>
      <c r="K3" s="29">
        <f>IF(P3=0,0,COUNTIF(Lekeitio_2_4b_imgsummary!BQ3:EB3,"600")*100/P3)</f>
        <v>1.5625</v>
      </c>
      <c r="L3" s="29">
        <f>IF(P3=0,0,COUNTIF(Lekeitio_2_4b_imgsummary!BQ3:EB3,"700")*100/P3)</f>
        <v>1.5625</v>
      </c>
      <c r="M3">
        <f>IF(P3=0,0,COUNTIF(Lekeitio_2_4b_imgsummary!BQ3:EB3,"800")*100/P3)</f>
        <v>0</v>
      </c>
      <c r="N3" s="29">
        <f>IF(P3=0,0,COUNTIF(Lekeitio_2_4b_imgsummary!BQ3:EB3,"900")*100/P3)</f>
        <v>10.9375</v>
      </c>
      <c r="O3" s="29">
        <f>IF(P3=0,0,COUNTIF(Lekeitio_2_4b_imgsummary!BQ3:EB3,"1000")*100/P3)</f>
        <v>3.125</v>
      </c>
      <c r="P3">
        <f>64-COUNTIF(Lekeitio_2_4b_imgsummary!BQ3:EB3,"TWS")</f>
        <v>64</v>
      </c>
      <c r="S3">
        <f>IF(P3=0,0,COUNTIF(Lekeitio_2_4b_imgsummary!E3:BP3,"108")*100/P3)</f>
        <v>0</v>
      </c>
      <c r="T3">
        <f>IF(P3=0,0,COUNTIF(Lekeitio_2_4b_imgsummary!E3:BP3,"105")*100/P3)</f>
        <v>0</v>
      </c>
      <c r="U3">
        <f>IF(P3=0,0,COUNTIF(Lekeitio_2_4b_imgsummary!E3:BP3,"103")*100/P3)</f>
        <v>0</v>
      </c>
      <c r="V3">
        <f>IF(P3=0,0,COUNTIF(Lekeitio_2_4b_imgsummary!E3:BP3,"107")*100/P3)</f>
        <v>0</v>
      </c>
      <c r="W3">
        <f>IF(P3=0,0,COUNTIF(Lekeitio_2_4b_imgsummary!E3:BP3,"101")*100/P3)</f>
        <v>0</v>
      </c>
      <c r="X3">
        <f>IF(P3=0,0,COUNTIF(Lekeitio_2_4b_imgsummary!E3:BP3,"106")*100/P3)</f>
        <v>0</v>
      </c>
      <c r="Y3" s="29">
        <f>IF(P3=0,0,COUNTIF(Lekeitio_2_4b_imgsummary!E3:BP3,"102")*100/P3)</f>
        <v>6.25</v>
      </c>
      <c r="Z3" s="29">
        <f>IF(P3=0,0,COUNTIF(Lekeitio_2_4b_imgsummary!E3:BP3,"104")*100/P3)</f>
        <v>1.5625</v>
      </c>
      <c r="AA3">
        <f>IF(P3=0,0,COUNTIF(Lekeitio_2_4b_imgsummary!E3:BP3,"111")*100/P3)</f>
        <v>0</v>
      </c>
      <c r="AB3">
        <f>IF(P3=0,0,COUNTIF(Lekeitio_2_4b_imgsummary!E3:BP3,"112")*100/P3)</f>
        <v>0</v>
      </c>
      <c r="AC3">
        <f>IF(P3=0,0,COUNTIF(Lekeitio_2_4b_imgsummary!E3:BP3,"113")*100/P3)</f>
        <v>0</v>
      </c>
      <c r="AD3">
        <f>IF(P3=0,0,COUNTIF(Lekeitio_2_4b_imgsummary!E3:BP3,"114")*100/P3)</f>
        <v>0</v>
      </c>
      <c r="AE3">
        <f>IF(P3=0,0,COUNTIF(Lekeitio_2_4b_imgsummary!E3:BP3,"115")*100/P3)</f>
        <v>0</v>
      </c>
      <c r="AF3">
        <f>IF(P3=0,0,COUNTIF(Lekeitio_2_4b_imgsummary!E3:BP3,"116")*100/P3)</f>
        <v>0</v>
      </c>
      <c r="AG3">
        <f>IF(P3=0,0,COUNTIF(Lekeitio_2_4b_imgsummary!E3:BP3,"117")*100/P3)</f>
        <v>0</v>
      </c>
      <c r="AH3">
        <f>IF(P3=0,0,COUNTIF(Lekeitio_2_4b_imgsummary!E3:BP3,"118")*100/P3)</f>
        <v>0</v>
      </c>
      <c r="AI3" s="29">
        <f>IF(P3=0,0,COUNTIF(Lekeitio_2_4b_imgsummary!E3:BP3,"109")*100/P3)</f>
        <v>26.5625</v>
      </c>
      <c r="AJ3">
        <f>IF(P3=0,0,COUNTIF(Lekeitio_2_4b_imgsummary!E3:BP3,"110")*100/P3)</f>
        <v>0</v>
      </c>
      <c r="AL3">
        <f>IF(P3=0,0,COUNTIF(Lekeitio_2_4b_imgsummary!E3:BP3,"202")*100/P3)</f>
        <v>0</v>
      </c>
      <c r="AM3">
        <f>IF(P3=0,0,COUNTIF(Lekeitio_2_4b_imgsummary!E3:BP3,"201")*100/P3)</f>
        <v>0</v>
      </c>
      <c r="AO3">
        <f>IF(P3=0,0,COUNTIF(Lekeitio_2_4b_imgsummary!E3:BP3,"306")*100/P3)</f>
        <v>0</v>
      </c>
      <c r="AP3">
        <f>IF(P3=0,0,COUNTIF(Lekeitio_2_4b_imgsummary!E3:BP3,"302")*100/P3)</f>
        <v>0</v>
      </c>
      <c r="AQ3">
        <f>IF(P3=0,0,COUNTIF(Lekeitio_2_4b_imgsummary!E3:BP3,"307")*100/P3)</f>
        <v>0</v>
      </c>
      <c r="AR3">
        <f>IF(P3=0,0,COUNTIF(Lekeitio_2_4b_imgsummary!E3:BP3,"303")*100/P3)</f>
        <v>0</v>
      </c>
      <c r="AS3">
        <f>IF(P3=0,0,COUNTIF(Lekeitio_2_4b_imgsummary!E3:BP3,"304")*100/P3)</f>
        <v>0</v>
      </c>
      <c r="AT3">
        <f>IF(P3=0,0,COUNTIF(Lekeitio_2_4b_imgsummary!E3:BP3,"305")*100/P3)</f>
        <v>0</v>
      </c>
      <c r="AV3">
        <f>IF(P3=0,0,COUNTIF(Lekeitio_2_4b_imgsummary!E3:BP3,"401")*100/P3)</f>
        <v>0</v>
      </c>
      <c r="AW3">
        <f>IF(P3=0,0,COUNTIF(Lekeitio_2_4b_imgsummary!E3:BP3,"402")*100/P3)</f>
        <v>0</v>
      </c>
      <c r="AY3" s="29">
        <f>IF(P3=0,0,COUNTIF(Lekeitio_2_4b_imgsummary!E3:BP3,"501")*100/P3)</f>
        <v>48.4375</v>
      </c>
      <c r="AZ3">
        <f>IF(P3=0,0,COUNTIF(Lekeitio_2_4b_imgsummary!E3:BP3,"502")*100/P3)</f>
        <v>0</v>
      </c>
      <c r="BA3">
        <f>IF(P3=0,0,COUNTIF(Lekeitio_2_4b_imgsummary!E3:BP3,"503")*100/P3)</f>
        <v>0</v>
      </c>
      <c r="BB3">
        <f>IF(P3=0,0,COUNTIF(Lekeitio_2_4b_imgsummary!E3:BP3,"504")*100/P3)</f>
        <v>0</v>
      </c>
      <c r="BD3">
        <f>IF(P3=0,0,COUNTIF(Lekeitio_2_4b_imgsummary!E3:BP3,"601")*100/P3)</f>
        <v>0</v>
      </c>
      <c r="BE3">
        <f>IF(P3=0,0,COUNTIF(Lekeitio_2_4b_imgsummary!E3:BP3,"602")*100/P3)</f>
        <v>0</v>
      </c>
      <c r="BF3" s="29">
        <f>IF(P3=0,0,COUNTIF(Lekeitio_2_4b_imgsummary!E3:BP3,"603")*100/P3)</f>
        <v>1.5625</v>
      </c>
      <c r="BG3">
        <f>IF(P3=0,0,COUNTIF(Lekeitio_2_4b_imgsummary!E3:BP3,"604")*100/P3)</f>
        <v>0</v>
      </c>
      <c r="BI3">
        <f>IF(P3=0,0,COUNTIF(Lekeitio_2_4b_imgsummary!E3:BP3,"701")*100/P3)</f>
        <v>0</v>
      </c>
      <c r="BJ3">
        <f>IF(P3=0,0,COUNTIF(Lekeitio_2_4b_imgsummary!E3:BP3,"702")*100/P3)</f>
        <v>0</v>
      </c>
      <c r="BK3" s="29">
        <f>IF(P3=0,0,COUNTIF(Lekeitio_2_4b_imgsummary!E3:BP3,"703")*100/P3)</f>
        <v>1.5625</v>
      </c>
      <c r="BL3">
        <f>IF(P3=0,0,COUNTIF(Lekeitio_2_4b_imgsummary!E3:BP3,"705")*100/P3)</f>
        <v>0</v>
      </c>
      <c r="BM3">
        <f>IF(P3=0,0,COUNTIF(Lekeitio_2_4b_imgsummary!E3:BP3,"704")*100/P3)</f>
        <v>0</v>
      </c>
      <c r="BO3">
        <f>IF(P3=0,0,COUNTIF(Lekeitio_2_4b_imgsummary!E3:BP3,"801")*100/P3)</f>
        <v>0</v>
      </c>
      <c r="BP3">
        <f>IF(P3=0,0,COUNTIF(Lekeitio_2_4b_imgsummary!E3:BP3,"802")*100/P3)</f>
        <v>0</v>
      </c>
      <c r="BR3">
        <f>IF(P3=0,0,COUNTIF(Lekeitio_2_4b_imgsummary!E3:BP3,"901")*100/P3)</f>
        <v>0</v>
      </c>
      <c r="BS3">
        <f>IF(P3=0,0,COUNTIF(Lekeitio_2_4b_imgsummary!E3:BP3,"902")*100/P3)</f>
        <v>0</v>
      </c>
      <c r="BT3">
        <f>IF(P3=0,0,COUNTIF(Lekeitio_2_4b_imgsummary!E3:BP3,"904")*100/P3)</f>
        <v>0</v>
      </c>
      <c r="BU3">
        <f>IF(P3=0,0,COUNTIF(Lekeitio_2_4b_imgsummary!E3:BP3,"905")*100/P3)</f>
        <v>0</v>
      </c>
      <c r="BV3" s="29">
        <f>IF(P3=0,0,COUNTIF(Lekeitio_2_4b_imgsummary!E3:BP3,"903")*100/P3)</f>
        <v>10.9375</v>
      </c>
      <c r="BX3" s="29">
        <f>IF(P3=0,0,COUNTIF(Lekeitio_2_4b_imgsummary!E3:BP3,"1001")*100/P3)</f>
        <v>3.125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570312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421</v>
      </c>
      <c r="F3" s="29">
        <f>IF(P3=0,0,COUNTIF(Lekeitio_2_5a_imgsummary!BQ3:EB3,"100")*100/P3)</f>
        <v>34.375</v>
      </c>
      <c r="G3">
        <f>IF(P3=0,0,COUNTIF(Lekeitio_2_5a_imgsummary!BQ3:EB3,"200")*100/P3)</f>
        <v>0</v>
      </c>
      <c r="H3" s="29">
        <f>IF(P3=0,0,COUNTIF(Lekeitio_2_5a_imgsummary!BQ3:EB3,"300")*100/P3)</f>
        <v>28.125</v>
      </c>
      <c r="I3">
        <f>IF(P3=0,0,COUNTIF(Lekeitio_2_5a_imgsummary!BQ3:EB3,"400")*100/P3)</f>
        <v>0</v>
      </c>
      <c r="J3" s="29">
        <f>IF(P3=0,0,COUNTIF(Lekeitio_2_5a_imgsummary!BQ3:EB3,"500")*100/P3)</f>
        <v>37.5</v>
      </c>
      <c r="K3">
        <f>IF(P3=0,0,COUNTIF(Lekeitio_2_5a_imgsummary!BQ3:EB3,"600")*100/P3)</f>
        <v>0</v>
      </c>
      <c r="L3">
        <f>IF(P3=0,0,COUNTIF(Lekeitio_2_5a_imgsummary!BQ3:EB3,"700")*100/P3)</f>
        <v>0</v>
      </c>
      <c r="M3">
        <f>IF(P3=0,0,COUNTIF(Lekeitio_2_5a_imgsummary!BQ3:EB3,"800")*100/P3)</f>
        <v>0</v>
      </c>
      <c r="N3">
        <f>IF(P3=0,0,COUNTIF(Lekeitio_2_5a_imgsummary!BQ3:EB3,"900")*100/P3)</f>
        <v>0</v>
      </c>
      <c r="O3">
        <f>IF(P3=0,0,COUNTIF(Lekeitio_2_5a_imgsummary!BQ3:EB3,"1000")*100/P3)</f>
        <v>0</v>
      </c>
      <c r="P3">
        <f>64-COUNTIF(Lekeitio_2_5a_imgsummary!BQ3:EB3,"TWS")</f>
        <v>64</v>
      </c>
      <c r="S3">
        <f>IF(P3=0,0,COUNTIF(Lekeitio_2_5a_imgsummary!E3:BP3,"108")*100/P3)</f>
        <v>0</v>
      </c>
      <c r="T3">
        <f>IF(P3=0,0,COUNTIF(Lekeitio_2_5a_imgsummary!E3:BP3,"105")*100/P3)</f>
        <v>0</v>
      </c>
      <c r="U3">
        <f>IF(P3=0,0,COUNTIF(Lekeitio_2_5a_imgsummary!E3:BP3,"103")*100/P3)</f>
        <v>0</v>
      </c>
      <c r="V3">
        <f>IF(P3=0,0,COUNTIF(Lekeitio_2_5a_imgsummary!E3:BP3,"107")*100/P3)</f>
        <v>0</v>
      </c>
      <c r="W3">
        <f>IF(P3=0,0,COUNTIF(Lekeitio_2_5a_imgsummary!E3:BP3,"101")*100/P3)</f>
        <v>0</v>
      </c>
      <c r="X3">
        <f>IF(P3=0,0,COUNTIF(Lekeitio_2_5a_imgsummary!E3:BP3,"106")*100/P3)</f>
        <v>0</v>
      </c>
      <c r="Y3" s="29">
        <f>IF(P3=0,0,COUNTIF(Lekeitio_2_5a_imgsummary!E3:BP3,"102")*100/P3)</f>
        <v>9.375</v>
      </c>
      <c r="Z3" s="29">
        <f>IF(P3=0,0,COUNTIF(Lekeitio_2_5a_imgsummary!E3:BP3,"104")*100/P3)</f>
        <v>6.25</v>
      </c>
      <c r="AA3">
        <f>IF(P3=0,0,COUNTIF(Lekeitio_2_5a_imgsummary!E3:BP3,"111")*100/P3)</f>
        <v>0</v>
      </c>
      <c r="AB3">
        <f>IF(P3=0,0,COUNTIF(Lekeitio_2_5a_imgsummary!E3:BP3,"112")*100/P3)</f>
        <v>0</v>
      </c>
      <c r="AC3">
        <f>IF(P3=0,0,COUNTIF(Lekeitio_2_5a_imgsummary!E3:BP3,"113")*100/P3)</f>
        <v>0</v>
      </c>
      <c r="AD3">
        <f>IF(P3=0,0,COUNTIF(Lekeitio_2_5a_imgsummary!E3:BP3,"114")*100/P3)</f>
        <v>0</v>
      </c>
      <c r="AE3">
        <f>IF(P3=0,0,COUNTIF(Lekeitio_2_5a_imgsummary!E3:BP3,"115")*100/P3)</f>
        <v>0</v>
      </c>
      <c r="AF3">
        <f>IF(P3=0,0,COUNTIF(Lekeitio_2_5a_imgsummary!E3:BP3,"116")*100/P3)</f>
        <v>0</v>
      </c>
      <c r="AG3">
        <f>IF(P3=0,0,COUNTIF(Lekeitio_2_5a_imgsummary!E3:BP3,"117")*100/P3)</f>
        <v>0</v>
      </c>
      <c r="AH3">
        <f>IF(P3=0,0,COUNTIF(Lekeitio_2_5a_imgsummary!E3:BP3,"118")*100/P3)</f>
        <v>0</v>
      </c>
      <c r="AI3" s="29">
        <f>IF(P3=0,0,COUNTIF(Lekeitio_2_5a_imgsummary!E3:BP3,"109")*100/P3)</f>
        <v>18.75</v>
      </c>
      <c r="AJ3">
        <f>IF(P3=0,0,COUNTIF(Lekeitio_2_5a_imgsummary!E3:BP3,"110")*100/P3)</f>
        <v>0</v>
      </c>
      <c r="AL3">
        <f>IF(P3=0,0,COUNTIF(Lekeitio_2_5a_imgsummary!E3:BP3,"202")*100/P3)</f>
        <v>0</v>
      </c>
      <c r="AM3">
        <f>IF(P3=0,0,COUNTIF(Lekeitio_2_5a_imgsummary!E3:BP3,"201")*100/P3)</f>
        <v>0</v>
      </c>
      <c r="AO3">
        <f>IF(P3=0,0,COUNTIF(Lekeitio_2_5a_imgsummary!E3:BP3,"306")*100/P3)</f>
        <v>0</v>
      </c>
      <c r="AP3">
        <f>IF(P3=0,0,COUNTIF(Lekeitio_2_5a_imgsummary!E3:BP3,"302")*100/P3)</f>
        <v>0</v>
      </c>
      <c r="AQ3">
        <f>IF(P3=0,0,COUNTIF(Lekeitio_2_5a_imgsummary!E3:BP3,"307")*100/P3)</f>
        <v>0</v>
      </c>
      <c r="AR3" s="29">
        <f>IF(P3=0,0,COUNTIF(Lekeitio_2_5a_imgsummary!E3:BP3,"303")*100/P3)</f>
        <v>28.125</v>
      </c>
      <c r="AS3">
        <f>IF(P3=0,0,COUNTIF(Lekeitio_2_5a_imgsummary!E3:BP3,"304")*100/P3)</f>
        <v>0</v>
      </c>
      <c r="AT3">
        <f>IF(P3=0,0,COUNTIF(Lekeitio_2_5a_imgsummary!E3:BP3,"305")*100/P3)</f>
        <v>0</v>
      </c>
      <c r="AV3">
        <f>IF(P3=0,0,COUNTIF(Lekeitio_2_5a_imgsummary!E3:BP3,"401")*100/P3)</f>
        <v>0</v>
      </c>
      <c r="AW3">
        <f>IF(P3=0,0,COUNTIF(Lekeitio_2_5a_imgsummary!E3:BP3,"402")*100/P3)</f>
        <v>0</v>
      </c>
      <c r="AY3" s="29">
        <f>IF(P3=0,0,COUNTIF(Lekeitio_2_5a_imgsummary!E3:BP3,"501")*100/P3)</f>
        <v>37.5</v>
      </c>
      <c r="AZ3">
        <f>IF(P3=0,0,COUNTIF(Lekeitio_2_5a_imgsummary!E3:BP3,"502")*100/P3)</f>
        <v>0</v>
      </c>
      <c r="BA3">
        <f>IF(P3=0,0,COUNTIF(Lekeitio_2_5a_imgsummary!E3:BP3,"503")*100/P3)</f>
        <v>0</v>
      </c>
      <c r="BB3">
        <f>IF(P3=0,0,COUNTIF(Lekeitio_2_5a_imgsummary!E3:BP3,"504")*100/P3)</f>
        <v>0</v>
      </c>
      <c r="BD3">
        <f>IF(P3=0,0,COUNTIF(Lekeitio_2_5a_imgsummary!E3:BP3,"601")*100/P3)</f>
        <v>0</v>
      </c>
      <c r="BE3">
        <f>IF(P3=0,0,COUNTIF(Lekeitio_2_5a_imgsummary!E3:BP3,"602")*100/P3)</f>
        <v>0</v>
      </c>
      <c r="BF3">
        <f>IF(P3=0,0,COUNTIF(Lekeitio_2_5a_imgsummary!E3:BP3,"603")*100/P3)</f>
        <v>0</v>
      </c>
      <c r="BG3">
        <f>IF(P3=0,0,COUNTIF(Lekeitio_2_5a_imgsummary!E3:BP3,"604")*100/P3)</f>
        <v>0</v>
      </c>
      <c r="BI3">
        <f>IF(P3=0,0,COUNTIF(Lekeitio_2_5a_imgsummary!E3:BP3,"701")*100/P3)</f>
        <v>0</v>
      </c>
      <c r="BJ3">
        <f>IF(P3=0,0,COUNTIF(Lekeitio_2_5a_imgsummary!E3:BP3,"702")*100/P3)</f>
        <v>0</v>
      </c>
      <c r="BK3">
        <f>IF(P3=0,0,COUNTIF(Lekeitio_2_5a_imgsummary!E3:BP3,"703")*100/P3)</f>
        <v>0</v>
      </c>
      <c r="BL3">
        <f>IF(P3=0,0,COUNTIF(Lekeitio_2_5a_imgsummary!E3:BP3,"705")*100/P3)</f>
        <v>0</v>
      </c>
      <c r="BM3">
        <f>IF(P3=0,0,COUNTIF(Lekeitio_2_5a_imgsummary!E3:BP3,"704")*100/P3)</f>
        <v>0</v>
      </c>
      <c r="BO3">
        <f>IF(P3=0,0,COUNTIF(Lekeitio_2_5a_imgsummary!E3:BP3,"801")*100/P3)</f>
        <v>0</v>
      </c>
      <c r="BP3">
        <f>IF(P3=0,0,COUNTIF(Lekeitio_2_5a_imgsummary!E3:BP3,"802")*100/P3)</f>
        <v>0</v>
      </c>
      <c r="BR3">
        <f>IF(P3=0,0,COUNTIF(Lekeitio_2_5a_imgsummary!E3:BP3,"901")*100/P3)</f>
        <v>0</v>
      </c>
      <c r="BS3">
        <f>IF(P3=0,0,COUNTIF(Lekeitio_2_5a_imgsummary!E3:BP3,"902")*100/P3)</f>
        <v>0</v>
      </c>
      <c r="BT3">
        <f>IF(P3=0,0,COUNTIF(Lekeitio_2_5a_imgsummary!E3:BP3,"904")*100/P3)</f>
        <v>0</v>
      </c>
      <c r="BU3">
        <f>IF(P3=0,0,COUNTIF(Lekeitio_2_5a_imgsummary!E3:BP3,"905")*100/P3)</f>
        <v>0</v>
      </c>
      <c r="BV3">
        <f>IF(P3=0,0,COUNTIF(Lekeitio_2_5a_imgsummary!E3:BP3,"903")*100/P3)</f>
        <v>0</v>
      </c>
      <c r="BX3">
        <f>IF(P3=0,0,COUNTIF(Lekeitio_2_5a_imgsummary!E3:BP3,"1001")*100/P3)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425</v>
      </c>
      <c r="F3" s="29">
        <f>IF(P3=0,0,COUNTIF(Lekeitio_2_5b_imgsummary!BQ3:EB3,"100")*100/P3)</f>
        <v>39.0625</v>
      </c>
      <c r="G3">
        <f>IF(P3=0,0,COUNTIF(Lekeitio_2_5b_imgsummary!BQ3:EB3,"200")*100/P3)</f>
        <v>0</v>
      </c>
      <c r="H3" s="29">
        <f>IF(P3=0,0,COUNTIF(Lekeitio_2_5b_imgsummary!BQ3:EB3,"300")*100/P3)</f>
        <v>4.6875</v>
      </c>
      <c r="I3">
        <f>IF(P3=0,0,COUNTIF(Lekeitio_2_5b_imgsummary!BQ3:EB3,"400")*100/P3)</f>
        <v>0</v>
      </c>
      <c r="J3" s="29">
        <f>IF(P3=0,0,COUNTIF(Lekeitio_2_5b_imgsummary!BQ3:EB3,"500")*100/P3)</f>
        <v>43.75</v>
      </c>
      <c r="K3">
        <f>IF(P3=0,0,COUNTIF(Lekeitio_2_5b_imgsummary!BQ3:EB3,"600")*100/P3)</f>
        <v>0</v>
      </c>
      <c r="L3">
        <f>IF(P3=0,0,COUNTIF(Lekeitio_2_5b_imgsummary!BQ3:EB3,"700")*100/P3)</f>
        <v>0</v>
      </c>
      <c r="M3">
        <f>IF(P3=0,0,COUNTIF(Lekeitio_2_5b_imgsummary!BQ3:EB3,"800")*100/P3)</f>
        <v>0</v>
      </c>
      <c r="N3" s="29">
        <f>IF(P3=0,0,COUNTIF(Lekeitio_2_5b_imgsummary!BQ3:EB3,"900")*100/P3)</f>
        <v>12.5</v>
      </c>
      <c r="O3">
        <f>IF(P3=0,0,COUNTIF(Lekeitio_2_5b_imgsummary!BQ3:EB3,"1000")*100/P3)</f>
        <v>0</v>
      </c>
      <c r="P3">
        <f>64-COUNTIF(Lekeitio_2_5b_imgsummary!BQ3:EB3,"TWS")</f>
        <v>64</v>
      </c>
      <c r="S3">
        <f>IF(P3=0,0,COUNTIF(Lekeitio_2_5b_imgsummary!E3:BP3,"108")*100/P3)</f>
        <v>0</v>
      </c>
      <c r="T3">
        <f>IF(P3=0,0,COUNTIF(Lekeitio_2_5b_imgsummary!E3:BP3,"105")*100/P3)</f>
        <v>0</v>
      </c>
      <c r="U3">
        <f>IF(P3=0,0,COUNTIF(Lekeitio_2_5b_imgsummary!E3:BP3,"103")*100/P3)</f>
        <v>0</v>
      </c>
      <c r="V3">
        <f>IF(P3=0,0,COUNTIF(Lekeitio_2_5b_imgsummary!E3:BP3,"107")*100/P3)</f>
        <v>0</v>
      </c>
      <c r="W3">
        <f>IF(P3=0,0,COUNTIF(Lekeitio_2_5b_imgsummary!E3:BP3,"101")*100/P3)</f>
        <v>0</v>
      </c>
      <c r="X3">
        <f>IF(P3=0,0,COUNTIF(Lekeitio_2_5b_imgsummary!E3:BP3,"106")*100/P3)</f>
        <v>0</v>
      </c>
      <c r="Y3" s="29">
        <f>IF(P3=0,0,COUNTIF(Lekeitio_2_5b_imgsummary!E3:BP3,"102")*100/P3)</f>
        <v>35.9375</v>
      </c>
      <c r="Z3" s="29">
        <f>IF(P3=0,0,COUNTIF(Lekeitio_2_5b_imgsummary!E3:BP3,"104")*100/P3)</f>
        <v>3.125</v>
      </c>
      <c r="AA3">
        <f>IF(P3=0,0,COUNTIF(Lekeitio_2_5b_imgsummary!E3:BP3,"111")*100/P3)</f>
        <v>0</v>
      </c>
      <c r="AB3">
        <f>IF(P3=0,0,COUNTIF(Lekeitio_2_5b_imgsummary!E3:BP3,"112")*100/P3)</f>
        <v>0</v>
      </c>
      <c r="AC3">
        <f>IF(P3=0,0,COUNTIF(Lekeitio_2_5b_imgsummary!E3:BP3,"113")*100/P3)</f>
        <v>0</v>
      </c>
      <c r="AD3">
        <f>IF(P3=0,0,COUNTIF(Lekeitio_2_5b_imgsummary!E3:BP3,"114")*100/P3)</f>
        <v>0</v>
      </c>
      <c r="AE3">
        <f>IF(P3=0,0,COUNTIF(Lekeitio_2_5b_imgsummary!E3:BP3,"115")*100/P3)</f>
        <v>0</v>
      </c>
      <c r="AF3">
        <f>IF(P3=0,0,COUNTIF(Lekeitio_2_5b_imgsummary!E3:BP3,"116")*100/P3)</f>
        <v>0</v>
      </c>
      <c r="AG3">
        <f>IF(P3=0,0,COUNTIF(Lekeitio_2_5b_imgsummary!E3:BP3,"117")*100/P3)</f>
        <v>0</v>
      </c>
      <c r="AH3">
        <f>IF(P3=0,0,COUNTIF(Lekeitio_2_5b_imgsummary!E3:BP3,"118")*100/P3)</f>
        <v>0</v>
      </c>
      <c r="AI3">
        <f>IF(P3=0,0,COUNTIF(Lekeitio_2_5b_imgsummary!E3:BP3,"109")*100/P3)</f>
        <v>0</v>
      </c>
      <c r="AJ3">
        <f>IF(P3=0,0,COUNTIF(Lekeitio_2_5b_imgsummary!E3:BP3,"110")*100/P3)</f>
        <v>0</v>
      </c>
      <c r="AL3">
        <f>IF(P3=0,0,COUNTIF(Lekeitio_2_5b_imgsummary!E3:BP3,"202")*100/P3)</f>
        <v>0</v>
      </c>
      <c r="AM3">
        <f>IF(P3=0,0,COUNTIF(Lekeitio_2_5b_imgsummary!E3:BP3,"201")*100/P3)</f>
        <v>0</v>
      </c>
      <c r="AO3">
        <f>IF(P3=0,0,COUNTIF(Lekeitio_2_5b_imgsummary!E3:BP3,"306")*100/P3)</f>
        <v>0</v>
      </c>
      <c r="AP3">
        <f>IF(P3=0,0,COUNTIF(Lekeitio_2_5b_imgsummary!E3:BP3,"302")*100/P3)</f>
        <v>0</v>
      </c>
      <c r="AQ3">
        <f>IF(P3=0,0,COUNTIF(Lekeitio_2_5b_imgsummary!E3:BP3,"307")*100/P3)</f>
        <v>0</v>
      </c>
      <c r="AR3" s="29">
        <f>IF(P3=0,0,COUNTIF(Lekeitio_2_5b_imgsummary!E3:BP3,"303")*100/P3)</f>
        <v>4.6875</v>
      </c>
      <c r="AS3">
        <f>IF(P3=0,0,COUNTIF(Lekeitio_2_5b_imgsummary!E3:BP3,"304")*100/P3)</f>
        <v>0</v>
      </c>
      <c r="AT3">
        <f>IF(P3=0,0,COUNTIF(Lekeitio_2_5b_imgsummary!E3:BP3,"305")*100/P3)</f>
        <v>0</v>
      </c>
      <c r="AV3">
        <f>IF(P3=0,0,COUNTIF(Lekeitio_2_5b_imgsummary!E3:BP3,"401")*100/P3)</f>
        <v>0</v>
      </c>
      <c r="AW3">
        <f>IF(P3=0,0,COUNTIF(Lekeitio_2_5b_imgsummary!E3:BP3,"402")*100/P3)</f>
        <v>0</v>
      </c>
      <c r="AY3" s="29">
        <f>IF(P3=0,0,COUNTIF(Lekeitio_2_5b_imgsummary!E3:BP3,"501")*100/P3)</f>
        <v>43.75</v>
      </c>
      <c r="AZ3">
        <f>IF(P3=0,0,COUNTIF(Lekeitio_2_5b_imgsummary!E3:BP3,"502")*100/P3)</f>
        <v>0</v>
      </c>
      <c r="BA3">
        <f>IF(P3=0,0,COUNTIF(Lekeitio_2_5b_imgsummary!E3:BP3,"503")*100/P3)</f>
        <v>0</v>
      </c>
      <c r="BB3">
        <f>IF(P3=0,0,COUNTIF(Lekeitio_2_5b_imgsummary!E3:BP3,"504")*100/P3)</f>
        <v>0</v>
      </c>
      <c r="BD3">
        <f>IF(P3=0,0,COUNTIF(Lekeitio_2_5b_imgsummary!E3:BP3,"601")*100/P3)</f>
        <v>0</v>
      </c>
      <c r="BE3">
        <f>IF(P3=0,0,COUNTIF(Lekeitio_2_5b_imgsummary!E3:BP3,"602")*100/P3)</f>
        <v>0</v>
      </c>
      <c r="BF3">
        <f>IF(P3=0,0,COUNTIF(Lekeitio_2_5b_imgsummary!E3:BP3,"603")*100/P3)</f>
        <v>0</v>
      </c>
      <c r="BG3">
        <f>IF(P3=0,0,COUNTIF(Lekeitio_2_5b_imgsummary!E3:BP3,"604")*100/P3)</f>
        <v>0</v>
      </c>
      <c r="BI3">
        <f>IF(P3=0,0,COUNTIF(Lekeitio_2_5b_imgsummary!E3:BP3,"701")*100/P3)</f>
        <v>0</v>
      </c>
      <c r="BJ3">
        <f>IF(P3=0,0,COUNTIF(Lekeitio_2_5b_imgsummary!E3:BP3,"702")*100/P3)</f>
        <v>0</v>
      </c>
      <c r="BK3">
        <f>IF(P3=0,0,COUNTIF(Lekeitio_2_5b_imgsummary!E3:BP3,"703")*100/P3)</f>
        <v>0</v>
      </c>
      <c r="BL3">
        <f>IF(P3=0,0,COUNTIF(Lekeitio_2_5b_imgsummary!E3:BP3,"705")*100/P3)</f>
        <v>0</v>
      </c>
      <c r="BM3">
        <f>IF(P3=0,0,COUNTIF(Lekeitio_2_5b_imgsummary!E3:BP3,"704")*100/P3)</f>
        <v>0</v>
      </c>
      <c r="BO3">
        <f>IF(P3=0,0,COUNTIF(Lekeitio_2_5b_imgsummary!E3:BP3,"801")*100/P3)</f>
        <v>0</v>
      </c>
      <c r="BP3">
        <f>IF(P3=0,0,COUNTIF(Lekeitio_2_5b_imgsummary!E3:BP3,"802")*100/P3)</f>
        <v>0</v>
      </c>
      <c r="BR3">
        <f>IF(P3=0,0,COUNTIF(Lekeitio_2_5b_imgsummary!E3:BP3,"901")*100/P3)</f>
        <v>0</v>
      </c>
      <c r="BS3">
        <f>IF(P3=0,0,COUNTIF(Lekeitio_2_5b_imgsummary!E3:BP3,"902")*100/P3)</f>
        <v>0</v>
      </c>
      <c r="BT3">
        <f>IF(P3=0,0,COUNTIF(Lekeitio_2_5b_imgsummary!E3:BP3,"904")*100/P3)</f>
        <v>0</v>
      </c>
      <c r="BU3">
        <f>IF(P3=0,0,COUNTIF(Lekeitio_2_5b_imgsummary!E3:BP3,"905")*100/P3)</f>
        <v>0</v>
      </c>
      <c r="BV3" s="29">
        <f>IF(P3=0,0,COUNTIF(Lekeitio_2_5b_imgsummary!E3:BP3,"903")*100/P3)</f>
        <v>12.5</v>
      </c>
      <c r="BX3">
        <f>IF(P3=0,0,COUNTIF(Lekeitio_2_5b_imgsummary!E3:BP3,"1001")*100/P3)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570312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429</v>
      </c>
      <c r="F3" s="29">
        <f>IF(P3=0,0,COUNTIF(Lekeitio_2_6a_imgsummary!BQ3:EB3,"100")*100/P3)</f>
        <v>12.5</v>
      </c>
      <c r="G3">
        <f>IF(P3=0,0,COUNTIF(Lekeitio_2_6a_imgsummary!BQ3:EB3,"200")*100/P3)</f>
        <v>0</v>
      </c>
      <c r="H3" s="29">
        <f>IF(P3=0,0,COUNTIF(Lekeitio_2_6a_imgsummary!BQ3:EB3,"300")*100/P3)</f>
        <v>31.25</v>
      </c>
      <c r="I3">
        <f>IF(P3=0,0,COUNTIF(Lekeitio_2_6a_imgsummary!BQ3:EB3,"400")*100/P3)</f>
        <v>0</v>
      </c>
      <c r="J3" s="29">
        <f>IF(P3=0,0,COUNTIF(Lekeitio_2_6a_imgsummary!BQ3:EB3,"500")*100/P3)</f>
        <v>45.3125</v>
      </c>
      <c r="K3" s="29">
        <f>IF(P3=0,0,COUNTIF(Lekeitio_2_6a_imgsummary!BQ3:EB3,"600")*100/P3)</f>
        <v>3.125</v>
      </c>
      <c r="L3">
        <f>IF(P3=0,0,COUNTIF(Lekeitio_2_6a_imgsummary!BQ3:EB3,"700")*100/P3)</f>
        <v>0</v>
      </c>
      <c r="M3">
        <f>IF(P3=0,0,COUNTIF(Lekeitio_2_6a_imgsummary!BQ3:EB3,"800")*100/P3)</f>
        <v>0</v>
      </c>
      <c r="N3" s="29">
        <f>IF(P3=0,0,COUNTIF(Lekeitio_2_6a_imgsummary!BQ3:EB3,"900")*100/P3)</f>
        <v>7.8125</v>
      </c>
      <c r="O3">
        <f>IF(P3=0,0,COUNTIF(Lekeitio_2_6a_imgsummary!BQ3:EB3,"1000")*100/P3)</f>
        <v>0</v>
      </c>
      <c r="P3">
        <f>64-COUNTIF(Lekeitio_2_6a_imgsummary!BQ3:EB3,"TWS")</f>
        <v>64</v>
      </c>
      <c r="S3">
        <f>IF(P3=0,0,COUNTIF(Lekeitio_2_6a_imgsummary!E3:BP3,"108")*100/P3)</f>
        <v>0</v>
      </c>
      <c r="T3">
        <f>IF(P3=0,0,COUNTIF(Lekeitio_2_6a_imgsummary!E3:BP3,"105")*100/P3)</f>
        <v>0</v>
      </c>
      <c r="U3">
        <f>IF(P3=0,0,COUNTIF(Lekeitio_2_6a_imgsummary!E3:BP3,"103")*100/P3)</f>
        <v>0</v>
      </c>
      <c r="V3">
        <f>IF(P3=0,0,COUNTIF(Lekeitio_2_6a_imgsummary!E3:BP3,"107")*100/P3)</f>
        <v>0</v>
      </c>
      <c r="W3">
        <f>IF(P3=0,0,COUNTIF(Lekeitio_2_6a_imgsummary!E3:BP3,"101")*100/P3)</f>
        <v>0</v>
      </c>
      <c r="X3">
        <f>IF(P3=0,0,COUNTIF(Lekeitio_2_6a_imgsummary!E3:BP3,"106")*100/P3)</f>
        <v>0</v>
      </c>
      <c r="Y3" s="29">
        <f>IF(P3=0,0,COUNTIF(Lekeitio_2_6a_imgsummary!E3:BP3,"102")*100/P3)</f>
        <v>10.9375</v>
      </c>
      <c r="Z3">
        <f>IF(P3=0,0,COUNTIF(Lekeitio_2_6a_imgsummary!E3:BP3,"104")*100/P3)</f>
        <v>0</v>
      </c>
      <c r="AA3">
        <f>IF(P3=0,0,COUNTIF(Lekeitio_2_6a_imgsummary!E3:BP3,"111")*100/P3)</f>
        <v>0</v>
      </c>
      <c r="AB3">
        <f>IF(P3=0,0,COUNTIF(Lekeitio_2_6a_imgsummary!E3:BP3,"112")*100/P3)</f>
        <v>0</v>
      </c>
      <c r="AC3">
        <f>IF(P3=0,0,COUNTIF(Lekeitio_2_6a_imgsummary!E3:BP3,"113")*100/P3)</f>
        <v>0</v>
      </c>
      <c r="AD3">
        <f>IF(P3=0,0,COUNTIF(Lekeitio_2_6a_imgsummary!E3:BP3,"114")*100/P3)</f>
        <v>0</v>
      </c>
      <c r="AE3">
        <f>IF(P3=0,0,COUNTIF(Lekeitio_2_6a_imgsummary!E3:BP3,"115")*100/P3)</f>
        <v>0</v>
      </c>
      <c r="AF3">
        <f>IF(P3=0,0,COUNTIF(Lekeitio_2_6a_imgsummary!E3:BP3,"116")*100/P3)</f>
        <v>0</v>
      </c>
      <c r="AG3">
        <f>IF(P3=0,0,COUNTIF(Lekeitio_2_6a_imgsummary!E3:BP3,"117")*100/P3)</f>
        <v>0</v>
      </c>
      <c r="AH3">
        <f>IF(P3=0,0,COUNTIF(Lekeitio_2_6a_imgsummary!E3:BP3,"118")*100/P3)</f>
        <v>0</v>
      </c>
      <c r="AI3" s="29">
        <f>IF(P3=0,0,COUNTIF(Lekeitio_2_6a_imgsummary!E3:BP3,"109")*100/P3)</f>
        <v>1.5625</v>
      </c>
      <c r="AJ3">
        <f>IF(P3=0,0,COUNTIF(Lekeitio_2_6a_imgsummary!E3:BP3,"110")*100/P3)</f>
        <v>0</v>
      </c>
      <c r="AL3">
        <f>IF(P3=0,0,COUNTIF(Lekeitio_2_6a_imgsummary!E3:BP3,"202")*100/P3)</f>
        <v>0</v>
      </c>
      <c r="AM3">
        <f>IF(P3=0,0,COUNTIF(Lekeitio_2_6a_imgsummary!E3:BP3,"201")*100/P3)</f>
        <v>0</v>
      </c>
      <c r="AO3">
        <f>IF(P3=0,0,COUNTIF(Lekeitio_2_6a_imgsummary!E3:BP3,"306")*100/P3)</f>
        <v>0</v>
      </c>
      <c r="AP3">
        <f>IF(P3=0,0,COUNTIF(Lekeitio_2_6a_imgsummary!E3:BP3,"302")*100/P3)</f>
        <v>0</v>
      </c>
      <c r="AQ3">
        <f>IF(P3=0,0,COUNTIF(Lekeitio_2_6a_imgsummary!E3:BP3,"307")*100/P3)</f>
        <v>0</v>
      </c>
      <c r="AR3" s="29">
        <f>IF(P3=0,0,COUNTIF(Lekeitio_2_6a_imgsummary!E3:BP3,"303")*100/P3)</f>
        <v>31.25</v>
      </c>
      <c r="AS3">
        <f>IF(P3=0,0,COUNTIF(Lekeitio_2_6a_imgsummary!E3:BP3,"304")*100/P3)</f>
        <v>0</v>
      </c>
      <c r="AT3">
        <f>IF(P3=0,0,COUNTIF(Lekeitio_2_6a_imgsummary!E3:BP3,"305")*100/P3)</f>
        <v>0</v>
      </c>
      <c r="AV3">
        <f>IF(P3=0,0,COUNTIF(Lekeitio_2_6a_imgsummary!E3:BP3,"401")*100/P3)</f>
        <v>0</v>
      </c>
      <c r="AW3">
        <f>IF(P3=0,0,COUNTIF(Lekeitio_2_6a_imgsummary!E3:BP3,"402")*100/P3)</f>
        <v>0</v>
      </c>
      <c r="AY3" s="29">
        <f>IF(P3=0,0,COUNTIF(Lekeitio_2_6a_imgsummary!E3:BP3,"501")*100/P3)</f>
        <v>45.3125</v>
      </c>
      <c r="AZ3">
        <f>IF(P3=0,0,COUNTIF(Lekeitio_2_6a_imgsummary!E3:BP3,"502")*100/P3)</f>
        <v>0</v>
      </c>
      <c r="BA3">
        <f>IF(P3=0,0,COUNTIF(Lekeitio_2_6a_imgsummary!E3:BP3,"503")*100/P3)</f>
        <v>0</v>
      </c>
      <c r="BB3">
        <f>IF(P3=0,0,COUNTIF(Lekeitio_2_6a_imgsummary!E3:BP3,"504")*100/P3)</f>
        <v>0</v>
      </c>
      <c r="BD3">
        <f>IF(P3=0,0,COUNTIF(Lekeitio_2_6a_imgsummary!E3:BP3,"601")*100/P3)</f>
        <v>0</v>
      </c>
      <c r="BE3">
        <f>IF(P3=0,0,COUNTIF(Lekeitio_2_6a_imgsummary!E3:BP3,"602")*100/P3)</f>
        <v>0</v>
      </c>
      <c r="BF3">
        <f>IF(P3=0,0,COUNTIF(Lekeitio_2_6a_imgsummary!E3:BP3,"603")*100/P3)</f>
        <v>0</v>
      </c>
      <c r="BG3" s="29">
        <f>IF(P3=0,0,COUNTIF(Lekeitio_2_6a_imgsummary!E3:BP3,"604")*100/P3)</f>
        <v>3.125</v>
      </c>
      <c r="BI3">
        <f>IF(P3=0,0,COUNTIF(Lekeitio_2_6a_imgsummary!E3:BP3,"701")*100/P3)</f>
        <v>0</v>
      </c>
      <c r="BJ3">
        <f>IF(P3=0,0,COUNTIF(Lekeitio_2_6a_imgsummary!E3:BP3,"702")*100/P3)</f>
        <v>0</v>
      </c>
      <c r="BK3">
        <f>IF(P3=0,0,COUNTIF(Lekeitio_2_6a_imgsummary!E3:BP3,"703")*100/P3)</f>
        <v>0</v>
      </c>
      <c r="BL3">
        <f>IF(P3=0,0,COUNTIF(Lekeitio_2_6a_imgsummary!E3:BP3,"705")*100/P3)</f>
        <v>0</v>
      </c>
      <c r="BM3">
        <f>IF(P3=0,0,COUNTIF(Lekeitio_2_6a_imgsummary!E3:BP3,"704")*100/P3)</f>
        <v>0</v>
      </c>
      <c r="BO3">
        <f>IF(P3=0,0,COUNTIF(Lekeitio_2_6a_imgsummary!E3:BP3,"801")*100/P3)</f>
        <v>0</v>
      </c>
      <c r="BP3">
        <f>IF(P3=0,0,COUNTIF(Lekeitio_2_6a_imgsummary!E3:BP3,"802")*100/P3)</f>
        <v>0</v>
      </c>
      <c r="BR3">
        <f>IF(P3=0,0,COUNTIF(Lekeitio_2_6a_imgsummary!E3:BP3,"901")*100/P3)</f>
        <v>0</v>
      </c>
      <c r="BS3">
        <f>IF(P3=0,0,COUNTIF(Lekeitio_2_6a_imgsummary!E3:BP3,"902")*100/P3)</f>
        <v>0</v>
      </c>
      <c r="BT3">
        <f>IF(P3=0,0,COUNTIF(Lekeitio_2_6a_imgsummary!E3:BP3,"904")*100/P3)</f>
        <v>0</v>
      </c>
      <c r="BU3">
        <f>IF(P3=0,0,COUNTIF(Lekeitio_2_6a_imgsummary!E3:BP3,"905")*100/P3)</f>
        <v>0</v>
      </c>
      <c r="BV3" s="29">
        <f>IF(P3=0,0,COUNTIF(Lekeitio_2_6a_imgsummary!E3:BP3,"903")*100/P3)</f>
        <v>7.8125</v>
      </c>
      <c r="BX3">
        <f>IF(P3=0,0,COUNTIF(Lekeitio_2_6a_imgsummary!E3:BP3,"1001")*100/P3)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0" width="4.5703125" bestFit="1" customWidth="1"/>
    <col min="11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433</v>
      </c>
      <c r="F3" s="29">
        <f>IF(P3=0,0,COUNTIF(Lekeitio_2_6b_imgsummary!BQ3:EB3,"100")*100/P3)</f>
        <v>39.0625</v>
      </c>
      <c r="G3">
        <f>IF(P3=0,0,COUNTIF(Lekeitio_2_6b_imgsummary!BQ3:EB3,"200")*100/P3)</f>
        <v>0</v>
      </c>
      <c r="H3">
        <f>IF(P3=0,0,COUNTIF(Lekeitio_2_6b_imgsummary!BQ3:EB3,"300")*100/P3)</f>
        <v>0</v>
      </c>
      <c r="I3">
        <f>IF(P3=0,0,COUNTIF(Lekeitio_2_6b_imgsummary!BQ3:EB3,"400")*100/P3)</f>
        <v>0</v>
      </c>
      <c r="J3" s="29">
        <f>IF(P3=0,0,COUNTIF(Lekeitio_2_6b_imgsummary!BQ3:EB3,"500")*100/P3)</f>
        <v>40.625</v>
      </c>
      <c r="K3" s="29">
        <f>IF(P3=0,0,COUNTIF(Lekeitio_2_6b_imgsummary!BQ3:EB3,"600")*100/P3)</f>
        <v>6.25</v>
      </c>
      <c r="L3">
        <f>IF(P3=0,0,COUNTIF(Lekeitio_2_6b_imgsummary!BQ3:EB3,"700")*100/P3)</f>
        <v>0</v>
      </c>
      <c r="M3">
        <f>IF(P3=0,0,COUNTIF(Lekeitio_2_6b_imgsummary!BQ3:EB3,"800")*100/P3)</f>
        <v>0</v>
      </c>
      <c r="N3" s="29">
        <f>IF(P3=0,0,COUNTIF(Lekeitio_2_6b_imgsummary!BQ3:EB3,"900")*100/P3)</f>
        <v>14.0625</v>
      </c>
      <c r="O3">
        <f>IF(P3=0,0,COUNTIF(Lekeitio_2_6b_imgsummary!BQ3:EB3,"1000")*100/P3)</f>
        <v>0</v>
      </c>
      <c r="P3">
        <f>64-COUNTIF(Lekeitio_2_6b_imgsummary!BQ3:EB3,"TWS")</f>
        <v>64</v>
      </c>
      <c r="S3">
        <f>IF(P3=0,0,COUNTIF(Lekeitio_2_6b_imgsummary!E3:BP3,"108")*100/P3)</f>
        <v>0</v>
      </c>
      <c r="T3">
        <f>IF(P3=0,0,COUNTIF(Lekeitio_2_6b_imgsummary!E3:BP3,"105")*100/P3)</f>
        <v>0</v>
      </c>
      <c r="U3">
        <f>IF(P3=0,0,COUNTIF(Lekeitio_2_6b_imgsummary!E3:BP3,"103")*100/P3)</f>
        <v>0</v>
      </c>
      <c r="V3">
        <f>IF(P3=0,0,COUNTIF(Lekeitio_2_6b_imgsummary!E3:BP3,"107")*100/P3)</f>
        <v>0</v>
      </c>
      <c r="W3">
        <f>IF(P3=0,0,COUNTIF(Lekeitio_2_6b_imgsummary!E3:BP3,"101")*100/P3)</f>
        <v>0</v>
      </c>
      <c r="X3">
        <f>IF(P3=0,0,COUNTIF(Lekeitio_2_6b_imgsummary!E3:BP3,"106")*100/P3)</f>
        <v>0</v>
      </c>
      <c r="Y3" s="29">
        <f>IF(P3=0,0,COUNTIF(Lekeitio_2_6b_imgsummary!E3:BP3,"102")*100/P3)</f>
        <v>15.625</v>
      </c>
      <c r="Z3">
        <f>IF(P3=0,0,COUNTIF(Lekeitio_2_6b_imgsummary!E3:BP3,"104")*100/P3)</f>
        <v>0</v>
      </c>
      <c r="AA3">
        <f>IF(P3=0,0,COUNTIF(Lekeitio_2_6b_imgsummary!E3:BP3,"111")*100/P3)</f>
        <v>0</v>
      </c>
      <c r="AB3">
        <f>IF(P3=0,0,COUNTIF(Lekeitio_2_6b_imgsummary!E3:BP3,"112")*100/P3)</f>
        <v>0</v>
      </c>
      <c r="AC3">
        <f>IF(P3=0,0,COUNTIF(Lekeitio_2_6b_imgsummary!E3:BP3,"113")*100/P3)</f>
        <v>0</v>
      </c>
      <c r="AD3">
        <f>IF(P3=0,0,COUNTIF(Lekeitio_2_6b_imgsummary!E3:BP3,"114")*100/P3)</f>
        <v>0</v>
      </c>
      <c r="AE3">
        <f>IF(P3=0,0,COUNTIF(Lekeitio_2_6b_imgsummary!E3:BP3,"115")*100/P3)</f>
        <v>0</v>
      </c>
      <c r="AF3">
        <f>IF(P3=0,0,COUNTIF(Lekeitio_2_6b_imgsummary!E3:BP3,"116")*100/P3)</f>
        <v>0</v>
      </c>
      <c r="AG3" s="29">
        <f>IF(P3=0,0,COUNTIF(Lekeitio_2_6b_imgsummary!E3:BP3,"117")*100/P3)</f>
        <v>4.6875</v>
      </c>
      <c r="AH3">
        <f>IF(P3=0,0,COUNTIF(Lekeitio_2_6b_imgsummary!E3:BP3,"118")*100/P3)</f>
        <v>0</v>
      </c>
      <c r="AI3" s="29">
        <f>IF(P3=0,0,COUNTIF(Lekeitio_2_6b_imgsummary!E3:BP3,"109")*100/P3)</f>
        <v>18.75</v>
      </c>
      <c r="AJ3">
        <f>IF(P3=0,0,COUNTIF(Lekeitio_2_6b_imgsummary!E3:BP3,"110")*100/P3)</f>
        <v>0</v>
      </c>
      <c r="AL3">
        <f>IF(P3=0,0,COUNTIF(Lekeitio_2_6b_imgsummary!E3:BP3,"202")*100/P3)</f>
        <v>0</v>
      </c>
      <c r="AM3">
        <f>IF(P3=0,0,COUNTIF(Lekeitio_2_6b_imgsummary!E3:BP3,"201")*100/P3)</f>
        <v>0</v>
      </c>
      <c r="AO3">
        <f>IF(P3=0,0,COUNTIF(Lekeitio_2_6b_imgsummary!E3:BP3,"306")*100/P3)</f>
        <v>0</v>
      </c>
      <c r="AP3">
        <f>IF(P3=0,0,COUNTIF(Lekeitio_2_6b_imgsummary!E3:BP3,"302")*100/P3)</f>
        <v>0</v>
      </c>
      <c r="AQ3">
        <f>IF(P3=0,0,COUNTIF(Lekeitio_2_6b_imgsummary!E3:BP3,"307")*100/P3)</f>
        <v>0</v>
      </c>
      <c r="AR3">
        <f>IF(P3=0,0,COUNTIF(Lekeitio_2_6b_imgsummary!E3:BP3,"303")*100/P3)</f>
        <v>0</v>
      </c>
      <c r="AS3">
        <f>IF(P3=0,0,COUNTIF(Lekeitio_2_6b_imgsummary!E3:BP3,"304")*100/P3)</f>
        <v>0</v>
      </c>
      <c r="AT3">
        <f>IF(P3=0,0,COUNTIF(Lekeitio_2_6b_imgsummary!E3:BP3,"305")*100/P3)</f>
        <v>0</v>
      </c>
      <c r="AV3">
        <f>IF(P3=0,0,COUNTIF(Lekeitio_2_6b_imgsummary!E3:BP3,"401")*100/P3)</f>
        <v>0</v>
      </c>
      <c r="AW3">
        <f>IF(P3=0,0,COUNTIF(Lekeitio_2_6b_imgsummary!E3:BP3,"402")*100/P3)</f>
        <v>0</v>
      </c>
      <c r="AY3" s="29">
        <f>IF(P3=0,0,COUNTIF(Lekeitio_2_6b_imgsummary!E3:BP3,"501")*100/P3)</f>
        <v>40.625</v>
      </c>
      <c r="AZ3">
        <f>IF(P3=0,0,COUNTIF(Lekeitio_2_6b_imgsummary!E3:BP3,"502")*100/P3)</f>
        <v>0</v>
      </c>
      <c r="BA3">
        <f>IF(P3=0,0,COUNTIF(Lekeitio_2_6b_imgsummary!E3:BP3,"503")*100/P3)</f>
        <v>0</v>
      </c>
      <c r="BB3">
        <f>IF(P3=0,0,COUNTIF(Lekeitio_2_6b_imgsummary!E3:BP3,"504")*100/P3)</f>
        <v>0</v>
      </c>
      <c r="BD3">
        <f>IF(P3=0,0,COUNTIF(Lekeitio_2_6b_imgsummary!E3:BP3,"601")*100/P3)</f>
        <v>0</v>
      </c>
      <c r="BE3">
        <f>IF(P3=0,0,COUNTIF(Lekeitio_2_6b_imgsummary!E3:BP3,"602")*100/P3)</f>
        <v>0</v>
      </c>
      <c r="BF3" s="29">
        <f>IF(P3=0,0,COUNTIF(Lekeitio_2_6b_imgsummary!E3:BP3,"603")*100/P3)</f>
        <v>4.6875</v>
      </c>
      <c r="BG3" s="29">
        <f>IF(P3=0,0,COUNTIF(Lekeitio_2_6b_imgsummary!E3:BP3,"604")*100/P3)</f>
        <v>1.5625</v>
      </c>
      <c r="BI3">
        <f>IF(P3=0,0,COUNTIF(Lekeitio_2_6b_imgsummary!E3:BP3,"701")*100/P3)</f>
        <v>0</v>
      </c>
      <c r="BJ3">
        <f>IF(P3=0,0,COUNTIF(Lekeitio_2_6b_imgsummary!E3:BP3,"702")*100/P3)</f>
        <v>0</v>
      </c>
      <c r="BK3">
        <f>IF(P3=0,0,COUNTIF(Lekeitio_2_6b_imgsummary!E3:BP3,"703")*100/P3)</f>
        <v>0</v>
      </c>
      <c r="BL3">
        <f>IF(P3=0,0,COUNTIF(Lekeitio_2_6b_imgsummary!E3:BP3,"705")*100/P3)</f>
        <v>0</v>
      </c>
      <c r="BM3">
        <f>IF(P3=0,0,COUNTIF(Lekeitio_2_6b_imgsummary!E3:BP3,"704")*100/P3)</f>
        <v>0</v>
      </c>
      <c r="BO3">
        <f>IF(P3=0,0,COUNTIF(Lekeitio_2_6b_imgsummary!E3:BP3,"801")*100/P3)</f>
        <v>0</v>
      </c>
      <c r="BP3">
        <f>IF(P3=0,0,COUNTIF(Lekeitio_2_6b_imgsummary!E3:BP3,"802")*100/P3)</f>
        <v>0</v>
      </c>
      <c r="BR3">
        <f>IF(P3=0,0,COUNTIF(Lekeitio_2_6b_imgsummary!E3:BP3,"901")*100/P3)</f>
        <v>0</v>
      </c>
      <c r="BS3">
        <f>IF(P3=0,0,COUNTIF(Lekeitio_2_6b_imgsummary!E3:BP3,"902")*100/P3)</f>
        <v>0</v>
      </c>
      <c r="BT3">
        <f>IF(P3=0,0,COUNTIF(Lekeitio_2_6b_imgsummary!E3:BP3,"904")*100/P3)</f>
        <v>0</v>
      </c>
      <c r="BU3">
        <f>IF(P3=0,0,COUNTIF(Lekeitio_2_6b_imgsummary!E3:BP3,"905")*100/P3)</f>
        <v>0</v>
      </c>
      <c r="BV3" s="29">
        <f>IF(P3=0,0,COUNTIF(Lekeitio_2_6b_imgsummary!E3:BP3,"903")*100/P3)</f>
        <v>14.0625</v>
      </c>
      <c r="BX3">
        <f>IF(P3=0,0,COUNTIF(Lekeitio_2_6b_imgsummary!E3:BP3,"1001")*100/P3)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570312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32" width="3.7109375" bestFit="1" customWidth="1"/>
    <col min="33" max="33" width="4.5703125" bestFit="1" customWidth="1"/>
    <col min="34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438</v>
      </c>
      <c r="F3" s="29">
        <f>IF(P3=0,0,COUNTIF(Lekeitio_2_7a_imgsummary!BQ3:EB3,"100")*100/P3)</f>
        <v>43.75</v>
      </c>
      <c r="G3">
        <f>IF(P3=0,0,COUNTIF(Lekeitio_2_7a_imgsummary!BQ3:EB3,"200")*100/P3)</f>
        <v>0</v>
      </c>
      <c r="H3" s="29">
        <f>IF(P3=0,0,COUNTIF(Lekeitio_2_7a_imgsummary!BQ3:EB3,"300")*100/P3)</f>
        <v>26.5625</v>
      </c>
      <c r="I3">
        <f>IF(P3=0,0,COUNTIF(Lekeitio_2_7a_imgsummary!BQ3:EB3,"400")*100/P3)</f>
        <v>0</v>
      </c>
      <c r="J3" s="29">
        <f>IF(P3=0,0,COUNTIF(Lekeitio_2_7a_imgsummary!BQ3:EB3,"500")*100/P3)</f>
        <v>25</v>
      </c>
      <c r="K3" s="29">
        <f>IF(P3=0,0,COUNTIF(Lekeitio_2_7a_imgsummary!BQ3:EB3,"600")*100/P3)</f>
        <v>3.125</v>
      </c>
      <c r="L3">
        <f>IF(P3=0,0,COUNTIF(Lekeitio_2_7a_imgsummary!BQ3:EB3,"700")*100/P3)</f>
        <v>0</v>
      </c>
      <c r="M3">
        <f>IF(P3=0,0,COUNTIF(Lekeitio_2_7a_imgsummary!BQ3:EB3,"800")*100/P3)</f>
        <v>0</v>
      </c>
      <c r="N3" s="29">
        <f>IF(P3=0,0,COUNTIF(Lekeitio_2_7a_imgsummary!BQ3:EB3,"900")*100/P3)</f>
        <v>1.5625</v>
      </c>
      <c r="O3">
        <f>IF(P3=0,0,COUNTIF(Lekeitio_2_7a_imgsummary!BQ3:EB3,"1000")*100/P3)</f>
        <v>0</v>
      </c>
      <c r="P3">
        <f>64-COUNTIF(Lekeitio_2_7a_imgsummary!BQ3:EB3,"TWS")</f>
        <v>64</v>
      </c>
      <c r="S3">
        <f>IF(P3=0,0,COUNTIF(Lekeitio_2_7a_imgsummary!E3:BP3,"108")*100/P3)</f>
        <v>0</v>
      </c>
      <c r="T3">
        <f>IF(P3=0,0,COUNTIF(Lekeitio_2_7a_imgsummary!E3:BP3,"105")*100/P3)</f>
        <v>0</v>
      </c>
      <c r="U3">
        <f>IF(P3=0,0,COUNTIF(Lekeitio_2_7a_imgsummary!E3:BP3,"103")*100/P3)</f>
        <v>0</v>
      </c>
      <c r="V3">
        <f>IF(P3=0,0,COUNTIF(Lekeitio_2_7a_imgsummary!E3:BP3,"107")*100/P3)</f>
        <v>0</v>
      </c>
      <c r="W3">
        <f>IF(P3=0,0,COUNTIF(Lekeitio_2_7a_imgsummary!E3:BP3,"101")*100/P3)</f>
        <v>0</v>
      </c>
      <c r="X3">
        <f>IF(P3=0,0,COUNTIF(Lekeitio_2_7a_imgsummary!E3:BP3,"106")*100/P3)</f>
        <v>0</v>
      </c>
      <c r="Y3" s="29">
        <f>IF(P3=0,0,COUNTIF(Lekeitio_2_7a_imgsummary!E3:BP3,"102")*100/P3)</f>
        <v>7.8125</v>
      </c>
      <c r="Z3" s="29">
        <f>IF(P3=0,0,COUNTIF(Lekeitio_2_7a_imgsummary!E3:BP3,"104")*100/P3)</f>
        <v>6.25</v>
      </c>
      <c r="AA3">
        <f>IF(P3=0,0,COUNTIF(Lekeitio_2_7a_imgsummary!E3:BP3,"111")*100/P3)</f>
        <v>0</v>
      </c>
      <c r="AB3">
        <f>IF(P3=0,0,COUNTIF(Lekeitio_2_7a_imgsummary!E3:BP3,"112")*100/P3)</f>
        <v>0</v>
      </c>
      <c r="AC3">
        <f>IF(P3=0,0,COUNTIF(Lekeitio_2_7a_imgsummary!E3:BP3,"113")*100/P3)</f>
        <v>0</v>
      </c>
      <c r="AD3">
        <f>IF(P3=0,0,COUNTIF(Lekeitio_2_7a_imgsummary!E3:BP3,"114")*100/P3)</f>
        <v>0</v>
      </c>
      <c r="AE3">
        <f>IF(P3=0,0,COUNTIF(Lekeitio_2_7a_imgsummary!E3:BP3,"115")*100/P3)</f>
        <v>0</v>
      </c>
      <c r="AF3">
        <f>IF(P3=0,0,COUNTIF(Lekeitio_2_7a_imgsummary!E3:BP3,"116")*100/P3)</f>
        <v>0</v>
      </c>
      <c r="AG3" s="29">
        <f>IF(P3=0,0,COUNTIF(Lekeitio_2_7a_imgsummary!E3:BP3,"117")*100/P3)</f>
        <v>10.9375</v>
      </c>
      <c r="AH3">
        <f>IF(P3=0,0,COUNTIF(Lekeitio_2_7a_imgsummary!E3:BP3,"118")*100/P3)</f>
        <v>0</v>
      </c>
      <c r="AI3" s="29">
        <f>IF(P3=0,0,COUNTIF(Lekeitio_2_7a_imgsummary!E3:BP3,"109")*100/P3)</f>
        <v>18.75</v>
      </c>
      <c r="AJ3">
        <f>IF(P3=0,0,COUNTIF(Lekeitio_2_7a_imgsummary!E3:BP3,"110")*100/P3)</f>
        <v>0</v>
      </c>
      <c r="AL3">
        <f>IF(P3=0,0,COUNTIF(Lekeitio_2_7a_imgsummary!E3:BP3,"202")*100/P3)</f>
        <v>0</v>
      </c>
      <c r="AM3">
        <f>IF(P3=0,0,COUNTIF(Lekeitio_2_7a_imgsummary!E3:BP3,"201")*100/P3)</f>
        <v>0</v>
      </c>
      <c r="AO3">
        <f>IF(P3=0,0,COUNTIF(Lekeitio_2_7a_imgsummary!E3:BP3,"306")*100/P3)</f>
        <v>0</v>
      </c>
      <c r="AP3">
        <f>IF(P3=0,0,COUNTIF(Lekeitio_2_7a_imgsummary!E3:BP3,"302")*100/P3)</f>
        <v>0</v>
      </c>
      <c r="AQ3">
        <f>IF(P3=0,0,COUNTIF(Lekeitio_2_7a_imgsummary!E3:BP3,"307")*100/P3)</f>
        <v>0</v>
      </c>
      <c r="AR3" s="29">
        <f>IF(P3=0,0,COUNTIF(Lekeitio_2_7a_imgsummary!E3:BP3,"303")*100/P3)</f>
        <v>26.5625</v>
      </c>
      <c r="AS3">
        <f>IF(P3=0,0,COUNTIF(Lekeitio_2_7a_imgsummary!E3:BP3,"304")*100/P3)</f>
        <v>0</v>
      </c>
      <c r="AT3">
        <f>IF(P3=0,0,COUNTIF(Lekeitio_2_7a_imgsummary!E3:BP3,"305")*100/P3)</f>
        <v>0</v>
      </c>
      <c r="AV3">
        <f>IF(P3=0,0,COUNTIF(Lekeitio_2_7a_imgsummary!E3:BP3,"401")*100/P3)</f>
        <v>0</v>
      </c>
      <c r="AW3">
        <f>IF(P3=0,0,COUNTIF(Lekeitio_2_7a_imgsummary!E3:BP3,"402")*100/P3)</f>
        <v>0</v>
      </c>
      <c r="AY3" s="29">
        <f>IF(P3=0,0,COUNTIF(Lekeitio_2_7a_imgsummary!E3:BP3,"501")*100/P3)</f>
        <v>25</v>
      </c>
      <c r="AZ3">
        <f>IF(P3=0,0,COUNTIF(Lekeitio_2_7a_imgsummary!E3:BP3,"502")*100/P3)</f>
        <v>0</v>
      </c>
      <c r="BA3">
        <f>IF(P3=0,0,COUNTIF(Lekeitio_2_7a_imgsummary!E3:BP3,"503")*100/P3)</f>
        <v>0</v>
      </c>
      <c r="BB3">
        <f>IF(P3=0,0,COUNTIF(Lekeitio_2_7a_imgsummary!E3:BP3,"504")*100/P3)</f>
        <v>0</v>
      </c>
      <c r="BD3">
        <f>IF(P3=0,0,COUNTIF(Lekeitio_2_7a_imgsummary!E3:BP3,"601")*100/P3)</f>
        <v>0</v>
      </c>
      <c r="BE3">
        <f>IF(P3=0,0,COUNTIF(Lekeitio_2_7a_imgsummary!E3:BP3,"602")*100/P3)</f>
        <v>0</v>
      </c>
      <c r="BF3" s="29">
        <f>IF(P3=0,0,COUNTIF(Lekeitio_2_7a_imgsummary!E3:BP3,"603")*100/P3)</f>
        <v>3.125</v>
      </c>
      <c r="BG3">
        <f>IF(P3=0,0,COUNTIF(Lekeitio_2_7a_imgsummary!E3:BP3,"604")*100/P3)</f>
        <v>0</v>
      </c>
      <c r="BI3">
        <f>IF(P3=0,0,COUNTIF(Lekeitio_2_7a_imgsummary!E3:BP3,"701")*100/P3)</f>
        <v>0</v>
      </c>
      <c r="BJ3">
        <f>IF(P3=0,0,COUNTIF(Lekeitio_2_7a_imgsummary!E3:BP3,"702")*100/P3)</f>
        <v>0</v>
      </c>
      <c r="BK3">
        <f>IF(P3=0,0,COUNTIF(Lekeitio_2_7a_imgsummary!E3:BP3,"703")*100/P3)</f>
        <v>0</v>
      </c>
      <c r="BL3">
        <f>IF(P3=0,0,COUNTIF(Lekeitio_2_7a_imgsummary!E3:BP3,"705")*100/P3)</f>
        <v>0</v>
      </c>
      <c r="BM3">
        <f>IF(P3=0,0,COUNTIF(Lekeitio_2_7a_imgsummary!E3:BP3,"704")*100/P3)</f>
        <v>0</v>
      </c>
      <c r="BO3">
        <f>IF(P3=0,0,COUNTIF(Lekeitio_2_7a_imgsummary!E3:BP3,"801")*100/P3)</f>
        <v>0</v>
      </c>
      <c r="BP3">
        <f>IF(P3=0,0,COUNTIF(Lekeitio_2_7a_imgsummary!E3:BP3,"802")*100/P3)</f>
        <v>0</v>
      </c>
      <c r="BR3">
        <f>IF(P3=0,0,COUNTIF(Lekeitio_2_7a_imgsummary!E3:BP3,"901")*100/P3)</f>
        <v>0</v>
      </c>
      <c r="BS3">
        <f>IF(P3=0,0,COUNTIF(Lekeitio_2_7a_imgsummary!E3:BP3,"902")*100/P3)</f>
        <v>0</v>
      </c>
      <c r="BT3">
        <f>IF(P3=0,0,COUNTIF(Lekeitio_2_7a_imgsummary!E3:BP3,"904")*100/P3)</f>
        <v>0</v>
      </c>
      <c r="BU3">
        <f>IF(P3=0,0,COUNTIF(Lekeitio_2_7a_imgsummary!E3:BP3,"905")*100/P3)</f>
        <v>0</v>
      </c>
      <c r="BV3" s="29">
        <f>IF(P3=0,0,COUNTIF(Lekeitio_2_7a_imgsummary!E3:BP3,"903")*100/P3)</f>
        <v>1.5625</v>
      </c>
      <c r="BX3">
        <f>IF(P3=0,0,COUNTIF(Lekeitio_2_7a_imgsummary!E3:BP3,"1001")*100/P3)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1" width="4.5703125" bestFit="1" customWidth="1"/>
    <col min="12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442</v>
      </c>
      <c r="F3" s="29">
        <f>IF(P3=0,0,COUNTIF(Lekeitio_2_7b_imgsummary!BQ3:EB3,"100")*100/P3)</f>
        <v>18.75</v>
      </c>
      <c r="G3">
        <f>IF(P3=0,0,COUNTIF(Lekeitio_2_7b_imgsummary!BQ3:EB3,"200")*100/P3)</f>
        <v>0</v>
      </c>
      <c r="H3">
        <f>IF(P3=0,0,COUNTIF(Lekeitio_2_7b_imgsummary!BQ3:EB3,"300")*100/P3)</f>
        <v>0</v>
      </c>
      <c r="I3">
        <f>IF(P3=0,0,COUNTIF(Lekeitio_2_7b_imgsummary!BQ3:EB3,"400")*100/P3)</f>
        <v>0</v>
      </c>
      <c r="J3" s="29">
        <f>IF(P3=0,0,COUNTIF(Lekeitio_2_7b_imgsummary!BQ3:EB3,"500")*100/P3)</f>
        <v>62.5</v>
      </c>
      <c r="K3" s="29">
        <f>IF(P3=0,0,COUNTIF(Lekeitio_2_7b_imgsummary!BQ3:EB3,"600")*100/P3)</f>
        <v>10.9375</v>
      </c>
      <c r="L3" s="29">
        <f>IF(P3=0,0,COUNTIF(Lekeitio_2_7b_imgsummary!BQ3:EB3,"700")*100/P3)</f>
        <v>1.5625</v>
      </c>
      <c r="M3">
        <f>IF(P3=0,0,COUNTIF(Lekeitio_2_7b_imgsummary!BQ3:EB3,"800")*100/P3)</f>
        <v>0</v>
      </c>
      <c r="N3" s="29">
        <f>IF(P3=0,0,COUNTIF(Lekeitio_2_7b_imgsummary!BQ3:EB3,"900")*100/P3)</f>
        <v>6.25</v>
      </c>
      <c r="O3">
        <f>IF(P3=0,0,COUNTIF(Lekeitio_2_7b_imgsummary!BQ3:EB3,"1000")*100/P3)</f>
        <v>0</v>
      </c>
      <c r="P3">
        <f>64-COUNTIF(Lekeitio_2_7b_imgsummary!BQ3:EB3,"TWS")</f>
        <v>64</v>
      </c>
      <c r="S3">
        <f>IF(P3=0,0,COUNTIF(Lekeitio_2_7b_imgsummary!E3:BP3,"108")*100/P3)</f>
        <v>0</v>
      </c>
      <c r="T3">
        <f>IF(P3=0,0,COUNTIF(Lekeitio_2_7b_imgsummary!E3:BP3,"105")*100/P3)</f>
        <v>0</v>
      </c>
      <c r="U3">
        <f>IF(P3=0,0,COUNTIF(Lekeitio_2_7b_imgsummary!E3:BP3,"103")*100/P3)</f>
        <v>0</v>
      </c>
      <c r="V3">
        <f>IF(P3=0,0,COUNTIF(Lekeitio_2_7b_imgsummary!E3:BP3,"107")*100/P3)</f>
        <v>0</v>
      </c>
      <c r="W3">
        <f>IF(P3=0,0,COUNTIF(Lekeitio_2_7b_imgsummary!E3:BP3,"101")*100/P3)</f>
        <v>0</v>
      </c>
      <c r="X3">
        <f>IF(P3=0,0,COUNTIF(Lekeitio_2_7b_imgsummary!E3:BP3,"106")*100/P3)</f>
        <v>0</v>
      </c>
      <c r="Y3" s="29">
        <f>IF(P3=0,0,COUNTIF(Lekeitio_2_7b_imgsummary!E3:BP3,"102")*100/P3)</f>
        <v>14.0625</v>
      </c>
      <c r="Z3">
        <f>IF(P3=0,0,COUNTIF(Lekeitio_2_7b_imgsummary!E3:BP3,"104")*100/P3)</f>
        <v>0</v>
      </c>
      <c r="AA3">
        <f>IF(P3=0,0,COUNTIF(Lekeitio_2_7b_imgsummary!E3:BP3,"111")*100/P3)</f>
        <v>0</v>
      </c>
      <c r="AB3">
        <f>IF(P3=0,0,COUNTIF(Lekeitio_2_7b_imgsummary!E3:BP3,"112")*100/P3)</f>
        <v>0</v>
      </c>
      <c r="AC3">
        <f>IF(P3=0,0,COUNTIF(Lekeitio_2_7b_imgsummary!E3:BP3,"113")*100/P3)</f>
        <v>0</v>
      </c>
      <c r="AD3">
        <f>IF(P3=0,0,COUNTIF(Lekeitio_2_7b_imgsummary!E3:BP3,"114")*100/P3)</f>
        <v>0</v>
      </c>
      <c r="AE3">
        <f>IF(P3=0,0,COUNTIF(Lekeitio_2_7b_imgsummary!E3:BP3,"115")*100/P3)</f>
        <v>0</v>
      </c>
      <c r="AF3">
        <f>IF(P3=0,0,COUNTIF(Lekeitio_2_7b_imgsummary!E3:BP3,"116")*100/P3)</f>
        <v>0</v>
      </c>
      <c r="AG3">
        <f>IF(P3=0,0,COUNTIF(Lekeitio_2_7b_imgsummary!E3:BP3,"117")*100/P3)</f>
        <v>0</v>
      </c>
      <c r="AH3">
        <f>IF(P3=0,0,COUNTIF(Lekeitio_2_7b_imgsummary!E3:BP3,"118")*100/P3)</f>
        <v>0</v>
      </c>
      <c r="AI3" s="29">
        <f>IF(P3=0,0,COUNTIF(Lekeitio_2_7b_imgsummary!E3:BP3,"109")*100/P3)</f>
        <v>4.6875</v>
      </c>
      <c r="AJ3">
        <f>IF(P3=0,0,COUNTIF(Lekeitio_2_7b_imgsummary!E3:BP3,"110")*100/P3)</f>
        <v>0</v>
      </c>
      <c r="AL3">
        <f>IF(P3=0,0,COUNTIF(Lekeitio_2_7b_imgsummary!E3:BP3,"202")*100/P3)</f>
        <v>0</v>
      </c>
      <c r="AM3">
        <f>IF(P3=0,0,COUNTIF(Lekeitio_2_7b_imgsummary!E3:BP3,"201")*100/P3)</f>
        <v>0</v>
      </c>
      <c r="AO3">
        <f>IF(P3=0,0,COUNTIF(Lekeitio_2_7b_imgsummary!E3:BP3,"306")*100/P3)</f>
        <v>0</v>
      </c>
      <c r="AP3">
        <f>IF(P3=0,0,COUNTIF(Lekeitio_2_7b_imgsummary!E3:BP3,"302")*100/P3)</f>
        <v>0</v>
      </c>
      <c r="AQ3">
        <f>IF(P3=0,0,COUNTIF(Lekeitio_2_7b_imgsummary!E3:BP3,"307")*100/P3)</f>
        <v>0</v>
      </c>
      <c r="AR3">
        <f>IF(P3=0,0,COUNTIF(Lekeitio_2_7b_imgsummary!E3:BP3,"303")*100/P3)</f>
        <v>0</v>
      </c>
      <c r="AS3">
        <f>IF(P3=0,0,COUNTIF(Lekeitio_2_7b_imgsummary!E3:BP3,"304")*100/P3)</f>
        <v>0</v>
      </c>
      <c r="AT3">
        <f>IF(P3=0,0,COUNTIF(Lekeitio_2_7b_imgsummary!E3:BP3,"305")*100/P3)</f>
        <v>0</v>
      </c>
      <c r="AV3">
        <f>IF(P3=0,0,COUNTIF(Lekeitio_2_7b_imgsummary!E3:BP3,"401")*100/P3)</f>
        <v>0</v>
      </c>
      <c r="AW3">
        <f>IF(P3=0,0,COUNTIF(Lekeitio_2_7b_imgsummary!E3:BP3,"402")*100/P3)</f>
        <v>0</v>
      </c>
      <c r="AY3" s="29">
        <f>IF(P3=0,0,COUNTIF(Lekeitio_2_7b_imgsummary!E3:BP3,"501")*100/P3)</f>
        <v>62.5</v>
      </c>
      <c r="AZ3">
        <f>IF(P3=0,0,COUNTIF(Lekeitio_2_7b_imgsummary!E3:BP3,"502")*100/P3)</f>
        <v>0</v>
      </c>
      <c r="BA3">
        <f>IF(P3=0,0,COUNTIF(Lekeitio_2_7b_imgsummary!E3:BP3,"503")*100/P3)</f>
        <v>0</v>
      </c>
      <c r="BB3">
        <f>IF(P3=0,0,COUNTIF(Lekeitio_2_7b_imgsummary!E3:BP3,"504")*100/P3)</f>
        <v>0</v>
      </c>
      <c r="BD3">
        <f>IF(P3=0,0,COUNTIF(Lekeitio_2_7b_imgsummary!E3:BP3,"601")*100/P3)</f>
        <v>0</v>
      </c>
      <c r="BE3">
        <f>IF(P3=0,0,COUNTIF(Lekeitio_2_7b_imgsummary!E3:BP3,"602")*100/P3)</f>
        <v>0</v>
      </c>
      <c r="BF3" s="29">
        <f>IF(P3=0,0,COUNTIF(Lekeitio_2_7b_imgsummary!E3:BP3,"603")*100/P3)</f>
        <v>1.5625</v>
      </c>
      <c r="BG3" s="29">
        <f>IF(P3=0,0,COUNTIF(Lekeitio_2_7b_imgsummary!E3:BP3,"604")*100/P3)</f>
        <v>9.375</v>
      </c>
      <c r="BI3">
        <f>IF(P3=0,0,COUNTIF(Lekeitio_2_7b_imgsummary!E3:BP3,"701")*100/P3)</f>
        <v>0</v>
      </c>
      <c r="BJ3">
        <f>IF(P3=0,0,COUNTIF(Lekeitio_2_7b_imgsummary!E3:BP3,"702")*100/P3)</f>
        <v>0</v>
      </c>
      <c r="BK3" s="29">
        <f>IF(P3=0,0,COUNTIF(Lekeitio_2_7b_imgsummary!E3:BP3,"703")*100/P3)</f>
        <v>1.5625</v>
      </c>
      <c r="BL3">
        <f>IF(P3=0,0,COUNTIF(Lekeitio_2_7b_imgsummary!E3:BP3,"705")*100/P3)</f>
        <v>0</v>
      </c>
      <c r="BM3">
        <f>IF(P3=0,0,COUNTIF(Lekeitio_2_7b_imgsummary!E3:BP3,"704")*100/P3)</f>
        <v>0</v>
      </c>
      <c r="BO3">
        <f>IF(P3=0,0,COUNTIF(Lekeitio_2_7b_imgsummary!E3:BP3,"801")*100/P3)</f>
        <v>0</v>
      </c>
      <c r="BP3">
        <f>IF(P3=0,0,COUNTIF(Lekeitio_2_7b_imgsummary!E3:BP3,"802")*100/P3)</f>
        <v>0</v>
      </c>
      <c r="BR3">
        <f>IF(P3=0,0,COUNTIF(Lekeitio_2_7b_imgsummary!E3:BP3,"901")*100/P3)</f>
        <v>0</v>
      </c>
      <c r="BS3">
        <f>IF(P3=0,0,COUNTIF(Lekeitio_2_7b_imgsummary!E3:BP3,"902")*100/P3)</f>
        <v>0</v>
      </c>
      <c r="BT3">
        <f>IF(P3=0,0,COUNTIF(Lekeitio_2_7b_imgsummary!E3:BP3,"904")*100/P3)</f>
        <v>0</v>
      </c>
      <c r="BU3">
        <f>IF(P3=0,0,COUNTIF(Lekeitio_2_7b_imgsummary!E3:BP3,"905")*100/P3)</f>
        <v>0</v>
      </c>
      <c r="BV3" s="29">
        <f>IF(P3=0,0,COUNTIF(Lekeitio_2_7b_imgsummary!E3:BP3,"903")*100/P3)</f>
        <v>6.25</v>
      </c>
      <c r="BX3">
        <f>IF(P3=0,0,COUNTIF(Lekeitio_2_7b_imgsummary!E3:BP3,"1001")*100/P3)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5703125" bestFit="1" customWidth="1"/>
    <col min="3" max="4" width="2.140625" bestFit="1" customWidth="1"/>
    <col min="5" max="5" width="3.7109375" style="17" bestFit="1" customWidth="1"/>
    <col min="6" max="7" width="3.7109375" bestFit="1" customWidth="1"/>
    <col min="8" max="8" width="4.5703125" bestFit="1" customWidth="1"/>
    <col min="9" max="9" width="3.7109375" bestFit="1" customWidth="1"/>
    <col min="10" max="11" width="4.5703125" bestFit="1" customWidth="1"/>
    <col min="12" max="16" width="3.7109375" bestFit="1" customWidth="1"/>
    <col min="17" max="17" width="3.7109375" style="17" bestFit="1" customWidth="1"/>
    <col min="18" max="18" width="3.7109375" style="10" bestFit="1" customWidth="1"/>
    <col min="19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446</v>
      </c>
      <c r="F3" s="29">
        <f>IF(P3=0,0,COUNTIF(Lekeitio_2_8a_imgsummary!BQ3:EB3,"100")*100/P3)</f>
        <v>7.8125</v>
      </c>
      <c r="G3">
        <f>IF(P3=0,0,COUNTIF(Lekeitio_2_8a_imgsummary!BQ3:EB3,"200")*100/P3)</f>
        <v>0</v>
      </c>
      <c r="H3" s="29">
        <f>IF(P3=0,0,COUNTIF(Lekeitio_2_8a_imgsummary!BQ3:EB3,"300")*100/P3)</f>
        <v>31.25</v>
      </c>
      <c r="I3">
        <f>IF(P3=0,0,COUNTIF(Lekeitio_2_8a_imgsummary!BQ3:EB3,"400")*100/P3)</f>
        <v>0</v>
      </c>
      <c r="J3" s="29">
        <f>IF(P3=0,0,COUNTIF(Lekeitio_2_8a_imgsummary!BQ3:EB3,"500")*100/P3)</f>
        <v>42.1875</v>
      </c>
      <c r="K3" s="29">
        <f>IF(P3=0,0,COUNTIF(Lekeitio_2_8a_imgsummary!BQ3:EB3,"600")*100/P3)</f>
        <v>10.9375</v>
      </c>
      <c r="L3">
        <f>IF(P3=0,0,COUNTIF(Lekeitio_2_8a_imgsummary!BQ3:EB3,"700")*100/P3)</f>
        <v>0</v>
      </c>
      <c r="M3">
        <f>IF(P3=0,0,COUNTIF(Lekeitio_2_8a_imgsummary!BQ3:EB3,"800")*100/P3)</f>
        <v>0</v>
      </c>
      <c r="N3" s="29">
        <f>IF(P3=0,0,COUNTIF(Lekeitio_2_8a_imgsummary!BQ3:EB3,"900")*100/P3)</f>
        <v>7.8125</v>
      </c>
      <c r="O3">
        <f>IF(P3=0,0,COUNTIF(Lekeitio_2_8a_imgsummary!BQ3:EB3,"1000")*100/P3)</f>
        <v>0</v>
      </c>
      <c r="P3">
        <f>64-COUNTIF(Lekeitio_2_8a_imgsummary!BQ3:EB3,"TWS")</f>
        <v>64</v>
      </c>
      <c r="S3">
        <f>IF(P3=0,0,COUNTIF(Lekeitio_2_8a_imgsummary!E3:BP3,"108")*100/P3)</f>
        <v>0</v>
      </c>
      <c r="T3">
        <f>IF(P3=0,0,COUNTIF(Lekeitio_2_8a_imgsummary!E3:BP3,"105")*100/P3)</f>
        <v>0</v>
      </c>
      <c r="U3">
        <f>IF(P3=0,0,COUNTIF(Lekeitio_2_8a_imgsummary!E3:BP3,"103")*100/P3)</f>
        <v>0</v>
      </c>
      <c r="V3">
        <f>IF(P3=0,0,COUNTIF(Lekeitio_2_8a_imgsummary!E3:BP3,"107")*100/P3)</f>
        <v>0</v>
      </c>
      <c r="W3">
        <f>IF(P3=0,0,COUNTIF(Lekeitio_2_8a_imgsummary!E3:BP3,"101")*100/P3)</f>
        <v>0</v>
      </c>
      <c r="X3">
        <f>IF(P3=0,0,COUNTIF(Lekeitio_2_8a_imgsummary!E3:BP3,"106")*100/P3)</f>
        <v>0</v>
      </c>
      <c r="Y3" s="29">
        <f>IF(P3=0,0,COUNTIF(Lekeitio_2_8a_imgsummary!E3:BP3,"102")*100/P3)</f>
        <v>6.25</v>
      </c>
      <c r="Z3" s="29">
        <f>IF(P3=0,0,COUNTIF(Lekeitio_2_8a_imgsummary!E3:BP3,"104")*100/P3)</f>
        <v>1.5625</v>
      </c>
      <c r="AA3">
        <f>IF(P3=0,0,COUNTIF(Lekeitio_2_8a_imgsummary!E3:BP3,"111")*100/P3)</f>
        <v>0</v>
      </c>
      <c r="AB3">
        <f>IF(P3=0,0,COUNTIF(Lekeitio_2_8a_imgsummary!E3:BP3,"112")*100/P3)</f>
        <v>0</v>
      </c>
      <c r="AC3">
        <f>IF(P3=0,0,COUNTIF(Lekeitio_2_8a_imgsummary!E3:BP3,"113")*100/P3)</f>
        <v>0</v>
      </c>
      <c r="AD3">
        <f>IF(P3=0,0,COUNTIF(Lekeitio_2_8a_imgsummary!E3:BP3,"114")*100/P3)</f>
        <v>0</v>
      </c>
      <c r="AE3">
        <f>IF(P3=0,0,COUNTIF(Lekeitio_2_8a_imgsummary!E3:BP3,"115")*100/P3)</f>
        <v>0</v>
      </c>
      <c r="AF3">
        <f>IF(P3=0,0,COUNTIF(Lekeitio_2_8a_imgsummary!E3:BP3,"116")*100/P3)</f>
        <v>0</v>
      </c>
      <c r="AG3">
        <f>IF(P3=0,0,COUNTIF(Lekeitio_2_8a_imgsummary!E3:BP3,"117")*100/P3)</f>
        <v>0</v>
      </c>
      <c r="AH3">
        <f>IF(P3=0,0,COUNTIF(Lekeitio_2_8a_imgsummary!E3:BP3,"118")*100/P3)</f>
        <v>0</v>
      </c>
      <c r="AI3">
        <f>IF(P3=0,0,COUNTIF(Lekeitio_2_8a_imgsummary!E3:BP3,"109")*100/P3)</f>
        <v>0</v>
      </c>
      <c r="AJ3">
        <f>IF(P3=0,0,COUNTIF(Lekeitio_2_8a_imgsummary!E3:BP3,"110")*100/P3)</f>
        <v>0</v>
      </c>
      <c r="AL3">
        <f>IF(P3=0,0,COUNTIF(Lekeitio_2_8a_imgsummary!E3:BP3,"202")*100/P3)</f>
        <v>0</v>
      </c>
      <c r="AM3">
        <f>IF(P3=0,0,COUNTIF(Lekeitio_2_8a_imgsummary!E3:BP3,"201")*100/P3)</f>
        <v>0</v>
      </c>
      <c r="AO3">
        <f>IF(P3=0,0,COUNTIF(Lekeitio_2_8a_imgsummary!E3:BP3,"306")*100/P3)</f>
        <v>0</v>
      </c>
      <c r="AP3">
        <f>IF(P3=0,0,COUNTIF(Lekeitio_2_8a_imgsummary!E3:BP3,"302")*100/P3)</f>
        <v>0</v>
      </c>
      <c r="AQ3">
        <f>IF(P3=0,0,COUNTIF(Lekeitio_2_8a_imgsummary!E3:BP3,"307")*100/P3)</f>
        <v>0</v>
      </c>
      <c r="AR3" s="29">
        <f>IF(P3=0,0,COUNTIF(Lekeitio_2_8a_imgsummary!E3:BP3,"303")*100/P3)</f>
        <v>31.25</v>
      </c>
      <c r="AS3">
        <f>IF(P3=0,0,COUNTIF(Lekeitio_2_8a_imgsummary!E3:BP3,"304")*100/P3)</f>
        <v>0</v>
      </c>
      <c r="AT3">
        <f>IF(P3=0,0,COUNTIF(Lekeitio_2_8a_imgsummary!E3:BP3,"305")*100/P3)</f>
        <v>0</v>
      </c>
      <c r="AV3">
        <f>IF(P3=0,0,COUNTIF(Lekeitio_2_8a_imgsummary!E3:BP3,"401")*100/P3)</f>
        <v>0</v>
      </c>
      <c r="AW3">
        <f>IF(P3=0,0,COUNTIF(Lekeitio_2_8a_imgsummary!E3:BP3,"402")*100/P3)</f>
        <v>0</v>
      </c>
      <c r="AY3" s="29">
        <f>IF(P3=0,0,COUNTIF(Lekeitio_2_8a_imgsummary!E3:BP3,"501")*100/P3)</f>
        <v>35.9375</v>
      </c>
      <c r="AZ3" s="29">
        <f>IF(P3=0,0,COUNTIF(Lekeitio_2_8a_imgsummary!E3:BP3,"502")*100/P3)</f>
        <v>6.25</v>
      </c>
      <c r="BA3">
        <f>IF(P3=0,0,COUNTIF(Lekeitio_2_8a_imgsummary!E3:BP3,"503")*100/P3)</f>
        <v>0</v>
      </c>
      <c r="BB3">
        <f>IF(P3=0,0,COUNTIF(Lekeitio_2_8a_imgsummary!E3:BP3,"504")*100/P3)</f>
        <v>0</v>
      </c>
      <c r="BD3">
        <f>IF(P3=0,0,COUNTIF(Lekeitio_2_8a_imgsummary!E3:BP3,"601")*100/P3)</f>
        <v>0</v>
      </c>
      <c r="BE3">
        <f>IF(P3=0,0,COUNTIF(Lekeitio_2_8a_imgsummary!E3:BP3,"602")*100/P3)</f>
        <v>0</v>
      </c>
      <c r="BF3" s="29">
        <f>IF(P3=0,0,COUNTIF(Lekeitio_2_8a_imgsummary!E3:BP3,"603")*100/P3)</f>
        <v>1.5625</v>
      </c>
      <c r="BG3" s="29">
        <f>IF(P3=0,0,COUNTIF(Lekeitio_2_8a_imgsummary!E3:BP3,"604")*100/P3)</f>
        <v>9.375</v>
      </c>
      <c r="BI3">
        <f>IF(P3=0,0,COUNTIF(Lekeitio_2_8a_imgsummary!E3:BP3,"701")*100/P3)</f>
        <v>0</v>
      </c>
      <c r="BJ3">
        <f>IF(P3=0,0,COUNTIF(Lekeitio_2_8a_imgsummary!E3:BP3,"702")*100/P3)</f>
        <v>0</v>
      </c>
      <c r="BK3">
        <f>IF(P3=0,0,COUNTIF(Lekeitio_2_8a_imgsummary!E3:BP3,"703")*100/P3)</f>
        <v>0</v>
      </c>
      <c r="BL3">
        <f>IF(P3=0,0,COUNTIF(Lekeitio_2_8a_imgsummary!E3:BP3,"705")*100/P3)</f>
        <v>0</v>
      </c>
      <c r="BM3">
        <f>IF(P3=0,0,COUNTIF(Lekeitio_2_8a_imgsummary!E3:BP3,"704")*100/P3)</f>
        <v>0</v>
      </c>
      <c r="BO3">
        <f>IF(P3=0,0,COUNTIF(Lekeitio_2_8a_imgsummary!E3:BP3,"801")*100/P3)</f>
        <v>0</v>
      </c>
      <c r="BP3">
        <f>IF(P3=0,0,COUNTIF(Lekeitio_2_8a_imgsummary!E3:BP3,"802")*100/P3)</f>
        <v>0</v>
      </c>
      <c r="BR3">
        <f>IF(P3=0,0,COUNTIF(Lekeitio_2_8a_imgsummary!E3:BP3,"901")*100/P3)</f>
        <v>0</v>
      </c>
      <c r="BS3">
        <f>IF(P3=0,0,COUNTIF(Lekeitio_2_8a_imgsummary!E3:BP3,"902")*100/P3)</f>
        <v>0</v>
      </c>
      <c r="BT3">
        <f>IF(P3=0,0,COUNTIF(Lekeitio_2_8a_imgsummary!E3:BP3,"904")*100/P3)</f>
        <v>0</v>
      </c>
      <c r="BU3">
        <f>IF(P3=0,0,COUNTIF(Lekeitio_2_8a_imgsummary!E3:BP3,"905")*100/P3)</f>
        <v>0</v>
      </c>
      <c r="BV3" s="29">
        <f>IF(P3=0,0,COUNTIF(Lekeitio_2_8a_imgsummary!E3:BP3,"903")*100/P3)</f>
        <v>7.8125</v>
      </c>
      <c r="BX3">
        <f>IF(P3=0,0,COUNTIF(Lekeitio_2_8a_imgsummary!E3:BP3,"1001")*100/P3)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42578125" bestFit="1" customWidth="1"/>
    <col min="6" max="6" width="43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06">
        <v>109</v>
      </c>
      <c r="B2" s="38"/>
      <c r="C2" s="53">
        <v>100</v>
      </c>
      <c r="D2" s="53" t="s">
        <v>339</v>
      </c>
      <c r="E2" s="53" t="s">
        <v>405</v>
      </c>
      <c r="F2" s="53" t="s">
        <v>406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404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17"/>
    </row>
    <row r="3" spans="1:34" x14ac:dyDescent="0.25">
      <c r="A3" s="109">
        <v>102</v>
      </c>
      <c r="B3" s="31"/>
      <c r="C3">
        <v>100</v>
      </c>
      <c r="E3" t="s">
        <v>405</v>
      </c>
      <c r="F3" t="s">
        <v>406</v>
      </c>
      <c r="H3" t="s">
        <v>333</v>
      </c>
      <c r="I3" t="s">
        <v>334</v>
      </c>
      <c r="J3" t="s">
        <v>335</v>
      </c>
      <c r="N3" t="s">
        <v>404</v>
      </c>
      <c r="AH3" s="114"/>
    </row>
    <row r="4" spans="1:34" x14ac:dyDescent="0.25">
      <c r="A4" s="109">
        <v>102</v>
      </c>
      <c r="B4" s="31"/>
      <c r="C4">
        <v>100</v>
      </c>
      <c r="E4" t="s">
        <v>405</v>
      </c>
      <c r="F4" t="s">
        <v>406</v>
      </c>
      <c r="H4" t="s">
        <v>333</v>
      </c>
      <c r="I4" t="s">
        <v>334</v>
      </c>
      <c r="J4" t="s">
        <v>335</v>
      </c>
      <c r="N4" t="s">
        <v>404</v>
      </c>
      <c r="AH4" s="114"/>
    </row>
    <row r="5" spans="1:34" x14ac:dyDescent="0.25">
      <c r="A5" s="109">
        <v>1001</v>
      </c>
      <c r="B5" s="31"/>
      <c r="C5">
        <v>1000</v>
      </c>
      <c r="E5" t="s">
        <v>405</v>
      </c>
      <c r="F5" t="s">
        <v>406</v>
      </c>
      <c r="H5" t="s">
        <v>333</v>
      </c>
      <c r="I5" t="s">
        <v>334</v>
      </c>
      <c r="J5" t="s">
        <v>335</v>
      </c>
      <c r="N5" t="s">
        <v>404</v>
      </c>
      <c r="AH5" s="114"/>
    </row>
    <row r="6" spans="1:34" x14ac:dyDescent="0.25">
      <c r="A6" s="109">
        <v>1001</v>
      </c>
      <c r="B6" s="31"/>
      <c r="C6">
        <v>1000</v>
      </c>
      <c r="E6" t="s">
        <v>405</v>
      </c>
      <c r="F6" t="s">
        <v>406</v>
      </c>
      <c r="H6" t="s">
        <v>333</v>
      </c>
      <c r="I6" t="s">
        <v>334</v>
      </c>
      <c r="J6" t="s">
        <v>335</v>
      </c>
      <c r="N6" t="s">
        <v>404</v>
      </c>
      <c r="AH6" s="114"/>
    </row>
    <row r="7" spans="1:34" x14ac:dyDescent="0.25">
      <c r="A7" s="109">
        <v>102</v>
      </c>
      <c r="B7" s="31"/>
      <c r="C7">
        <v>100</v>
      </c>
      <c r="E7" t="s">
        <v>405</v>
      </c>
      <c r="F7" t="s">
        <v>406</v>
      </c>
      <c r="H7" t="s">
        <v>333</v>
      </c>
      <c r="I7" t="s">
        <v>334</v>
      </c>
      <c r="J7" t="s">
        <v>335</v>
      </c>
      <c r="N7" t="s">
        <v>404</v>
      </c>
      <c r="AH7" s="114"/>
    </row>
    <row r="8" spans="1:34" x14ac:dyDescent="0.25">
      <c r="A8" s="109">
        <v>102</v>
      </c>
      <c r="B8" s="31"/>
      <c r="C8">
        <v>100</v>
      </c>
      <c r="E8" t="s">
        <v>405</v>
      </c>
      <c r="F8" t="s">
        <v>406</v>
      </c>
      <c r="H8" t="s">
        <v>333</v>
      </c>
      <c r="I8" t="s">
        <v>334</v>
      </c>
      <c r="J8" t="s">
        <v>335</v>
      </c>
      <c r="N8" t="s">
        <v>404</v>
      </c>
      <c r="AH8" s="114"/>
    </row>
    <row r="9" spans="1:34" x14ac:dyDescent="0.25">
      <c r="A9" s="109">
        <v>102</v>
      </c>
      <c r="B9" s="31"/>
      <c r="C9">
        <v>100</v>
      </c>
      <c r="E9" t="s">
        <v>405</v>
      </c>
      <c r="F9" t="s">
        <v>406</v>
      </c>
      <c r="H9" t="s">
        <v>333</v>
      </c>
      <c r="I9" t="s">
        <v>334</v>
      </c>
      <c r="J9" t="s">
        <v>335</v>
      </c>
      <c r="N9" t="s">
        <v>404</v>
      </c>
      <c r="AH9" s="114"/>
    </row>
    <row r="10" spans="1:34" x14ac:dyDescent="0.25">
      <c r="A10" s="109">
        <v>102</v>
      </c>
      <c r="B10" s="31"/>
      <c r="C10">
        <v>100</v>
      </c>
      <c r="E10" t="s">
        <v>405</v>
      </c>
      <c r="F10" t="s">
        <v>406</v>
      </c>
      <c r="H10" t="s">
        <v>333</v>
      </c>
      <c r="I10" t="s">
        <v>334</v>
      </c>
      <c r="J10" t="s">
        <v>335</v>
      </c>
      <c r="N10" t="s">
        <v>404</v>
      </c>
      <c r="AH10" s="114"/>
    </row>
    <row r="11" spans="1:34" x14ac:dyDescent="0.25">
      <c r="A11" s="109">
        <v>109</v>
      </c>
      <c r="B11" s="31"/>
      <c r="C11">
        <v>100</v>
      </c>
      <c r="E11" t="s">
        <v>405</v>
      </c>
      <c r="F11" t="s">
        <v>406</v>
      </c>
      <c r="H11" t="s">
        <v>333</v>
      </c>
      <c r="I11" t="s">
        <v>334</v>
      </c>
      <c r="J11" t="s">
        <v>335</v>
      </c>
      <c r="N11" t="s">
        <v>404</v>
      </c>
      <c r="AH11" s="114"/>
    </row>
    <row r="12" spans="1:34" x14ac:dyDescent="0.25">
      <c r="A12" s="109">
        <v>903</v>
      </c>
      <c r="B12" s="31"/>
      <c r="C12">
        <v>900</v>
      </c>
      <c r="E12" t="s">
        <v>405</v>
      </c>
      <c r="F12" t="s">
        <v>406</v>
      </c>
      <c r="H12" t="s">
        <v>333</v>
      </c>
      <c r="I12" t="s">
        <v>334</v>
      </c>
      <c r="J12" t="s">
        <v>335</v>
      </c>
      <c r="N12" t="s">
        <v>404</v>
      </c>
      <c r="AH12" s="114"/>
    </row>
    <row r="13" spans="1:34" x14ac:dyDescent="0.25">
      <c r="A13" s="109">
        <v>501</v>
      </c>
      <c r="B13" s="31"/>
      <c r="C13">
        <v>500</v>
      </c>
      <c r="E13" t="s">
        <v>405</v>
      </c>
      <c r="F13" t="s">
        <v>406</v>
      </c>
      <c r="H13" t="s">
        <v>333</v>
      </c>
      <c r="I13" t="s">
        <v>334</v>
      </c>
      <c r="J13" t="s">
        <v>335</v>
      </c>
      <c r="N13" t="s">
        <v>404</v>
      </c>
      <c r="AH13" s="114"/>
    </row>
    <row r="14" spans="1:34" x14ac:dyDescent="0.25">
      <c r="A14" s="109">
        <v>102</v>
      </c>
      <c r="B14" s="31"/>
      <c r="C14">
        <v>100</v>
      </c>
      <c r="E14" t="s">
        <v>405</v>
      </c>
      <c r="F14" t="s">
        <v>406</v>
      </c>
      <c r="H14" t="s">
        <v>333</v>
      </c>
      <c r="I14" t="s">
        <v>334</v>
      </c>
      <c r="J14" t="s">
        <v>335</v>
      </c>
      <c r="N14" t="s">
        <v>404</v>
      </c>
      <c r="AH14" s="114"/>
    </row>
    <row r="15" spans="1:34" x14ac:dyDescent="0.25">
      <c r="A15" s="109">
        <v>603</v>
      </c>
      <c r="B15" s="31"/>
      <c r="C15">
        <v>600</v>
      </c>
      <c r="E15" t="s">
        <v>405</v>
      </c>
      <c r="F15" t="s">
        <v>406</v>
      </c>
      <c r="H15" t="s">
        <v>333</v>
      </c>
      <c r="I15" t="s">
        <v>334</v>
      </c>
      <c r="J15" t="s">
        <v>335</v>
      </c>
      <c r="N15" t="s">
        <v>404</v>
      </c>
      <c r="AH15" s="114"/>
    </row>
    <row r="16" spans="1:34" x14ac:dyDescent="0.25">
      <c r="A16" s="109">
        <v>109</v>
      </c>
      <c r="B16" s="31"/>
      <c r="C16">
        <v>100</v>
      </c>
      <c r="E16" t="s">
        <v>405</v>
      </c>
      <c r="F16" t="s">
        <v>406</v>
      </c>
      <c r="H16" t="s">
        <v>333</v>
      </c>
      <c r="I16" t="s">
        <v>334</v>
      </c>
      <c r="J16" t="s">
        <v>335</v>
      </c>
      <c r="N16" t="s">
        <v>404</v>
      </c>
      <c r="AH16" s="114"/>
    </row>
    <row r="17" spans="1:34" x14ac:dyDescent="0.25">
      <c r="A17" s="109">
        <v>303</v>
      </c>
      <c r="B17" s="31"/>
      <c r="C17">
        <v>300</v>
      </c>
      <c r="E17" t="s">
        <v>405</v>
      </c>
      <c r="F17" t="s">
        <v>406</v>
      </c>
      <c r="H17" t="s">
        <v>333</v>
      </c>
      <c r="I17" t="s">
        <v>334</v>
      </c>
      <c r="J17" t="s">
        <v>335</v>
      </c>
      <c r="N17" t="s">
        <v>404</v>
      </c>
      <c r="AH17" s="114"/>
    </row>
    <row r="18" spans="1:34" x14ac:dyDescent="0.25">
      <c r="A18" s="109">
        <v>303</v>
      </c>
      <c r="B18" s="31"/>
      <c r="C18">
        <v>300</v>
      </c>
      <c r="E18" t="s">
        <v>405</v>
      </c>
      <c r="F18" t="s">
        <v>406</v>
      </c>
      <c r="H18" t="s">
        <v>333</v>
      </c>
      <c r="I18" t="s">
        <v>334</v>
      </c>
      <c r="J18" t="s">
        <v>335</v>
      </c>
      <c r="N18" t="s">
        <v>404</v>
      </c>
      <c r="AH18" s="114"/>
    </row>
    <row r="19" spans="1:34" x14ac:dyDescent="0.25">
      <c r="A19" s="109">
        <v>501</v>
      </c>
      <c r="B19" s="31"/>
      <c r="C19">
        <v>500</v>
      </c>
      <c r="E19" t="s">
        <v>405</v>
      </c>
      <c r="F19" t="s">
        <v>406</v>
      </c>
      <c r="H19" t="s">
        <v>333</v>
      </c>
      <c r="I19" t="s">
        <v>334</v>
      </c>
      <c r="J19" t="s">
        <v>335</v>
      </c>
      <c r="N19" t="s">
        <v>404</v>
      </c>
      <c r="AH19" s="114"/>
    </row>
    <row r="20" spans="1:34" x14ac:dyDescent="0.25">
      <c r="A20" s="109">
        <v>109</v>
      </c>
      <c r="B20" s="31"/>
      <c r="C20">
        <v>100</v>
      </c>
      <c r="E20" t="s">
        <v>405</v>
      </c>
      <c r="F20" t="s">
        <v>406</v>
      </c>
      <c r="H20" t="s">
        <v>333</v>
      </c>
      <c r="I20" t="s">
        <v>334</v>
      </c>
      <c r="J20" t="s">
        <v>335</v>
      </c>
      <c r="N20" t="s">
        <v>404</v>
      </c>
      <c r="AH20" s="114"/>
    </row>
    <row r="21" spans="1:34" x14ac:dyDescent="0.25">
      <c r="A21" s="109">
        <v>102</v>
      </c>
      <c r="B21" s="31"/>
      <c r="C21">
        <v>100</v>
      </c>
      <c r="E21" t="s">
        <v>405</v>
      </c>
      <c r="F21" t="s">
        <v>406</v>
      </c>
      <c r="H21" t="s">
        <v>333</v>
      </c>
      <c r="I21" t="s">
        <v>334</v>
      </c>
      <c r="J21" t="s">
        <v>335</v>
      </c>
      <c r="N21" t="s">
        <v>404</v>
      </c>
      <c r="AH21" s="114"/>
    </row>
    <row r="22" spans="1:34" x14ac:dyDescent="0.25">
      <c r="A22" s="109">
        <v>102</v>
      </c>
      <c r="B22" s="31"/>
      <c r="C22">
        <v>100</v>
      </c>
      <c r="E22" t="s">
        <v>405</v>
      </c>
      <c r="F22" t="s">
        <v>406</v>
      </c>
      <c r="H22" t="s">
        <v>333</v>
      </c>
      <c r="I22" t="s">
        <v>334</v>
      </c>
      <c r="J22" t="s">
        <v>335</v>
      </c>
      <c r="N22" t="s">
        <v>404</v>
      </c>
      <c r="AH22" s="114"/>
    </row>
    <row r="23" spans="1:34" x14ac:dyDescent="0.25">
      <c r="A23" s="109">
        <v>109</v>
      </c>
      <c r="B23" s="31"/>
      <c r="C23">
        <v>100</v>
      </c>
      <c r="E23" t="s">
        <v>405</v>
      </c>
      <c r="F23" t="s">
        <v>406</v>
      </c>
      <c r="H23" t="s">
        <v>333</v>
      </c>
      <c r="I23" t="s">
        <v>334</v>
      </c>
      <c r="J23" t="s">
        <v>335</v>
      </c>
      <c r="N23" t="s">
        <v>404</v>
      </c>
      <c r="AH23" s="114"/>
    </row>
    <row r="24" spans="1:34" x14ac:dyDescent="0.25">
      <c r="A24" s="109">
        <v>102</v>
      </c>
      <c r="B24" s="31"/>
      <c r="C24">
        <v>100</v>
      </c>
      <c r="E24" t="s">
        <v>405</v>
      </c>
      <c r="F24" t="s">
        <v>406</v>
      </c>
      <c r="H24" t="s">
        <v>333</v>
      </c>
      <c r="I24" t="s">
        <v>334</v>
      </c>
      <c r="J24" t="s">
        <v>335</v>
      </c>
      <c r="N24" t="s">
        <v>404</v>
      </c>
      <c r="AH24" s="114"/>
    </row>
    <row r="25" spans="1:34" x14ac:dyDescent="0.25">
      <c r="A25" s="109">
        <v>303</v>
      </c>
      <c r="B25" s="31"/>
      <c r="C25">
        <v>300</v>
      </c>
      <c r="E25" t="s">
        <v>405</v>
      </c>
      <c r="F25" t="s">
        <v>406</v>
      </c>
      <c r="H25" t="s">
        <v>333</v>
      </c>
      <c r="I25" t="s">
        <v>334</v>
      </c>
      <c r="J25" t="s">
        <v>335</v>
      </c>
      <c r="N25" t="s">
        <v>404</v>
      </c>
      <c r="AH25" s="114"/>
    </row>
    <row r="26" spans="1:34" x14ac:dyDescent="0.25">
      <c r="A26" s="109">
        <v>303</v>
      </c>
      <c r="B26" s="31"/>
      <c r="C26">
        <v>300</v>
      </c>
      <c r="E26" t="s">
        <v>405</v>
      </c>
      <c r="F26" t="s">
        <v>406</v>
      </c>
      <c r="H26" t="s">
        <v>333</v>
      </c>
      <c r="I26" t="s">
        <v>334</v>
      </c>
      <c r="J26" t="s">
        <v>335</v>
      </c>
      <c r="N26" t="s">
        <v>404</v>
      </c>
      <c r="AH26" s="114"/>
    </row>
    <row r="27" spans="1:34" x14ac:dyDescent="0.25">
      <c r="A27" s="109">
        <v>102</v>
      </c>
      <c r="B27" s="31"/>
      <c r="C27">
        <v>100</v>
      </c>
      <c r="E27" t="s">
        <v>405</v>
      </c>
      <c r="F27" t="s">
        <v>406</v>
      </c>
      <c r="H27" t="s">
        <v>333</v>
      </c>
      <c r="I27" t="s">
        <v>334</v>
      </c>
      <c r="J27" t="s">
        <v>335</v>
      </c>
      <c r="N27" t="s">
        <v>404</v>
      </c>
      <c r="AH27" s="114"/>
    </row>
    <row r="28" spans="1:34" x14ac:dyDescent="0.25">
      <c r="A28" s="109">
        <v>501</v>
      </c>
      <c r="B28" s="31"/>
      <c r="C28">
        <v>500</v>
      </c>
      <c r="E28" t="s">
        <v>405</v>
      </c>
      <c r="F28" t="s">
        <v>406</v>
      </c>
      <c r="H28" t="s">
        <v>333</v>
      </c>
      <c r="I28" t="s">
        <v>334</v>
      </c>
      <c r="J28" t="s">
        <v>335</v>
      </c>
      <c r="N28" t="s">
        <v>404</v>
      </c>
      <c r="AH28" s="114"/>
    </row>
    <row r="29" spans="1:34" x14ac:dyDescent="0.25">
      <c r="A29" s="109">
        <v>109</v>
      </c>
      <c r="B29" s="31"/>
      <c r="C29">
        <v>100</v>
      </c>
      <c r="E29" t="s">
        <v>405</v>
      </c>
      <c r="F29" t="s">
        <v>406</v>
      </c>
      <c r="H29" t="s">
        <v>333</v>
      </c>
      <c r="I29" t="s">
        <v>334</v>
      </c>
      <c r="J29" t="s">
        <v>335</v>
      </c>
      <c r="N29" t="s">
        <v>404</v>
      </c>
      <c r="AH29" s="114"/>
    </row>
    <row r="30" spans="1:34" x14ac:dyDescent="0.25">
      <c r="A30" s="109">
        <v>109</v>
      </c>
      <c r="B30" s="31"/>
      <c r="C30">
        <v>100</v>
      </c>
      <c r="E30" t="s">
        <v>405</v>
      </c>
      <c r="F30" t="s">
        <v>406</v>
      </c>
      <c r="H30" t="s">
        <v>333</v>
      </c>
      <c r="I30" t="s">
        <v>334</v>
      </c>
      <c r="J30" t="s">
        <v>335</v>
      </c>
      <c r="N30" t="s">
        <v>404</v>
      </c>
      <c r="AH30" s="114"/>
    </row>
    <row r="31" spans="1:34" x14ac:dyDescent="0.25">
      <c r="A31" s="109">
        <v>903</v>
      </c>
      <c r="B31" s="31"/>
      <c r="C31">
        <v>900</v>
      </c>
      <c r="E31" t="s">
        <v>405</v>
      </c>
      <c r="F31" t="s">
        <v>406</v>
      </c>
      <c r="H31" t="s">
        <v>333</v>
      </c>
      <c r="I31" t="s">
        <v>334</v>
      </c>
      <c r="J31" t="s">
        <v>335</v>
      </c>
      <c r="N31" t="s">
        <v>404</v>
      </c>
      <c r="AH31" s="114"/>
    </row>
    <row r="32" spans="1:34" x14ac:dyDescent="0.25">
      <c r="A32" s="109">
        <v>501</v>
      </c>
      <c r="B32" s="31"/>
      <c r="C32">
        <v>500</v>
      </c>
      <c r="E32" t="s">
        <v>405</v>
      </c>
      <c r="F32" t="s">
        <v>406</v>
      </c>
      <c r="H32" t="s">
        <v>333</v>
      </c>
      <c r="I32" t="s">
        <v>334</v>
      </c>
      <c r="J32" t="s">
        <v>335</v>
      </c>
      <c r="N32" t="s">
        <v>404</v>
      </c>
      <c r="AH32" s="114"/>
    </row>
    <row r="33" spans="1:34" x14ac:dyDescent="0.25">
      <c r="A33" s="109">
        <v>303</v>
      </c>
      <c r="B33" s="31"/>
      <c r="C33">
        <v>300</v>
      </c>
      <c r="E33" t="s">
        <v>405</v>
      </c>
      <c r="F33" t="s">
        <v>406</v>
      </c>
      <c r="H33" t="s">
        <v>333</v>
      </c>
      <c r="I33" t="s">
        <v>334</v>
      </c>
      <c r="J33" t="s">
        <v>335</v>
      </c>
      <c r="N33" t="s">
        <v>404</v>
      </c>
      <c r="AH33" s="114"/>
    </row>
    <row r="34" spans="1:34" x14ac:dyDescent="0.25">
      <c r="A34" s="109">
        <v>303</v>
      </c>
      <c r="B34" s="31"/>
      <c r="C34">
        <v>300</v>
      </c>
      <c r="E34" t="s">
        <v>405</v>
      </c>
      <c r="F34" t="s">
        <v>406</v>
      </c>
      <c r="H34" t="s">
        <v>333</v>
      </c>
      <c r="I34" t="s">
        <v>334</v>
      </c>
      <c r="J34" t="s">
        <v>335</v>
      </c>
      <c r="N34" t="s">
        <v>404</v>
      </c>
      <c r="AH34" s="114"/>
    </row>
    <row r="35" spans="1:34" x14ac:dyDescent="0.25">
      <c r="A35" s="109">
        <v>501</v>
      </c>
      <c r="B35" s="31"/>
      <c r="C35">
        <v>500</v>
      </c>
      <c r="E35" t="s">
        <v>405</v>
      </c>
      <c r="F35" t="s">
        <v>406</v>
      </c>
      <c r="H35" t="s">
        <v>333</v>
      </c>
      <c r="I35" t="s">
        <v>334</v>
      </c>
      <c r="J35" t="s">
        <v>335</v>
      </c>
      <c r="N35" t="s">
        <v>404</v>
      </c>
      <c r="AH35" s="114"/>
    </row>
    <row r="36" spans="1:34" x14ac:dyDescent="0.25">
      <c r="A36" s="109">
        <v>102</v>
      </c>
      <c r="B36" s="31"/>
      <c r="C36">
        <v>100</v>
      </c>
      <c r="E36" t="s">
        <v>405</v>
      </c>
      <c r="F36" t="s">
        <v>406</v>
      </c>
      <c r="H36" t="s">
        <v>333</v>
      </c>
      <c r="I36" t="s">
        <v>334</v>
      </c>
      <c r="J36" t="s">
        <v>335</v>
      </c>
      <c r="N36" t="s">
        <v>404</v>
      </c>
      <c r="AH36" s="114"/>
    </row>
    <row r="37" spans="1:34" x14ac:dyDescent="0.25">
      <c r="A37" s="109">
        <v>109</v>
      </c>
      <c r="B37" s="31"/>
      <c r="C37">
        <v>100</v>
      </c>
      <c r="E37" t="s">
        <v>405</v>
      </c>
      <c r="F37" t="s">
        <v>406</v>
      </c>
      <c r="H37" t="s">
        <v>333</v>
      </c>
      <c r="I37" t="s">
        <v>334</v>
      </c>
      <c r="J37" t="s">
        <v>335</v>
      </c>
      <c r="N37" t="s">
        <v>404</v>
      </c>
      <c r="AH37" s="114"/>
    </row>
    <row r="38" spans="1:34" x14ac:dyDescent="0.25">
      <c r="A38" s="109">
        <v>109</v>
      </c>
      <c r="B38" s="31"/>
      <c r="C38">
        <v>100</v>
      </c>
      <c r="E38" t="s">
        <v>405</v>
      </c>
      <c r="F38" t="s">
        <v>406</v>
      </c>
      <c r="H38" t="s">
        <v>333</v>
      </c>
      <c r="I38" t="s">
        <v>334</v>
      </c>
      <c r="J38" t="s">
        <v>335</v>
      </c>
      <c r="N38" t="s">
        <v>404</v>
      </c>
      <c r="AH38" s="114"/>
    </row>
    <row r="39" spans="1:34" x14ac:dyDescent="0.25">
      <c r="A39" s="109">
        <v>501</v>
      </c>
      <c r="B39" s="31"/>
      <c r="C39">
        <v>500</v>
      </c>
      <c r="E39" t="s">
        <v>405</v>
      </c>
      <c r="F39" t="s">
        <v>406</v>
      </c>
      <c r="H39" t="s">
        <v>333</v>
      </c>
      <c r="I39" t="s">
        <v>334</v>
      </c>
      <c r="J39" t="s">
        <v>335</v>
      </c>
      <c r="N39" t="s">
        <v>404</v>
      </c>
      <c r="AH39" s="114"/>
    </row>
    <row r="40" spans="1:34" x14ac:dyDescent="0.25">
      <c r="A40" s="109">
        <v>501</v>
      </c>
      <c r="B40" s="31"/>
      <c r="C40">
        <v>500</v>
      </c>
      <c r="E40" t="s">
        <v>405</v>
      </c>
      <c r="F40" t="s">
        <v>406</v>
      </c>
      <c r="H40" t="s">
        <v>333</v>
      </c>
      <c r="I40" t="s">
        <v>334</v>
      </c>
      <c r="J40" t="s">
        <v>335</v>
      </c>
      <c r="N40" t="s">
        <v>404</v>
      </c>
      <c r="AH40" s="114"/>
    </row>
    <row r="41" spans="1:34" x14ac:dyDescent="0.25">
      <c r="A41" s="109">
        <v>303</v>
      </c>
      <c r="B41" s="31"/>
      <c r="C41">
        <v>300</v>
      </c>
      <c r="E41" t="s">
        <v>405</v>
      </c>
      <c r="F41" t="s">
        <v>406</v>
      </c>
      <c r="H41" t="s">
        <v>333</v>
      </c>
      <c r="I41" t="s">
        <v>334</v>
      </c>
      <c r="J41" t="s">
        <v>335</v>
      </c>
      <c r="N41" t="s">
        <v>404</v>
      </c>
      <c r="AH41" s="114"/>
    </row>
    <row r="42" spans="1:34" x14ac:dyDescent="0.25">
      <c r="A42" s="109">
        <v>303</v>
      </c>
      <c r="B42" s="31"/>
      <c r="C42">
        <v>300</v>
      </c>
      <c r="E42" t="s">
        <v>405</v>
      </c>
      <c r="F42" t="s">
        <v>406</v>
      </c>
      <c r="H42" t="s">
        <v>333</v>
      </c>
      <c r="I42" t="s">
        <v>334</v>
      </c>
      <c r="J42" t="s">
        <v>335</v>
      </c>
      <c r="N42" t="s">
        <v>404</v>
      </c>
      <c r="AH42" s="114"/>
    </row>
    <row r="43" spans="1:34" x14ac:dyDescent="0.25">
      <c r="A43" s="109">
        <v>903</v>
      </c>
      <c r="B43" s="31"/>
      <c r="C43">
        <v>900</v>
      </c>
      <c r="E43" t="s">
        <v>405</v>
      </c>
      <c r="F43" t="s">
        <v>406</v>
      </c>
      <c r="H43" t="s">
        <v>333</v>
      </c>
      <c r="I43" t="s">
        <v>334</v>
      </c>
      <c r="J43" t="s">
        <v>335</v>
      </c>
      <c r="N43" t="s">
        <v>404</v>
      </c>
      <c r="AH43" s="114"/>
    </row>
    <row r="44" spans="1:34" x14ac:dyDescent="0.25">
      <c r="A44" s="109">
        <v>109</v>
      </c>
      <c r="B44" s="31"/>
      <c r="C44">
        <v>100</v>
      </c>
      <c r="E44" t="s">
        <v>405</v>
      </c>
      <c r="F44" t="s">
        <v>406</v>
      </c>
      <c r="H44" t="s">
        <v>333</v>
      </c>
      <c r="I44" t="s">
        <v>334</v>
      </c>
      <c r="J44" t="s">
        <v>335</v>
      </c>
      <c r="N44" t="s">
        <v>404</v>
      </c>
      <c r="AH44" s="114"/>
    </row>
    <row r="45" spans="1:34" x14ac:dyDescent="0.25">
      <c r="A45" s="109">
        <v>102</v>
      </c>
      <c r="B45" s="31"/>
      <c r="C45">
        <v>100</v>
      </c>
      <c r="E45" t="s">
        <v>405</v>
      </c>
      <c r="F45" t="s">
        <v>406</v>
      </c>
      <c r="H45" t="s">
        <v>333</v>
      </c>
      <c r="I45" t="s">
        <v>334</v>
      </c>
      <c r="J45" t="s">
        <v>335</v>
      </c>
      <c r="N45" t="s">
        <v>404</v>
      </c>
      <c r="AH45" s="114"/>
    </row>
    <row r="46" spans="1:34" x14ac:dyDescent="0.25">
      <c r="A46" s="109">
        <v>903</v>
      </c>
      <c r="B46" s="31"/>
      <c r="C46">
        <v>900</v>
      </c>
      <c r="E46" t="s">
        <v>405</v>
      </c>
      <c r="F46" t="s">
        <v>406</v>
      </c>
      <c r="H46" t="s">
        <v>333</v>
      </c>
      <c r="I46" t="s">
        <v>334</v>
      </c>
      <c r="J46" t="s">
        <v>335</v>
      </c>
      <c r="N46" t="s">
        <v>404</v>
      </c>
      <c r="AH46" s="114"/>
    </row>
    <row r="47" spans="1:34" x14ac:dyDescent="0.25">
      <c r="A47" s="109">
        <v>109</v>
      </c>
      <c r="B47" s="31"/>
      <c r="C47">
        <v>100</v>
      </c>
      <c r="E47" t="s">
        <v>405</v>
      </c>
      <c r="F47" t="s">
        <v>406</v>
      </c>
      <c r="H47" t="s">
        <v>333</v>
      </c>
      <c r="I47" t="s">
        <v>334</v>
      </c>
      <c r="J47" t="s">
        <v>335</v>
      </c>
      <c r="N47" t="s">
        <v>404</v>
      </c>
      <c r="AH47" s="114"/>
    </row>
    <row r="48" spans="1:34" x14ac:dyDescent="0.25">
      <c r="A48" s="109">
        <v>604</v>
      </c>
      <c r="B48" s="31"/>
      <c r="C48">
        <v>600</v>
      </c>
      <c r="E48" t="s">
        <v>405</v>
      </c>
      <c r="F48" t="s">
        <v>406</v>
      </c>
      <c r="H48" t="s">
        <v>333</v>
      </c>
      <c r="I48" t="s">
        <v>334</v>
      </c>
      <c r="J48" t="s">
        <v>335</v>
      </c>
      <c r="N48" t="s">
        <v>404</v>
      </c>
      <c r="AH48" s="114"/>
    </row>
    <row r="49" spans="1:34" x14ac:dyDescent="0.25">
      <c r="A49" s="109">
        <v>303</v>
      </c>
      <c r="B49" s="31"/>
      <c r="C49">
        <v>300</v>
      </c>
      <c r="E49" t="s">
        <v>405</v>
      </c>
      <c r="F49" t="s">
        <v>406</v>
      </c>
      <c r="H49" t="s">
        <v>333</v>
      </c>
      <c r="I49" t="s">
        <v>334</v>
      </c>
      <c r="J49" t="s">
        <v>335</v>
      </c>
      <c r="N49" t="s">
        <v>404</v>
      </c>
      <c r="AH49" s="114"/>
    </row>
    <row r="50" spans="1:34" x14ac:dyDescent="0.25">
      <c r="A50" s="109">
        <v>303</v>
      </c>
      <c r="B50" s="31"/>
      <c r="C50">
        <v>300</v>
      </c>
      <c r="E50" t="s">
        <v>405</v>
      </c>
      <c r="F50" t="s">
        <v>406</v>
      </c>
      <c r="H50" t="s">
        <v>333</v>
      </c>
      <c r="I50" t="s">
        <v>334</v>
      </c>
      <c r="J50" t="s">
        <v>335</v>
      </c>
      <c r="N50" t="s">
        <v>404</v>
      </c>
      <c r="AH50" s="114"/>
    </row>
    <row r="51" spans="1:34" x14ac:dyDescent="0.25">
      <c r="A51" s="109">
        <v>109</v>
      </c>
      <c r="B51" s="31"/>
      <c r="C51">
        <v>100</v>
      </c>
      <c r="E51" t="s">
        <v>405</v>
      </c>
      <c r="F51" t="s">
        <v>406</v>
      </c>
      <c r="H51" t="s">
        <v>333</v>
      </c>
      <c r="I51" t="s">
        <v>334</v>
      </c>
      <c r="J51" t="s">
        <v>335</v>
      </c>
      <c r="N51" t="s">
        <v>404</v>
      </c>
      <c r="AH51" s="114"/>
    </row>
    <row r="52" spans="1:34" x14ac:dyDescent="0.25">
      <c r="A52" s="109">
        <v>501</v>
      </c>
      <c r="B52" s="31"/>
      <c r="C52">
        <v>500</v>
      </c>
      <c r="E52" t="s">
        <v>405</v>
      </c>
      <c r="F52" t="s">
        <v>406</v>
      </c>
      <c r="H52" t="s">
        <v>333</v>
      </c>
      <c r="I52" t="s">
        <v>334</v>
      </c>
      <c r="J52" t="s">
        <v>335</v>
      </c>
      <c r="N52" t="s">
        <v>404</v>
      </c>
      <c r="AH52" s="114"/>
    </row>
    <row r="53" spans="1:34" x14ac:dyDescent="0.25">
      <c r="A53" s="109">
        <v>903</v>
      </c>
      <c r="B53" s="31"/>
      <c r="C53">
        <v>900</v>
      </c>
      <c r="E53" t="s">
        <v>405</v>
      </c>
      <c r="F53" t="s">
        <v>406</v>
      </c>
      <c r="H53" t="s">
        <v>333</v>
      </c>
      <c r="I53" t="s">
        <v>334</v>
      </c>
      <c r="J53" t="s">
        <v>335</v>
      </c>
      <c r="N53" t="s">
        <v>404</v>
      </c>
      <c r="AH53" s="114"/>
    </row>
    <row r="54" spans="1:34" x14ac:dyDescent="0.25">
      <c r="A54" s="109">
        <v>501</v>
      </c>
      <c r="B54" s="31"/>
      <c r="C54">
        <v>500</v>
      </c>
      <c r="E54" t="s">
        <v>405</v>
      </c>
      <c r="F54" t="s">
        <v>406</v>
      </c>
      <c r="H54" t="s">
        <v>333</v>
      </c>
      <c r="I54" t="s">
        <v>334</v>
      </c>
      <c r="J54" t="s">
        <v>335</v>
      </c>
      <c r="N54" t="s">
        <v>404</v>
      </c>
      <c r="AH54" s="114"/>
    </row>
    <row r="55" spans="1:34" x14ac:dyDescent="0.25">
      <c r="A55" s="109">
        <v>501</v>
      </c>
      <c r="B55" s="31"/>
      <c r="C55">
        <v>500</v>
      </c>
      <c r="E55" t="s">
        <v>405</v>
      </c>
      <c r="F55" t="s">
        <v>406</v>
      </c>
      <c r="H55" t="s">
        <v>333</v>
      </c>
      <c r="I55" t="s">
        <v>334</v>
      </c>
      <c r="J55" t="s">
        <v>335</v>
      </c>
      <c r="N55" t="s">
        <v>404</v>
      </c>
      <c r="AH55" s="114"/>
    </row>
    <row r="56" spans="1:34" x14ac:dyDescent="0.25">
      <c r="A56" s="109">
        <v>109</v>
      </c>
      <c r="B56" s="31"/>
      <c r="C56">
        <v>100</v>
      </c>
      <c r="E56" t="s">
        <v>405</v>
      </c>
      <c r="F56" t="s">
        <v>406</v>
      </c>
      <c r="H56" t="s">
        <v>333</v>
      </c>
      <c r="I56" t="s">
        <v>334</v>
      </c>
      <c r="J56" t="s">
        <v>335</v>
      </c>
      <c r="N56" t="s">
        <v>404</v>
      </c>
      <c r="AH56" s="114"/>
    </row>
    <row r="57" spans="1:34" x14ac:dyDescent="0.25">
      <c r="A57" s="109">
        <v>303</v>
      </c>
      <c r="B57" s="31"/>
      <c r="C57">
        <v>300</v>
      </c>
      <c r="E57" t="s">
        <v>405</v>
      </c>
      <c r="F57" t="s">
        <v>406</v>
      </c>
      <c r="H57" t="s">
        <v>333</v>
      </c>
      <c r="I57" t="s">
        <v>334</v>
      </c>
      <c r="J57" t="s">
        <v>335</v>
      </c>
      <c r="N57" t="s">
        <v>404</v>
      </c>
      <c r="AH57" s="114"/>
    </row>
    <row r="58" spans="1:34" x14ac:dyDescent="0.25">
      <c r="A58" s="109">
        <v>303</v>
      </c>
      <c r="B58" s="31"/>
      <c r="C58">
        <v>300</v>
      </c>
      <c r="E58" t="s">
        <v>405</v>
      </c>
      <c r="F58" t="s">
        <v>406</v>
      </c>
      <c r="H58" t="s">
        <v>333</v>
      </c>
      <c r="I58" t="s">
        <v>334</v>
      </c>
      <c r="J58" t="s">
        <v>335</v>
      </c>
      <c r="N58" t="s">
        <v>404</v>
      </c>
      <c r="AH58" s="114"/>
    </row>
    <row r="59" spans="1:34" x14ac:dyDescent="0.25">
      <c r="A59" s="109">
        <v>303</v>
      </c>
      <c r="B59" s="31"/>
      <c r="C59">
        <v>300</v>
      </c>
      <c r="E59" t="s">
        <v>405</v>
      </c>
      <c r="F59" t="s">
        <v>406</v>
      </c>
      <c r="H59" t="s">
        <v>333</v>
      </c>
      <c r="I59" t="s">
        <v>334</v>
      </c>
      <c r="J59" t="s">
        <v>335</v>
      </c>
      <c r="N59" t="s">
        <v>404</v>
      </c>
      <c r="AH59" s="114"/>
    </row>
    <row r="60" spans="1:34" x14ac:dyDescent="0.25">
      <c r="A60" s="109">
        <v>102</v>
      </c>
      <c r="B60" s="31"/>
      <c r="C60">
        <v>100</v>
      </c>
      <c r="E60" t="s">
        <v>405</v>
      </c>
      <c r="F60" t="s">
        <v>406</v>
      </c>
      <c r="H60" t="s">
        <v>333</v>
      </c>
      <c r="I60" t="s">
        <v>334</v>
      </c>
      <c r="J60" t="s">
        <v>335</v>
      </c>
      <c r="N60" t="s">
        <v>404</v>
      </c>
      <c r="AH60" s="114"/>
    </row>
    <row r="61" spans="1:34" x14ac:dyDescent="0.25">
      <c r="A61" s="109">
        <v>102</v>
      </c>
      <c r="B61" s="31"/>
      <c r="C61">
        <v>100</v>
      </c>
      <c r="E61" t="s">
        <v>405</v>
      </c>
      <c r="F61" t="s">
        <v>406</v>
      </c>
      <c r="H61" t="s">
        <v>333</v>
      </c>
      <c r="I61" t="s">
        <v>334</v>
      </c>
      <c r="J61" t="s">
        <v>335</v>
      </c>
      <c r="N61" t="s">
        <v>404</v>
      </c>
      <c r="AH61" s="114"/>
    </row>
    <row r="62" spans="1:34" x14ac:dyDescent="0.25">
      <c r="A62" s="109">
        <v>303</v>
      </c>
      <c r="B62" s="31"/>
      <c r="C62">
        <v>300</v>
      </c>
      <c r="E62" t="s">
        <v>405</v>
      </c>
      <c r="F62" t="s">
        <v>406</v>
      </c>
      <c r="H62" t="s">
        <v>333</v>
      </c>
      <c r="I62" t="s">
        <v>334</v>
      </c>
      <c r="J62" t="s">
        <v>335</v>
      </c>
      <c r="N62" t="s">
        <v>404</v>
      </c>
      <c r="AH62" s="114"/>
    </row>
    <row r="63" spans="1:34" x14ac:dyDescent="0.25">
      <c r="A63" s="109">
        <v>303</v>
      </c>
      <c r="B63" s="31"/>
      <c r="C63">
        <v>300</v>
      </c>
      <c r="E63" t="s">
        <v>405</v>
      </c>
      <c r="F63" t="s">
        <v>406</v>
      </c>
      <c r="H63" t="s">
        <v>333</v>
      </c>
      <c r="I63" t="s">
        <v>334</v>
      </c>
      <c r="J63" t="s">
        <v>335</v>
      </c>
      <c r="N63" t="s">
        <v>404</v>
      </c>
      <c r="AH63" s="114"/>
    </row>
    <row r="64" spans="1:34" x14ac:dyDescent="0.25">
      <c r="A64" s="109">
        <v>501</v>
      </c>
      <c r="B64" s="31"/>
      <c r="C64">
        <v>500</v>
      </c>
      <c r="E64" t="s">
        <v>405</v>
      </c>
      <c r="F64" t="s">
        <v>406</v>
      </c>
      <c r="H64" t="s">
        <v>333</v>
      </c>
      <c r="I64" t="s">
        <v>334</v>
      </c>
      <c r="J64" t="s">
        <v>335</v>
      </c>
      <c r="N64" t="s">
        <v>404</v>
      </c>
      <c r="AH64" s="114"/>
    </row>
    <row r="65" spans="1:34" ht="15.75" thickBot="1" x14ac:dyDescent="0.3">
      <c r="A65" s="110">
        <v>501</v>
      </c>
      <c r="B65" s="39"/>
      <c r="C65" s="40">
        <v>500</v>
      </c>
      <c r="D65" s="40" t="s">
        <v>340</v>
      </c>
      <c r="E65" s="40" t="s">
        <v>405</v>
      </c>
      <c r="F65" s="40" t="s">
        <v>406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404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15"/>
    </row>
    <row r="66" spans="1:34" ht="15.75" thickTop="1" x14ac:dyDescent="0.25"/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710937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9" width="3.7109375" bestFit="1" customWidth="1"/>
    <col min="10" max="11" width="4.5703125" bestFit="1" customWidth="1"/>
    <col min="12" max="13" width="3.7109375" bestFit="1" customWidth="1"/>
    <col min="14" max="14" width="4.5703125" bestFit="1" customWidth="1"/>
    <col min="15" max="16" width="3.7109375" bestFit="1" customWidth="1"/>
    <col min="17" max="17" width="3.7109375" style="17" bestFit="1" customWidth="1"/>
    <col min="18" max="18" width="3.7109375" style="10" bestFit="1" customWidth="1"/>
    <col min="19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3" width="3.7109375" bestFit="1" customWidth="1"/>
    <col min="74" max="74" width="4.570312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452</v>
      </c>
      <c r="F3" s="29">
        <f>IF(P3=0,0,COUNTIF(Lekeitio_2_8b_imgsummary!BQ3:EB3,"100")*100/P3)</f>
        <v>34.375</v>
      </c>
      <c r="G3">
        <f>IF(P3=0,0,COUNTIF(Lekeitio_2_8b_imgsummary!BQ3:EB3,"200")*100/P3)</f>
        <v>0</v>
      </c>
      <c r="H3" s="29">
        <f>IF(P3=0,0,COUNTIF(Lekeitio_2_8b_imgsummary!BQ3:EB3,"300")*100/P3)</f>
        <v>1.5625</v>
      </c>
      <c r="I3">
        <f>IF(P3=0,0,COUNTIF(Lekeitio_2_8b_imgsummary!BQ3:EB3,"400")*100/P3)</f>
        <v>0</v>
      </c>
      <c r="J3" s="29">
        <f>IF(P3=0,0,COUNTIF(Lekeitio_2_8b_imgsummary!BQ3:EB3,"500")*100/P3)</f>
        <v>37.5</v>
      </c>
      <c r="K3" s="29">
        <f>IF(P3=0,0,COUNTIF(Lekeitio_2_8b_imgsummary!BQ3:EB3,"600")*100/P3)</f>
        <v>10.9375</v>
      </c>
      <c r="L3">
        <f>IF(P3=0,0,COUNTIF(Lekeitio_2_8b_imgsummary!BQ3:EB3,"700")*100/P3)</f>
        <v>0</v>
      </c>
      <c r="M3">
        <f>IF(P3=0,0,COUNTIF(Lekeitio_2_8b_imgsummary!BQ3:EB3,"800")*100/P3)</f>
        <v>0</v>
      </c>
      <c r="N3" s="29">
        <f>IF(P3=0,0,COUNTIF(Lekeitio_2_8b_imgsummary!BQ3:EB3,"900")*100/P3)</f>
        <v>15.625</v>
      </c>
      <c r="O3">
        <f>IF(P3=0,0,COUNTIF(Lekeitio_2_8b_imgsummary!BQ3:EB3,"1000")*100/P3)</f>
        <v>0</v>
      </c>
      <c r="P3">
        <f>64-COUNTIF(Lekeitio_2_8b_imgsummary!BQ3:EB3,"TWS")</f>
        <v>64</v>
      </c>
      <c r="S3">
        <f>IF(P3=0,0,COUNTIF(Lekeitio_2_8b_imgsummary!E3:BP3,"108")*100/P3)</f>
        <v>0</v>
      </c>
      <c r="T3">
        <f>IF(P3=0,0,COUNTIF(Lekeitio_2_8b_imgsummary!E3:BP3,"105")*100/P3)</f>
        <v>0</v>
      </c>
      <c r="U3">
        <f>IF(P3=0,0,COUNTIF(Lekeitio_2_8b_imgsummary!E3:BP3,"103")*100/P3)</f>
        <v>0</v>
      </c>
      <c r="V3">
        <f>IF(P3=0,0,COUNTIF(Lekeitio_2_8b_imgsummary!E3:BP3,"107")*100/P3)</f>
        <v>0</v>
      </c>
      <c r="W3">
        <f>IF(P3=0,0,COUNTIF(Lekeitio_2_8b_imgsummary!E3:BP3,"101")*100/P3)</f>
        <v>0</v>
      </c>
      <c r="X3">
        <f>IF(P3=0,0,COUNTIF(Lekeitio_2_8b_imgsummary!E3:BP3,"106")*100/P3)</f>
        <v>0</v>
      </c>
      <c r="Y3" s="29">
        <f>IF(P3=0,0,COUNTIF(Lekeitio_2_8b_imgsummary!E3:BP3,"102")*100/P3)</f>
        <v>7.8125</v>
      </c>
      <c r="Z3" s="29">
        <f>IF(P3=0,0,COUNTIF(Lekeitio_2_8b_imgsummary!E3:BP3,"104")*100/P3)</f>
        <v>6.25</v>
      </c>
      <c r="AA3">
        <f>IF(P3=0,0,COUNTIF(Lekeitio_2_8b_imgsummary!E3:BP3,"111")*100/P3)</f>
        <v>0</v>
      </c>
      <c r="AB3">
        <f>IF(P3=0,0,COUNTIF(Lekeitio_2_8b_imgsummary!E3:BP3,"112")*100/P3)</f>
        <v>0</v>
      </c>
      <c r="AC3">
        <f>IF(P3=0,0,COUNTIF(Lekeitio_2_8b_imgsummary!E3:BP3,"113")*100/P3)</f>
        <v>0</v>
      </c>
      <c r="AD3">
        <f>IF(P3=0,0,COUNTIF(Lekeitio_2_8b_imgsummary!E3:BP3,"114")*100/P3)</f>
        <v>0</v>
      </c>
      <c r="AE3">
        <f>IF(P3=0,0,COUNTIF(Lekeitio_2_8b_imgsummary!E3:BP3,"115")*100/P3)</f>
        <v>0</v>
      </c>
      <c r="AF3">
        <f>IF(P3=0,0,COUNTIF(Lekeitio_2_8b_imgsummary!E3:BP3,"116")*100/P3)</f>
        <v>0</v>
      </c>
      <c r="AG3">
        <f>IF(P3=0,0,COUNTIF(Lekeitio_2_8b_imgsummary!E3:BP3,"117")*100/P3)</f>
        <v>0</v>
      </c>
      <c r="AH3">
        <f>IF(P3=0,0,COUNTIF(Lekeitio_2_8b_imgsummary!E3:BP3,"118")*100/P3)</f>
        <v>0</v>
      </c>
      <c r="AI3" s="29">
        <f>IF(P3=0,0,COUNTIF(Lekeitio_2_8b_imgsummary!E3:BP3,"109")*100/P3)</f>
        <v>20.3125</v>
      </c>
      <c r="AJ3">
        <f>IF(P3=0,0,COUNTIF(Lekeitio_2_8b_imgsummary!E3:BP3,"110")*100/P3)</f>
        <v>0</v>
      </c>
      <c r="AL3">
        <f>IF(P3=0,0,COUNTIF(Lekeitio_2_8b_imgsummary!E3:BP3,"202")*100/P3)</f>
        <v>0</v>
      </c>
      <c r="AM3">
        <f>IF(P3=0,0,COUNTIF(Lekeitio_2_8b_imgsummary!E3:BP3,"201")*100/P3)</f>
        <v>0</v>
      </c>
      <c r="AO3">
        <f>IF(P3=0,0,COUNTIF(Lekeitio_2_8b_imgsummary!E3:BP3,"306")*100/P3)</f>
        <v>0</v>
      </c>
      <c r="AP3">
        <f>IF(P3=0,0,COUNTIF(Lekeitio_2_8b_imgsummary!E3:BP3,"302")*100/P3)</f>
        <v>0</v>
      </c>
      <c r="AQ3">
        <f>IF(P3=0,0,COUNTIF(Lekeitio_2_8b_imgsummary!E3:BP3,"307")*100/P3)</f>
        <v>0</v>
      </c>
      <c r="AR3" s="29">
        <f>IF(P3=0,0,COUNTIF(Lekeitio_2_8b_imgsummary!E3:BP3,"303")*100/P3)</f>
        <v>1.5625</v>
      </c>
      <c r="AS3">
        <f>IF(P3=0,0,COUNTIF(Lekeitio_2_8b_imgsummary!E3:BP3,"304")*100/P3)</f>
        <v>0</v>
      </c>
      <c r="AT3">
        <f>IF(P3=0,0,COUNTIF(Lekeitio_2_8b_imgsummary!E3:BP3,"305")*100/P3)</f>
        <v>0</v>
      </c>
      <c r="AV3">
        <f>IF(P3=0,0,COUNTIF(Lekeitio_2_8b_imgsummary!E3:BP3,"401")*100/P3)</f>
        <v>0</v>
      </c>
      <c r="AW3">
        <f>IF(P3=0,0,COUNTIF(Lekeitio_2_8b_imgsummary!E3:BP3,"402")*100/P3)</f>
        <v>0</v>
      </c>
      <c r="AY3" s="29">
        <f>IF(P3=0,0,COUNTIF(Lekeitio_2_8b_imgsummary!E3:BP3,"501")*100/P3)</f>
        <v>37.5</v>
      </c>
      <c r="AZ3">
        <f>IF(P3=0,0,COUNTIF(Lekeitio_2_8b_imgsummary!E3:BP3,"502")*100/P3)</f>
        <v>0</v>
      </c>
      <c r="BA3">
        <f>IF(P3=0,0,COUNTIF(Lekeitio_2_8b_imgsummary!E3:BP3,"503")*100/P3)</f>
        <v>0</v>
      </c>
      <c r="BB3">
        <f>IF(P3=0,0,COUNTIF(Lekeitio_2_8b_imgsummary!E3:BP3,"504")*100/P3)</f>
        <v>0</v>
      </c>
      <c r="BD3">
        <f>IF(P3=0,0,COUNTIF(Lekeitio_2_8b_imgsummary!E3:BP3,"601")*100/P3)</f>
        <v>0</v>
      </c>
      <c r="BE3">
        <f>IF(P3=0,0,COUNTIF(Lekeitio_2_8b_imgsummary!E3:BP3,"602")*100/P3)</f>
        <v>0</v>
      </c>
      <c r="BF3" s="29">
        <f>IF(P3=0,0,COUNTIF(Lekeitio_2_8b_imgsummary!E3:BP3,"603")*100/P3)</f>
        <v>7.8125</v>
      </c>
      <c r="BG3" s="29">
        <f>IF(P3=0,0,COUNTIF(Lekeitio_2_8b_imgsummary!E3:BP3,"604")*100/P3)</f>
        <v>3.125</v>
      </c>
      <c r="BI3">
        <f>IF(P3=0,0,COUNTIF(Lekeitio_2_8b_imgsummary!E3:BP3,"701")*100/P3)</f>
        <v>0</v>
      </c>
      <c r="BJ3">
        <f>IF(P3=0,0,COUNTIF(Lekeitio_2_8b_imgsummary!E3:BP3,"702")*100/P3)</f>
        <v>0</v>
      </c>
      <c r="BK3">
        <f>IF(P3=0,0,COUNTIF(Lekeitio_2_8b_imgsummary!E3:BP3,"703")*100/P3)</f>
        <v>0</v>
      </c>
      <c r="BL3">
        <f>IF(P3=0,0,COUNTIF(Lekeitio_2_8b_imgsummary!E3:BP3,"705")*100/P3)</f>
        <v>0</v>
      </c>
      <c r="BM3">
        <f>IF(P3=0,0,COUNTIF(Lekeitio_2_8b_imgsummary!E3:BP3,"704")*100/P3)</f>
        <v>0</v>
      </c>
      <c r="BO3">
        <f>IF(P3=0,0,COUNTIF(Lekeitio_2_8b_imgsummary!E3:BP3,"801")*100/P3)</f>
        <v>0</v>
      </c>
      <c r="BP3">
        <f>IF(P3=0,0,COUNTIF(Lekeitio_2_8b_imgsummary!E3:BP3,"802")*100/P3)</f>
        <v>0</v>
      </c>
      <c r="BR3">
        <f>IF(P3=0,0,COUNTIF(Lekeitio_2_8b_imgsummary!E3:BP3,"901")*100/P3)</f>
        <v>0</v>
      </c>
      <c r="BS3">
        <f>IF(P3=0,0,COUNTIF(Lekeitio_2_8b_imgsummary!E3:BP3,"902")*100/P3)</f>
        <v>0</v>
      </c>
      <c r="BT3">
        <f>IF(P3=0,0,COUNTIF(Lekeitio_2_8b_imgsummary!E3:BP3,"904")*100/P3)</f>
        <v>0</v>
      </c>
      <c r="BU3">
        <f>IF(P3=0,0,COUNTIF(Lekeitio_2_8b_imgsummary!E3:BP3,"905")*100/P3)</f>
        <v>0</v>
      </c>
      <c r="BV3" s="29">
        <f>IF(P3=0,0,COUNTIF(Lekeitio_2_8b_imgsummary!E3:BP3,"903")*100/P3)</f>
        <v>15.625</v>
      </c>
      <c r="BX3">
        <f>IF(P3=0,0,COUNTIF(Lekeitio_2_8b_imgsummary!E3:BP3,"1001")*100/P3)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"/>
  <sheetViews>
    <sheetView workbookViewId="0"/>
  </sheetViews>
  <sheetFormatPr baseColWidth="10" defaultRowHeight="15" x14ac:dyDescent="0.25"/>
  <cols>
    <col min="1" max="1" width="2" bestFit="1" customWidth="1"/>
    <col min="2" max="2" width="16.5703125" bestFit="1" customWidth="1"/>
    <col min="3" max="4" width="2.140625" bestFit="1" customWidth="1"/>
    <col min="5" max="5" width="3.7109375" style="17" bestFit="1" customWidth="1"/>
    <col min="6" max="6" width="4.5703125" bestFit="1" customWidth="1"/>
    <col min="7" max="7" width="3.7109375" bestFit="1" customWidth="1"/>
    <col min="8" max="8" width="4.5703125" bestFit="1" customWidth="1"/>
    <col min="9" max="9" width="3.7109375" bestFit="1" customWidth="1"/>
    <col min="10" max="10" width="4.5703125" bestFit="1" customWidth="1"/>
    <col min="11" max="16" width="3.7109375" bestFit="1" customWidth="1"/>
    <col min="17" max="17" width="3.7109375" style="17" bestFit="1" customWidth="1"/>
    <col min="18" max="18" width="3.7109375" style="10" bestFit="1" customWidth="1"/>
    <col min="19" max="24" width="3.7109375" bestFit="1" customWidth="1"/>
    <col min="25" max="25" width="4.5703125" bestFit="1" customWidth="1"/>
    <col min="26" max="34" width="3.7109375" bestFit="1" customWidth="1"/>
    <col min="35" max="35" width="4.5703125" bestFit="1" customWidth="1"/>
    <col min="36" max="36" width="3.7109375" bestFit="1" customWidth="1"/>
    <col min="37" max="37" width="3.7109375" style="10" bestFit="1" customWidth="1"/>
    <col min="38" max="39" width="3.7109375" bestFit="1" customWidth="1"/>
    <col min="40" max="40" width="3.7109375" style="10" bestFit="1" customWidth="1"/>
    <col min="41" max="43" width="3.7109375" bestFit="1" customWidth="1"/>
    <col min="44" max="44" width="4.5703125" bestFit="1" customWidth="1"/>
    <col min="45" max="46" width="3.7109375" bestFit="1" customWidth="1"/>
    <col min="47" max="47" width="3.7109375" style="10" bestFit="1" customWidth="1"/>
    <col min="48" max="49" width="3.7109375" bestFit="1" customWidth="1"/>
    <col min="50" max="50" width="3.7109375" style="10" bestFit="1" customWidth="1"/>
    <col min="51" max="51" width="4.5703125" bestFit="1" customWidth="1"/>
    <col min="52" max="54" width="3.7109375" bestFit="1" customWidth="1"/>
    <col min="55" max="55" width="3.7109375" style="10" bestFit="1" customWidth="1"/>
    <col min="56" max="59" width="3.7109375" bestFit="1" customWidth="1"/>
    <col min="60" max="60" width="3.7109375" style="10" bestFit="1" customWidth="1"/>
    <col min="61" max="65" width="3.7109375" bestFit="1" customWidth="1"/>
    <col min="66" max="66" width="3.7109375" style="10" bestFit="1" customWidth="1"/>
    <col min="67" max="68" width="3.7109375" bestFit="1" customWidth="1"/>
    <col min="69" max="69" width="3.7109375" style="10" bestFit="1" customWidth="1"/>
    <col min="70" max="74" width="3.7109375" bestFit="1" customWidth="1"/>
    <col min="75" max="75" width="3.7109375" style="10" bestFit="1" customWidth="1"/>
    <col min="76" max="76" width="3.7109375" bestFit="1" customWidth="1"/>
    <col min="77" max="77" width="3.7109375" style="17" bestFit="1" customWidth="1"/>
  </cols>
  <sheetData>
    <row r="1" spans="1:77" ht="26.25" x14ac:dyDescent="0.25">
      <c r="F1" s="15">
        <v>100</v>
      </c>
      <c r="G1" s="15">
        <v>200</v>
      </c>
      <c r="H1" s="15">
        <v>300</v>
      </c>
      <c r="I1" s="15">
        <v>400</v>
      </c>
      <c r="J1" s="15">
        <v>500</v>
      </c>
      <c r="K1" s="15">
        <v>600</v>
      </c>
      <c r="L1" s="15">
        <v>700</v>
      </c>
      <c r="M1" s="15">
        <v>800</v>
      </c>
      <c r="N1" s="15">
        <v>900</v>
      </c>
      <c r="O1" s="15">
        <v>1000</v>
      </c>
      <c r="S1" s="15">
        <v>108</v>
      </c>
      <c r="T1" s="15">
        <v>105</v>
      </c>
      <c r="U1" s="15">
        <v>103</v>
      </c>
      <c r="V1" s="15">
        <v>107</v>
      </c>
      <c r="W1" s="15">
        <v>101</v>
      </c>
      <c r="X1" s="15">
        <v>106</v>
      </c>
      <c r="Y1" s="15">
        <v>102</v>
      </c>
      <c r="Z1" s="15">
        <v>104</v>
      </c>
      <c r="AA1" s="15">
        <v>111</v>
      </c>
      <c r="AB1" s="15">
        <v>112</v>
      </c>
      <c r="AC1" s="15">
        <v>113</v>
      </c>
      <c r="AD1" s="15">
        <v>114</v>
      </c>
      <c r="AE1" s="15">
        <v>115</v>
      </c>
      <c r="AF1" s="15">
        <v>116</v>
      </c>
      <c r="AG1" s="15">
        <v>117</v>
      </c>
      <c r="AH1" s="15">
        <v>118</v>
      </c>
      <c r="AI1" s="15">
        <v>109</v>
      </c>
      <c r="AJ1" s="15">
        <v>110</v>
      </c>
      <c r="AL1" s="15">
        <v>202</v>
      </c>
      <c r="AM1" s="15">
        <v>201</v>
      </c>
      <c r="AO1" s="15">
        <v>306</v>
      </c>
      <c r="AP1" s="15">
        <v>302</v>
      </c>
      <c r="AQ1" s="15">
        <v>307</v>
      </c>
      <c r="AR1" s="15">
        <v>303</v>
      </c>
      <c r="AS1" s="15">
        <v>304</v>
      </c>
      <c r="AT1" s="15">
        <v>305</v>
      </c>
      <c r="AV1" s="15">
        <v>401</v>
      </c>
      <c r="AW1" s="15">
        <v>402</v>
      </c>
      <c r="AY1" s="15">
        <v>501</v>
      </c>
      <c r="AZ1" s="15">
        <v>502</v>
      </c>
      <c r="BA1" s="15">
        <v>503</v>
      </c>
      <c r="BB1" s="15">
        <v>504</v>
      </c>
      <c r="BD1" s="15">
        <v>601</v>
      </c>
      <c r="BE1" s="15">
        <v>602</v>
      </c>
      <c r="BF1" s="15">
        <v>603</v>
      </c>
      <c r="BG1" s="15">
        <v>604</v>
      </c>
      <c r="BI1" s="15">
        <v>701</v>
      </c>
      <c r="BJ1" s="15">
        <v>702</v>
      </c>
      <c r="BK1" s="15">
        <v>703</v>
      </c>
      <c r="BL1" s="15">
        <v>705</v>
      </c>
      <c r="BM1" s="15">
        <v>704</v>
      </c>
      <c r="BO1" s="15">
        <v>801</v>
      </c>
      <c r="BP1" s="15">
        <v>802</v>
      </c>
      <c r="BR1" s="15">
        <v>901</v>
      </c>
      <c r="BS1" s="15">
        <v>902</v>
      </c>
      <c r="BT1" s="15">
        <v>904</v>
      </c>
      <c r="BU1" s="15">
        <v>905</v>
      </c>
      <c r="BV1" s="15">
        <v>903</v>
      </c>
      <c r="BX1" s="15">
        <v>1001</v>
      </c>
    </row>
    <row r="2" spans="1:77" ht="255.75" x14ac:dyDescent="0.25">
      <c r="B2" s="1" t="s">
        <v>0</v>
      </c>
      <c r="C2" s="1" t="s">
        <v>1</v>
      </c>
      <c r="D2" s="1" t="s">
        <v>2</v>
      </c>
      <c r="E2" s="16" t="s">
        <v>199</v>
      </c>
      <c r="F2" s="18" t="s">
        <v>200</v>
      </c>
      <c r="G2" s="19" t="s">
        <v>201</v>
      </c>
      <c r="H2" s="20" t="s">
        <v>202</v>
      </c>
      <c r="I2" s="21" t="s">
        <v>203</v>
      </c>
      <c r="J2" s="22" t="s">
        <v>204</v>
      </c>
      <c r="K2" s="23" t="s">
        <v>205</v>
      </c>
      <c r="L2" s="24" t="s">
        <v>206</v>
      </c>
      <c r="M2" s="25" t="s">
        <v>207</v>
      </c>
      <c r="N2" s="26" t="s">
        <v>208</v>
      </c>
      <c r="O2" s="27" t="s">
        <v>209</v>
      </c>
      <c r="P2" s="15" t="s">
        <v>210</v>
      </c>
      <c r="Q2" s="16" t="s">
        <v>211</v>
      </c>
      <c r="R2" s="28" t="s">
        <v>200</v>
      </c>
      <c r="S2" s="15" t="s">
        <v>212</v>
      </c>
      <c r="T2" s="15" t="s">
        <v>213</v>
      </c>
      <c r="U2" s="15" t="s">
        <v>214</v>
      </c>
      <c r="V2" s="15" t="s">
        <v>215</v>
      </c>
      <c r="W2" s="15" t="s">
        <v>216</v>
      </c>
      <c r="X2" s="15" t="s">
        <v>217</v>
      </c>
      <c r="Y2" s="15" t="s">
        <v>218</v>
      </c>
      <c r="Z2" s="15" t="s">
        <v>219</v>
      </c>
      <c r="AA2" s="15" t="s">
        <v>220</v>
      </c>
      <c r="AB2" s="15" t="s">
        <v>221</v>
      </c>
      <c r="AC2" s="15" t="s">
        <v>222</v>
      </c>
      <c r="AD2" s="15" t="s">
        <v>223</v>
      </c>
      <c r="AE2" s="15" t="s">
        <v>224</v>
      </c>
      <c r="AF2" s="15" t="s">
        <v>225</v>
      </c>
      <c r="AG2" s="15" t="s">
        <v>226</v>
      </c>
      <c r="AH2" s="15" t="s">
        <v>227</v>
      </c>
      <c r="AI2" s="15" t="s">
        <v>228</v>
      </c>
      <c r="AJ2" s="15" t="s">
        <v>229</v>
      </c>
      <c r="AK2" s="28" t="s">
        <v>201</v>
      </c>
      <c r="AL2" s="15" t="s">
        <v>230</v>
      </c>
      <c r="AM2" s="15" t="s">
        <v>231</v>
      </c>
      <c r="AN2" s="28" t="s">
        <v>202</v>
      </c>
      <c r="AO2" s="15" t="s">
        <v>232</v>
      </c>
      <c r="AP2" s="15" t="s">
        <v>233</v>
      </c>
      <c r="AQ2" s="15" t="s">
        <v>234</v>
      </c>
      <c r="AR2" s="15" t="s">
        <v>235</v>
      </c>
      <c r="AS2" s="15" t="s">
        <v>236</v>
      </c>
      <c r="AT2" s="15" t="s">
        <v>237</v>
      </c>
      <c r="AU2" s="28" t="s">
        <v>203</v>
      </c>
      <c r="AV2" s="15" t="s">
        <v>238</v>
      </c>
      <c r="AW2" s="15" t="s">
        <v>239</v>
      </c>
      <c r="AX2" s="28" t="s">
        <v>204</v>
      </c>
      <c r="AY2" s="15" t="s">
        <v>240</v>
      </c>
      <c r="AZ2" s="15" t="s">
        <v>241</v>
      </c>
      <c r="BA2" s="15" t="s">
        <v>242</v>
      </c>
      <c r="BB2" s="15" t="s">
        <v>243</v>
      </c>
      <c r="BC2" s="28" t="s">
        <v>205</v>
      </c>
      <c r="BD2" s="15" t="s">
        <v>244</v>
      </c>
      <c r="BE2" s="15" t="s">
        <v>245</v>
      </c>
      <c r="BF2" s="15" t="s">
        <v>246</v>
      </c>
      <c r="BG2" s="15" t="s">
        <v>247</v>
      </c>
      <c r="BH2" s="28" t="s">
        <v>206</v>
      </c>
      <c r="BI2" s="15" t="s">
        <v>248</v>
      </c>
      <c r="BJ2" s="15" t="s">
        <v>249</v>
      </c>
      <c r="BK2" s="15" t="s">
        <v>250</v>
      </c>
      <c r="BL2" s="15" t="s">
        <v>251</v>
      </c>
      <c r="BM2" s="15" t="s">
        <v>252</v>
      </c>
      <c r="BN2" s="28" t="s">
        <v>207</v>
      </c>
      <c r="BO2" s="15" t="s">
        <v>253</v>
      </c>
      <c r="BP2" s="15" t="s">
        <v>254</v>
      </c>
      <c r="BQ2" s="28" t="s">
        <v>208</v>
      </c>
      <c r="BR2" s="15" t="s">
        <v>255</v>
      </c>
      <c r="BS2" s="15" t="s">
        <v>256</v>
      </c>
      <c r="BT2" s="15" t="s">
        <v>257</v>
      </c>
      <c r="BU2" s="15" t="s">
        <v>258</v>
      </c>
      <c r="BV2" s="15" t="s">
        <v>259</v>
      </c>
      <c r="BW2" s="28" t="s">
        <v>209</v>
      </c>
      <c r="BX2" s="15" t="s">
        <v>260</v>
      </c>
      <c r="BY2" s="16" t="s">
        <v>261</v>
      </c>
    </row>
    <row r="3" spans="1:77" x14ac:dyDescent="0.25">
      <c r="A3">
        <v>1</v>
      </c>
      <c r="B3" t="s">
        <v>456</v>
      </c>
      <c r="F3" s="29">
        <f>IF(P3=0,0,COUNTIF(Lekeitio_2_9a_imgsummary!BQ3:EB3,"100")*100/P3)</f>
        <v>48.4375</v>
      </c>
      <c r="G3">
        <f>IF(P3=0,0,COUNTIF(Lekeitio_2_9a_imgsummary!BQ3:EB3,"200")*100/P3)</f>
        <v>0</v>
      </c>
      <c r="H3" s="29">
        <f>IF(P3=0,0,COUNTIF(Lekeitio_2_9a_imgsummary!BQ3:EB3,"300")*100/P3)</f>
        <v>21.875</v>
      </c>
      <c r="I3">
        <f>IF(P3=0,0,COUNTIF(Lekeitio_2_9a_imgsummary!BQ3:EB3,"400")*100/P3)</f>
        <v>0</v>
      </c>
      <c r="J3" s="29">
        <f>IF(P3=0,0,COUNTIF(Lekeitio_2_9a_imgsummary!BQ3:EB3,"500")*100/P3)</f>
        <v>25</v>
      </c>
      <c r="K3">
        <f>IF(P3=0,0,COUNTIF(Lekeitio_2_9a_imgsummary!BQ3:EB3,"600")*100/P3)</f>
        <v>0</v>
      </c>
      <c r="L3">
        <f>IF(P3=0,0,COUNTIF(Lekeitio_2_9a_imgsummary!BQ3:EB3,"700")*100/P3)</f>
        <v>0</v>
      </c>
      <c r="M3">
        <f>IF(P3=0,0,COUNTIF(Lekeitio_2_9a_imgsummary!BQ3:EB3,"800")*100/P3)</f>
        <v>0</v>
      </c>
      <c r="N3" s="29">
        <f>IF(P3=0,0,COUNTIF(Lekeitio_2_9a_imgsummary!BQ3:EB3,"900")*100/P3)</f>
        <v>4.6875</v>
      </c>
      <c r="O3">
        <f>IF(P3=0,0,COUNTIF(Lekeitio_2_9a_imgsummary!BQ3:EB3,"1000")*100/P3)</f>
        <v>0</v>
      </c>
      <c r="P3">
        <f>64-COUNTIF(Lekeitio_2_9a_imgsummary!BQ3:EB3,"TWS")</f>
        <v>64</v>
      </c>
      <c r="S3">
        <f>IF(P3=0,0,COUNTIF(Lekeitio_2_9a_imgsummary!E3:BP3,"108")*100/P3)</f>
        <v>0</v>
      </c>
      <c r="T3">
        <f>IF(P3=0,0,COUNTIF(Lekeitio_2_9a_imgsummary!E3:BP3,"105")*100/P3)</f>
        <v>0</v>
      </c>
      <c r="U3">
        <f>IF(P3=0,0,COUNTIF(Lekeitio_2_9a_imgsummary!E3:BP3,"103")*100/P3)</f>
        <v>0</v>
      </c>
      <c r="V3">
        <f>IF(P3=0,0,COUNTIF(Lekeitio_2_9a_imgsummary!E3:BP3,"107")*100/P3)</f>
        <v>0</v>
      </c>
      <c r="W3">
        <f>IF(P3=0,0,COUNTIF(Lekeitio_2_9a_imgsummary!E3:BP3,"101")*100/P3)</f>
        <v>0</v>
      </c>
      <c r="X3">
        <f>IF(P3=0,0,COUNTIF(Lekeitio_2_9a_imgsummary!E3:BP3,"106")*100/P3)</f>
        <v>0</v>
      </c>
      <c r="Y3" s="29">
        <f>IF(P3=0,0,COUNTIF(Lekeitio_2_9a_imgsummary!E3:BP3,"102")*100/P3)</f>
        <v>28.125</v>
      </c>
      <c r="Z3" s="29">
        <f>IF(P3=0,0,COUNTIF(Lekeitio_2_9a_imgsummary!E3:BP3,"104")*100/P3)</f>
        <v>1.5625</v>
      </c>
      <c r="AA3">
        <f>IF(P3=0,0,COUNTIF(Lekeitio_2_9a_imgsummary!E3:BP3,"111")*100/P3)</f>
        <v>0</v>
      </c>
      <c r="AB3">
        <f>IF(P3=0,0,COUNTIF(Lekeitio_2_9a_imgsummary!E3:BP3,"112")*100/P3)</f>
        <v>0</v>
      </c>
      <c r="AC3">
        <f>IF(P3=0,0,COUNTIF(Lekeitio_2_9a_imgsummary!E3:BP3,"113")*100/P3)</f>
        <v>0</v>
      </c>
      <c r="AD3">
        <f>IF(P3=0,0,COUNTIF(Lekeitio_2_9a_imgsummary!E3:BP3,"114")*100/P3)</f>
        <v>0</v>
      </c>
      <c r="AE3">
        <f>IF(P3=0,0,COUNTIF(Lekeitio_2_9a_imgsummary!E3:BP3,"115")*100/P3)</f>
        <v>0</v>
      </c>
      <c r="AF3">
        <f>IF(P3=0,0,COUNTIF(Lekeitio_2_9a_imgsummary!E3:BP3,"116")*100/P3)</f>
        <v>0</v>
      </c>
      <c r="AG3">
        <f>IF(P3=0,0,COUNTIF(Lekeitio_2_9a_imgsummary!E3:BP3,"117")*100/P3)</f>
        <v>0</v>
      </c>
      <c r="AH3">
        <f>IF(P3=0,0,COUNTIF(Lekeitio_2_9a_imgsummary!E3:BP3,"118")*100/P3)</f>
        <v>0</v>
      </c>
      <c r="AI3" s="29">
        <f>IF(P3=0,0,COUNTIF(Lekeitio_2_9a_imgsummary!E3:BP3,"109")*100/P3)</f>
        <v>18.75</v>
      </c>
      <c r="AJ3">
        <f>IF(P3=0,0,COUNTIF(Lekeitio_2_9a_imgsummary!E3:BP3,"110")*100/P3)</f>
        <v>0</v>
      </c>
      <c r="AL3">
        <f>IF(P3=0,0,COUNTIF(Lekeitio_2_9a_imgsummary!E3:BP3,"202")*100/P3)</f>
        <v>0</v>
      </c>
      <c r="AM3">
        <f>IF(P3=0,0,COUNTIF(Lekeitio_2_9a_imgsummary!E3:BP3,"201")*100/P3)</f>
        <v>0</v>
      </c>
      <c r="AO3">
        <f>IF(P3=0,0,COUNTIF(Lekeitio_2_9a_imgsummary!E3:BP3,"306")*100/P3)</f>
        <v>0</v>
      </c>
      <c r="AP3">
        <f>IF(P3=0,0,COUNTIF(Lekeitio_2_9a_imgsummary!E3:BP3,"302")*100/P3)</f>
        <v>0</v>
      </c>
      <c r="AQ3">
        <f>IF(P3=0,0,COUNTIF(Lekeitio_2_9a_imgsummary!E3:BP3,"307")*100/P3)</f>
        <v>0</v>
      </c>
      <c r="AR3" s="29">
        <f>IF(P3=0,0,COUNTIF(Lekeitio_2_9a_imgsummary!E3:BP3,"303")*100/P3)</f>
        <v>21.875</v>
      </c>
      <c r="AS3">
        <f>IF(P3=0,0,COUNTIF(Lekeitio_2_9a_imgsummary!E3:BP3,"304")*100/P3)</f>
        <v>0</v>
      </c>
      <c r="AT3">
        <f>IF(P3=0,0,COUNTIF(Lekeitio_2_9a_imgsummary!E3:BP3,"305")*100/P3)</f>
        <v>0</v>
      </c>
      <c r="AV3">
        <f>IF(P3=0,0,COUNTIF(Lekeitio_2_9a_imgsummary!E3:BP3,"401")*100/P3)</f>
        <v>0</v>
      </c>
      <c r="AW3">
        <f>IF(P3=0,0,COUNTIF(Lekeitio_2_9a_imgsummary!E3:BP3,"402")*100/P3)</f>
        <v>0</v>
      </c>
      <c r="AY3" s="29">
        <f>IF(P3=0,0,COUNTIF(Lekeitio_2_9a_imgsummary!E3:BP3,"501")*100/P3)</f>
        <v>20.3125</v>
      </c>
      <c r="AZ3" s="29">
        <f>IF(P3=0,0,COUNTIF(Lekeitio_2_9a_imgsummary!E3:BP3,"502")*100/P3)</f>
        <v>4.6875</v>
      </c>
      <c r="BA3">
        <f>IF(P3=0,0,COUNTIF(Lekeitio_2_9a_imgsummary!E3:BP3,"503")*100/P3)</f>
        <v>0</v>
      </c>
      <c r="BB3">
        <f>IF(P3=0,0,COUNTIF(Lekeitio_2_9a_imgsummary!E3:BP3,"504")*100/P3)</f>
        <v>0</v>
      </c>
      <c r="BD3">
        <f>IF(P3=0,0,COUNTIF(Lekeitio_2_9a_imgsummary!E3:BP3,"601")*100/P3)</f>
        <v>0</v>
      </c>
      <c r="BE3">
        <f>IF(P3=0,0,COUNTIF(Lekeitio_2_9a_imgsummary!E3:BP3,"602")*100/P3)</f>
        <v>0</v>
      </c>
      <c r="BF3">
        <f>IF(P3=0,0,COUNTIF(Lekeitio_2_9a_imgsummary!E3:BP3,"603")*100/P3)</f>
        <v>0</v>
      </c>
      <c r="BG3">
        <f>IF(P3=0,0,COUNTIF(Lekeitio_2_9a_imgsummary!E3:BP3,"604")*100/P3)</f>
        <v>0</v>
      </c>
      <c r="BI3">
        <f>IF(P3=0,0,COUNTIF(Lekeitio_2_9a_imgsummary!E3:BP3,"701")*100/P3)</f>
        <v>0</v>
      </c>
      <c r="BJ3">
        <f>IF(P3=0,0,COUNTIF(Lekeitio_2_9a_imgsummary!E3:BP3,"702")*100/P3)</f>
        <v>0</v>
      </c>
      <c r="BK3">
        <f>IF(P3=0,0,COUNTIF(Lekeitio_2_9a_imgsummary!E3:BP3,"703")*100/P3)</f>
        <v>0</v>
      </c>
      <c r="BL3">
        <f>IF(P3=0,0,COUNTIF(Lekeitio_2_9a_imgsummary!E3:BP3,"705")*100/P3)</f>
        <v>0</v>
      </c>
      <c r="BM3">
        <f>IF(P3=0,0,COUNTIF(Lekeitio_2_9a_imgsummary!E3:BP3,"704")*100/P3)</f>
        <v>0</v>
      </c>
      <c r="BO3">
        <f>IF(P3=0,0,COUNTIF(Lekeitio_2_9a_imgsummary!E3:BP3,"801")*100/P3)</f>
        <v>0</v>
      </c>
      <c r="BP3">
        <f>IF(P3=0,0,COUNTIF(Lekeitio_2_9a_imgsummary!E3:BP3,"802")*100/P3)</f>
        <v>0</v>
      </c>
      <c r="BR3">
        <f>IF(P3=0,0,COUNTIF(Lekeitio_2_9a_imgsummary!E3:BP3,"901")*100/P3)</f>
        <v>0</v>
      </c>
      <c r="BS3">
        <f>IF(P3=0,0,COUNTIF(Lekeitio_2_9a_imgsummary!E3:BP3,"902")*100/P3)</f>
        <v>0</v>
      </c>
      <c r="BT3">
        <f>IF(P3=0,0,COUNTIF(Lekeitio_2_9a_imgsummary!E3:BP3,"904")*100/P3)</f>
        <v>0</v>
      </c>
      <c r="BU3">
        <f>IF(P3=0,0,COUNTIF(Lekeitio_2_9a_imgsummary!E3:BP3,"905")*100/P3)</f>
        <v>0</v>
      </c>
      <c r="BV3" s="29">
        <f>IF(P3=0,0,COUNTIF(Lekeitio_2_9a_imgsummary!E3:BP3,"903")*100/P3)</f>
        <v>4.6875</v>
      </c>
      <c r="BX3">
        <f>IF(P3=0,0,COUNTIF(Lekeitio_2_9a_imgsummary!E3:BP3,"1001")*100/P3)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58" workbookViewId="0">
      <selection activeCell="L19" sqref="L19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COUNTA(OFFSET(Lekeitio_2_1a_raw!A2,0,0,D9-B9+1,1))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41" t="s">
        <v>319</v>
      </c>
      <c r="B15" s="33" t="s">
        <v>281</v>
      </c>
      <c r="C15" s="33" t="s">
        <v>282</v>
      </c>
      <c r="D15" s="33" t="s">
        <v>283</v>
      </c>
      <c r="E15" s="46" t="s">
        <v>284</v>
      </c>
      <c r="G15" s="41" t="s">
        <v>280</v>
      </c>
      <c r="H15" s="33" t="s">
        <v>281</v>
      </c>
      <c r="I15" s="33" t="s">
        <v>282</v>
      </c>
      <c r="J15" s="33" t="s">
        <v>283</v>
      </c>
      <c r="K15" s="46" t="s">
        <v>284</v>
      </c>
      <c r="N15">
        <v>16</v>
      </c>
    </row>
    <row r="16" spans="1:14" x14ac:dyDescent="0.25">
      <c r="A16" s="42" t="s">
        <v>320</v>
      </c>
      <c r="B16" s="35">
        <f ca="1">COUNTIF(OFFSET(Lekeitio_2_1a_raw!C2,0,0,D9-B9+1,1), "100")</f>
        <v>23</v>
      </c>
      <c r="C16" s="36">
        <f ca="1">(B16/H75)*100</f>
        <v>35.9375</v>
      </c>
      <c r="D16" s="36">
        <f ca="1">SUM(J17:J34)</f>
        <v>0.7393213302245919</v>
      </c>
      <c r="E16" s="47">
        <f ca="1">1-SUM(K17:K34)</f>
        <v>0.44612476370510401</v>
      </c>
      <c r="G16" s="44" t="s">
        <v>200</v>
      </c>
      <c r="K16" s="49"/>
      <c r="N16">
        <v>75</v>
      </c>
    </row>
    <row r="17" spans="1:14" x14ac:dyDescent="0.25">
      <c r="A17" s="43" t="s">
        <v>321</v>
      </c>
      <c r="B17">
        <f ca="1">COUNTIF(OFFSET(Lekeitio_2_1a_raw!C2,0,0,D9-B9+1,1), "200")</f>
        <v>0</v>
      </c>
      <c r="C17" s="32">
        <f ca="1">(B17/H75)*100</f>
        <v>0</v>
      </c>
      <c r="D17" s="32">
        <f ca="1">SUM(J36:J37)</f>
        <v>0</v>
      </c>
      <c r="E17" s="48">
        <f ca="1">1-SUM(K36:K37)</f>
        <v>1</v>
      </c>
      <c r="G17" s="43" t="s">
        <v>212</v>
      </c>
      <c r="H17">
        <f ca="1">COUNTIF(OFFSET(Lekeitio_2_1a_raw!A2,0,0,D9-B9+1,1),"108")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48">
        <f ca="1">IF(H17=0,0,((H17/B16)^2))</f>
        <v>0</v>
      </c>
      <c r="N17">
        <v>7</v>
      </c>
    </row>
    <row r="18" spans="1:14" x14ac:dyDescent="0.25">
      <c r="A18" s="42" t="s">
        <v>322</v>
      </c>
      <c r="B18" s="35">
        <f ca="1">COUNTIF(OFFSET(Lekeitio_2_1a_raw!C2,0,0,D9-B9+1,1), "300")</f>
        <v>0</v>
      </c>
      <c r="C18" s="36">
        <f ca="1">(B18/H75)*100</f>
        <v>0</v>
      </c>
      <c r="D18" s="36">
        <f ca="1">SUM(J39:J44)</f>
        <v>0</v>
      </c>
      <c r="E18" s="47">
        <f ca="1">1-SUM(K39:K44)</f>
        <v>1</v>
      </c>
      <c r="G18" s="43" t="s">
        <v>213</v>
      </c>
      <c r="H18">
        <f ca="1">COUNTIF(OFFSET(Lekeitio_2_1a_raw!A2,0,0,D9-B9+1,1),"105")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48">
        <f ca="1">IF(H18=0,0,((H18/B16)^2))</f>
        <v>0</v>
      </c>
    </row>
    <row r="19" spans="1:14" x14ac:dyDescent="0.25">
      <c r="A19" s="43" t="s">
        <v>323</v>
      </c>
      <c r="B19">
        <f ca="1">COUNTIF(OFFSET(Lekeitio_2_1a_raw!C2,0,0,D9-B9+1,1), "400")</f>
        <v>0</v>
      </c>
      <c r="C19" s="32">
        <f ca="1">(B19/H75)*100</f>
        <v>0</v>
      </c>
      <c r="D19" s="32">
        <f ca="1">SUM(J46:J47)</f>
        <v>0</v>
      </c>
      <c r="E19" s="48">
        <f ca="1">1-SUM(K46:K47)</f>
        <v>1</v>
      </c>
      <c r="G19" s="43" t="s">
        <v>214</v>
      </c>
      <c r="H19">
        <f ca="1">COUNTIF(OFFSET(Lekeitio_2_1a_raw!A2,0,0,D9-B9+1,1),"103")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48">
        <f ca="1">IF(H19=0,0,((H19/B16)^2))</f>
        <v>0</v>
      </c>
    </row>
    <row r="20" spans="1:14" x14ac:dyDescent="0.25">
      <c r="A20" s="42" t="s">
        <v>324</v>
      </c>
      <c r="B20" s="35">
        <f ca="1">COUNTIF(OFFSET(Lekeitio_2_1a_raw!C2,0,0,D9-B9+1,1), "500")</f>
        <v>0</v>
      </c>
      <c r="C20" s="36">
        <f ca="1">(B20/H75)*100</f>
        <v>0</v>
      </c>
      <c r="D20" s="36">
        <f ca="1">SUM(J49:J52)</f>
        <v>0</v>
      </c>
      <c r="E20" s="47">
        <f ca="1">1-SUM(K49:K52)</f>
        <v>1</v>
      </c>
      <c r="G20" s="43" t="s">
        <v>215</v>
      </c>
      <c r="H20">
        <f ca="1">COUNTIF(OFFSET(Lekeitio_2_1a_raw!A2,0,0,D9-B9+1,1),"107")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48">
        <f ca="1">IF(H20=0,0,((H20/B16)^2))</f>
        <v>0</v>
      </c>
    </row>
    <row r="21" spans="1:14" x14ac:dyDescent="0.25">
      <c r="A21" s="43" t="s">
        <v>325</v>
      </c>
      <c r="B21">
        <f ca="1">COUNTIF(OFFSET(Lekeitio_2_1a_raw!C2,0,0,D9-B9+1,1), "600")</f>
        <v>0</v>
      </c>
      <c r="C21" s="32">
        <f ca="1">(B21/H75)*100</f>
        <v>0</v>
      </c>
      <c r="D21" s="32">
        <f ca="1">SUM(J54:J57)</f>
        <v>0</v>
      </c>
      <c r="E21" s="48">
        <f ca="1">1-SUM(K54:K57)</f>
        <v>1</v>
      </c>
      <c r="G21" s="43" t="s">
        <v>216</v>
      </c>
      <c r="H21">
        <f ca="1">COUNTIF(OFFSET(Lekeitio_2_1a_raw!A2,0,0,D9-B9+1,1),"101")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48">
        <f ca="1">IF(H21=0,0,((H21/B16)^2))</f>
        <v>0</v>
      </c>
    </row>
    <row r="22" spans="1:14" x14ac:dyDescent="0.25">
      <c r="A22" s="42" t="s">
        <v>326</v>
      </c>
      <c r="B22" s="35">
        <f ca="1">COUNTIF(OFFSET(Lekeitio_2_1a_raw!C2,0,0,D9-B9+1,1), "700")</f>
        <v>0</v>
      </c>
      <c r="C22" s="36">
        <f ca="1">(B22/H75)*100</f>
        <v>0</v>
      </c>
      <c r="D22" s="36">
        <f ca="1">SUM(J59:J63)</f>
        <v>0</v>
      </c>
      <c r="E22" s="47">
        <f ca="1">1-SUM(K59:K63)</f>
        <v>1</v>
      </c>
      <c r="G22" s="43" t="s">
        <v>217</v>
      </c>
      <c r="H22">
        <f ca="1">COUNTIF(OFFSET(Lekeitio_2_1a_raw!A2,0,0,D9-B9+1,1),"106")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48">
        <f ca="1">IF(H22=0,0,((H22/B16)^2))</f>
        <v>0</v>
      </c>
    </row>
    <row r="23" spans="1:14" x14ac:dyDescent="0.25">
      <c r="A23" s="43" t="s">
        <v>327</v>
      </c>
      <c r="B23">
        <f ca="1">COUNTIF(OFFSET(Lekeitio_2_1a_raw!C2,0,0,D9-B9+1,1), "800")</f>
        <v>0</v>
      </c>
      <c r="C23" s="32">
        <f ca="1">(B23/H75)*100</f>
        <v>0</v>
      </c>
      <c r="D23" s="32">
        <f ca="1">SUM(J65:J66)</f>
        <v>0</v>
      </c>
      <c r="E23" s="48">
        <f ca="1">1-SUM(K65:K66)</f>
        <v>1</v>
      </c>
      <c r="G23" s="43" t="s">
        <v>218</v>
      </c>
      <c r="H23">
        <f ca="1">COUNTIF(OFFSET(Lekeitio_2_1a_raw!A2,0,0,D9-B9+1,1),"102")</f>
        <v>6</v>
      </c>
      <c r="I23" s="32">
        <f ca="1">(H23/H75)*100</f>
        <v>9.375</v>
      </c>
      <c r="J23" s="32">
        <f ca="1">IF(H23=0,0,-1*((H23/B16)*(LN(H23/B16))))</f>
        <v>0.35053949913941601</v>
      </c>
      <c r="K23" s="48">
        <f ca="1">IF(H23=0,0,((H23/B16)^2))</f>
        <v>6.8052930056710773E-2</v>
      </c>
    </row>
    <row r="24" spans="1:14" x14ac:dyDescent="0.25">
      <c r="A24" s="42" t="s">
        <v>328</v>
      </c>
      <c r="B24" s="35">
        <f ca="1">COUNTIF(OFFSET(Lekeitio_2_1a_raw!C2,0,0,D9-B9+1,1), "900")</f>
        <v>0</v>
      </c>
      <c r="C24" s="36">
        <f ca="1">(B24/H75)*100</f>
        <v>0</v>
      </c>
      <c r="D24" s="36">
        <f ca="1">SUM(J68:J72)</f>
        <v>0</v>
      </c>
      <c r="E24" s="47">
        <f ca="1">1-SUM(K68:K72)</f>
        <v>1</v>
      </c>
      <c r="G24" s="43" t="s">
        <v>219</v>
      </c>
      <c r="H24">
        <f ca="1">COUNTIF(OFFSET(Lekeitio_2_1a_raw!A2,0,0,D9-B9+1,1),"104")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48">
        <f ca="1">IF(H24=0,0,((H24/B16)^2))</f>
        <v>0</v>
      </c>
    </row>
    <row r="25" spans="1:14" x14ac:dyDescent="0.25">
      <c r="A25" s="43" t="s">
        <v>329</v>
      </c>
      <c r="B25">
        <f ca="1">COUNTIF(OFFSET(Lekeitio_2_1a_raw!C2,0,0,D9-B9+1,1), "1000")</f>
        <v>41</v>
      </c>
      <c r="C25" s="32">
        <f ca="1">(B25/H75)*100</f>
        <v>64.0625</v>
      </c>
      <c r="D25" s="32">
        <f>SUM(J74:J74)</f>
        <v>0</v>
      </c>
      <c r="E25" s="48">
        <f ca="1">1-SUM(K74:K74)</f>
        <v>0</v>
      </c>
      <c r="G25" s="43" t="s">
        <v>220</v>
      </c>
      <c r="H25">
        <f ca="1">COUNTIF(OFFSET(Lekeitio_2_1a_raw!A2,0,0,D9-B9+1,1),"111")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48">
        <f ca="1">IF(H25=0,0,((H25/B16)^2))</f>
        <v>0</v>
      </c>
    </row>
    <row r="26" spans="1:14" x14ac:dyDescent="0.25">
      <c r="A26" s="44" t="s">
        <v>330</v>
      </c>
      <c r="B26" s="31">
        <f ca="1">SUM(B16:B25)</f>
        <v>64</v>
      </c>
      <c r="C26" s="37" t="e">
        <f ca="1">SUM(C16:C25)-C0</f>
        <v>#NAME?</v>
      </c>
      <c r="E26" s="49"/>
      <c r="G26" s="43" t="s">
        <v>221</v>
      </c>
      <c r="H26">
        <f ca="1">COUNTIF(OFFSET(Lekeitio_2_1a_raw!A2,0,0,D9-B9+1,1),"112")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48">
        <f ca="1">IF(H26=0,0,((H26/B16)^2))</f>
        <v>0</v>
      </c>
    </row>
    <row r="27" spans="1:14" x14ac:dyDescent="0.25">
      <c r="A27" s="43"/>
      <c r="E27" s="49"/>
      <c r="G27" s="43" t="s">
        <v>222</v>
      </c>
      <c r="H27">
        <f ca="1">COUNTIF(OFFSET(Lekeitio_2_1a_raw!A2,0,0,D9-B9+1,1),"113")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48">
        <f ca="1">IF(H27=0,0,((H27/B16)^2))</f>
        <v>0</v>
      </c>
    </row>
    <row r="28" spans="1:14" x14ac:dyDescent="0.25">
      <c r="A28" s="44" t="s">
        <v>331</v>
      </c>
      <c r="E28" s="49"/>
      <c r="G28" s="43" t="s">
        <v>223</v>
      </c>
      <c r="H28">
        <f ca="1">COUNTIF(OFFSET(Lekeitio_2_1a_raw!A2,0,0,D9-B9+1,1),"114")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48">
        <f ca="1">IF(H28=0,0,((H28/B16)^2))</f>
        <v>0</v>
      </c>
    </row>
    <row r="29" spans="1:14" ht="15.75" thickBot="1" x14ac:dyDescent="0.3">
      <c r="A29" s="45" t="s">
        <v>332</v>
      </c>
      <c r="B29" s="40"/>
      <c r="C29" s="40"/>
      <c r="D29" s="40"/>
      <c r="E29" s="50"/>
      <c r="G29" s="43" t="s">
        <v>224</v>
      </c>
      <c r="H29">
        <f ca="1">COUNTIF(OFFSET(Lekeitio_2_1a_raw!A2,0,0,D9-B9+1,1),"115")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48">
        <f ca="1">IF(H29=0,0,((H29/B16)^2))</f>
        <v>0</v>
      </c>
    </row>
    <row r="30" spans="1:14" ht="15.75" thickTop="1" x14ac:dyDescent="0.25">
      <c r="G30" s="43" t="s">
        <v>225</v>
      </c>
      <c r="H30">
        <f ca="1">COUNTIF(OFFSET(Lekeitio_2_1a_raw!A2,0,0,D9-B9+1,1),"116")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48">
        <f ca="1">IF(H30=0,0,((H30/B16)^2))</f>
        <v>0</v>
      </c>
    </row>
    <row r="31" spans="1:14" x14ac:dyDescent="0.25">
      <c r="G31" s="43" t="s">
        <v>226</v>
      </c>
      <c r="H31">
        <f ca="1">COUNTIF(OFFSET(Lekeitio_2_1a_raw!A2,0,0,D9-B9+1,1),"117")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48">
        <f ca="1">IF(H31=0,0,((H31/B16)^2))</f>
        <v>0</v>
      </c>
    </row>
    <row r="32" spans="1:14" x14ac:dyDescent="0.25">
      <c r="G32" s="43" t="s">
        <v>227</v>
      </c>
      <c r="H32">
        <f ca="1">COUNTIF(OFFSET(Lekeitio_2_1a_raw!A2,0,0,D9-B9+1,1),"118")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48">
        <f ca="1">IF(H32=0,0,((H32/B16)^2))</f>
        <v>0</v>
      </c>
    </row>
    <row r="33" spans="7:11" x14ac:dyDescent="0.25">
      <c r="G33" s="43" t="s">
        <v>228</v>
      </c>
      <c r="H33">
        <f ca="1">COUNTIF(OFFSET(Lekeitio_2_1a_raw!A2,0,0,D9-B9+1,1),"109")</f>
        <v>1</v>
      </c>
      <c r="I33" s="32">
        <f ca="1">(H33/H75)*100</f>
        <v>1.5625</v>
      </c>
      <c r="J33" s="32">
        <f ca="1">IF(H33=0,0,-1*((H33/B16)*(LN(H33/B16))))</f>
        <v>0.13632583547518043</v>
      </c>
      <c r="K33" s="48">
        <f ca="1">IF(H33=0,0,((H33/B16)^2))</f>
        <v>1.8903591682419658E-3</v>
      </c>
    </row>
    <row r="34" spans="7:11" x14ac:dyDescent="0.25">
      <c r="G34" s="43" t="s">
        <v>229</v>
      </c>
      <c r="H34">
        <f ca="1">COUNTIF(OFFSET(Lekeitio_2_1a_raw!A2,0,0,D9-B9+1,1),"110")</f>
        <v>16</v>
      </c>
      <c r="I34" s="32">
        <f ca="1">(H34/H75)*100</f>
        <v>25</v>
      </c>
      <c r="J34" s="32">
        <f ca="1">IF(H34=0,0,-1*((H34/B16)*(LN(H34/B16))))</f>
        <v>0.25245599560999543</v>
      </c>
      <c r="K34" s="48">
        <f ca="1">IF(H34=0,0,((H34/B16)^2))</f>
        <v>0.48393194706994325</v>
      </c>
    </row>
    <row r="35" spans="7:11" x14ac:dyDescent="0.25">
      <c r="G35" s="44" t="s">
        <v>201</v>
      </c>
      <c r="K35" s="49"/>
    </row>
    <row r="36" spans="7:11" x14ac:dyDescent="0.25">
      <c r="G36" s="43" t="s">
        <v>230</v>
      </c>
      <c r="H36">
        <f ca="1">COUNTIF(OFFSET(Lekeitio_2_1a_raw!A2,0,0,D9-B9+1,1),"202")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48">
        <f ca="1">IF(H36=0,0,((H36/B17)^2))</f>
        <v>0</v>
      </c>
    </row>
    <row r="37" spans="7:11" x14ac:dyDescent="0.25">
      <c r="G37" s="43" t="s">
        <v>231</v>
      </c>
      <c r="H37">
        <f ca="1">COUNTIF(OFFSET(Lekeitio_2_1a_raw!A2,0,0,D9-B9+1,1),"201")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48">
        <f ca="1">IF(H37=0,0,((H37/B17)^2))</f>
        <v>0</v>
      </c>
    </row>
    <row r="38" spans="7:11" x14ac:dyDescent="0.25">
      <c r="G38" s="44" t="s">
        <v>202</v>
      </c>
      <c r="K38" s="49"/>
    </row>
    <row r="39" spans="7:11" x14ac:dyDescent="0.25">
      <c r="G39" s="43" t="s">
        <v>232</v>
      </c>
      <c r="H39">
        <f ca="1">COUNTIF(OFFSET(Lekeitio_2_1a_raw!A2,0,0,D9-B9+1,1),"306")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48">
        <f ca="1">IF(H39=0,0,((H39/B18)^2))</f>
        <v>0</v>
      </c>
    </row>
    <row r="40" spans="7:11" x14ac:dyDescent="0.25">
      <c r="G40" s="43" t="s">
        <v>233</v>
      </c>
      <c r="H40">
        <f ca="1">COUNTIF(OFFSET(Lekeitio_2_1a_raw!A2,0,0,D9-B9+1,1),"302")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48">
        <f ca="1">IF(H40=0,0,((H40/B18)^2))</f>
        <v>0</v>
      </c>
    </row>
    <row r="41" spans="7:11" x14ac:dyDescent="0.25">
      <c r="G41" s="43" t="s">
        <v>234</v>
      </c>
      <c r="H41">
        <f ca="1">COUNTIF(OFFSET(Lekeitio_2_1a_raw!A2,0,0,D9-B9+1,1),"307")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48">
        <f ca="1">IF(H41=0,0,((H41/B18)^2))</f>
        <v>0</v>
      </c>
    </row>
    <row r="42" spans="7:11" x14ac:dyDescent="0.25">
      <c r="G42" s="43" t="s">
        <v>235</v>
      </c>
      <c r="H42">
        <f ca="1">COUNTIF(OFFSET(Lekeitio_2_1a_raw!A2,0,0,D9-B9+1,1),"303")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48">
        <f ca="1">IF(H42=0,0,((H42/B18)^2))</f>
        <v>0</v>
      </c>
    </row>
    <row r="43" spans="7:11" x14ac:dyDescent="0.25">
      <c r="G43" s="43" t="s">
        <v>236</v>
      </c>
      <c r="H43">
        <f ca="1">COUNTIF(OFFSET(Lekeitio_2_1a_raw!A2,0,0,D9-B9+1,1),"304")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48">
        <f ca="1">IF(H43=0,0,((H43/B18)^2))</f>
        <v>0</v>
      </c>
    </row>
    <row r="44" spans="7:11" x14ac:dyDescent="0.25">
      <c r="G44" s="43" t="s">
        <v>237</v>
      </c>
      <c r="H44">
        <f ca="1">COUNTIF(OFFSET(Lekeitio_2_1a_raw!A2,0,0,D9-B9+1,1),"305")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48">
        <f ca="1">IF(H44=0,0,((H44/B18)^2))</f>
        <v>0</v>
      </c>
    </row>
    <row r="45" spans="7:11" x14ac:dyDescent="0.25">
      <c r="G45" s="44" t="s">
        <v>203</v>
      </c>
      <c r="K45" s="49"/>
    </row>
    <row r="46" spans="7:11" x14ac:dyDescent="0.25">
      <c r="G46" s="43" t="s">
        <v>238</v>
      </c>
      <c r="H46">
        <f ca="1">COUNTIF(OFFSET(Lekeitio_2_1a_raw!A2,0,0,D9-B9+1,1),"401")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48">
        <f ca="1">IF(H46=0,0,((H46/B19)^2))</f>
        <v>0</v>
      </c>
    </row>
    <row r="47" spans="7:11" x14ac:dyDescent="0.25">
      <c r="G47" s="43" t="s">
        <v>239</v>
      </c>
      <c r="H47">
        <f ca="1">COUNTIF(OFFSET(Lekeitio_2_1a_raw!A2,0,0,D9-B9+1,1),"402")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48">
        <f ca="1">IF(H47=0,0,((H47/B19)^2))</f>
        <v>0</v>
      </c>
    </row>
    <row r="48" spans="7:11" x14ac:dyDescent="0.25">
      <c r="G48" s="44" t="s">
        <v>204</v>
      </c>
      <c r="K48" s="49"/>
    </row>
    <row r="49" spans="7:11" x14ac:dyDescent="0.25">
      <c r="G49" s="43" t="s">
        <v>240</v>
      </c>
      <c r="H49">
        <f ca="1">COUNTIF(OFFSET(Lekeitio_2_1a_raw!A2,0,0,D9-B9+1,1),"501")</f>
        <v>0</v>
      </c>
      <c r="I49" s="32">
        <f ca="1">(H49/H75)*100</f>
        <v>0</v>
      </c>
      <c r="J49" s="32">
        <f ca="1">IF(H49=0,0,-1*((H49/B20)*(LN(H49/B20))))</f>
        <v>0</v>
      </c>
      <c r="K49" s="48">
        <f ca="1">IF(H49=0,0,((H49/B20)^2))</f>
        <v>0</v>
      </c>
    </row>
    <row r="50" spans="7:11" x14ac:dyDescent="0.25">
      <c r="G50" s="43" t="s">
        <v>241</v>
      </c>
      <c r="H50">
        <f ca="1">COUNTIF(OFFSET(Lekeitio_2_1a_raw!A2,0,0,D9-B9+1,1),"502")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48">
        <f ca="1">IF(H50=0,0,((H50/B20)^2))</f>
        <v>0</v>
      </c>
    </row>
    <row r="51" spans="7:11" x14ac:dyDescent="0.25">
      <c r="G51" s="43" t="s">
        <v>242</v>
      </c>
      <c r="H51">
        <f ca="1">COUNTIF(OFFSET(Lekeitio_2_1a_raw!A2,0,0,D9-B9+1,1),"503")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48">
        <f ca="1">IF(H51=0,0,((H51/B20)^2))</f>
        <v>0</v>
      </c>
    </row>
    <row r="52" spans="7:11" x14ac:dyDescent="0.25">
      <c r="G52" s="43" t="s">
        <v>243</v>
      </c>
      <c r="H52">
        <f ca="1">COUNTIF(OFFSET(Lekeitio_2_1a_raw!A2,0,0,D9-B9+1,1),"504")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48">
        <f ca="1">IF(H52=0,0,((H52/B20)^2))</f>
        <v>0</v>
      </c>
    </row>
    <row r="53" spans="7:11" x14ac:dyDescent="0.25">
      <c r="G53" s="44" t="s">
        <v>205</v>
      </c>
      <c r="K53" s="49"/>
    </row>
    <row r="54" spans="7:11" x14ac:dyDescent="0.25">
      <c r="G54" s="43" t="s">
        <v>244</v>
      </c>
      <c r="H54">
        <f ca="1">COUNTIF(OFFSET(Lekeitio_2_1a_raw!A2,0,0,D9-B9+1,1),"601")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48">
        <f ca="1">IF(H54=0,0,((H54/B21)^2))</f>
        <v>0</v>
      </c>
    </row>
    <row r="55" spans="7:11" x14ac:dyDescent="0.25">
      <c r="G55" s="43" t="s">
        <v>245</v>
      </c>
      <c r="H55">
        <f ca="1">COUNTIF(OFFSET(Lekeitio_2_1a_raw!A2,0,0,D9-B9+1,1),"602")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48">
        <f ca="1">IF(H55=0,0,((H55/B21)^2))</f>
        <v>0</v>
      </c>
    </row>
    <row r="56" spans="7:11" x14ac:dyDescent="0.25">
      <c r="G56" s="43" t="s">
        <v>246</v>
      </c>
      <c r="H56">
        <f ca="1">COUNTIF(OFFSET(Lekeitio_2_1a_raw!A2,0,0,D9-B9+1,1),"603")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48">
        <f ca="1">IF(H56=0,0,((H56/B21)^2))</f>
        <v>0</v>
      </c>
    </row>
    <row r="57" spans="7:11" x14ac:dyDescent="0.25">
      <c r="G57" s="43" t="s">
        <v>247</v>
      </c>
      <c r="H57">
        <f ca="1">COUNTIF(OFFSET(Lekeitio_2_1a_raw!A2,0,0,D9-B9+1,1),"604")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48">
        <f ca="1">IF(H57=0,0,((H57/B21)^2))</f>
        <v>0</v>
      </c>
    </row>
    <row r="58" spans="7:11" x14ac:dyDescent="0.25">
      <c r="G58" s="44" t="s">
        <v>206</v>
      </c>
      <c r="K58" s="49"/>
    </row>
    <row r="59" spans="7:11" x14ac:dyDescent="0.25">
      <c r="G59" s="43" t="s">
        <v>248</v>
      </c>
      <c r="H59">
        <f ca="1">COUNTIF(OFFSET(Lekeitio_2_1a_raw!A2,0,0,D9-B9+1,1),"701")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48">
        <f ca="1">IF(H59=0,0,((H59/B22)^2))</f>
        <v>0</v>
      </c>
    </row>
    <row r="60" spans="7:11" x14ac:dyDescent="0.25">
      <c r="G60" s="43" t="s">
        <v>249</v>
      </c>
      <c r="H60">
        <f ca="1">COUNTIF(OFFSET(Lekeitio_2_1a_raw!A2,0,0,D9-B9+1,1),"702")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48">
        <f ca="1">IF(H60=0,0,((H60/B22)^2))</f>
        <v>0</v>
      </c>
    </row>
    <row r="61" spans="7:11" x14ac:dyDescent="0.25">
      <c r="G61" s="43" t="s">
        <v>250</v>
      </c>
      <c r="H61">
        <f ca="1">COUNTIF(OFFSET(Lekeitio_2_1a_raw!A2,0,0,D9-B9+1,1),"703")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48">
        <f ca="1">IF(H61=0,0,((H61/B22)^2))</f>
        <v>0</v>
      </c>
    </row>
    <row r="62" spans="7:11" x14ac:dyDescent="0.25">
      <c r="G62" s="43" t="s">
        <v>251</v>
      </c>
      <c r="H62">
        <f ca="1">COUNTIF(OFFSET(Lekeitio_2_1a_raw!A2,0,0,D9-B9+1,1),"705")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48">
        <f ca="1">IF(H62=0,0,((H62/B22)^2))</f>
        <v>0</v>
      </c>
    </row>
    <row r="63" spans="7:11" x14ac:dyDescent="0.25">
      <c r="G63" s="43" t="s">
        <v>252</v>
      </c>
      <c r="H63">
        <f ca="1">COUNTIF(OFFSET(Lekeitio_2_1a_raw!A2,0,0,D9-B9+1,1),"704")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48">
        <f ca="1">IF(H63=0,0,((H63/B22)^2))</f>
        <v>0</v>
      </c>
    </row>
    <row r="64" spans="7:11" x14ac:dyDescent="0.25">
      <c r="G64" s="44" t="s">
        <v>207</v>
      </c>
      <c r="K64" s="49"/>
    </row>
    <row r="65" spans="7:11" x14ac:dyDescent="0.25">
      <c r="G65" s="43" t="s">
        <v>253</v>
      </c>
      <c r="H65">
        <f ca="1">COUNTIF(OFFSET(Lekeitio_2_1a_raw!A2,0,0,D9-B9+1,1),"801")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48">
        <f ca="1">IF(H65=0,0,((H65/B23)^2))</f>
        <v>0</v>
      </c>
    </row>
    <row r="66" spans="7:11" x14ac:dyDescent="0.25">
      <c r="G66" s="43" t="s">
        <v>254</v>
      </c>
      <c r="H66">
        <f ca="1">COUNTIF(OFFSET(Lekeitio_2_1a_raw!A2,0,0,D9-B9+1,1),"802")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48">
        <f ca="1">IF(H66=0,0,((H66/B23)^2))</f>
        <v>0</v>
      </c>
    </row>
    <row r="67" spans="7:11" x14ac:dyDescent="0.25">
      <c r="G67" s="44" t="s">
        <v>208</v>
      </c>
      <c r="K67" s="49"/>
    </row>
    <row r="68" spans="7:11" x14ac:dyDescent="0.25">
      <c r="G68" s="43" t="s">
        <v>255</v>
      </c>
      <c r="H68">
        <f ca="1">COUNTIF(OFFSET(Lekeitio_2_1a_raw!A2,0,0,D9-B9+1,1),"901")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48">
        <f ca="1">IF(H68=0,0,((H68/B24)^2))</f>
        <v>0</v>
      </c>
    </row>
    <row r="69" spans="7:11" x14ac:dyDescent="0.25">
      <c r="G69" s="43" t="s">
        <v>256</v>
      </c>
      <c r="H69">
        <f ca="1">COUNTIF(OFFSET(Lekeitio_2_1a_raw!A2,0,0,D9-B9+1,1),"902")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48">
        <f ca="1">IF(H69=0,0,((H69/B24)^2))</f>
        <v>0</v>
      </c>
    </row>
    <row r="70" spans="7:11" x14ac:dyDescent="0.25">
      <c r="G70" s="43" t="s">
        <v>257</v>
      </c>
      <c r="H70">
        <f ca="1">COUNTIF(OFFSET(Lekeitio_2_1a_raw!A2,0,0,D9-B9+1,1),"904")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48">
        <f ca="1">IF(H70=0,0,((H70/B24)^2))</f>
        <v>0</v>
      </c>
    </row>
    <row r="71" spans="7:11" x14ac:dyDescent="0.25">
      <c r="G71" s="43" t="s">
        <v>258</v>
      </c>
      <c r="H71">
        <f ca="1">COUNTIF(OFFSET(Lekeitio_2_1a_raw!A2,0,0,D9-B9+1,1),"905")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48">
        <f ca="1">IF(H71=0,0,((H71/B24)^2))</f>
        <v>0</v>
      </c>
    </row>
    <row r="72" spans="7:11" x14ac:dyDescent="0.25">
      <c r="G72" s="43" t="s">
        <v>259</v>
      </c>
      <c r="H72">
        <f ca="1">COUNTIF(OFFSET(Lekeitio_2_1a_raw!A2,0,0,D9-B9+1,1),"903")</f>
        <v>0</v>
      </c>
      <c r="I72" s="32">
        <f ca="1">(H72/H75)*100</f>
        <v>0</v>
      </c>
      <c r="J72" s="32">
        <f ca="1">IF(H72=0,0,-1*((H72/B24)*(LN(H72/B24))))</f>
        <v>0</v>
      </c>
      <c r="K72" s="48">
        <f ca="1">IF(H72=0,0,((H72/B24)^2))</f>
        <v>0</v>
      </c>
    </row>
    <row r="73" spans="7:11" x14ac:dyDescent="0.25">
      <c r="G73" s="44" t="s">
        <v>209</v>
      </c>
      <c r="K73" s="49"/>
    </row>
    <row r="74" spans="7:11" x14ac:dyDescent="0.25">
      <c r="G74" s="43" t="s">
        <v>260</v>
      </c>
      <c r="H74">
        <f ca="1">COUNTIF(OFFSET(Lekeitio_2_1a_raw!A2,0,0,D9-B9+1,1),"1001")</f>
        <v>41</v>
      </c>
      <c r="I74" s="32">
        <f ca="1">(H74/SUM(H15:H74))*100</f>
        <v>64.0625</v>
      </c>
      <c r="J74" s="32"/>
      <c r="K74" s="48">
        <f ca="1">IF(H74=0,0,((H74/B25)^2))</f>
        <v>1</v>
      </c>
    </row>
    <row r="75" spans="7:11" ht="15.75" thickBot="1" x14ac:dyDescent="0.3">
      <c r="G75" s="52" t="s">
        <v>285</v>
      </c>
      <c r="H75" s="51">
        <f ca="1">SUM(H16:H74)</f>
        <v>64</v>
      </c>
      <c r="I75" s="51">
        <f ca="1">SUM(I16:I74)</f>
        <v>100</v>
      </c>
      <c r="J75" s="40"/>
      <c r="K75" s="50"/>
    </row>
    <row r="76" spans="7:11" ht="15.75" thickTop="1" x14ac:dyDescent="0.25"/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4" workbookViewId="0">
      <selection activeCell="J78" sqref="J78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COUNTA(OFFSET(Lekeitio_2_1b_raw!A2,0,0,D9-B9+1,1))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70" t="s">
        <v>319</v>
      </c>
      <c r="B15" s="33" t="s">
        <v>281</v>
      </c>
      <c r="C15" s="33" t="s">
        <v>282</v>
      </c>
      <c r="D15" s="33" t="s">
        <v>283</v>
      </c>
      <c r="E15" s="75" t="s">
        <v>284</v>
      </c>
      <c r="G15" s="70" t="s">
        <v>280</v>
      </c>
      <c r="H15" s="33" t="s">
        <v>281</v>
      </c>
      <c r="I15" s="33" t="s">
        <v>282</v>
      </c>
      <c r="J15" s="33" t="s">
        <v>283</v>
      </c>
      <c r="K15" s="75" t="s">
        <v>284</v>
      </c>
      <c r="N15">
        <v>16</v>
      </c>
    </row>
    <row r="16" spans="1:14" x14ac:dyDescent="0.25">
      <c r="A16" s="71" t="s">
        <v>320</v>
      </c>
      <c r="B16" s="35">
        <f ca="1">COUNTIF(OFFSET(Lekeitio_2_1b_raw!C2,0,0,D9-B9+1,1), "100")</f>
        <v>25</v>
      </c>
      <c r="C16" s="36">
        <f ca="1">(B16/H75)*100</f>
        <v>39.0625</v>
      </c>
      <c r="D16" s="36">
        <f ca="1">SUM(J17:J34)</f>
        <v>0.62686945757242629</v>
      </c>
      <c r="E16" s="76">
        <f ca="1">1-SUM(K17:K34)</f>
        <v>0.43519999999999992</v>
      </c>
      <c r="G16" s="73" t="s">
        <v>200</v>
      </c>
      <c r="K16" s="78"/>
      <c r="N16">
        <v>75</v>
      </c>
    </row>
    <row r="17" spans="1:14" x14ac:dyDescent="0.25">
      <c r="A17" s="72" t="s">
        <v>321</v>
      </c>
      <c r="B17">
        <f ca="1">COUNTIF(OFFSET(Lekeitio_2_1b_raw!C2,0,0,D9-B9+1,1), "200")</f>
        <v>0</v>
      </c>
      <c r="C17" s="32">
        <f ca="1">(B17/H75)*100</f>
        <v>0</v>
      </c>
      <c r="D17" s="32">
        <f ca="1">SUM(J36:J37)</f>
        <v>0</v>
      </c>
      <c r="E17" s="77">
        <f ca="1">1-SUM(K36:K37)</f>
        <v>1</v>
      </c>
      <c r="G17" s="72" t="s">
        <v>212</v>
      </c>
      <c r="H17">
        <f ca="1">COUNTIF(OFFSET(Lekeitio_2_1b_raw!A2,0,0,D9-B9+1,1),"108")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77">
        <f ca="1">IF(H17=0,0,((H17/B16)^2))</f>
        <v>0</v>
      </c>
      <c r="N17">
        <v>7</v>
      </c>
    </row>
    <row r="18" spans="1:14" x14ac:dyDescent="0.25">
      <c r="A18" s="71" t="s">
        <v>322</v>
      </c>
      <c r="B18" s="35">
        <f ca="1">COUNTIF(OFFSET(Lekeitio_2_1b_raw!C2,0,0,D9-B9+1,1), "300")</f>
        <v>0</v>
      </c>
      <c r="C18" s="36">
        <f ca="1">(B18/H75)*100</f>
        <v>0</v>
      </c>
      <c r="D18" s="36">
        <f ca="1">SUM(J39:J44)</f>
        <v>0</v>
      </c>
      <c r="E18" s="76">
        <f ca="1">1-SUM(K39:K44)</f>
        <v>1</v>
      </c>
      <c r="G18" s="72" t="s">
        <v>213</v>
      </c>
      <c r="H18">
        <f ca="1">COUNTIF(OFFSET(Lekeitio_2_1b_raw!A2,0,0,D9-B9+1,1),"105")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77">
        <f ca="1">IF(H18=0,0,((H18/B16)^2))</f>
        <v>0</v>
      </c>
    </row>
    <row r="19" spans="1:14" x14ac:dyDescent="0.25">
      <c r="A19" s="72" t="s">
        <v>323</v>
      </c>
      <c r="B19">
        <f ca="1">COUNTIF(OFFSET(Lekeitio_2_1b_raw!C2,0,0,D9-B9+1,1), "400")</f>
        <v>0</v>
      </c>
      <c r="C19" s="32">
        <f ca="1">(B19/H75)*100</f>
        <v>0</v>
      </c>
      <c r="D19" s="32">
        <f ca="1">SUM(J46:J47)</f>
        <v>0</v>
      </c>
      <c r="E19" s="77">
        <f ca="1">1-SUM(K46:K47)</f>
        <v>1</v>
      </c>
      <c r="G19" s="72" t="s">
        <v>214</v>
      </c>
      <c r="H19">
        <f ca="1">COUNTIF(OFFSET(Lekeitio_2_1b_raw!A2,0,0,D9-B9+1,1),"103")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77">
        <f ca="1">IF(H19=0,0,((H19/B16)^2))</f>
        <v>0</v>
      </c>
    </row>
    <row r="20" spans="1:14" x14ac:dyDescent="0.25">
      <c r="A20" s="71" t="s">
        <v>324</v>
      </c>
      <c r="B20" s="35">
        <f ca="1">COUNTIF(OFFSET(Lekeitio_2_1b_raw!C2,0,0,D9-B9+1,1), "500")</f>
        <v>17</v>
      </c>
      <c r="C20" s="36">
        <f ca="1">(B20/H75)*100</f>
        <v>26.5625</v>
      </c>
      <c r="D20" s="36">
        <f ca="1">SUM(J49:J52)</f>
        <v>0</v>
      </c>
      <c r="E20" s="76">
        <f ca="1">1-SUM(K49:K52)</f>
        <v>0</v>
      </c>
      <c r="G20" s="72" t="s">
        <v>215</v>
      </c>
      <c r="H20">
        <f ca="1">COUNTIF(OFFSET(Lekeitio_2_1b_raw!A2,0,0,D9-B9+1,1),"107")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77">
        <f ca="1">IF(H20=0,0,((H20/B16)^2))</f>
        <v>0</v>
      </c>
    </row>
    <row r="21" spans="1:14" x14ac:dyDescent="0.25">
      <c r="A21" s="72" t="s">
        <v>325</v>
      </c>
      <c r="B21">
        <f ca="1">COUNTIF(OFFSET(Lekeitio_2_1b_raw!C2,0,0,D9-B9+1,1), "600")</f>
        <v>1</v>
      </c>
      <c r="C21" s="32">
        <f ca="1">(B21/H75)*100</f>
        <v>1.5625</v>
      </c>
      <c r="D21" s="32">
        <f ca="1">SUM(J54:J57)</f>
        <v>0</v>
      </c>
      <c r="E21" s="77">
        <f ca="1">1-SUM(K54:K57)</f>
        <v>0</v>
      </c>
      <c r="G21" s="72" t="s">
        <v>216</v>
      </c>
      <c r="H21">
        <f ca="1">COUNTIF(OFFSET(Lekeitio_2_1b_raw!A2,0,0,D9-B9+1,1),"101")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77">
        <f ca="1">IF(H21=0,0,((H21/B16)^2))</f>
        <v>0</v>
      </c>
    </row>
    <row r="22" spans="1:14" x14ac:dyDescent="0.25">
      <c r="A22" s="71" t="s">
        <v>326</v>
      </c>
      <c r="B22" s="35">
        <f ca="1">COUNTIF(OFFSET(Lekeitio_2_1b_raw!C2,0,0,D9-B9+1,1), "700")</f>
        <v>0</v>
      </c>
      <c r="C22" s="36">
        <f ca="1">(B22/H75)*100</f>
        <v>0</v>
      </c>
      <c r="D22" s="36">
        <f ca="1">SUM(J59:J63)</f>
        <v>0</v>
      </c>
      <c r="E22" s="76">
        <f ca="1">1-SUM(K59:K63)</f>
        <v>1</v>
      </c>
      <c r="G22" s="72" t="s">
        <v>217</v>
      </c>
      <c r="H22">
        <f ca="1">COUNTIF(OFFSET(Lekeitio_2_1b_raw!A2,0,0,D9-B9+1,1),"106")</f>
        <v>8</v>
      </c>
      <c r="I22" s="32">
        <f ca="1">(H22/H75)*100</f>
        <v>12.5</v>
      </c>
      <c r="J22" s="32">
        <f ca="1">IF(H22=0,0,-1*((H22/B16)*(LN(H22/B16))))</f>
        <v>0.36461897062027676</v>
      </c>
      <c r="K22" s="77">
        <f ca="1">IF(H22=0,0,((H22/B16)^2))</f>
        <v>0.1024</v>
      </c>
    </row>
    <row r="23" spans="1:14" x14ac:dyDescent="0.25">
      <c r="A23" s="72" t="s">
        <v>327</v>
      </c>
      <c r="B23">
        <f ca="1">COUNTIF(OFFSET(Lekeitio_2_1b_raw!C2,0,0,D9-B9+1,1), "800")</f>
        <v>0</v>
      </c>
      <c r="C23" s="32">
        <f ca="1">(B23/H75)*100</f>
        <v>0</v>
      </c>
      <c r="D23" s="32">
        <f ca="1">SUM(J65:J66)</f>
        <v>0</v>
      </c>
      <c r="E23" s="77">
        <f ca="1">1-SUM(K65:K66)</f>
        <v>1</v>
      </c>
      <c r="G23" s="72" t="s">
        <v>218</v>
      </c>
      <c r="H23">
        <f ca="1">COUNTIF(OFFSET(Lekeitio_2_1b_raw!A2,0,0,D9-B9+1,1),"102")</f>
        <v>17</v>
      </c>
      <c r="I23" s="32">
        <f ca="1">(H23/H75)*100</f>
        <v>26.5625</v>
      </c>
      <c r="J23" s="32">
        <f ca="1">IF(H23=0,0,-1*((H23/B16)*(LN(H23/B16))))</f>
        <v>0.26225048695214959</v>
      </c>
      <c r="K23" s="77">
        <f ca="1">IF(H23=0,0,((H23/B16)^2))</f>
        <v>0.46240000000000009</v>
      </c>
    </row>
    <row r="24" spans="1:14" x14ac:dyDescent="0.25">
      <c r="A24" s="71" t="s">
        <v>328</v>
      </c>
      <c r="B24" s="35">
        <f ca="1">COUNTIF(OFFSET(Lekeitio_2_1b_raw!C2,0,0,D9-B9+1,1), "900")</f>
        <v>6</v>
      </c>
      <c r="C24" s="36">
        <f ca="1">(B24/H75)*100</f>
        <v>9.375</v>
      </c>
      <c r="D24" s="36">
        <f ca="1">SUM(J68:J72)</f>
        <v>0</v>
      </c>
      <c r="E24" s="76">
        <f ca="1">1-SUM(K68:K72)</f>
        <v>0</v>
      </c>
      <c r="G24" s="72" t="s">
        <v>219</v>
      </c>
      <c r="H24">
        <f ca="1">COUNTIF(OFFSET(Lekeitio_2_1b_raw!A2,0,0,D9-B9+1,1),"104")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77">
        <f ca="1">IF(H24=0,0,((H24/B16)^2))</f>
        <v>0</v>
      </c>
    </row>
    <row r="25" spans="1:14" x14ac:dyDescent="0.25">
      <c r="A25" s="72" t="s">
        <v>329</v>
      </c>
      <c r="B25">
        <f ca="1">COUNTIF(OFFSET(Lekeitio_2_1b_raw!C2,0,0,D9-B9+1,1), "1000")</f>
        <v>15</v>
      </c>
      <c r="C25" s="32">
        <f ca="1">(B25/H75)*100</f>
        <v>23.4375</v>
      </c>
      <c r="D25" s="32">
        <f>SUM(J74:J74)</f>
        <v>0</v>
      </c>
      <c r="E25" s="77">
        <f ca="1">1-SUM(K74:K74)</f>
        <v>0</v>
      </c>
      <c r="G25" s="72" t="s">
        <v>220</v>
      </c>
      <c r="H25">
        <f ca="1">COUNTIF(OFFSET(Lekeitio_2_1b_raw!A2,0,0,D9-B9+1,1),"111")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77">
        <f ca="1">IF(H25=0,0,((H25/B16)^2))</f>
        <v>0</v>
      </c>
    </row>
    <row r="26" spans="1:14" x14ac:dyDescent="0.25">
      <c r="A26" s="73" t="s">
        <v>330</v>
      </c>
      <c r="B26" s="31">
        <f ca="1">SUM(B16:B25)</f>
        <v>64</v>
      </c>
      <c r="C26" s="37" t="e">
        <f ca="1">SUM(C16:C25)-C0</f>
        <v>#NAME?</v>
      </c>
      <c r="E26" s="78"/>
      <c r="G26" s="72" t="s">
        <v>221</v>
      </c>
      <c r="H26">
        <f ca="1">COUNTIF(OFFSET(Lekeitio_2_1b_raw!A2,0,0,D9-B9+1,1),"112")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77">
        <f ca="1">IF(H26=0,0,((H26/B16)^2))</f>
        <v>0</v>
      </c>
    </row>
    <row r="27" spans="1:14" x14ac:dyDescent="0.25">
      <c r="A27" s="72"/>
      <c r="E27" s="78"/>
      <c r="G27" s="72" t="s">
        <v>222</v>
      </c>
      <c r="H27">
        <f ca="1">COUNTIF(OFFSET(Lekeitio_2_1b_raw!A2,0,0,D9-B9+1,1),"113")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77">
        <f ca="1">IF(H27=0,0,((H27/B16)^2))</f>
        <v>0</v>
      </c>
    </row>
    <row r="28" spans="1:14" x14ac:dyDescent="0.25">
      <c r="A28" s="73" t="s">
        <v>331</v>
      </c>
      <c r="E28" s="78"/>
      <c r="G28" s="72" t="s">
        <v>223</v>
      </c>
      <c r="H28">
        <f ca="1">COUNTIF(OFFSET(Lekeitio_2_1b_raw!A2,0,0,D9-B9+1,1),"114")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77">
        <f ca="1">IF(H28=0,0,((H28/B16)^2))</f>
        <v>0</v>
      </c>
    </row>
    <row r="29" spans="1:14" ht="15.75" thickBot="1" x14ac:dyDescent="0.3">
      <c r="A29" s="74" t="s">
        <v>332</v>
      </c>
      <c r="B29" s="40"/>
      <c r="C29" s="40"/>
      <c r="D29" s="40"/>
      <c r="E29" s="79"/>
      <c r="G29" s="72" t="s">
        <v>224</v>
      </c>
      <c r="H29">
        <f ca="1">COUNTIF(OFFSET(Lekeitio_2_1b_raw!A2,0,0,D9-B9+1,1),"115")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77">
        <f ca="1">IF(H29=0,0,((H29/B16)^2))</f>
        <v>0</v>
      </c>
    </row>
    <row r="30" spans="1:14" ht="15.75" thickTop="1" x14ac:dyDescent="0.25">
      <c r="G30" s="72" t="s">
        <v>225</v>
      </c>
      <c r="H30">
        <f ca="1">COUNTIF(OFFSET(Lekeitio_2_1b_raw!A2,0,0,D9-B9+1,1),"116")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77">
        <f ca="1">IF(H30=0,0,((H30/B16)^2))</f>
        <v>0</v>
      </c>
    </row>
    <row r="31" spans="1:14" x14ac:dyDescent="0.25">
      <c r="G31" s="72" t="s">
        <v>226</v>
      </c>
      <c r="H31">
        <f ca="1">COUNTIF(OFFSET(Lekeitio_2_1b_raw!A2,0,0,D9-B9+1,1),"117")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77">
        <f ca="1">IF(H31=0,0,((H31/B16)^2))</f>
        <v>0</v>
      </c>
    </row>
    <row r="32" spans="1:14" x14ac:dyDescent="0.25">
      <c r="G32" s="72" t="s">
        <v>227</v>
      </c>
      <c r="H32">
        <f ca="1">COUNTIF(OFFSET(Lekeitio_2_1b_raw!A2,0,0,D9-B9+1,1),"118")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77">
        <f ca="1">IF(H32=0,0,((H32/B16)^2))</f>
        <v>0</v>
      </c>
    </row>
    <row r="33" spans="7:11" x14ac:dyDescent="0.25">
      <c r="G33" s="72" t="s">
        <v>228</v>
      </c>
      <c r="H33">
        <f ca="1">COUNTIF(OFFSET(Lekeitio_2_1b_raw!A2,0,0,D9-B9+1,1),"109")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77">
        <f ca="1">IF(H33=0,0,((H33/B16)^2))</f>
        <v>0</v>
      </c>
    </row>
    <row r="34" spans="7:11" x14ac:dyDescent="0.25">
      <c r="G34" s="72" t="s">
        <v>229</v>
      </c>
      <c r="H34">
        <f ca="1">COUNTIF(OFFSET(Lekeitio_2_1b_raw!A2,0,0,D9-B9+1,1),"110")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77">
        <f ca="1">IF(H34=0,0,((H34/B16)^2))</f>
        <v>0</v>
      </c>
    </row>
    <row r="35" spans="7:11" x14ac:dyDescent="0.25">
      <c r="G35" s="73" t="s">
        <v>201</v>
      </c>
      <c r="K35" s="78"/>
    </row>
    <row r="36" spans="7:11" x14ac:dyDescent="0.25">
      <c r="G36" s="72" t="s">
        <v>230</v>
      </c>
      <c r="H36">
        <f ca="1">COUNTIF(OFFSET(Lekeitio_2_1b_raw!A2,0,0,D9-B9+1,1),"202")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77">
        <f ca="1">IF(H36=0,0,((H36/B17)^2))</f>
        <v>0</v>
      </c>
    </row>
    <row r="37" spans="7:11" x14ac:dyDescent="0.25">
      <c r="G37" s="72" t="s">
        <v>231</v>
      </c>
      <c r="H37">
        <f ca="1">COUNTIF(OFFSET(Lekeitio_2_1b_raw!A2,0,0,D9-B9+1,1),"201")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77">
        <f ca="1">IF(H37=0,0,((H37/B17)^2))</f>
        <v>0</v>
      </c>
    </row>
    <row r="38" spans="7:11" x14ac:dyDescent="0.25">
      <c r="G38" s="73" t="s">
        <v>202</v>
      </c>
      <c r="K38" s="78"/>
    </row>
    <row r="39" spans="7:11" x14ac:dyDescent="0.25">
      <c r="G39" s="72" t="s">
        <v>232</v>
      </c>
      <c r="H39">
        <f ca="1">COUNTIF(OFFSET(Lekeitio_2_1b_raw!A2,0,0,D9-B9+1,1),"306")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77">
        <f ca="1">IF(H39=0,0,((H39/B18)^2))</f>
        <v>0</v>
      </c>
    </row>
    <row r="40" spans="7:11" x14ac:dyDescent="0.25">
      <c r="G40" s="72" t="s">
        <v>233</v>
      </c>
      <c r="H40">
        <f ca="1">COUNTIF(OFFSET(Lekeitio_2_1b_raw!A2,0,0,D9-B9+1,1),"302")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77">
        <f ca="1">IF(H40=0,0,((H40/B18)^2))</f>
        <v>0</v>
      </c>
    </row>
    <row r="41" spans="7:11" x14ac:dyDescent="0.25">
      <c r="G41" s="72" t="s">
        <v>234</v>
      </c>
      <c r="H41">
        <f ca="1">COUNTIF(OFFSET(Lekeitio_2_1b_raw!A2,0,0,D9-B9+1,1),"307")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77">
        <f ca="1">IF(H41=0,0,((H41/B18)^2))</f>
        <v>0</v>
      </c>
    </row>
    <row r="42" spans="7:11" x14ac:dyDescent="0.25">
      <c r="G42" s="72" t="s">
        <v>235</v>
      </c>
      <c r="H42">
        <f ca="1">COUNTIF(OFFSET(Lekeitio_2_1b_raw!A2,0,0,D9-B9+1,1),"303")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77">
        <f ca="1">IF(H42=0,0,((H42/B18)^2))</f>
        <v>0</v>
      </c>
    </row>
    <row r="43" spans="7:11" x14ac:dyDescent="0.25">
      <c r="G43" s="72" t="s">
        <v>236</v>
      </c>
      <c r="H43">
        <f ca="1">COUNTIF(OFFSET(Lekeitio_2_1b_raw!A2,0,0,D9-B9+1,1),"304")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77">
        <f ca="1">IF(H43=0,0,((H43/B18)^2))</f>
        <v>0</v>
      </c>
    </row>
    <row r="44" spans="7:11" x14ac:dyDescent="0.25">
      <c r="G44" s="72" t="s">
        <v>237</v>
      </c>
      <c r="H44">
        <f ca="1">COUNTIF(OFFSET(Lekeitio_2_1b_raw!A2,0,0,D9-B9+1,1),"305")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77">
        <f ca="1">IF(H44=0,0,((H44/B18)^2))</f>
        <v>0</v>
      </c>
    </row>
    <row r="45" spans="7:11" x14ac:dyDescent="0.25">
      <c r="G45" s="73" t="s">
        <v>203</v>
      </c>
      <c r="K45" s="78"/>
    </row>
    <row r="46" spans="7:11" x14ac:dyDescent="0.25">
      <c r="G46" s="72" t="s">
        <v>238</v>
      </c>
      <c r="H46">
        <f ca="1">COUNTIF(OFFSET(Lekeitio_2_1b_raw!A2,0,0,D9-B9+1,1),"401")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77">
        <f ca="1">IF(H46=0,0,((H46/B19)^2))</f>
        <v>0</v>
      </c>
    </row>
    <row r="47" spans="7:11" x14ac:dyDescent="0.25">
      <c r="G47" s="72" t="s">
        <v>239</v>
      </c>
      <c r="H47">
        <f ca="1">COUNTIF(OFFSET(Lekeitio_2_1b_raw!A2,0,0,D9-B9+1,1),"402")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77">
        <f ca="1">IF(H47=0,0,((H47/B19)^2))</f>
        <v>0</v>
      </c>
    </row>
    <row r="48" spans="7:11" x14ac:dyDescent="0.25">
      <c r="G48" s="73" t="s">
        <v>204</v>
      </c>
      <c r="K48" s="78"/>
    </row>
    <row r="49" spans="7:11" x14ac:dyDescent="0.25">
      <c r="G49" s="72" t="s">
        <v>240</v>
      </c>
      <c r="H49">
        <f ca="1">COUNTIF(OFFSET(Lekeitio_2_1b_raw!A2,0,0,D9-B9+1,1),"501")</f>
        <v>17</v>
      </c>
      <c r="I49" s="32">
        <f ca="1">(H49/H75)*100</f>
        <v>26.5625</v>
      </c>
      <c r="J49" s="32">
        <f ca="1">IF(H49=0,0,-1*((H49/B20)*(LN(H49/B20))))</f>
        <v>0</v>
      </c>
      <c r="K49" s="77">
        <f ca="1">IF(H49=0,0,((H49/B20)^2))</f>
        <v>1</v>
      </c>
    </row>
    <row r="50" spans="7:11" x14ac:dyDescent="0.25">
      <c r="G50" s="72" t="s">
        <v>241</v>
      </c>
      <c r="H50">
        <f ca="1">COUNTIF(OFFSET(Lekeitio_2_1b_raw!A2,0,0,D9-B9+1,1),"502")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77">
        <f ca="1">IF(H50=0,0,((H50/B20)^2))</f>
        <v>0</v>
      </c>
    </row>
    <row r="51" spans="7:11" x14ac:dyDescent="0.25">
      <c r="G51" s="72" t="s">
        <v>242</v>
      </c>
      <c r="H51">
        <f ca="1">COUNTIF(OFFSET(Lekeitio_2_1b_raw!A2,0,0,D9-B9+1,1),"503")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77">
        <f ca="1">IF(H51=0,0,((H51/B20)^2))</f>
        <v>0</v>
      </c>
    </row>
    <row r="52" spans="7:11" x14ac:dyDescent="0.25">
      <c r="G52" s="72" t="s">
        <v>243</v>
      </c>
      <c r="H52">
        <f ca="1">COUNTIF(OFFSET(Lekeitio_2_1b_raw!A2,0,0,D9-B9+1,1),"504")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77">
        <f ca="1">IF(H52=0,0,((H52/B20)^2))</f>
        <v>0</v>
      </c>
    </row>
    <row r="53" spans="7:11" x14ac:dyDescent="0.25">
      <c r="G53" s="73" t="s">
        <v>205</v>
      </c>
      <c r="K53" s="78"/>
    </row>
    <row r="54" spans="7:11" x14ac:dyDescent="0.25">
      <c r="G54" s="72" t="s">
        <v>244</v>
      </c>
      <c r="H54">
        <f ca="1">COUNTIF(OFFSET(Lekeitio_2_1b_raw!A2,0,0,D9-B9+1,1),"601")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77">
        <f ca="1">IF(H54=0,0,((H54/B21)^2))</f>
        <v>0</v>
      </c>
    </row>
    <row r="55" spans="7:11" x14ac:dyDescent="0.25">
      <c r="G55" s="72" t="s">
        <v>245</v>
      </c>
      <c r="H55">
        <f ca="1">COUNTIF(OFFSET(Lekeitio_2_1b_raw!A2,0,0,D9-B9+1,1),"602")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77">
        <f ca="1">IF(H55=0,0,((H55/B21)^2))</f>
        <v>0</v>
      </c>
    </row>
    <row r="56" spans="7:11" x14ac:dyDescent="0.25">
      <c r="G56" s="72" t="s">
        <v>246</v>
      </c>
      <c r="H56">
        <f ca="1">COUNTIF(OFFSET(Lekeitio_2_1b_raw!A2,0,0,D9-B9+1,1),"603")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77">
        <f ca="1">IF(H56=0,0,((H56/B21)^2))</f>
        <v>0</v>
      </c>
    </row>
    <row r="57" spans="7:11" x14ac:dyDescent="0.25">
      <c r="G57" s="72" t="s">
        <v>247</v>
      </c>
      <c r="H57">
        <f ca="1">COUNTIF(OFFSET(Lekeitio_2_1b_raw!A2,0,0,D9-B9+1,1),"604")</f>
        <v>1</v>
      </c>
      <c r="I57" s="32">
        <f ca="1">(H57/H75)*100</f>
        <v>1.5625</v>
      </c>
      <c r="J57" s="32">
        <f ca="1">IF(H57=0,0,-1*((H57/B21)*(LN(H57/B21))))</f>
        <v>0</v>
      </c>
      <c r="K57" s="77">
        <f ca="1">IF(H57=0,0,((H57/B21)^2))</f>
        <v>1</v>
      </c>
    </row>
    <row r="58" spans="7:11" x14ac:dyDescent="0.25">
      <c r="G58" s="73" t="s">
        <v>206</v>
      </c>
      <c r="K58" s="78"/>
    </row>
    <row r="59" spans="7:11" x14ac:dyDescent="0.25">
      <c r="G59" s="72" t="s">
        <v>248</v>
      </c>
      <c r="H59">
        <f ca="1">COUNTIF(OFFSET(Lekeitio_2_1b_raw!A2,0,0,D9-B9+1,1),"701")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77">
        <f ca="1">IF(H59=0,0,((H59/B22)^2))</f>
        <v>0</v>
      </c>
    </row>
    <row r="60" spans="7:11" x14ac:dyDescent="0.25">
      <c r="G60" s="72" t="s">
        <v>249</v>
      </c>
      <c r="H60">
        <f ca="1">COUNTIF(OFFSET(Lekeitio_2_1b_raw!A2,0,0,D9-B9+1,1),"702")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77">
        <f ca="1">IF(H60=0,0,((H60/B22)^2))</f>
        <v>0</v>
      </c>
    </row>
    <row r="61" spans="7:11" x14ac:dyDescent="0.25">
      <c r="G61" s="72" t="s">
        <v>250</v>
      </c>
      <c r="H61">
        <f ca="1">COUNTIF(OFFSET(Lekeitio_2_1b_raw!A2,0,0,D9-B9+1,1),"703")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77">
        <f ca="1">IF(H61=0,0,((H61/B22)^2))</f>
        <v>0</v>
      </c>
    </row>
    <row r="62" spans="7:11" x14ac:dyDescent="0.25">
      <c r="G62" s="72" t="s">
        <v>251</v>
      </c>
      <c r="H62">
        <f ca="1">COUNTIF(OFFSET(Lekeitio_2_1b_raw!A2,0,0,D9-B9+1,1),"705")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77">
        <f ca="1">IF(H62=0,0,((H62/B22)^2))</f>
        <v>0</v>
      </c>
    </row>
    <row r="63" spans="7:11" x14ac:dyDescent="0.25">
      <c r="G63" s="72" t="s">
        <v>252</v>
      </c>
      <c r="H63">
        <f ca="1">COUNTIF(OFFSET(Lekeitio_2_1b_raw!A2,0,0,D9-B9+1,1),"704")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77">
        <f ca="1">IF(H63=0,0,((H63/B22)^2))</f>
        <v>0</v>
      </c>
    </row>
    <row r="64" spans="7:11" x14ac:dyDescent="0.25">
      <c r="G64" s="73" t="s">
        <v>207</v>
      </c>
      <c r="K64" s="78"/>
    </row>
    <row r="65" spans="7:11" x14ac:dyDescent="0.25">
      <c r="G65" s="72" t="s">
        <v>253</v>
      </c>
      <c r="H65">
        <f ca="1">COUNTIF(OFFSET(Lekeitio_2_1b_raw!A2,0,0,D9-B9+1,1),"801")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77">
        <f ca="1">IF(H65=0,0,((H65/B23)^2))</f>
        <v>0</v>
      </c>
    </row>
    <row r="66" spans="7:11" x14ac:dyDescent="0.25">
      <c r="G66" s="72" t="s">
        <v>254</v>
      </c>
      <c r="H66">
        <f ca="1">COUNTIF(OFFSET(Lekeitio_2_1b_raw!A2,0,0,D9-B9+1,1),"802")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77">
        <f ca="1">IF(H66=0,0,((H66/B23)^2))</f>
        <v>0</v>
      </c>
    </row>
    <row r="67" spans="7:11" x14ac:dyDescent="0.25">
      <c r="G67" s="73" t="s">
        <v>208</v>
      </c>
      <c r="K67" s="78"/>
    </row>
    <row r="68" spans="7:11" x14ac:dyDescent="0.25">
      <c r="G68" s="72" t="s">
        <v>255</v>
      </c>
      <c r="H68">
        <f ca="1">COUNTIF(OFFSET(Lekeitio_2_1b_raw!A2,0,0,D9-B9+1,1),"901")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77">
        <f ca="1">IF(H68=0,0,((H68/B24)^2))</f>
        <v>0</v>
      </c>
    </row>
    <row r="69" spans="7:11" x14ac:dyDescent="0.25">
      <c r="G69" s="72" t="s">
        <v>256</v>
      </c>
      <c r="H69">
        <f ca="1">COUNTIF(OFFSET(Lekeitio_2_1b_raw!A2,0,0,D9-B9+1,1),"902")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77">
        <f ca="1">IF(H69=0,0,((H69/B24)^2))</f>
        <v>0</v>
      </c>
    </row>
    <row r="70" spans="7:11" x14ac:dyDescent="0.25">
      <c r="G70" s="72" t="s">
        <v>257</v>
      </c>
      <c r="H70">
        <f ca="1">COUNTIF(OFFSET(Lekeitio_2_1b_raw!A2,0,0,D9-B9+1,1),"904")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77">
        <f ca="1">IF(H70=0,0,((H70/B24)^2))</f>
        <v>0</v>
      </c>
    </row>
    <row r="71" spans="7:11" x14ac:dyDescent="0.25">
      <c r="G71" s="72" t="s">
        <v>258</v>
      </c>
      <c r="H71">
        <f ca="1">COUNTIF(OFFSET(Lekeitio_2_1b_raw!A2,0,0,D9-B9+1,1),"905")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77">
        <f ca="1">IF(H71=0,0,((H71/B24)^2))</f>
        <v>0</v>
      </c>
    </row>
    <row r="72" spans="7:11" x14ac:dyDescent="0.25">
      <c r="G72" s="72" t="s">
        <v>259</v>
      </c>
      <c r="H72">
        <f ca="1">COUNTIF(OFFSET(Lekeitio_2_1b_raw!A2,0,0,D9-B9+1,1),"903")</f>
        <v>6</v>
      </c>
      <c r="I72" s="32">
        <f ca="1">(H72/H75)*100</f>
        <v>9.375</v>
      </c>
      <c r="J72" s="32">
        <f ca="1">IF(H72=0,0,-1*((H72/B24)*(LN(H72/B24))))</f>
        <v>0</v>
      </c>
      <c r="K72" s="77">
        <f ca="1">IF(H72=0,0,((H72/B24)^2))</f>
        <v>1</v>
      </c>
    </row>
    <row r="73" spans="7:11" x14ac:dyDescent="0.25">
      <c r="G73" s="73" t="s">
        <v>209</v>
      </c>
      <c r="K73" s="78"/>
    </row>
    <row r="74" spans="7:11" x14ac:dyDescent="0.25">
      <c r="G74" s="72" t="s">
        <v>260</v>
      </c>
      <c r="H74">
        <f ca="1">COUNTIF(OFFSET(Lekeitio_2_1b_raw!A2,0,0,D9-B9+1,1),"1001")</f>
        <v>15</v>
      </c>
      <c r="I74" s="32">
        <f ca="1">(H74/SUM(H15:H74))*100</f>
        <v>23.4375</v>
      </c>
      <c r="J74" s="32"/>
      <c r="K74" s="77">
        <f ca="1">IF(H74=0,0,((H74/B25)^2))</f>
        <v>1</v>
      </c>
    </row>
    <row r="75" spans="7:11" ht="15.75" thickBot="1" x14ac:dyDescent="0.3">
      <c r="G75" s="80" t="s">
        <v>285</v>
      </c>
      <c r="H75" s="51">
        <f ca="1">SUM(H16:H74)</f>
        <v>64</v>
      </c>
      <c r="I75" s="51">
        <f ca="1">SUM(I16:I74)</f>
        <v>100</v>
      </c>
      <c r="J75" s="40"/>
      <c r="K75" s="79"/>
    </row>
    <row r="76" spans="7:11" ht="15.75" thickTop="1" x14ac:dyDescent="0.25"/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1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COUNTA(OFFSET(Lekeitio_2_2a_raw!A2,0,0,D9-B9+1,1))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82" t="s">
        <v>319</v>
      </c>
      <c r="B15" s="33" t="s">
        <v>281</v>
      </c>
      <c r="C15" s="33" t="s">
        <v>282</v>
      </c>
      <c r="D15" s="33" t="s">
        <v>283</v>
      </c>
      <c r="E15" s="87" t="s">
        <v>284</v>
      </c>
      <c r="G15" s="82" t="s">
        <v>280</v>
      </c>
      <c r="H15" s="33" t="s">
        <v>281</v>
      </c>
      <c r="I15" s="33" t="s">
        <v>282</v>
      </c>
      <c r="J15" s="33" t="s">
        <v>283</v>
      </c>
      <c r="K15" s="87" t="s">
        <v>284</v>
      </c>
      <c r="N15">
        <v>16</v>
      </c>
    </row>
    <row r="16" spans="1:14" x14ac:dyDescent="0.25">
      <c r="A16" s="83" t="s">
        <v>320</v>
      </c>
      <c r="B16" s="35">
        <f ca="1">COUNTIF(OFFSET(Lekeitio_2_2a_raw!C2,0,0,D9-B9+1,1), "100")</f>
        <v>10</v>
      </c>
      <c r="C16" s="36">
        <f ca="1">(B16/H75)*100</f>
        <v>15.625</v>
      </c>
      <c r="D16" s="36">
        <f ca="1">SUM(J17:J34)</f>
        <v>0</v>
      </c>
      <c r="E16" s="88">
        <f ca="1">1-SUM(K17:K34)</f>
        <v>0</v>
      </c>
      <c r="G16" s="85" t="s">
        <v>200</v>
      </c>
      <c r="K16" s="90"/>
      <c r="N16">
        <v>75</v>
      </c>
    </row>
    <row r="17" spans="1:14" x14ac:dyDescent="0.25">
      <c r="A17" s="84" t="s">
        <v>321</v>
      </c>
      <c r="B17">
        <f ca="1">COUNTIF(OFFSET(Lekeitio_2_2a_raw!C2,0,0,D9-B9+1,1), "200")</f>
        <v>0</v>
      </c>
      <c r="C17" s="32">
        <f ca="1">(B17/H75)*100</f>
        <v>0</v>
      </c>
      <c r="D17" s="32">
        <f ca="1">SUM(J36:J37)</f>
        <v>0</v>
      </c>
      <c r="E17" s="89">
        <f ca="1">1-SUM(K36:K37)</f>
        <v>1</v>
      </c>
      <c r="G17" s="84" t="s">
        <v>212</v>
      </c>
      <c r="H17">
        <f ca="1">COUNTIF(OFFSET(Lekeitio_2_2a_raw!A2,0,0,D9-B9+1,1),"108")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89">
        <f ca="1">IF(H17=0,0,((H17/B16)^2))</f>
        <v>0</v>
      </c>
      <c r="N17">
        <v>7</v>
      </c>
    </row>
    <row r="18" spans="1:14" x14ac:dyDescent="0.25">
      <c r="A18" s="83" t="s">
        <v>322</v>
      </c>
      <c r="B18" s="35">
        <f ca="1">COUNTIF(OFFSET(Lekeitio_2_2a_raw!C2,0,0,D9-B9+1,1), "300")</f>
        <v>15</v>
      </c>
      <c r="C18" s="36">
        <f ca="1">(B18/H75)*100</f>
        <v>23.4375</v>
      </c>
      <c r="D18" s="36">
        <f ca="1">SUM(J39:J44)</f>
        <v>0</v>
      </c>
      <c r="E18" s="88">
        <f ca="1">1-SUM(K39:K44)</f>
        <v>0</v>
      </c>
      <c r="G18" s="84" t="s">
        <v>213</v>
      </c>
      <c r="H18">
        <f ca="1">COUNTIF(OFFSET(Lekeitio_2_2a_raw!A2,0,0,D9-B9+1,1),"105")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89">
        <f ca="1">IF(H18=0,0,((H18/B16)^2))</f>
        <v>0</v>
      </c>
    </row>
    <row r="19" spans="1:14" x14ac:dyDescent="0.25">
      <c r="A19" s="84" t="s">
        <v>323</v>
      </c>
      <c r="B19">
        <f ca="1">COUNTIF(OFFSET(Lekeitio_2_2a_raw!C2,0,0,D9-B9+1,1), "400")</f>
        <v>0</v>
      </c>
      <c r="C19" s="32">
        <f ca="1">(B19/H75)*100</f>
        <v>0</v>
      </c>
      <c r="D19" s="32">
        <f ca="1">SUM(J46:J47)</f>
        <v>0</v>
      </c>
      <c r="E19" s="89">
        <f ca="1">1-SUM(K46:K47)</f>
        <v>1</v>
      </c>
      <c r="G19" s="84" t="s">
        <v>214</v>
      </c>
      <c r="H19">
        <f ca="1">COUNTIF(OFFSET(Lekeitio_2_2a_raw!A2,0,0,D9-B9+1,1),"103")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89">
        <f ca="1">IF(H19=0,0,((H19/B16)^2))</f>
        <v>0</v>
      </c>
    </row>
    <row r="20" spans="1:14" x14ac:dyDescent="0.25">
      <c r="A20" s="83" t="s">
        <v>324</v>
      </c>
      <c r="B20" s="35">
        <f ca="1">COUNTIF(OFFSET(Lekeitio_2_2a_raw!C2,0,0,D9-B9+1,1), "500")</f>
        <v>16</v>
      </c>
      <c r="C20" s="36">
        <f ca="1">(B20/H75)*100</f>
        <v>25</v>
      </c>
      <c r="D20" s="36">
        <f ca="1">SUM(J49:J52)</f>
        <v>0</v>
      </c>
      <c r="E20" s="88">
        <f ca="1">1-SUM(K49:K52)</f>
        <v>0</v>
      </c>
      <c r="G20" s="84" t="s">
        <v>215</v>
      </c>
      <c r="H20">
        <f ca="1">COUNTIF(OFFSET(Lekeitio_2_2a_raw!A2,0,0,D9-B9+1,1),"107")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89">
        <f ca="1">IF(H20=0,0,((H20/B16)^2))</f>
        <v>0</v>
      </c>
    </row>
    <row r="21" spans="1:14" x14ac:dyDescent="0.25">
      <c r="A21" s="84" t="s">
        <v>325</v>
      </c>
      <c r="B21">
        <f ca="1">COUNTIF(OFFSET(Lekeitio_2_2a_raw!C2,0,0,D9-B9+1,1), "600")</f>
        <v>5</v>
      </c>
      <c r="C21" s="32">
        <f ca="1">(B21/H75)*100</f>
        <v>7.8125</v>
      </c>
      <c r="D21" s="32">
        <f ca="1">SUM(J54:J57)</f>
        <v>0</v>
      </c>
      <c r="E21" s="89">
        <f ca="1">1-SUM(K54:K57)</f>
        <v>0</v>
      </c>
      <c r="G21" s="84" t="s">
        <v>216</v>
      </c>
      <c r="H21">
        <f ca="1">COUNTIF(OFFSET(Lekeitio_2_2a_raw!A2,0,0,D9-B9+1,1),"101")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89">
        <f ca="1">IF(H21=0,0,((H21/B16)^2))</f>
        <v>0</v>
      </c>
    </row>
    <row r="22" spans="1:14" x14ac:dyDescent="0.25">
      <c r="A22" s="83" t="s">
        <v>326</v>
      </c>
      <c r="B22" s="35">
        <f ca="1">COUNTIF(OFFSET(Lekeitio_2_2a_raw!C2,0,0,D9-B9+1,1), "700")</f>
        <v>1</v>
      </c>
      <c r="C22" s="36">
        <f ca="1">(B22/H75)*100</f>
        <v>1.5625</v>
      </c>
      <c r="D22" s="36">
        <f ca="1">SUM(J59:J63)</f>
        <v>0</v>
      </c>
      <c r="E22" s="88">
        <f ca="1">1-SUM(K59:K63)</f>
        <v>0</v>
      </c>
      <c r="G22" s="84" t="s">
        <v>217</v>
      </c>
      <c r="H22">
        <f ca="1">COUNTIF(OFFSET(Lekeitio_2_2a_raw!A2,0,0,D9-B9+1,1),"106")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89">
        <f ca="1">IF(H22=0,0,((H22/B16)^2))</f>
        <v>0</v>
      </c>
    </row>
    <row r="23" spans="1:14" x14ac:dyDescent="0.25">
      <c r="A23" s="84" t="s">
        <v>327</v>
      </c>
      <c r="B23">
        <f ca="1">COUNTIF(OFFSET(Lekeitio_2_2a_raw!C2,0,0,D9-B9+1,1), "800")</f>
        <v>0</v>
      </c>
      <c r="C23" s="32">
        <f ca="1">(B23/H75)*100</f>
        <v>0</v>
      </c>
      <c r="D23" s="32">
        <f ca="1">SUM(J65:J66)</f>
        <v>0</v>
      </c>
      <c r="E23" s="89">
        <f ca="1">1-SUM(K65:K66)</f>
        <v>1</v>
      </c>
      <c r="G23" s="84" t="s">
        <v>218</v>
      </c>
      <c r="H23">
        <f ca="1">COUNTIF(OFFSET(Lekeitio_2_2a_raw!A2,0,0,D9-B9+1,1),"102")</f>
        <v>10</v>
      </c>
      <c r="I23" s="32">
        <f ca="1">(H23/H75)*100</f>
        <v>15.625</v>
      </c>
      <c r="J23" s="32">
        <f ca="1">IF(H23=0,0,-1*((H23/B16)*(LN(H23/B16))))</f>
        <v>0</v>
      </c>
      <c r="K23" s="89">
        <f ca="1">IF(H23=0,0,((H23/B16)^2))</f>
        <v>1</v>
      </c>
    </row>
    <row r="24" spans="1:14" x14ac:dyDescent="0.25">
      <c r="A24" s="83" t="s">
        <v>328</v>
      </c>
      <c r="B24" s="35">
        <f ca="1">COUNTIF(OFFSET(Lekeitio_2_2a_raw!C2,0,0,D9-B9+1,1), "900")</f>
        <v>11</v>
      </c>
      <c r="C24" s="36">
        <f ca="1">(B24/H75)*100</f>
        <v>17.1875</v>
      </c>
      <c r="D24" s="36">
        <f ca="1">SUM(J68:J72)</f>
        <v>0</v>
      </c>
      <c r="E24" s="88">
        <f ca="1">1-SUM(K68:K72)</f>
        <v>0</v>
      </c>
      <c r="G24" s="84" t="s">
        <v>219</v>
      </c>
      <c r="H24">
        <f ca="1">COUNTIF(OFFSET(Lekeitio_2_2a_raw!A2,0,0,D9-B9+1,1),"104")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89">
        <f ca="1">IF(H24=0,0,((H24/B16)^2))</f>
        <v>0</v>
      </c>
    </row>
    <row r="25" spans="1:14" x14ac:dyDescent="0.25">
      <c r="A25" s="84" t="s">
        <v>329</v>
      </c>
      <c r="B25">
        <f ca="1">COUNTIF(OFFSET(Lekeitio_2_2a_raw!C2,0,0,D9-B9+1,1), "1000")</f>
        <v>6</v>
      </c>
      <c r="C25" s="32">
        <f ca="1">(B25/H75)*100</f>
        <v>9.375</v>
      </c>
      <c r="D25" s="32">
        <f>SUM(J74:J74)</f>
        <v>0</v>
      </c>
      <c r="E25" s="89">
        <f ca="1">1-SUM(K74:K74)</f>
        <v>0</v>
      </c>
      <c r="G25" s="84" t="s">
        <v>220</v>
      </c>
      <c r="H25">
        <f ca="1">COUNTIF(OFFSET(Lekeitio_2_2a_raw!A2,0,0,D9-B9+1,1),"111")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89">
        <f ca="1">IF(H25=0,0,((H25/B16)^2))</f>
        <v>0</v>
      </c>
    </row>
    <row r="26" spans="1:14" x14ac:dyDescent="0.25">
      <c r="A26" s="85" t="s">
        <v>330</v>
      </c>
      <c r="B26" s="31">
        <f ca="1">SUM(B16:B25)</f>
        <v>64</v>
      </c>
      <c r="C26" s="37" t="e">
        <f ca="1">SUM(C16:C25)-C0</f>
        <v>#NAME?</v>
      </c>
      <c r="E26" s="90"/>
      <c r="G26" s="84" t="s">
        <v>221</v>
      </c>
      <c r="H26">
        <f ca="1">COUNTIF(OFFSET(Lekeitio_2_2a_raw!A2,0,0,D9-B9+1,1),"112")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89">
        <f ca="1">IF(H26=0,0,((H26/B16)^2))</f>
        <v>0</v>
      </c>
    </row>
    <row r="27" spans="1:14" x14ac:dyDescent="0.25">
      <c r="A27" s="84"/>
      <c r="E27" s="90"/>
      <c r="G27" s="84" t="s">
        <v>222</v>
      </c>
      <c r="H27">
        <f ca="1">COUNTIF(OFFSET(Lekeitio_2_2a_raw!A2,0,0,D9-B9+1,1),"113")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89">
        <f ca="1">IF(H27=0,0,((H27/B16)^2))</f>
        <v>0</v>
      </c>
    </row>
    <row r="28" spans="1:14" x14ac:dyDescent="0.25">
      <c r="A28" s="85" t="s">
        <v>331</v>
      </c>
      <c r="E28" s="90"/>
      <c r="G28" s="84" t="s">
        <v>223</v>
      </c>
      <c r="H28">
        <f ca="1">COUNTIF(OFFSET(Lekeitio_2_2a_raw!A2,0,0,D9-B9+1,1),"114")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89">
        <f ca="1">IF(H28=0,0,((H28/B16)^2))</f>
        <v>0</v>
      </c>
    </row>
    <row r="29" spans="1:14" ht="15.75" thickBot="1" x14ac:dyDescent="0.3">
      <c r="A29" s="86" t="s">
        <v>332</v>
      </c>
      <c r="B29" s="40"/>
      <c r="C29" s="40"/>
      <c r="D29" s="40"/>
      <c r="E29" s="91"/>
      <c r="G29" s="84" t="s">
        <v>224</v>
      </c>
      <c r="H29">
        <f ca="1">COUNTIF(OFFSET(Lekeitio_2_2a_raw!A2,0,0,D9-B9+1,1),"115")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89">
        <f ca="1">IF(H29=0,0,((H29/B16)^2))</f>
        <v>0</v>
      </c>
    </row>
    <row r="30" spans="1:14" ht="15.75" thickTop="1" x14ac:dyDescent="0.25">
      <c r="G30" s="84" t="s">
        <v>225</v>
      </c>
      <c r="H30">
        <f ca="1">COUNTIF(OFFSET(Lekeitio_2_2a_raw!A2,0,0,D9-B9+1,1),"116")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89">
        <f ca="1">IF(H30=0,0,((H30/B16)^2))</f>
        <v>0</v>
      </c>
    </row>
    <row r="31" spans="1:14" x14ac:dyDescent="0.25">
      <c r="G31" s="84" t="s">
        <v>226</v>
      </c>
      <c r="H31">
        <f ca="1">COUNTIF(OFFSET(Lekeitio_2_2a_raw!A2,0,0,D9-B9+1,1),"117")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89">
        <f ca="1">IF(H31=0,0,((H31/B16)^2))</f>
        <v>0</v>
      </c>
    </row>
    <row r="32" spans="1:14" x14ac:dyDescent="0.25">
      <c r="G32" s="84" t="s">
        <v>227</v>
      </c>
      <c r="H32">
        <f ca="1">COUNTIF(OFFSET(Lekeitio_2_2a_raw!A2,0,0,D9-B9+1,1),"118")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89">
        <f ca="1">IF(H32=0,0,((H32/B16)^2))</f>
        <v>0</v>
      </c>
    </row>
    <row r="33" spans="7:11" x14ac:dyDescent="0.25">
      <c r="G33" s="84" t="s">
        <v>228</v>
      </c>
      <c r="H33">
        <f ca="1">COUNTIF(OFFSET(Lekeitio_2_2a_raw!A2,0,0,D9-B9+1,1),"109")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89">
        <f ca="1">IF(H33=0,0,((H33/B16)^2))</f>
        <v>0</v>
      </c>
    </row>
    <row r="34" spans="7:11" x14ac:dyDescent="0.25">
      <c r="G34" s="84" t="s">
        <v>229</v>
      </c>
      <c r="H34">
        <f ca="1">COUNTIF(OFFSET(Lekeitio_2_2a_raw!A2,0,0,D9-B9+1,1),"110")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89">
        <f ca="1">IF(H34=0,0,((H34/B16)^2))</f>
        <v>0</v>
      </c>
    </row>
    <row r="35" spans="7:11" x14ac:dyDescent="0.25">
      <c r="G35" s="85" t="s">
        <v>201</v>
      </c>
      <c r="K35" s="90"/>
    </row>
    <row r="36" spans="7:11" x14ac:dyDescent="0.25">
      <c r="G36" s="84" t="s">
        <v>230</v>
      </c>
      <c r="H36">
        <f ca="1">COUNTIF(OFFSET(Lekeitio_2_2a_raw!A2,0,0,D9-B9+1,1),"202")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89">
        <f ca="1">IF(H36=0,0,((H36/B17)^2))</f>
        <v>0</v>
      </c>
    </row>
    <row r="37" spans="7:11" x14ac:dyDescent="0.25">
      <c r="G37" s="84" t="s">
        <v>231</v>
      </c>
      <c r="H37">
        <f ca="1">COUNTIF(OFFSET(Lekeitio_2_2a_raw!A2,0,0,D9-B9+1,1),"201")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89">
        <f ca="1">IF(H37=0,0,((H37/B17)^2))</f>
        <v>0</v>
      </c>
    </row>
    <row r="38" spans="7:11" x14ac:dyDescent="0.25">
      <c r="G38" s="85" t="s">
        <v>202</v>
      </c>
      <c r="K38" s="90"/>
    </row>
    <row r="39" spans="7:11" x14ac:dyDescent="0.25">
      <c r="G39" s="84" t="s">
        <v>232</v>
      </c>
      <c r="H39">
        <f ca="1">COUNTIF(OFFSET(Lekeitio_2_2a_raw!A2,0,0,D9-B9+1,1),"306")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89">
        <f ca="1">IF(H39=0,0,((H39/B18)^2))</f>
        <v>0</v>
      </c>
    </row>
    <row r="40" spans="7:11" x14ac:dyDescent="0.25">
      <c r="G40" s="84" t="s">
        <v>233</v>
      </c>
      <c r="H40">
        <f ca="1">COUNTIF(OFFSET(Lekeitio_2_2a_raw!A2,0,0,D9-B9+1,1),"302")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89">
        <f ca="1">IF(H40=0,0,((H40/B18)^2))</f>
        <v>0</v>
      </c>
    </row>
    <row r="41" spans="7:11" x14ac:dyDescent="0.25">
      <c r="G41" s="84" t="s">
        <v>234</v>
      </c>
      <c r="H41">
        <f ca="1">COUNTIF(OFFSET(Lekeitio_2_2a_raw!A2,0,0,D9-B9+1,1),"307")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89">
        <f ca="1">IF(H41=0,0,((H41/B18)^2))</f>
        <v>0</v>
      </c>
    </row>
    <row r="42" spans="7:11" x14ac:dyDescent="0.25">
      <c r="G42" s="84" t="s">
        <v>235</v>
      </c>
      <c r="H42">
        <f ca="1">COUNTIF(OFFSET(Lekeitio_2_2a_raw!A2,0,0,D9-B9+1,1),"303")</f>
        <v>15</v>
      </c>
      <c r="I42" s="32">
        <f ca="1">(H42/H75)*100</f>
        <v>23.4375</v>
      </c>
      <c r="J42" s="32">
        <f ca="1">IF(H42=0,0,-1*((H42/B18)*(LN(H42/B18))))</f>
        <v>0</v>
      </c>
      <c r="K42" s="89">
        <f ca="1">IF(H42=0,0,((H42/B18)^2))</f>
        <v>1</v>
      </c>
    </row>
    <row r="43" spans="7:11" x14ac:dyDescent="0.25">
      <c r="G43" s="84" t="s">
        <v>236</v>
      </c>
      <c r="H43">
        <f ca="1">COUNTIF(OFFSET(Lekeitio_2_2a_raw!A2,0,0,D9-B9+1,1),"304")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89">
        <f ca="1">IF(H43=0,0,((H43/B18)^2))</f>
        <v>0</v>
      </c>
    </row>
    <row r="44" spans="7:11" x14ac:dyDescent="0.25">
      <c r="G44" s="84" t="s">
        <v>237</v>
      </c>
      <c r="H44">
        <f ca="1">COUNTIF(OFFSET(Lekeitio_2_2a_raw!A2,0,0,D9-B9+1,1),"305")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89">
        <f ca="1">IF(H44=0,0,((H44/B18)^2))</f>
        <v>0</v>
      </c>
    </row>
    <row r="45" spans="7:11" x14ac:dyDescent="0.25">
      <c r="G45" s="85" t="s">
        <v>203</v>
      </c>
      <c r="K45" s="90"/>
    </row>
    <row r="46" spans="7:11" x14ac:dyDescent="0.25">
      <c r="G46" s="84" t="s">
        <v>238</v>
      </c>
      <c r="H46">
        <f ca="1">COUNTIF(OFFSET(Lekeitio_2_2a_raw!A2,0,0,D9-B9+1,1),"401")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89">
        <f ca="1">IF(H46=0,0,((H46/B19)^2))</f>
        <v>0</v>
      </c>
    </row>
    <row r="47" spans="7:11" x14ac:dyDescent="0.25">
      <c r="G47" s="84" t="s">
        <v>239</v>
      </c>
      <c r="H47">
        <f ca="1">COUNTIF(OFFSET(Lekeitio_2_2a_raw!A2,0,0,D9-B9+1,1),"402")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89">
        <f ca="1">IF(H47=0,0,((H47/B19)^2))</f>
        <v>0</v>
      </c>
    </row>
    <row r="48" spans="7:11" x14ac:dyDescent="0.25">
      <c r="G48" s="85" t="s">
        <v>204</v>
      </c>
      <c r="K48" s="90"/>
    </row>
    <row r="49" spans="7:11" x14ac:dyDescent="0.25">
      <c r="G49" s="84" t="s">
        <v>240</v>
      </c>
      <c r="H49">
        <f ca="1">COUNTIF(OFFSET(Lekeitio_2_2a_raw!A2,0,0,D9-B9+1,1),"501")</f>
        <v>16</v>
      </c>
      <c r="I49" s="32">
        <f ca="1">(H49/H75)*100</f>
        <v>25</v>
      </c>
      <c r="J49" s="32">
        <f ca="1">IF(H49=0,0,-1*((H49/B20)*(LN(H49/B20))))</f>
        <v>0</v>
      </c>
      <c r="K49" s="89">
        <f ca="1">IF(H49=0,0,((H49/B20)^2))</f>
        <v>1</v>
      </c>
    </row>
    <row r="50" spans="7:11" x14ac:dyDescent="0.25">
      <c r="G50" s="84" t="s">
        <v>241</v>
      </c>
      <c r="H50">
        <f ca="1">COUNTIF(OFFSET(Lekeitio_2_2a_raw!A2,0,0,D9-B9+1,1),"502")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89">
        <f ca="1">IF(H50=0,0,((H50/B20)^2))</f>
        <v>0</v>
      </c>
    </row>
    <row r="51" spans="7:11" x14ac:dyDescent="0.25">
      <c r="G51" s="84" t="s">
        <v>242</v>
      </c>
      <c r="H51">
        <f ca="1">COUNTIF(OFFSET(Lekeitio_2_2a_raw!A2,0,0,D9-B9+1,1),"503")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89">
        <f ca="1">IF(H51=0,0,((H51/B20)^2))</f>
        <v>0</v>
      </c>
    </row>
    <row r="52" spans="7:11" x14ac:dyDescent="0.25">
      <c r="G52" s="84" t="s">
        <v>243</v>
      </c>
      <c r="H52">
        <f ca="1">COUNTIF(OFFSET(Lekeitio_2_2a_raw!A2,0,0,D9-B9+1,1),"504")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89">
        <f ca="1">IF(H52=0,0,((H52/B20)^2))</f>
        <v>0</v>
      </c>
    </row>
    <row r="53" spans="7:11" x14ac:dyDescent="0.25">
      <c r="G53" s="85" t="s">
        <v>205</v>
      </c>
      <c r="K53" s="90"/>
    </row>
    <row r="54" spans="7:11" x14ac:dyDescent="0.25">
      <c r="G54" s="84" t="s">
        <v>244</v>
      </c>
      <c r="H54">
        <f ca="1">COUNTIF(OFFSET(Lekeitio_2_2a_raw!A2,0,0,D9-B9+1,1),"601")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89">
        <f ca="1">IF(H54=0,0,((H54/B21)^2))</f>
        <v>0</v>
      </c>
    </row>
    <row r="55" spans="7:11" x14ac:dyDescent="0.25">
      <c r="G55" s="84" t="s">
        <v>245</v>
      </c>
      <c r="H55">
        <f ca="1">COUNTIF(OFFSET(Lekeitio_2_2a_raw!A2,0,0,D9-B9+1,1),"602")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89">
        <f ca="1">IF(H55=0,0,((H55/B21)^2))</f>
        <v>0</v>
      </c>
    </row>
    <row r="56" spans="7:11" x14ac:dyDescent="0.25">
      <c r="G56" s="84" t="s">
        <v>246</v>
      </c>
      <c r="H56">
        <f ca="1">COUNTIF(OFFSET(Lekeitio_2_2a_raw!A2,0,0,D9-B9+1,1),"603")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89">
        <f ca="1">IF(H56=0,0,((H56/B21)^2))</f>
        <v>0</v>
      </c>
    </row>
    <row r="57" spans="7:11" x14ac:dyDescent="0.25">
      <c r="G57" s="84" t="s">
        <v>247</v>
      </c>
      <c r="H57">
        <f ca="1">COUNTIF(OFFSET(Lekeitio_2_2a_raw!A2,0,0,D9-B9+1,1),"604")</f>
        <v>5</v>
      </c>
      <c r="I57" s="32">
        <f ca="1">(H57/H75)*100</f>
        <v>7.8125</v>
      </c>
      <c r="J57" s="32">
        <f ca="1">IF(H57=0,0,-1*((H57/B21)*(LN(H57/B21))))</f>
        <v>0</v>
      </c>
      <c r="K57" s="89">
        <f ca="1">IF(H57=0,0,((H57/B21)^2))</f>
        <v>1</v>
      </c>
    </row>
    <row r="58" spans="7:11" x14ac:dyDescent="0.25">
      <c r="G58" s="85" t="s">
        <v>206</v>
      </c>
      <c r="K58" s="90"/>
    </row>
    <row r="59" spans="7:11" x14ac:dyDescent="0.25">
      <c r="G59" s="84" t="s">
        <v>248</v>
      </c>
      <c r="H59">
        <f ca="1">COUNTIF(OFFSET(Lekeitio_2_2a_raw!A2,0,0,D9-B9+1,1),"701")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89">
        <f ca="1">IF(H59=0,0,((H59/B22)^2))</f>
        <v>0</v>
      </c>
    </row>
    <row r="60" spans="7:11" x14ac:dyDescent="0.25">
      <c r="G60" s="84" t="s">
        <v>249</v>
      </c>
      <c r="H60">
        <f ca="1">COUNTIF(OFFSET(Lekeitio_2_2a_raw!A2,0,0,D9-B9+1,1),"702")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89">
        <f ca="1">IF(H60=0,0,((H60/B22)^2))</f>
        <v>0</v>
      </c>
    </row>
    <row r="61" spans="7:11" x14ac:dyDescent="0.25">
      <c r="G61" s="84" t="s">
        <v>250</v>
      </c>
      <c r="H61">
        <f ca="1">COUNTIF(OFFSET(Lekeitio_2_2a_raw!A2,0,0,D9-B9+1,1),"703")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89">
        <f ca="1">IF(H61=0,0,((H61/B22)^2))</f>
        <v>0</v>
      </c>
    </row>
    <row r="62" spans="7:11" x14ac:dyDescent="0.25">
      <c r="G62" s="84" t="s">
        <v>251</v>
      </c>
      <c r="H62">
        <f ca="1">COUNTIF(OFFSET(Lekeitio_2_2a_raw!A2,0,0,D9-B9+1,1),"705")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89">
        <f ca="1">IF(H62=0,0,((H62/B22)^2))</f>
        <v>0</v>
      </c>
    </row>
    <row r="63" spans="7:11" x14ac:dyDescent="0.25">
      <c r="G63" s="84" t="s">
        <v>252</v>
      </c>
      <c r="H63">
        <f ca="1">COUNTIF(OFFSET(Lekeitio_2_2a_raw!A2,0,0,D9-B9+1,1),"704")</f>
        <v>1</v>
      </c>
      <c r="I63" s="32">
        <f ca="1">(H63/H75)*100</f>
        <v>1.5625</v>
      </c>
      <c r="J63" s="32">
        <f ca="1">IF(H63=0,0,-1*((H63/B22)*(LN(H63/B22))))</f>
        <v>0</v>
      </c>
      <c r="K63" s="89">
        <f ca="1">IF(H63=0,0,((H63/B22)^2))</f>
        <v>1</v>
      </c>
    </row>
    <row r="64" spans="7:11" x14ac:dyDescent="0.25">
      <c r="G64" s="85" t="s">
        <v>207</v>
      </c>
      <c r="K64" s="90"/>
    </row>
    <row r="65" spans="7:11" x14ac:dyDescent="0.25">
      <c r="G65" s="84" t="s">
        <v>253</v>
      </c>
      <c r="H65">
        <f ca="1">COUNTIF(OFFSET(Lekeitio_2_2a_raw!A2,0,0,D9-B9+1,1),"801")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89">
        <f ca="1">IF(H65=0,0,((H65/B23)^2))</f>
        <v>0</v>
      </c>
    </row>
    <row r="66" spans="7:11" x14ac:dyDescent="0.25">
      <c r="G66" s="84" t="s">
        <v>254</v>
      </c>
      <c r="H66">
        <f ca="1">COUNTIF(OFFSET(Lekeitio_2_2a_raw!A2,0,0,D9-B9+1,1),"802")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89">
        <f ca="1">IF(H66=0,0,((H66/B23)^2))</f>
        <v>0</v>
      </c>
    </row>
    <row r="67" spans="7:11" x14ac:dyDescent="0.25">
      <c r="G67" s="85" t="s">
        <v>208</v>
      </c>
      <c r="K67" s="90"/>
    </row>
    <row r="68" spans="7:11" x14ac:dyDescent="0.25">
      <c r="G68" s="84" t="s">
        <v>255</v>
      </c>
      <c r="H68">
        <f ca="1">COUNTIF(OFFSET(Lekeitio_2_2a_raw!A2,0,0,D9-B9+1,1),"901")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89">
        <f ca="1">IF(H68=0,0,((H68/B24)^2))</f>
        <v>0</v>
      </c>
    </row>
    <row r="69" spans="7:11" x14ac:dyDescent="0.25">
      <c r="G69" s="84" t="s">
        <v>256</v>
      </c>
      <c r="H69">
        <f ca="1">COUNTIF(OFFSET(Lekeitio_2_2a_raw!A2,0,0,D9-B9+1,1),"902")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89">
        <f ca="1">IF(H69=0,0,((H69/B24)^2))</f>
        <v>0</v>
      </c>
    </row>
    <row r="70" spans="7:11" x14ac:dyDescent="0.25">
      <c r="G70" s="84" t="s">
        <v>257</v>
      </c>
      <c r="H70">
        <f ca="1">COUNTIF(OFFSET(Lekeitio_2_2a_raw!A2,0,0,D9-B9+1,1),"904")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89">
        <f ca="1">IF(H70=0,0,((H70/B24)^2))</f>
        <v>0</v>
      </c>
    </row>
    <row r="71" spans="7:11" x14ac:dyDescent="0.25">
      <c r="G71" s="84" t="s">
        <v>258</v>
      </c>
      <c r="H71">
        <f ca="1">COUNTIF(OFFSET(Lekeitio_2_2a_raw!A2,0,0,D9-B9+1,1),"905")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89">
        <f ca="1">IF(H71=0,0,((H71/B24)^2))</f>
        <v>0</v>
      </c>
    </row>
    <row r="72" spans="7:11" x14ac:dyDescent="0.25">
      <c r="G72" s="84" t="s">
        <v>259</v>
      </c>
      <c r="H72">
        <f ca="1">COUNTIF(OFFSET(Lekeitio_2_2a_raw!A2,0,0,D9-B9+1,1),"903")</f>
        <v>11</v>
      </c>
      <c r="I72" s="32">
        <f ca="1">(H72/H75)*100</f>
        <v>17.1875</v>
      </c>
      <c r="J72" s="32">
        <f ca="1">IF(H72=0,0,-1*((H72/B24)*(LN(H72/B24))))</f>
        <v>0</v>
      </c>
      <c r="K72" s="89">
        <f ca="1">IF(H72=0,0,((H72/B24)^2))</f>
        <v>1</v>
      </c>
    </row>
    <row r="73" spans="7:11" x14ac:dyDescent="0.25">
      <c r="G73" s="85" t="s">
        <v>209</v>
      </c>
      <c r="K73" s="90"/>
    </row>
    <row r="74" spans="7:11" x14ac:dyDescent="0.25">
      <c r="G74" s="84" t="s">
        <v>260</v>
      </c>
      <c r="H74">
        <f ca="1">COUNTIF(OFFSET(Lekeitio_2_2a_raw!A2,0,0,D9-B9+1,1),"1001")</f>
        <v>6</v>
      </c>
      <c r="I74" s="32">
        <f ca="1">(H74/SUM(H15:H74))*100</f>
        <v>9.375</v>
      </c>
      <c r="J74" s="32"/>
      <c r="K74" s="89">
        <f ca="1">IF(H74=0,0,((H74/B25)^2))</f>
        <v>1</v>
      </c>
    </row>
    <row r="75" spans="7:11" ht="15.75" thickBot="1" x14ac:dyDescent="0.3">
      <c r="G75" s="92" t="s">
        <v>285</v>
      </c>
      <c r="H75" s="51">
        <f ca="1">SUM(H16:H74)</f>
        <v>64</v>
      </c>
      <c r="I75" s="51">
        <f ca="1">SUM(I16:I74)</f>
        <v>100</v>
      </c>
      <c r="J75" s="40"/>
      <c r="K75" s="91"/>
    </row>
    <row r="76" spans="7:11" ht="15.75" thickTop="1" x14ac:dyDescent="0.25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4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COUNTA(OFFSET(Lekeitio_2_2b_raw!A2,0,0,D9-B9+1,1))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94" t="s">
        <v>319</v>
      </c>
      <c r="B15" s="33" t="s">
        <v>281</v>
      </c>
      <c r="C15" s="33" t="s">
        <v>282</v>
      </c>
      <c r="D15" s="33" t="s">
        <v>283</v>
      </c>
      <c r="E15" s="99" t="s">
        <v>284</v>
      </c>
      <c r="G15" s="94" t="s">
        <v>280</v>
      </c>
      <c r="H15" s="33" t="s">
        <v>281</v>
      </c>
      <c r="I15" s="33" t="s">
        <v>282</v>
      </c>
      <c r="J15" s="33" t="s">
        <v>283</v>
      </c>
      <c r="K15" s="99" t="s">
        <v>284</v>
      </c>
      <c r="N15">
        <v>16</v>
      </c>
    </row>
    <row r="16" spans="1:14" x14ac:dyDescent="0.25">
      <c r="A16" s="95" t="s">
        <v>320</v>
      </c>
      <c r="B16" s="35">
        <f ca="1">COUNTIF(OFFSET(Lekeitio_2_2b_raw!C2,0,0,D9-B9+1,1), "100")</f>
        <v>20</v>
      </c>
      <c r="C16" s="36">
        <f ca="1">(B16/H75)*100</f>
        <v>31.25</v>
      </c>
      <c r="D16" s="36">
        <f ca="1">SUM(J17:J34)</f>
        <v>0.68813881371358843</v>
      </c>
      <c r="E16" s="100">
        <f ca="1">1-SUM(K17:K34)</f>
        <v>0.49499999999999988</v>
      </c>
      <c r="G16" s="97" t="s">
        <v>200</v>
      </c>
      <c r="K16" s="102"/>
      <c r="N16">
        <v>75</v>
      </c>
    </row>
    <row r="17" spans="1:14" x14ac:dyDescent="0.25">
      <c r="A17" s="96" t="s">
        <v>321</v>
      </c>
      <c r="B17">
        <f ca="1">COUNTIF(OFFSET(Lekeitio_2_2b_raw!C2,0,0,D9-B9+1,1), "200")</f>
        <v>0</v>
      </c>
      <c r="C17" s="32">
        <f ca="1">(B17/H75)*100</f>
        <v>0</v>
      </c>
      <c r="D17" s="32">
        <f ca="1">SUM(J36:J37)</f>
        <v>0</v>
      </c>
      <c r="E17" s="101">
        <f ca="1">1-SUM(K36:K37)</f>
        <v>1</v>
      </c>
      <c r="G17" s="96" t="s">
        <v>212</v>
      </c>
      <c r="H17">
        <f ca="1">COUNTIF(OFFSET(Lekeitio_2_2b_raw!A2,0,0,D9-B9+1,1),"108")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01">
        <f ca="1">IF(H17=0,0,((H17/B16)^2))</f>
        <v>0</v>
      </c>
      <c r="N17">
        <v>7</v>
      </c>
    </row>
    <row r="18" spans="1:14" x14ac:dyDescent="0.25">
      <c r="A18" s="95" t="s">
        <v>322</v>
      </c>
      <c r="B18" s="35">
        <f ca="1">COUNTIF(OFFSET(Lekeitio_2_2b_raw!C2,0,0,D9-B9+1,1), "300")</f>
        <v>1</v>
      </c>
      <c r="C18" s="36">
        <f ca="1">(B18/H75)*100</f>
        <v>1.5625</v>
      </c>
      <c r="D18" s="36">
        <f ca="1">SUM(J39:J44)</f>
        <v>0</v>
      </c>
      <c r="E18" s="100">
        <f ca="1">1-SUM(K39:K44)</f>
        <v>0</v>
      </c>
      <c r="G18" s="96" t="s">
        <v>213</v>
      </c>
      <c r="H18">
        <f ca="1">COUNTIF(OFFSET(Lekeitio_2_2b_raw!A2,0,0,D9-B9+1,1),"105")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01">
        <f ca="1">IF(H18=0,0,((H18/B16)^2))</f>
        <v>0</v>
      </c>
    </row>
    <row r="19" spans="1:14" x14ac:dyDescent="0.25">
      <c r="A19" s="96" t="s">
        <v>323</v>
      </c>
      <c r="B19">
        <f ca="1">COUNTIF(OFFSET(Lekeitio_2_2b_raw!C2,0,0,D9-B9+1,1), "400")</f>
        <v>0</v>
      </c>
      <c r="C19" s="32">
        <f ca="1">(B19/H75)*100</f>
        <v>0</v>
      </c>
      <c r="D19" s="32">
        <f ca="1">SUM(J46:J47)</f>
        <v>0</v>
      </c>
      <c r="E19" s="101">
        <f ca="1">1-SUM(K46:K47)</f>
        <v>1</v>
      </c>
      <c r="G19" s="96" t="s">
        <v>214</v>
      </c>
      <c r="H19">
        <f ca="1">COUNTIF(OFFSET(Lekeitio_2_2b_raw!A2,0,0,D9-B9+1,1),"103")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01">
        <f ca="1">IF(H19=0,0,((H19/B16)^2))</f>
        <v>0</v>
      </c>
    </row>
    <row r="20" spans="1:14" x14ac:dyDescent="0.25">
      <c r="A20" s="95" t="s">
        <v>324</v>
      </c>
      <c r="B20" s="35">
        <f ca="1">COUNTIF(OFFSET(Lekeitio_2_2b_raw!C2,0,0,D9-B9+1,1), "500")</f>
        <v>18</v>
      </c>
      <c r="C20" s="36">
        <f ca="1">(B20/H75)*100</f>
        <v>28.125</v>
      </c>
      <c r="D20" s="36">
        <f ca="1">SUM(J49:J52)</f>
        <v>0</v>
      </c>
      <c r="E20" s="100">
        <f ca="1">1-SUM(K49:K52)</f>
        <v>0</v>
      </c>
      <c r="G20" s="96" t="s">
        <v>215</v>
      </c>
      <c r="H20">
        <f ca="1">COUNTIF(OFFSET(Lekeitio_2_2b_raw!A2,0,0,D9-B9+1,1),"107")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01">
        <f ca="1">IF(H20=0,0,((H20/B16)^2))</f>
        <v>0</v>
      </c>
    </row>
    <row r="21" spans="1:14" x14ac:dyDescent="0.25">
      <c r="A21" s="96" t="s">
        <v>325</v>
      </c>
      <c r="B21">
        <f ca="1">COUNTIF(OFFSET(Lekeitio_2_2b_raw!C2,0,0,D9-B9+1,1), "600")</f>
        <v>4</v>
      </c>
      <c r="C21" s="32">
        <f ca="1">(B21/H75)*100</f>
        <v>6.25</v>
      </c>
      <c r="D21" s="32">
        <f ca="1">SUM(J54:J57)</f>
        <v>0.56233514461880829</v>
      </c>
      <c r="E21" s="101">
        <f ca="1">1-SUM(K54:K57)</f>
        <v>0.375</v>
      </c>
      <c r="G21" s="96" t="s">
        <v>216</v>
      </c>
      <c r="H21">
        <f ca="1">COUNTIF(OFFSET(Lekeitio_2_2b_raw!A2,0,0,D9-B9+1,1),"101")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01">
        <f ca="1">IF(H21=0,0,((H21/B16)^2))</f>
        <v>0</v>
      </c>
    </row>
    <row r="22" spans="1:14" x14ac:dyDescent="0.25">
      <c r="A22" s="95" t="s">
        <v>326</v>
      </c>
      <c r="B22" s="35">
        <f ca="1">COUNTIF(OFFSET(Lekeitio_2_2b_raw!C2,0,0,D9-B9+1,1), "700")</f>
        <v>0</v>
      </c>
      <c r="C22" s="36">
        <f ca="1">(B22/H75)*100</f>
        <v>0</v>
      </c>
      <c r="D22" s="36">
        <f ca="1">SUM(J59:J63)</f>
        <v>0</v>
      </c>
      <c r="E22" s="100">
        <f ca="1">1-SUM(K59:K63)</f>
        <v>1</v>
      </c>
      <c r="G22" s="96" t="s">
        <v>217</v>
      </c>
      <c r="H22">
        <f ca="1">COUNTIF(OFFSET(Lekeitio_2_2b_raw!A2,0,0,D9-B9+1,1),"106")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01">
        <f ca="1">IF(H22=0,0,((H22/B16)^2))</f>
        <v>0</v>
      </c>
    </row>
    <row r="23" spans="1:14" x14ac:dyDescent="0.25">
      <c r="A23" s="96" t="s">
        <v>327</v>
      </c>
      <c r="B23">
        <f ca="1">COUNTIF(OFFSET(Lekeitio_2_2b_raw!C2,0,0,D9-B9+1,1), "800")</f>
        <v>0</v>
      </c>
      <c r="C23" s="32">
        <f ca="1">(B23/H75)*100</f>
        <v>0</v>
      </c>
      <c r="D23" s="32">
        <f ca="1">SUM(J65:J66)</f>
        <v>0</v>
      </c>
      <c r="E23" s="101">
        <f ca="1">1-SUM(K65:K66)</f>
        <v>1</v>
      </c>
      <c r="G23" s="96" t="s">
        <v>218</v>
      </c>
      <c r="H23">
        <f ca="1">COUNTIF(OFFSET(Lekeitio_2_2b_raw!A2,0,0,D9-B9+1,1),"102")</f>
        <v>9</v>
      </c>
      <c r="I23" s="32">
        <f ca="1">(H23/H75)*100</f>
        <v>14.0625</v>
      </c>
      <c r="J23" s="32">
        <f ca="1">IF(H23=0,0,-1*((H23/B16)*(LN(H23/B16))))</f>
        <v>0.35932846329799722</v>
      </c>
      <c r="K23" s="101">
        <f ca="1">IF(H23=0,0,((H23/B16)^2))</f>
        <v>0.20250000000000001</v>
      </c>
    </row>
    <row r="24" spans="1:14" x14ac:dyDescent="0.25">
      <c r="A24" s="95" t="s">
        <v>328</v>
      </c>
      <c r="B24" s="35">
        <f ca="1">COUNTIF(OFFSET(Lekeitio_2_2b_raw!C2,0,0,D9-B9+1,1), "900")</f>
        <v>21</v>
      </c>
      <c r="C24" s="36">
        <f ca="1">(B24/H75)*100</f>
        <v>32.8125</v>
      </c>
      <c r="D24" s="36">
        <f ca="1">SUM(J68:J72)</f>
        <v>0</v>
      </c>
      <c r="E24" s="100">
        <f ca="1">1-SUM(K68:K72)</f>
        <v>0</v>
      </c>
      <c r="G24" s="96" t="s">
        <v>219</v>
      </c>
      <c r="H24">
        <f ca="1">COUNTIF(OFFSET(Lekeitio_2_2b_raw!A2,0,0,D9-B9+1,1),"104")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01">
        <f ca="1">IF(H24=0,0,((H24/B16)^2))</f>
        <v>0</v>
      </c>
    </row>
    <row r="25" spans="1:14" x14ac:dyDescent="0.25">
      <c r="A25" s="96" t="s">
        <v>329</v>
      </c>
      <c r="B25">
        <f ca="1">COUNTIF(OFFSET(Lekeitio_2_2b_raw!C2,0,0,D9-B9+1,1), "1000")</f>
        <v>0</v>
      </c>
      <c r="C25" s="32">
        <f ca="1">(B25/H75)*100</f>
        <v>0</v>
      </c>
      <c r="D25" s="32">
        <f>SUM(J74:J74)</f>
        <v>0</v>
      </c>
      <c r="E25" s="101">
        <f ca="1">1-SUM(K74:K74)</f>
        <v>1</v>
      </c>
      <c r="G25" s="96" t="s">
        <v>220</v>
      </c>
      <c r="H25">
        <f ca="1">COUNTIF(OFFSET(Lekeitio_2_2b_raw!A2,0,0,D9-B9+1,1),"111")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01">
        <f ca="1">IF(H25=0,0,((H25/B16)^2))</f>
        <v>0</v>
      </c>
    </row>
    <row r="26" spans="1:14" x14ac:dyDescent="0.25">
      <c r="A26" s="97" t="s">
        <v>330</v>
      </c>
      <c r="B26" s="31">
        <f ca="1">SUM(B16:B25)</f>
        <v>64</v>
      </c>
      <c r="C26" s="37" t="e">
        <f ca="1">SUM(C16:C25)-C0</f>
        <v>#NAME?</v>
      </c>
      <c r="E26" s="102"/>
      <c r="G26" s="96" t="s">
        <v>221</v>
      </c>
      <c r="H26">
        <f ca="1">COUNTIF(OFFSET(Lekeitio_2_2b_raw!A2,0,0,D9-B9+1,1),"112")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01">
        <f ca="1">IF(H26=0,0,((H26/B16)^2))</f>
        <v>0</v>
      </c>
    </row>
    <row r="27" spans="1:14" x14ac:dyDescent="0.25">
      <c r="A27" s="96"/>
      <c r="E27" s="102"/>
      <c r="G27" s="96" t="s">
        <v>222</v>
      </c>
      <c r="H27">
        <f ca="1">COUNTIF(OFFSET(Lekeitio_2_2b_raw!A2,0,0,D9-B9+1,1),"113")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01">
        <f ca="1">IF(H27=0,0,((H27/B16)^2))</f>
        <v>0</v>
      </c>
    </row>
    <row r="28" spans="1:14" x14ac:dyDescent="0.25">
      <c r="A28" s="97" t="s">
        <v>331</v>
      </c>
      <c r="E28" s="102"/>
      <c r="G28" s="96" t="s">
        <v>223</v>
      </c>
      <c r="H28">
        <f ca="1">COUNTIF(OFFSET(Lekeitio_2_2b_raw!A2,0,0,D9-B9+1,1),"114")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01">
        <f ca="1">IF(H28=0,0,((H28/B16)^2))</f>
        <v>0</v>
      </c>
    </row>
    <row r="29" spans="1:14" ht="15.75" thickBot="1" x14ac:dyDescent="0.3">
      <c r="A29" s="98" t="s">
        <v>332</v>
      </c>
      <c r="B29" s="40"/>
      <c r="C29" s="40"/>
      <c r="D29" s="40"/>
      <c r="E29" s="103"/>
      <c r="G29" s="96" t="s">
        <v>224</v>
      </c>
      <c r="H29">
        <f ca="1">COUNTIF(OFFSET(Lekeitio_2_2b_raw!A2,0,0,D9-B9+1,1),"115")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01">
        <f ca="1">IF(H29=0,0,((H29/B16)^2))</f>
        <v>0</v>
      </c>
    </row>
    <row r="30" spans="1:14" ht="15.75" thickTop="1" x14ac:dyDescent="0.25">
      <c r="G30" s="96" t="s">
        <v>225</v>
      </c>
      <c r="H30">
        <f ca="1">COUNTIF(OFFSET(Lekeitio_2_2b_raw!A2,0,0,D9-B9+1,1),"116")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01">
        <f ca="1">IF(H30=0,0,((H30/B16)^2))</f>
        <v>0</v>
      </c>
    </row>
    <row r="31" spans="1:14" x14ac:dyDescent="0.25">
      <c r="G31" s="96" t="s">
        <v>226</v>
      </c>
      <c r="H31">
        <f ca="1">COUNTIF(OFFSET(Lekeitio_2_2b_raw!A2,0,0,D9-B9+1,1),"117")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01">
        <f ca="1">IF(H31=0,0,((H31/B16)^2))</f>
        <v>0</v>
      </c>
    </row>
    <row r="32" spans="1:14" x14ac:dyDescent="0.25">
      <c r="G32" s="96" t="s">
        <v>227</v>
      </c>
      <c r="H32">
        <f ca="1">COUNTIF(OFFSET(Lekeitio_2_2b_raw!A2,0,0,D9-B9+1,1),"118")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01">
        <f ca="1">IF(H32=0,0,((H32/B16)^2))</f>
        <v>0</v>
      </c>
    </row>
    <row r="33" spans="7:11" x14ac:dyDescent="0.25">
      <c r="G33" s="96" t="s">
        <v>228</v>
      </c>
      <c r="H33">
        <f ca="1">COUNTIF(OFFSET(Lekeitio_2_2b_raw!A2,0,0,D9-B9+1,1),"109")</f>
        <v>11</v>
      </c>
      <c r="I33" s="32">
        <f ca="1">(H33/H75)*100</f>
        <v>17.1875</v>
      </c>
      <c r="J33" s="32">
        <f ca="1">IF(H33=0,0,-1*((H33/B16)*(LN(H33/B16))))</f>
        <v>0.32881035041559126</v>
      </c>
      <c r="K33" s="101">
        <f ca="1">IF(H33=0,0,((H33/B16)^2))</f>
        <v>0.30250000000000005</v>
      </c>
    </row>
    <row r="34" spans="7:11" x14ac:dyDescent="0.25">
      <c r="G34" s="96" t="s">
        <v>229</v>
      </c>
      <c r="H34">
        <f ca="1">COUNTIF(OFFSET(Lekeitio_2_2b_raw!A2,0,0,D9-B9+1,1),"110")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01">
        <f ca="1">IF(H34=0,0,((H34/B16)^2))</f>
        <v>0</v>
      </c>
    </row>
    <row r="35" spans="7:11" x14ac:dyDescent="0.25">
      <c r="G35" s="97" t="s">
        <v>201</v>
      </c>
      <c r="K35" s="102"/>
    </row>
    <row r="36" spans="7:11" x14ac:dyDescent="0.25">
      <c r="G36" s="96" t="s">
        <v>230</v>
      </c>
      <c r="H36">
        <f ca="1">COUNTIF(OFFSET(Lekeitio_2_2b_raw!A2,0,0,D9-B9+1,1),"202")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01">
        <f ca="1">IF(H36=0,0,((H36/B17)^2))</f>
        <v>0</v>
      </c>
    </row>
    <row r="37" spans="7:11" x14ac:dyDescent="0.25">
      <c r="G37" s="96" t="s">
        <v>231</v>
      </c>
      <c r="H37">
        <f ca="1">COUNTIF(OFFSET(Lekeitio_2_2b_raw!A2,0,0,D9-B9+1,1),"201")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01">
        <f ca="1">IF(H37=0,0,((H37/B17)^2))</f>
        <v>0</v>
      </c>
    </row>
    <row r="38" spans="7:11" x14ac:dyDescent="0.25">
      <c r="G38" s="97" t="s">
        <v>202</v>
      </c>
      <c r="K38" s="102"/>
    </row>
    <row r="39" spans="7:11" x14ac:dyDescent="0.25">
      <c r="G39" s="96" t="s">
        <v>232</v>
      </c>
      <c r="H39">
        <f ca="1">COUNTIF(OFFSET(Lekeitio_2_2b_raw!A2,0,0,D9-B9+1,1),"306")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01">
        <f ca="1">IF(H39=0,0,((H39/B18)^2))</f>
        <v>0</v>
      </c>
    </row>
    <row r="40" spans="7:11" x14ac:dyDescent="0.25">
      <c r="G40" s="96" t="s">
        <v>233</v>
      </c>
      <c r="H40">
        <f ca="1">COUNTIF(OFFSET(Lekeitio_2_2b_raw!A2,0,0,D9-B9+1,1),"302")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01">
        <f ca="1">IF(H40=0,0,((H40/B18)^2))</f>
        <v>0</v>
      </c>
    </row>
    <row r="41" spans="7:11" x14ac:dyDescent="0.25">
      <c r="G41" s="96" t="s">
        <v>234</v>
      </c>
      <c r="H41">
        <f ca="1">COUNTIF(OFFSET(Lekeitio_2_2b_raw!A2,0,0,D9-B9+1,1),"307")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01">
        <f ca="1">IF(H41=0,0,((H41/B18)^2))</f>
        <v>0</v>
      </c>
    </row>
    <row r="42" spans="7:11" x14ac:dyDescent="0.25">
      <c r="G42" s="96" t="s">
        <v>235</v>
      </c>
      <c r="H42">
        <f ca="1">COUNTIF(OFFSET(Lekeitio_2_2b_raw!A2,0,0,D9-B9+1,1),"303")</f>
        <v>1</v>
      </c>
      <c r="I42" s="32">
        <f ca="1">(H42/H75)*100</f>
        <v>1.5625</v>
      </c>
      <c r="J42" s="32">
        <f ca="1">IF(H42=0,0,-1*((H42/B18)*(LN(H42/B18))))</f>
        <v>0</v>
      </c>
      <c r="K42" s="101">
        <f ca="1">IF(H42=0,0,((H42/B18)^2))</f>
        <v>1</v>
      </c>
    </row>
    <row r="43" spans="7:11" x14ac:dyDescent="0.25">
      <c r="G43" s="96" t="s">
        <v>236</v>
      </c>
      <c r="H43">
        <f ca="1">COUNTIF(OFFSET(Lekeitio_2_2b_raw!A2,0,0,D9-B9+1,1),"304")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01">
        <f ca="1">IF(H43=0,0,((H43/B18)^2))</f>
        <v>0</v>
      </c>
    </row>
    <row r="44" spans="7:11" x14ac:dyDescent="0.25">
      <c r="G44" s="96" t="s">
        <v>237</v>
      </c>
      <c r="H44">
        <f ca="1">COUNTIF(OFFSET(Lekeitio_2_2b_raw!A2,0,0,D9-B9+1,1),"305")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01">
        <f ca="1">IF(H44=0,0,((H44/B18)^2))</f>
        <v>0</v>
      </c>
    </row>
    <row r="45" spans="7:11" x14ac:dyDescent="0.25">
      <c r="G45" s="97" t="s">
        <v>203</v>
      </c>
      <c r="K45" s="102"/>
    </row>
    <row r="46" spans="7:11" x14ac:dyDescent="0.25">
      <c r="G46" s="96" t="s">
        <v>238</v>
      </c>
      <c r="H46">
        <f ca="1">COUNTIF(OFFSET(Lekeitio_2_2b_raw!A2,0,0,D9-B9+1,1),"401")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01">
        <f ca="1">IF(H46=0,0,((H46/B19)^2))</f>
        <v>0</v>
      </c>
    </row>
    <row r="47" spans="7:11" x14ac:dyDescent="0.25">
      <c r="G47" s="96" t="s">
        <v>239</v>
      </c>
      <c r="H47">
        <f ca="1">COUNTIF(OFFSET(Lekeitio_2_2b_raw!A2,0,0,D9-B9+1,1),"402")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01">
        <f ca="1">IF(H47=0,0,((H47/B19)^2))</f>
        <v>0</v>
      </c>
    </row>
    <row r="48" spans="7:11" x14ac:dyDescent="0.25">
      <c r="G48" s="97" t="s">
        <v>204</v>
      </c>
      <c r="K48" s="102"/>
    </row>
    <row r="49" spans="7:11" x14ac:dyDescent="0.25">
      <c r="G49" s="96" t="s">
        <v>240</v>
      </c>
      <c r="H49">
        <f ca="1">COUNTIF(OFFSET(Lekeitio_2_2b_raw!A2,0,0,D9-B9+1,1),"501")</f>
        <v>18</v>
      </c>
      <c r="I49" s="32">
        <f ca="1">(H49/H75)*100</f>
        <v>28.125</v>
      </c>
      <c r="J49" s="32">
        <f ca="1">IF(H49=0,0,-1*((H49/B20)*(LN(H49/B20))))</f>
        <v>0</v>
      </c>
      <c r="K49" s="101">
        <f ca="1">IF(H49=0,0,((H49/B20)^2))</f>
        <v>1</v>
      </c>
    </row>
    <row r="50" spans="7:11" x14ac:dyDescent="0.25">
      <c r="G50" s="96" t="s">
        <v>241</v>
      </c>
      <c r="H50">
        <f ca="1">COUNTIF(OFFSET(Lekeitio_2_2b_raw!A2,0,0,D9-B9+1,1),"502")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01">
        <f ca="1">IF(H50=0,0,((H50/B20)^2))</f>
        <v>0</v>
      </c>
    </row>
    <row r="51" spans="7:11" x14ac:dyDescent="0.25">
      <c r="G51" s="96" t="s">
        <v>242</v>
      </c>
      <c r="H51">
        <f ca="1">COUNTIF(OFFSET(Lekeitio_2_2b_raw!A2,0,0,D9-B9+1,1),"503")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01">
        <f ca="1">IF(H51=0,0,((H51/B20)^2))</f>
        <v>0</v>
      </c>
    </row>
    <row r="52" spans="7:11" x14ac:dyDescent="0.25">
      <c r="G52" s="96" t="s">
        <v>243</v>
      </c>
      <c r="H52">
        <f ca="1">COUNTIF(OFFSET(Lekeitio_2_2b_raw!A2,0,0,D9-B9+1,1),"504")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01">
        <f ca="1">IF(H52=0,0,((H52/B20)^2))</f>
        <v>0</v>
      </c>
    </row>
    <row r="53" spans="7:11" x14ac:dyDescent="0.25">
      <c r="G53" s="97" t="s">
        <v>205</v>
      </c>
      <c r="K53" s="102"/>
    </row>
    <row r="54" spans="7:11" x14ac:dyDescent="0.25">
      <c r="G54" s="96" t="s">
        <v>244</v>
      </c>
      <c r="H54">
        <f ca="1">COUNTIF(OFFSET(Lekeitio_2_2b_raw!A2,0,0,D9-B9+1,1),"601")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01">
        <f ca="1">IF(H54=0,0,((H54/B21)^2))</f>
        <v>0</v>
      </c>
    </row>
    <row r="55" spans="7:11" x14ac:dyDescent="0.25">
      <c r="G55" s="96" t="s">
        <v>245</v>
      </c>
      <c r="H55">
        <f ca="1">COUNTIF(OFFSET(Lekeitio_2_2b_raw!A2,0,0,D9-B9+1,1),"602")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01">
        <f ca="1">IF(H55=0,0,((H55/B21)^2))</f>
        <v>0</v>
      </c>
    </row>
    <row r="56" spans="7:11" x14ac:dyDescent="0.25">
      <c r="G56" s="96" t="s">
        <v>246</v>
      </c>
      <c r="H56">
        <f ca="1">COUNTIF(OFFSET(Lekeitio_2_2b_raw!A2,0,0,D9-B9+1,1),"603")</f>
        <v>1</v>
      </c>
      <c r="I56" s="32">
        <f ca="1">(H56/H75)*100</f>
        <v>1.5625</v>
      </c>
      <c r="J56" s="32">
        <f ca="1">IF(H56=0,0,-1*((H56/B21)*(LN(H56/B21))))</f>
        <v>0.34657359027997264</v>
      </c>
      <c r="K56" s="101">
        <f ca="1">IF(H56=0,0,((H56/B21)^2))</f>
        <v>6.25E-2</v>
      </c>
    </row>
    <row r="57" spans="7:11" x14ac:dyDescent="0.25">
      <c r="G57" s="96" t="s">
        <v>247</v>
      </c>
      <c r="H57">
        <f ca="1">COUNTIF(OFFSET(Lekeitio_2_2b_raw!A2,0,0,D9-B9+1,1),"604")</f>
        <v>3</v>
      </c>
      <c r="I57" s="32">
        <f ca="1">(H57/H75)*100</f>
        <v>4.6875</v>
      </c>
      <c r="J57" s="32">
        <f ca="1">IF(H57=0,0,-1*((H57/B21)*(LN(H57/B21))))</f>
        <v>0.21576155433883568</v>
      </c>
      <c r="K57" s="101">
        <f ca="1">IF(H57=0,0,((H57/B21)^2))</f>
        <v>0.5625</v>
      </c>
    </row>
    <row r="58" spans="7:11" x14ac:dyDescent="0.25">
      <c r="G58" s="97" t="s">
        <v>206</v>
      </c>
      <c r="K58" s="102"/>
    </row>
    <row r="59" spans="7:11" x14ac:dyDescent="0.25">
      <c r="G59" s="96" t="s">
        <v>248</v>
      </c>
      <c r="H59">
        <f ca="1">COUNTIF(OFFSET(Lekeitio_2_2b_raw!A2,0,0,D9-B9+1,1),"701")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01">
        <f ca="1">IF(H59=0,0,((H59/B22)^2))</f>
        <v>0</v>
      </c>
    </row>
    <row r="60" spans="7:11" x14ac:dyDescent="0.25">
      <c r="G60" s="96" t="s">
        <v>249</v>
      </c>
      <c r="H60">
        <f ca="1">COUNTIF(OFFSET(Lekeitio_2_2b_raw!A2,0,0,D9-B9+1,1),"702")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01">
        <f ca="1">IF(H60=0,0,((H60/B22)^2))</f>
        <v>0</v>
      </c>
    </row>
    <row r="61" spans="7:11" x14ac:dyDescent="0.25">
      <c r="G61" s="96" t="s">
        <v>250</v>
      </c>
      <c r="H61">
        <f ca="1">COUNTIF(OFFSET(Lekeitio_2_2b_raw!A2,0,0,D9-B9+1,1),"703")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01">
        <f ca="1">IF(H61=0,0,((H61/B22)^2))</f>
        <v>0</v>
      </c>
    </row>
    <row r="62" spans="7:11" x14ac:dyDescent="0.25">
      <c r="G62" s="96" t="s">
        <v>251</v>
      </c>
      <c r="H62">
        <f ca="1">COUNTIF(OFFSET(Lekeitio_2_2b_raw!A2,0,0,D9-B9+1,1),"705")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01">
        <f ca="1">IF(H62=0,0,((H62/B22)^2))</f>
        <v>0</v>
      </c>
    </row>
    <row r="63" spans="7:11" x14ac:dyDescent="0.25">
      <c r="G63" s="96" t="s">
        <v>252</v>
      </c>
      <c r="H63">
        <f ca="1">COUNTIF(OFFSET(Lekeitio_2_2b_raw!A2,0,0,D9-B9+1,1),"704")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01">
        <f ca="1">IF(H63=0,0,((H63/B22)^2))</f>
        <v>0</v>
      </c>
    </row>
    <row r="64" spans="7:11" x14ac:dyDescent="0.25">
      <c r="G64" s="97" t="s">
        <v>207</v>
      </c>
      <c r="K64" s="102"/>
    </row>
    <row r="65" spans="7:11" x14ac:dyDescent="0.25">
      <c r="G65" s="96" t="s">
        <v>253</v>
      </c>
      <c r="H65">
        <f ca="1">COUNTIF(OFFSET(Lekeitio_2_2b_raw!A2,0,0,D9-B9+1,1),"801")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01">
        <f ca="1">IF(H65=0,0,((H65/B23)^2))</f>
        <v>0</v>
      </c>
    </row>
    <row r="66" spans="7:11" x14ac:dyDescent="0.25">
      <c r="G66" s="96" t="s">
        <v>254</v>
      </c>
      <c r="H66">
        <f ca="1">COUNTIF(OFFSET(Lekeitio_2_2b_raw!A2,0,0,D9-B9+1,1),"802")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01">
        <f ca="1">IF(H66=0,0,((H66/B23)^2))</f>
        <v>0</v>
      </c>
    </row>
    <row r="67" spans="7:11" x14ac:dyDescent="0.25">
      <c r="G67" s="97" t="s">
        <v>208</v>
      </c>
      <c r="K67" s="102"/>
    </row>
    <row r="68" spans="7:11" x14ac:dyDescent="0.25">
      <c r="G68" s="96" t="s">
        <v>255</v>
      </c>
      <c r="H68">
        <f ca="1">COUNTIF(OFFSET(Lekeitio_2_2b_raw!A2,0,0,D9-B9+1,1),"901")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01">
        <f ca="1">IF(H68=0,0,((H68/B24)^2))</f>
        <v>0</v>
      </c>
    </row>
    <row r="69" spans="7:11" x14ac:dyDescent="0.25">
      <c r="G69" s="96" t="s">
        <v>256</v>
      </c>
      <c r="H69">
        <f ca="1">COUNTIF(OFFSET(Lekeitio_2_2b_raw!A2,0,0,D9-B9+1,1),"902")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01">
        <f ca="1">IF(H69=0,0,((H69/B24)^2))</f>
        <v>0</v>
      </c>
    </row>
    <row r="70" spans="7:11" x14ac:dyDescent="0.25">
      <c r="G70" s="96" t="s">
        <v>257</v>
      </c>
      <c r="H70">
        <f ca="1">COUNTIF(OFFSET(Lekeitio_2_2b_raw!A2,0,0,D9-B9+1,1),"904")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01">
        <f ca="1">IF(H70=0,0,((H70/B24)^2))</f>
        <v>0</v>
      </c>
    </row>
    <row r="71" spans="7:11" x14ac:dyDescent="0.25">
      <c r="G71" s="96" t="s">
        <v>258</v>
      </c>
      <c r="H71">
        <f ca="1">COUNTIF(OFFSET(Lekeitio_2_2b_raw!A2,0,0,D9-B9+1,1),"905")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01">
        <f ca="1">IF(H71=0,0,((H71/B24)^2))</f>
        <v>0</v>
      </c>
    </row>
    <row r="72" spans="7:11" x14ac:dyDescent="0.25">
      <c r="G72" s="96" t="s">
        <v>259</v>
      </c>
      <c r="H72">
        <f ca="1">COUNTIF(OFFSET(Lekeitio_2_2b_raw!A2,0,0,D9-B9+1,1),"903")</f>
        <v>21</v>
      </c>
      <c r="I72" s="32">
        <f ca="1">(H72/H75)*100</f>
        <v>32.8125</v>
      </c>
      <c r="J72" s="32">
        <f ca="1">IF(H72=0,0,-1*((H72/B24)*(LN(H72/B24))))</f>
        <v>0</v>
      </c>
      <c r="K72" s="101">
        <f ca="1">IF(H72=0,0,((H72/B24)^2))</f>
        <v>1</v>
      </c>
    </row>
    <row r="73" spans="7:11" x14ac:dyDescent="0.25">
      <c r="G73" s="97" t="s">
        <v>209</v>
      </c>
      <c r="K73" s="102"/>
    </row>
    <row r="74" spans="7:11" x14ac:dyDescent="0.25">
      <c r="G74" s="96" t="s">
        <v>260</v>
      </c>
      <c r="H74">
        <f ca="1">COUNTIF(OFFSET(Lekeitio_2_2b_raw!A2,0,0,D9-B9+1,1),"1001")</f>
        <v>0</v>
      </c>
      <c r="I74" s="32">
        <f ca="1">(H74/SUM(H15:H74))*100</f>
        <v>0</v>
      </c>
      <c r="J74" s="32"/>
      <c r="K74" s="101">
        <f ca="1">IF(H74=0,0,((H74/B25)^2))</f>
        <v>0</v>
      </c>
    </row>
    <row r="75" spans="7:11" ht="15.75" thickBot="1" x14ac:dyDescent="0.3">
      <c r="G75" s="104" t="s">
        <v>285</v>
      </c>
      <c r="H75" s="51">
        <f ca="1">SUM(H16:H74)</f>
        <v>64</v>
      </c>
      <c r="I75" s="51">
        <f ca="1">SUM(I16:I74)</f>
        <v>100</v>
      </c>
      <c r="J75" s="40"/>
      <c r="K75" s="103"/>
    </row>
    <row r="76" spans="7:11" ht="15.75" thickTop="1" x14ac:dyDescent="0.25"/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4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COUNTA(OFFSET(Lekeitio_2_3a_raw!A2,0,0,D9-B9+1,1))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06" t="s">
        <v>319</v>
      </c>
      <c r="B15" s="33" t="s">
        <v>281</v>
      </c>
      <c r="C15" s="33" t="s">
        <v>282</v>
      </c>
      <c r="D15" s="33" t="s">
        <v>283</v>
      </c>
      <c r="E15" s="111" t="s">
        <v>284</v>
      </c>
      <c r="G15" s="106" t="s">
        <v>280</v>
      </c>
      <c r="H15" s="33" t="s">
        <v>281</v>
      </c>
      <c r="I15" s="33" t="s">
        <v>282</v>
      </c>
      <c r="J15" s="33" t="s">
        <v>283</v>
      </c>
      <c r="K15" s="111" t="s">
        <v>284</v>
      </c>
      <c r="N15">
        <v>16</v>
      </c>
    </row>
    <row r="16" spans="1:14" x14ac:dyDescent="0.25">
      <c r="A16" s="107" t="s">
        <v>320</v>
      </c>
      <c r="B16" s="35">
        <f ca="1">COUNTIF(OFFSET(Lekeitio_2_3a_raw!C2,0,0,D9-B9+1,1), "100")</f>
        <v>28</v>
      </c>
      <c r="C16" s="36">
        <f ca="1">(B16/H75)*100</f>
        <v>43.75</v>
      </c>
      <c r="D16" s="36">
        <f ca="1">SUM(J17:J34)</f>
        <v>0.69059398647759218</v>
      </c>
      <c r="E16" s="112">
        <f ca="1">1-SUM(K17:K34)</f>
        <v>0.49744897959183676</v>
      </c>
      <c r="G16" s="109" t="s">
        <v>200</v>
      </c>
      <c r="K16" s="114"/>
      <c r="N16">
        <v>75</v>
      </c>
    </row>
    <row r="17" spans="1:14" x14ac:dyDescent="0.25">
      <c r="A17" s="108" t="s">
        <v>321</v>
      </c>
      <c r="B17">
        <f ca="1">COUNTIF(OFFSET(Lekeitio_2_3a_raw!C2,0,0,D9-B9+1,1), "200")</f>
        <v>0</v>
      </c>
      <c r="C17" s="32">
        <f ca="1">(B17/H75)*100</f>
        <v>0</v>
      </c>
      <c r="D17" s="32">
        <f ca="1">SUM(J36:J37)</f>
        <v>0</v>
      </c>
      <c r="E17" s="113">
        <f ca="1">1-SUM(K36:K37)</f>
        <v>1</v>
      </c>
      <c r="G17" s="108" t="s">
        <v>212</v>
      </c>
      <c r="H17">
        <f ca="1">COUNTIF(OFFSET(Lekeitio_2_3a_raw!A2,0,0,D9-B9+1,1),"108")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13">
        <f ca="1">IF(H17=0,0,((H17/B16)^2))</f>
        <v>0</v>
      </c>
      <c r="N17">
        <v>7</v>
      </c>
    </row>
    <row r="18" spans="1:14" x14ac:dyDescent="0.25">
      <c r="A18" s="107" t="s">
        <v>322</v>
      </c>
      <c r="B18" s="35">
        <f ca="1">COUNTIF(OFFSET(Lekeitio_2_3a_raw!C2,0,0,D9-B9+1,1), "300")</f>
        <v>15</v>
      </c>
      <c r="C18" s="36">
        <f ca="1">(B18/H75)*100</f>
        <v>23.4375</v>
      </c>
      <c r="D18" s="36">
        <f ca="1">SUM(J39:J44)</f>
        <v>0</v>
      </c>
      <c r="E18" s="112">
        <f ca="1">1-SUM(K39:K44)</f>
        <v>0</v>
      </c>
      <c r="G18" s="108" t="s">
        <v>213</v>
      </c>
      <c r="H18">
        <f ca="1">COUNTIF(OFFSET(Lekeitio_2_3a_raw!A2,0,0,D9-B9+1,1),"105")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13">
        <f ca="1">IF(H18=0,0,((H18/B16)^2))</f>
        <v>0</v>
      </c>
    </row>
    <row r="19" spans="1:14" x14ac:dyDescent="0.25">
      <c r="A19" s="108" t="s">
        <v>323</v>
      </c>
      <c r="B19">
        <f ca="1">COUNTIF(OFFSET(Lekeitio_2_3a_raw!C2,0,0,D9-B9+1,1), "400")</f>
        <v>0</v>
      </c>
      <c r="C19" s="32">
        <f ca="1">(B19/H75)*100</f>
        <v>0</v>
      </c>
      <c r="D19" s="32">
        <f ca="1">SUM(J46:J47)</f>
        <v>0</v>
      </c>
      <c r="E19" s="113">
        <f ca="1">1-SUM(K46:K47)</f>
        <v>1</v>
      </c>
      <c r="G19" s="108" t="s">
        <v>214</v>
      </c>
      <c r="H19">
        <f ca="1">COUNTIF(OFFSET(Lekeitio_2_3a_raw!A2,0,0,D9-B9+1,1),"103")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13">
        <f ca="1">IF(H19=0,0,((H19/B16)^2))</f>
        <v>0</v>
      </c>
    </row>
    <row r="20" spans="1:14" x14ac:dyDescent="0.25">
      <c r="A20" s="107" t="s">
        <v>324</v>
      </c>
      <c r="B20" s="35">
        <f ca="1">COUNTIF(OFFSET(Lekeitio_2_3a_raw!C2,0,0,D9-B9+1,1), "500")</f>
        <v>12</v>
      </c>
      <c r="C20" s="36">
        <f ca="1">(B20/H75)*100</f>
        <v>18.75</v>
      </c>
      <c r="D20" s="36">
        <f ca="1">SUM(J49:J52)</f>
        <v>0</v>
      </c>
      <c r="E20" s="112">
        <f ca="1">1-SUM(K49:K52)</f>
        <v>0</v>
      </c>
      <c r="G20" s="108" t="s">
        <v>215</v>
      </c>
      <c r="H20">
        <f ca="1">COUNTIF(OFFSET(Lekeitio_2_3a_raw!A2,0,0,D9-B9+1,1),"107")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13">
        <f ca="1">IF(H20=0,0,((H20/B16)^2))</f>
        <v>0</v>
      </c>
    </row>
    <row r="21" spans="1:14" x14ac:dyDescent="0.25">
      <c r="A21" s="108" t="s">
        <v>325</v>
      </c>
      <c r="B21">
        <f ca="1">COUNTIF(OFFSET(Lekeitio_2_3a_raw!C2,0,0,D9-B9+1,1), "600")</f>
        <v>2</v>
      </c>
      <c r="C21" s="32">
        <f ca="1">(B21/H75)*100</f>
        <v>3.125</v>
      </c>
      <c r="D21" s="32">
        <f ca="1">SUM(J54:J57)</f>
        <v>0.69314718055994529</v>
      </c>
      <c r="E21" s="113">
        <f ca="1">1-SUM(K54:K57)</f>
        <v>0.5</v>
      </c>
      <c r="G21" s="108" t="s">
        <v>216</v>
      </c>
      <c r="H21">
        <f ca="1">COUNTIF(OFFSET(Lekeitio_2_3a_raw!A2,0,0,D9-B9+1,1),"101")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13">
        <f ca="1">IF(H21=0,0,((H21/B16)^2))</f>
        <v>0</v>
      </c>
    </row>
    <row r="22" spans="1:14" x14ac:dyDescent="0.25">
      <c r="A22" s="107" t="s">
        <v>326</v>
      </c>
      <c r="B22" s="35">
        <f ca="1">COUNTIF(OFFSET(Lekeitio_2_3a_raw!C2,0,0,D9-B9+1,1), "700")</f>
        <v>0</v>
      </c>
      <c r="C22" s="36">
        <f ca="1">(B22/H75)*100</f>
        <v>0</v>
      </c>
      <c r="D22" s="36">
        <f ca="1">SUM(J59:J63)</f>
        <v>0</v>
      </c>
      <c r="E22" s="112">
        <f ca="1">1-SUM(K59:K63)</f>
        <v>1</v>
      </c>
      <c r="G22" s="108" t="s">
        <v>217</v>
      </c>
      <c r="H22">
        <f ca="1">COUNTIF(OFFSET(Lekeitio_2_3a_raw!A2,0,0,D9-B9+1,1),"106")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13">
        <f ca="1">IF(H22=0,0,((H22/B16)^2))</f>
        <v>0</v>
      </c>
    </row>
    <row r="23" spans="1:14" x14ac:dyDescent="0.25">
      <c r="A23" s="108" t="s">
        <v>327</v>
      </c>
      <c r="B23">
        <f ca="1">COUNTIF(OFFSET(Lekeitio_2_3a_raw!C2,0,0,D9-B9+1,1), "800")</f>
        <v>0</v>
      </c>
      <c r="C23" s="32">
        <f ca="1">(B23/H75)*100</f>
        <v>0</v>
      </c>
      <c r="D23" s="32">
        <f ca="1">SUM(J65:J66)</f>
        <v>0</v>
      </c>
      <c r="E23" s="113">
        <f ca="1">1-SUM(K65:K66)</f>
        <v>1</v>
      </c>
      <c r="G23" s="108" t="s">
        <v>218</v>
      </c>
      <c r="H23">
        <f ca="1">COUNTIF(OFFSET(Lekeitio_2_3a_raw!A2,0,0,D9-B9+1,1),"102")</f>
        <v>15</v>
      </c>
      <c r="I23" s="32">
        <f ca="1">(H23/H75)*100</f>
        <v>23.4375</v>
      </c>
      <c r="J23" s="32">
        <f ca="1">IF(H23=0,0,-1*((H23/B16)*(LN(H23/B16))))</f>
        <v>0.33436837986053242</v>
      </c>
      <c r="K23" s="113">
        <f ca="1">IF(H23=0,0,((H23/B16)^2))</f>
        <v>0.28698979591836732</v>
      </c>
    </row>
    <row r="24" spans="1:14" x14ac:dyDescent="0.25">
      <c r="A24" s="107" t="s">
        <v>328</v>
      </c>
      <c r="B24" s="35">
        <f ca="1">COUNTIF(OFFSET(Lekeitio_2_3a_raw!C2,0,0,D9-B9+1,1), "900")</f>
        <v>5</v>
      </c>
      <c r="C24" s="36">
        <f ca="1">(B24/H75)*100</f>
        <v>7.8125</v>
      </c>
      <c r="D24" s="36">
        <f ca="1">SUM(J68:J72)</f>
        <v>0</v>
      </c>
      <c r="E24" s="112">
        <f ca="1">1-SUM(K68:K72)</f>
        <v>0</v>
      </c>
      <c r="G24" s="108" t="s">
        <v>219</v>
      </c>
      <c r="H24">
        <f ca="1">COUNTIF(OFFSET(Lekeitio_2_3a_raw!A2,0,0,D9-B9+1,1),"104")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13">
        <f ca="1">IF(H24=0,0,((H24/B16)^2))</f>
        <v>0</v>
      </c>
    </row>
    <row r="25" spans="1:14" x14ac:dyDescent="0.25">
      <c r="A25" s="108" t="s">
        <v>329</v>
      </c>
      <c r="B25">
        <f ca="1">COUNTIF(OFFSET(Lekeitio_2_3a_raw!C2,0,0,D9-B9+1,1), "1000")</f>
        <v>2</v>
      </c>
      <c r="C25" s="32">
        <f ca="1">(B25/H75)*100</f>
        <v>3.125</v>
      </c>
      <c r="D25" s="32">
        <f>SUM(J74:J74)</f>
        <v>0</v>
      </c>
      <c r="E25" s="113">
        <f ca="1">1-SUM(K74:K74)</f>
        <v>0</v>
      </c>
      <c r="G25" s="108" t="s">
        <v>220</v>
      </c>
      <c r="H25">
        <f ca="1">COUNTIF(OFFSET(Lekeitio_2_3a_raw!A2,0,0,D9-B9+1,1),"111")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13">
        <f ca="1">IF(H25=0,0,((H25/B16)^2))</f>
        <v>0</v>
      </c>
    </row>
    <row r="26" spans="1:14" x14ac:dyDescent="0.25">
      <c r="A26" s="109" t="s">
        <v>330</v>
      </c>
      <c r="B26" s="31">
        <f ca="1">SUM(B16:B25)</f>
        <v>64</v>
      </c>
      <c r="C26" s="37" t="e">
        <f ca="1">SUM(C16:C25)-C0</f>
        <v>#NAME?</v>
      </c>
      <c r="E26" s="114"/>
      <c r="G26" s="108" t="s">
        <v>221</v>
      </c>
      <c r="H26">
        <f ca="1">COUNTIF(OFFSET(Lekeitio_2_3a_raw!A2,0,0,D9-B9+1,1),"112")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13">
        <f ca="1">IF(H26=0,0,((H26/B16)^2))</f>
        <v>0</v>
      </c>
    </row>
    <row r="27" spans="1:14" x14ac:dyDescent="0.25">
      <c r="A27" s="108"/>
      <c r="E27" s="114"/>
      <c r="G27" s="108" t="s">
        <v>222</v>
      </c>
      <c r="H27">
        <f ca="1">COUNTIF(OFFSET(Lekeitio_2_3a_raw!A2,0,0,D9-B9+1,1),"113")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13">
        <f ca="1">IF(H27=0,0,((H27/B16)^2))</f>
        <v>0</v>
      </c>
    </row>
    <row r="28" spans="1:14" x14ac:dyDescent="0.25">
      <c r="A28" s="109" t="s">
        <v>331</v>
      </c>
      <c r="E28" s="114"/>
      <c r="G28" s="108" t="s">
        <v>223</v>
      </c>
      <c r="H28">
        <f ca="1">COUNTIF(OFFSET(Lekeitio_2_3a_raw!A2,0,0,D9-B9+1,1),"114")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13">
        <f ca="1">IF(H28=0,0,((H28/B16)^2))</f>
        <v>0</v>
      </c>
    </row>
    <row r="29" spans="1:14" ht="15.75" thickBot="1" x14ac:dyDescent="0.3">
      <c r="A29" s="110" t="s">
        <v>332</v>
      </c>
      <c r="B29" s="40"/>
      <c r="C29" s="40"/>
      <c r="D29" s="40"/>
      <c r="E29" s="115"/>
      <c r="G29" s="108" t="s">
        <v>224</v>
      </c>
      <c r="H29">
        <f ca="1">COUNTIF(OFFSET(Lekeitio_2_3a_raw!A2,0,0,D9-B9+1,1),"115")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13">
        <f ca="1">IF(H29=0,0,((H29/B16)^2))</f>
        <v>0</v>
      </c>
    </row>
    <row r="30" spans="1:14" ht="15.75" thickTop="1" x14ac:dyDescent="0.25">
      <c r="G30" s="108" t="s">
        <v>225</v>
      </c>
      <c r="H30">
        <f ca="1">COUNTIF(OFFSET(Lekeitio_2_3a_raw!A2,0,0,D9-B9+1,1),"116")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13">
        <f ca="1">IF(H30=0,0,((H30/B16)^2))</f>
        <v>0</v>
      </c>
    </row>
    <row r="31" spans="1:14" x14ac:dyDescent="0.25">
      <c r="G31" s="108" t="s">
        <v>226</v>
      </c>
      <c r="H31">
        <f ca="1">COUNTIF(OFFSET(Lekeitio_2_3a_raw!A2,0,0,D9-B9+1,1),"117")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13">
        <f ca="1">IF(H31=0,0,((H31/B16)^2))</f>
        <v>0</v>
      </c>
    </row>
    <row r="32" spans="1:14" x14ac:dyDescent="0.25">
      <c r="G32" s="108" t="s">
        <v>227</v>
      </c>
      <c r="H32">
        <f ca="1">COUNTIF(OFFSET(Lekeitio_2_3a_raw!A2,0,0,D9-B9+1,1),"118")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13">
        <f ca="1">IF(H32=0,0,((H32/B16)^2))</f>
        <v>0</v>
      </c>
    </row>
    <row r="33" spans="7:11" x14ac:dyDescent="0.25">
      <c r="G33" s="108" t="s">
        <v>228</v>
      </c>
      <c r="H33">
        <f ca="1">COUNTIF(OFFSET(Lekeitio_2_3a_raw!A2,0,0,D9-B9+1,1),"109")</f>
        <v>13</v>
      </c>
      <c r="I33" s="32">
        <f ca="1">(H33/H75)*100</f>
        <v>20.3125</v>
      </c>
      <c r="J33" s="32">
        <f ca="1">IF(H33=0,0,-1*((H33/B16)*(LN(H33/B16))))</f>
        <v>0.35622560661705976</v>
      </c>
      <c r="K33" s="113">
        <f ca="1">IF(H33=0,0,((H33/B16)^2))</f>
        <v>0.21556122448979592</v>
      </c>
    </row>
    <row r="34" spans="7:11" x14ac:dyDescent="0.25">
      <c r="G34" s="108" t="s">
        <v>229</v>
      </c>
      <c r="H34">
        <f ca="1">COUNTIF(OFFSET(Lekeitio_2_3a_raw!A2,0,0,D9-B9+1,1),"110")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13">
        <f ca="1">IF(H34=0,0,((H34/B16)^2))</f>
        <v>0</v>
      </c>
    </row>
    <row r="35" spans="7:11" x14ac:dyDescent="0.25">
      <c r="G35" s="109" t="s">
        <v>201</v>
      </c>
      <c r="K35" s="114"/>
    </row>
    <row r="36" spans="7:11" x14ac:dyDescent="0.25">
      <c r="G36" s="108" t="s">
        <v>230</v>
      </c>
      <c r="H36">
        <f ca="1">COUNTIF(OFFSET(Lekeitio_2_3a_raw!A2,0,0,D9-B9+1,1),"202")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13">
        <f ca="1">IF(H36=0,0,((H36/B17)^2))</f>
        <v>0</v>
      </c>
    </row>
    <row r="37" spans="7:11" x14ac:dyDescent="0.25">
      <c r="G37" s="108" t="s">
        <v>231</v>
      </c>
      <c r="H37">
        <f ca="1">COUNTIF(OFFSET(Lekeitio_2_3a_raw!A2,0,0,D9-B9+1,1),"201")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13">
        <f ca="1">IF(H37=0,0,((H37/B17)^2))</f>
        <v>0</v>
      </c>
    </row>
    <row r="38" spans="7:11" x14ac:dyDescent="0.25">
      <c r="G38" s="109" t="s">
        <v>202</v>
      </c>
      <c r="K38" s="114"/>
    </row>
    <row r="39" spans="7:11" x14ac:dyDescent="0.25">
      <c r="G39" s="108" t="s">
        <v>232</v>
      </c>
      <c r="H39">
        <f ca="1">COUNTIF(OFFSET(Lekeitio_2_3a_raw!A2,0,0,D9-B9+1,1),"306")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13">
        <f ca="1">IF(H39=0,0,((H39/B18)^2))</f>
        <v>0</v>
      </c>
    </row>
    <row r="40" spans="7:11" x14ac:dyDescent="0.25">
      <c r="G40" s="108" t="s">
        <v>233</v>
      </c>
      <c r="H40">
        <f ca="1">COUNTIF(OFFSET(Lekeitio_2_3a_raw!A2,0,0,D9-B9+1,1),"302")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13">
        <f ca="1">IF(H40=0,0,((H40/B18)^2))</f>
        <v>0</v>
      </c>
    </row>
    <row r="41" spans="7:11" x14ac:dyDescent="0.25">
      <c r="G41" s="108" t="s">
        <v>234</v>
      </c>
      <c r="H41">
        <f ca="1">COUNTIF(OFFSET(Lekeitio_2_3a_raw!A2,0,0,D9-B9+1,1),"307")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13">
        <f ca="1">IF(H41=0,0,((H41/B18)^2))</f>
        <v>0</v>
      </c>
    </row>
    <row r="42" spans="7:11" x14ac:dyDescent="0.25">
      <c r="G42" s="108" t="s">
        <v>235</v>
      </c>
      <c r="H42">
        <f ca="1">COUNTIF(OFFSET(Lekeitio_2_3a_raw!A2,0,0,D9-B9+1,1),"303")</f>
        <v>15</v>
      </c>
      <c r="I42" s="32">
        <f ca="1">(H42/H75)*100</f>
        <v>23.4375</v>
      </c>
      <c r="J42" s="32">
        <f ca="1">IF(H42=0,0,-1*((H42/B18)*(LN(H42/B18))))</f>
        <v>0</v>
      </c>
      <c r="K42" s="113">
        <f ca="1">IF(H42=0,0,((H42/B18)^2))</f>
        <v>1</v>
      </c>
    </row>
    <row r="43" spans="7:11" x14ac:dyDescent="0.25">
      <c r="G43" s="108" t="s">
        <v>236</v>
      </c>
      <c r="H43">
        <f ca="1">COUNTIF(OFFSET(Lekeitio_2_3a_raw!A2,0,0,D9-B9+1,1),"304")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13">
        <f ca="1">IF(H43=0,0,((H43/B18)^2))</f>
        <v>0</v>
      </c>
    </row>
    <row r="44" spans="7:11" x14ac:dyDescent="0.25">
      <c r="G44" s="108" t="s">
        <v>237</v>
      </c>
      <c r="H44">
        <f ca="1">COUNTIF(OFFSET(Lekeitio_2_3a_raw!A2,0,0,D9-B9+1,1),"305")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13">
        <f ca="1">IF(H44=0,0,((H44/B18)^2))</f>
        <v>0</v>
      </c>
    </row>
    <row r="45" spans="7:11" x14ac:dyDescent="0.25">
      <c r="G45" s="109" t="s">
        <v>203</v>
      </c>
      <c r="K45" s="114"/>
    </row>
    <row r="46" spans="7:11" x14ac:dyDescent="0.25">
      <c r="G46" s="108" t="s">
        <v>238</v>
      </c>
      <c r="H46">
        <f ca="1">COUNTIF(OFFSET(Lekeitio_2_3a_raw!A2,0,0,D9-B9+1,1),"401")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13">
        <f ca="1">IF(H46=0,0,((H46/B19)^2))</f>
        <v>0</v>
      </c>
    </row>
    <row r="47" spans="7:11" x14ac:dyDescent="0.25">
      <c r="G47" s="108" t="s">
        <v>239</v>
      </c>
      <c r="H47">
        <f ca="1">COUNTIF(OFFSET(Lekeitio_2_3a_raw!A2,0,0,D9-B9+1,1),"402")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13">
        <f ca="1">IF(H47=0,0,((H47/B19)^2))</f>
        <v>0</v>
      </c>
    </row>
    <row r="48" spans="7:11" x14ac:dyDescent="0.25">
      <c r="G48" s="109" t="s">
        <v>204</v>
      </c>
      <c r="K48" s="114"/>
    </row>
    <row r="49" spans="7:11" x14ac:dyDescent="0.25">
      <c r="G49" s="108" t="s">
        <v>240</v>
      </c>
      <c r="H49">
        <f ca="1">COUNTIF(OFFSET(Lekeitio_2_3a_raw!A2,0,0,D9-B9+1,1),"501")</f>
        <v>12</v>
      </c>
      <c r="I49" s="32">
        <f ca="1">(H49/H75)*100</f>
        <v>18.75</v>
      </c>
      <c r="J49" s="32">
        <f ca="1">IF(H49=0,0,-1*((H49/B20)*(LN(H49/B20))))</f>
        <v>0</v>
      </c>
      <c r="K49" s="113">
        <f ca="1">IF(H49=0,0,((H49/B20)^2))</f>
        <v>1</v>
      </c>
    </row>
    <row r="50" spans="7:11" x14ac:dyDescent="0.25">
      <c r="G50" s="108" t="s">
        <v>241</v>
      </c>
      <c r="H50">
        <f ca="1">COUNTIF(OFFSET(Lekeitio_2_3a_raw!A2,0,0,D9-B9+1,1),"502")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13">
        <f ca="1">IF(H50=0,0,((H50/B20)^2))</f>
        <v>0</v>
      </c>
    </row>
    <row r="51" spans="7:11" x14ac:dyDescent="0.25">
      <c r="G51" s="108" t="s">
        <v>242</v>
      </c>
      <c r="H51">
        <f ca="1">COUNTIF(OFFSET(Lekeitio_2_3a_raw!A2,0,0,D9-B9+1,1),"503")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13">
        <f ca="1">IF(H51=0,0,((H51/B20)^2))</f>
        <v>0</v>
      </c>
    </row>
    <row r="52" spans="7:11" x14ac:dyDescent="0.25">
      <c r="G52" s="108" t="s">
        <v>243</v>
      </c>
      <c r="H52">
        <f ca="1">COUNTIF(OFFSET(Lekeitio_2_3a_raw!A2,0,0,D9-B9+1,1),"504")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13">
        <f ca="1">IF(H52=0,0,((H52/B20)^2))</f>
        <v>0</v>
      </c>
    </row>
    <row r="53" spans="7:11" x14ac:dyDescent="0.25">
      <c r="G53" s="109" t="s">
        <v>205</v>
      </c>
      <c r="K53" s="114"/>
    </row>
    <row r="54" spans="7:11" x14ac:dyDescent="0.25">
      <c r="G54" s="108" t="s">
        <v>244</v>
      </c>
      <c r="H54">
        <f ca="1">COUNTIF(OFFSET(Lekeitio_2_3a_raw!A2,0,0,D9-B9+1,1),"601")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13">
        <f ca="1">IF(H54=0,0,((H54/B21)^2))</f>
        <v>0</v>
      </c>
    </row>
    <row r="55" spans="7:11" x14ac:dyDescent="0.25">
      <c r="G55" s="108" t="s">
        <v>245</v>
      </c>
      <c r="H55">
        <f ca="1">COUNTIF(OFFSET(Lekeitio_2_3a_raw!A2,0,0,D9-B9+1,1),"602")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13">
        <f ca="1">IF(H55=0,0,((H55/B21)^2))</f>
        <v>0</v>
      </c>
    </row>
    <row r="56" spans="7:11" x14ac:dyDescent="0.25">
      <c r="G56" s="108" t="s">
        <v>246</v>
      </c>
      <c r="H56">
        <f ca="1">COUNTIF(OFFSET(Lekeitio_2_3a_raw!A2,0,0,D9-B9+1,1),"603")</f>
        <v>1</v>
      </c>
      <c r="I56" s="32">
        <f ca="1">(H56/H75)*100</f>
        <v>1.5625</v>
      </c>
      <c r="J56" s="32">
        <f ca="1">IF(H56=0,0,-1*((H56/B21)*(LN(H56/B21))))</f>
        <v>0.34657359027997264</v>
      </c>
      <c r="K56" s="113">
        <f ca="1">IF(H56=0,0,((H56/B21)^2))</f>
        <v>0.25</v>
      </c>
    </row>
    <row r="57" spans="7:11" x14ac:dyDescent="0.25">
      <c r="G57" s="108" t="s">
        <v>247</v>
      </c>
      <c r="H57">
        <f ca="1">COUNTIF(OFFSET(Lekeitio_2_3a_raw!A2,0,0,D9-B9+1,1),"604")</f>
        <v>1</v>
      </c>
      <c r="I57" s="32">
        <f ca="1">(H57/H75)*100</f>
        <v>1.5625</v>
      </c>
      <c r="J57" s="32">
        <f ca="1">IF(H57=0,0,-1*((H57/B21)*(LN(H57/B21))))</f>
        <v>0.34657359027997264</v>
      </c>
      <c r="K57" s="113">
        <f ca="1">IF(H57=0,0,((H57/B21)^2))</f>
        <v>0.25</v>
      </c>
    </row>
    <row r="58" spans="7:11" x14ac:dyDescent="0.25">
      <c r="G58" s="109" t="s">
        <v>206</v>
      </c>
      <c r="K58" s="114"/>
    </row>
    <row r="59" spans="7:11" x14ac:dyDescent="0.25">
      <c r="G59" s="108" t="s">
        <v>248</v>
      </c>
      <c r="H59">
        <f ca="1">COUNTIF(OFFSET(Lekeitio_2_3a_raw!A2,0,0,D9-B9+1,1),"701")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13">
        <f ca="1">IF(H59=0,0,((H59/B22)^2))</f>
        <v>0</v>
      </c>
    </row>
    <row r="60" spans="7:11" x14ac:dyDescent="0.25">
      <c r="G60" s="108" t="s">
        <v>249</v>
      </c>
      <c r="H60">
        <f ca="1">COUNTIF(OFFSET(Lekeitio_2_3a_raw!A2,0,0,D9-B9+1,1),"702")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13">
        <f ca="1">IF(H60=0,0,((H60/B22)^2))</f>
        <v>0</v>
      </c>
    </row>
    <row r="61" spans="7:11" x14ac:dyDescent="0.25">
      <c r="G61" s="108" t="s">
        <v>250</v>
      </c>
      <c r="H61">
        <f ca="1">COUNTIF(OFFSET(Lekeitio_2_3a_raw!A2,0,0,D9-B9+1,1),"703")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13">
        <f ca="1">IF(H61=0,0,((H61/B22)^2))</f>
        <v>0</v>
      </c>
    </row>
    <row r="62" spans="7:11" x14ac:dyDescent="0.25">
      <c r="G62" s="108" t="s">
        <v>251</v>
      </c>
      <c r="H62">
        <f ca="1">COUNTIF(OFFSET(Lekeitio_2_3a_raw!A2,0,0,D9-B9+1,1),"705")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13">
        <f ca="1">IF(H62=0,0,((H62/B22)^2))</f>
        <v>0</v>
      </c>
    </row>
    <row r="63" spans="7:11" x14ac:dyDescent="0.25">
      <c r="G63" s="108" t="s">
        <v>252</v>
      </c>
      <c r="H63">
        <f ca="1">COUNTIF(OFFSET(Lekeitio_2_3a_raw!A2,0,0,D9-B9+1,1),"704")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13">
        <f ca="1">IF(H63=0,0,((H63/B22)^2))</f>
        <v>0</v>
      </c>
    </row>
    <row r="64" spans="7:11" x14ac:dyDescent="0.25">
      <c r="G64" s="109" t="s">
        <v>207</v>
      </c>
      <c r="K64" s="114"/>
    </row>
    <row r="65" spans="7:11" x14ac:dyDescent="0.25">
      <c r="G65" s="108" t="s">
        <v>253</v>
      </c>
      <c r="H65">
        <f ca="1">COUNTIF(OFFSET(Lekeitio_2_3a_raw!A2,0,0,D9-B9+1,1),"801")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13">
        <f ca="1">IF(H65=0,0,((H65/B23)^2))</f>
        <v>0</v>
      </c>
    </row>
    <row r="66" spans="7:11" x14ac:dyDescent="0.25">
      <c r="G66" s="108" t="s">
        <v>254</v>
      </c>
      <c r="H66">
        <f ca="1">COUNTIF(OFFSET(Lekeitio_2_3a_raw!A2,0,0,D9-B9+1,1),"802")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13">
        <f ca="1">IF(H66=0,0,((H66/B23)^2))</f>
        <v>0</v>
      </c>
    </row>
    <row r="67" spans="7:11" x14ac:dyDescent="0.25">
      <c r="G67" s="109" t="s">
        <v>208</v>
      </c>
      <c r="K67" s="114"/>
    </row>
    <row r="68" spans="7:11" x14ac:dyDescent="0.25">
      <c r="G68" s="108" t="s">
        <v>255</v>
      </c>
      <c r="H68">
        <f ca="1">COUNTIF(OFFSET(Lekeitio_2_3a_raw!A2,0,0,D9-B9+1,1),"901")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13">
        <f ca="1">IF(H68=0,0,((H68/B24)^2))</f>
        <v>0</v>
      </c>
    </row>
    <row r="69" spans="7:11" x14ac:dyDescent="0.25">
      <c r="G69" s="108" t="s">
        <v>256</v>
      </c>
      <c r="H69">
        <f ca="1">COUNTIF(OFFSET(Lekeitio_2_3a_raw!A2,0,0,D9-B9+1,1),"902")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13">
        <f ca="1">IF(H69=0,0,((H69/B24)^2))</f>
        <v>0</v>
      </c>
    </row>
    <row r="70" spans="7:11" x14ac:dyDescent="0.25">
      <c r="G70" s="108" t="s">
        <v>257</v>
      </c>
      <c r="H70">
        <f ca="1">COUNTIF(OFFSET(Lekeitio_2_3a_raw!A2,0,0,D9-B9+1,1),"904")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13">
        <f ca="1">IF(H70=0,0,((H70/B24)^2))</f>
        <v>0</v>
      </c>
    </row>
    <row r="71" spans="7:11" x14ac:dyDescent="0.25">
      <c r="G71" s="108" t="s">
        <v>258</v>
      </c>
      <c r="H71">
        <f ca="1">COUNTIF(OFFSET(Lekeitio_2_3a_raw!A2,0,0,D9-B9+1,1),"905")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13">
        <f ca="1">IF(H71=0,0,((H71/B24)^2))</f>
        <v>0</v>
      </c>
    </row>
    <row r="72" spans="7:11" x14ac:dyDescent="0.25">
      <c r="G72" s="108" t="s">
        <v>259</v>
      </c>
      <c r="H72">
        <f ca="1">COUNTIF(OFFSET(Lekeitio_2_3a_raw!A2,0,0,D9-B9+1,1),"903")</f>
        <v>5</v>
      </c>
      <c r="I72" s="32">
        <f ca="1">(H72/H75)*100</f>
        <v>7.8125</v>
      </c>
      <c r="J72" s="32">
        <f ca="1">IF(H72=0,0,-1*((H72/B24)*(LN(H72/B24))))</f>
        <v>0</v>
      </c>
      <c r="K72" s="113">
        <f ca="1">IF(H72=0,0,((H72/B24)^2))</f>
        <v>1</v>
      </c>
    </row>
    <row r="73" spans="7:11" x14ac:dyDescent="0.25">
      <c r="G73" s="109" t="s">
        <v>209</v>
      </c>
      <c r="K73" s="114"/>
    </row>
    <row r="74" spans="7:11" x14ac:dyDescent="0.25">
      <c r="G74" s="108" t="s">
        <v>260</v>
      </c>
      <c r="H74">
        <f ca="1">COUNTIF(OFFSET(Lekeitio_2_3a_raw!A2,0,0,D9-B9+1,1),"1001")</f>
        <v>2</v>
      </c>
      <c r="I74" s="32">
        <f ca="1">(H74/SUM(H15:H74))*100</f>
        <v>3.125</v>
      </c>
      <c r="J74" s="32"/>
      <c r="K74" s="113">
        <f ca="1">IF(H74=0,0,((H74/B25)^2))</f>
        <v>1</v>
      </c>
    </row>
    <row r="75" spans="7:11" ht="15.75" thickBot="1" x14ac:dyDescent="0.3">
      <c r="G75" s="116" t="s">
        <v>285</v>
      </c>
      <c r="H75" s="51">
        <f ca="1">SUM(H16:H74)</f>
        <v>64</v>
      </c>
      <c r="I75" s="51">
        <f ca="1">SUM(I16:I74)</f>
        <v>100</v>
      </c>
      <c r="J75" s="40"/>
      <c r="K75" s="115"/>
    </row>
    <row r="76" spans="7:11" ht="15.75" thickTop="1" x14ac:dyDescent="0.25"/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1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COUNTA(OFFSET(Lekeitio_2_3b_raw!A2,0,0,D9-B9+1,1))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18" t="s">
        <v>319</v>
      </c>
      <c r="B15" s="33" t="s">
        <v>281</v>
      </c>
      <c r="C15" s="33" t="s">
        <v>282</v>
      </c>
      <c r="D15" s="33" t="s">
        <v>283</v>
      </c>
      <c r="E15" s="123" t="s">
        <v>284</v>
      </c>
      <c r="G15" s="118" t="s">
        <v>280</v>
      </c>
      <c r="H15" s="33" t="s">
        <v>281</v>
      </c>
      <c r="I15" s="33" t="s">
        <v>282</v>
      </c>
      <c r="J15" s="33" t="s">
        <v>283</v>
      </c>
      <c r="K15" s="123" t="s">
        <v>284</v>
      </c>
      <c r="N15">
        <v>16</v>
      </c>
    </row>
    <row r="16" spans="1:14" x14ac:dyDescent="0.25">
      <c r="A16" s="119" t="s">
        <v>320</v>
      </c>
      <c r="B16" s="35">
        <f ca="1">COUNTIF(OFFSET(Lekeitio_2_3b_raw!C2,0,0,D9-B9+1,1), "100")</f>
        <v>14</v>
      </c>
      <c r="C16" s="36">
        <f ca="1">(B16/H75)*100</f>
        <v>21.875</v>
      </c>
      <c r="D16" s="36">
        <f ca="1">SUM(J17:J34)</f>
        <v>0</v>
      </c>
      <c r="E16" s="124">
        <f ca="1">1-SUM(K17:K34)</f>
        <v>0</v>
      </c>
      <c r="G16" s="121" t="s">
        <v>200</v>
      </c>
      <c r="K16" s="126"/>
      <c r="N16">
        <v>75</v>
      </c>
    </row>
    <row r="17" spans="1:14" x14ac:dyDescent="0.25">
      <c r="A17" s="120" t="s">
        <v>321</v>
      </c>
      <c r="B17">
        <f ca="1">COUNTIF(OFFSET(Lekeitio_2_3b_raw!C2,0,0,D9-B9+1,1), "200")</f>
        <v>0</v>
      </c>
      <c r="C17" s="32">
        <f ca="1">(B17/H75)*100</f>
        <v>0</v>
      </c>
      <c r="D17" s="32">
        <f ca="1">SUM(J36:J37)</f>
        <v>0</v>
      </c>
      <c r="E17" s="125">
        <f ca="1">1-SUM(K36:K37)</f>
        <v>1</v>
      </c>
      <c r="G17" s="120" t="s">
        <v>212</v>
      </c>
      <c r="H17">
        <f ca="1">COUNTIF(OFFSET(Lekeitio_2_3b_raw!A2,0,0,D9-B9+1,1),"108")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25">
        <f ca="1">IF(H17=0,0,((H17/B16)^2))</f>
        <v>0</v>
      </c>
      <c r="N17">
        <v>7</v>
      </c>
    </row>
    <row r="18" spans="1:14" x14ac:dyDescent="0.25">
      <c r="A18" s="119" t="s">
        <v>322</v>
      </c>
      <c r="B18" s="35">
        <f ca="1">COUNTIF(OFFSET(Lekeitio_2_3b_raw!C2,0,0,D9-B9+1,1), "300")</f>
        <v>3</v>
      </c>
      <c r="C18" s="36">
        <f ca="1">(B18/H75)*100</f>
        <v>4.6875</v>
      </c>
      <c r="D18" s="36">
        <f ca="1">SUM(J39:J44)</f>
        <v>0</v>
      </c>
      <c r="E18" s="124">
        <f ca="1">1-SUM(K39:K44)</f>
        <v>0</v>
      </c>
      <c r="G18" s="120" t="s">
        <v>213</v>
      </c>
      <c r="H18">
        <f ca="1">COUNTIF(OFFSET(Lekeitio_2_3b_raw!A2,0,0,D9-B9+1,1),"105")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25">
        <f ca="1">IF(H18=0,0,((H18/B16)^2))</f>
        <v>0</v>
      </c>
    </row>
    <row r="19" spans="1:14" x14ac:dyDescent="0.25">
      <c r="A19" s="120" t="s">
        <v>323</v>
      </c>
      <c r="B19">
        <f ca="1">COUNTIF(OFFSET(Lekeitio_2_3b_raw!C2,0,0,D9-B9+1,1), "400")</f>
        <v>0</v>
      </c>
      <c r="C19" s="32">
        <f ca="1">(B19/H75)*100</f>
        <v>0</v>
      </c>
      <c r="D19" s="32">
        <f ca="1">SUM(J46:J47)</f>
        <v>0</v>
      </c>
      <c r="E19" s="125">
        <f ca="1">1-SUM(K46:K47)</f>
        <v>1</v>
      </c>
      <c r="G19" s="120" t="s">
        <v>214</v>
      </c>
      <c r="H19">
        <f ca="1">COUNTIF(OFFSET(Lekeitio_2_3b_raw!A2,0,0,D9-B9+1,1),"103")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25">
        <f ca="1">IF(H19=0,0,((H19/B16)^2))</f>
        <v>0</v>
      </c>
    </row>
    <row r="20" spans="1:14" x14ac:dyDescent="0.25">
      <c r="A20" s="119" t="s">
        <v>324</v>
      </c>
      <c r="B20" s="35">
        <f ca="1">COUNTIF(OFFSET(Lekeitio_2_3b_raw!C2,0,0,D9-B9+1,1), "500")</f>
        <v>30</v>
      </c>
      <c r="C20" s="36">
        <f ca="1">(B20/H75)*100</f>
        <v>46.875</v>
      </c>
      <c r="D20" s="36">
        <f ca="1">SUM(J49:J52)</f>
        <v>0</v>
      </c>
      <c r="E20" s="124">
        <f ca="1">1-SUM(K49:K52)</f>
        <v>0</v>
      </c>
      <c r="G20" s="120" t="s">
        <v>215</v>
      </c>
      <c r="H20">
        <f ca="1">COUNTIF(OFFSET(Lekeitio_2_3b_raw!A2,0,0,D9-B9+1,1),"107")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25">
        <f ca="1">IF(H20=0,0,((H20/B16)^2))</f>
        <v>0</v>
      </c>
    </row>
    <row r="21" spans="1:14" x14ac:dyDescent="0.25">
      <c r="A21" s="120" t="s">
        <v>325</v>
      </c>
      <c r="B21">
        <f ca="1">COUNTIF(OFFSET(Lekeitio_2_3b_raw!C2,0,0,D9-B9+1,1), "600")</f>
        <v>0</v>
      </c>
      <c r="C21" s="32">
        <f ca="1">(B21/H75)*100</f>
        <v>0</v>
      </c>
      <c r="D21" s="32">
        <f ca="1">SUM(J54:J57)</f>
        <v>0</v>
      </c>
      <c r="E21" s="125">
        <f ca="1">1-SUM(K54:K57)</f>
        <v>1</v>
      </c>
      <c r="G21" s="120" t="s">
        <v>216</v>
      </c>
      <c r="H21">
        <f ca="1">COUNTIF(OFFSET(Lekeitio_2_3b_raw!A2,0,0,D9-B9+1,1),"101")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25">
        <f ca="1">IF(H21=0,0,((H21/B16)^2))</f>
        <v>0</v>
      </c>
    </row>
    <row r="22" spans="1:14" x14ac:dyDescent="0.25">
      <c r="A22" s="119" t="s">
        <v>326</v>
      </c>
      <c r="B22" s="35">
        <f ca="1">COUNTIF(OFFSET(Lekeitio_2_3b_raw!C2,0,0,D9-B9+1,1), "700")</f>
        <v>1</v>
      </c>
      <c r="C22" s="36">
        <f ca="1">(B22/H75)*100</f>
        <v>1.5625</v>
      </c>
      <c r="D22" s="36">
        <f ca="1">SUM(J59:J63)</f>
        <v>0</v>
      </c>
      <c r="E22" s="124">
        <f ca="1">1-SUM(K59:K63)</f>
        <v>0</v>
      </c>
      <c r="G22" s="120" t="s">
        <v>217</v>
      </c>
      <c r="H22">
        <f ca="1">COUNTIF(OFFSET(Lekeitio_2_3b_raw!A2,0,0,D9-B9+1,1),"106")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25">
        <f ca="1">IF(H22=0,0,((H22/B16)^2))</f>
        <v>0</v>
      </c>
    </row>
    <row r="23" spans="1:14" x14ac:dyDescent="0.25">
      <c r="A23" s="120" t="s">
        <v>327</v>
      </c>
      <c r="B23">
        <f ca="1">COUNTIF(OFFSET(Lekeitio_2_3b_raw!C2,0,0,D9-B9+1,1), "800")</f>
        <v>0</v>
      </c>
      <c r="C23" s="32">
        <f ca="1">(B23/H75)*100</f>
        <v>0</v>
      </c>
      <c r="D23" s="32">
        <f ca="1">SUM(J65:J66)</f>
        <v>0</v>
      </c>
      <c r="E23" s="125">
        <f ca="1">1-SUM(K65:K66)</f>
        <v>1</v>
      </c>
      <c r="G23" s="120" t="s">
        <v>218</v>
      </c>
      <c r="H23">
        <f ca="1">COUNTIF(OFFSET(Lekeitio_2_3b_raw!A2,0,0,D9-B9+1,1),"102")</f>
        <v>14</v>
      </c>
      <c r="I23" s="32">
        <f ca="1">(H23/H75)*100</f>
        <v>21.875</v>
      </c>
      <c r="J23" s="32">
        <f ca="1">IF(H23=0,0,-1*((H23/B16)*(LN(H23/B16))))</f>
        <v>0</v>
      </c>
      <c r="K23" s="125">
        <f ca="1">IF(H23=0,0,((H23/B16)^2))</f>
        <v>1</v>
      </c>
    </row>
    <row r="24" spans="1:14" x14ac:dyDescent="0.25">
      <c r="A24" s="119" t="s">
        <v>328</v>
      </c>
      <c r="B24" s="35">
        <f ca="1">COUNTIF(OFFSET(Lekeitio_2_3b_raw!C2,0,0,D9-B9+1,1), "900")</f>
        <v>5</v>
      </c>
      <c r="C24" s="36">
        <f ca="1">(B24/H75)*100</f>
        <v>7.8125</v>
      </c>
      <c r="D24" s="36">
        <f ca="1">SUM(J68:J72)</f>
        <v>0</v>
      </c>
      <c r="E24" s="124">
        <f ca="1">1-SUM(K68:K72)</f>
        <v>0</v>
      </c>
      <c r="G24" s="120" t="s">
        <v>219</v>
      </c>
      <c r="H24">
        <f ca="1">COUNTIF(OFFSET(Lekeitio_2_3b_raw!A2,0,0,D9-B9+1,1),"104")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25">
        <f ca="1">IF(H24=0,0,((H24/B16)^2))</f>
        <v>0</v>
      </c>
    </row>
    <row r="25" spans="1:14" x14ac:dyDescent="0.25">
      <c r="A25" s="120" t="s">
        <v>329</v>
      </c>
      <c r="B25">
        <f ca="1">COUNTIF(OFFSET(Lekeitio_2_3b_raw!C2,0,0,D9-B9+1,1), "1000")</f>
        <v>11</v>
      </c>
      <c r="C25" s="32">
        <f ca="1">(B25/H75)*100</f>
        <v>17.1875</v>
      </c>
      <c r="D25" s="32">
        <f>SUM(J74:J74)</f>
        <v>0</v>
      </c>
      <c r="E25" s="125">
        <f ca="1">1-SUM(K74:K74)</f>
        <v>0</v>
      </c>
      <c r="G25" s="120" t="s">
        <v>220</v>
      </c>
      <c r="H25">
        <f ca="1">COUNTIF(OFFSET(Lekeitio_2_3b_raw!A2,0,0,D9-B9+1,1),"111")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25">
        <f ca="1">IF(H25=0,0,((H25/B16)^2))</f>
        <v>0</v>
      </c>
    </row>
    <row r="26" spans="1:14" x14ac:dyDescent="0.25">
      <c r="A26" s="121" t="s">
        <v>330</v>
      </c>
      <c r="B26" s="31">
        <f ca="1">SUM(B16:B25)</f>
        <v>64</v>
      </c>
      <c r="C26" s="37" t="e">
        <f ca="1">SUM(C16:C25)-C0</f>
        <v>#NAME?</v>
      </c>
      <c r="E26" s="126"/>
      <c r="G26" s="120" t="s">
        <v>221</v>
      </c>
      <c r="H26">
        <f ca="1">COUNTIF(OFFSET(Lekeitio_2_3b_raw!A2,0,0,D9-B9+1,1),"112")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25">
        <f ca="1">IF(H26=0,0,((H26/B16)^2))</f>
        <v>0</v>
      </c>
    </row>
    <row r="27" spans="1:14" x14ac:dyDescent="0.25">
      <c r="A27" s="120"/>
      <c r="E27" s="126"/>
      <c r="G27" s="120" t="s">
        <v>222</v>
      </c>
      <c r="H27">
        <f ca="1">COUNTIF(OFFSET(Lekeitio_2_3b_raw!A2,0,0,D9-B9+1,1),"113")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25">
        <f ca="1">IF(H27=0,0,((H27/B16)^2))</f>
        <v>0</v>
      </c>
    </row>
    <row r="28" spans="1:14" x14ac:dyDescent="0.25">
      <c r="A28" s="121" t="s">
        <v>331</v>
      </c>
      <c r="E28" s="126"/>
      <c r="G28" s="120" t="s">
        <v>223</v>
      </c>
      <c r="H28">
        <f ca="1">COUNTIF(OFFSET(Lekeitio_2_3b_raw!A2,0,0,D9-B9+1,1),"114")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25">
        <f ca="1">IF(H28=0,0,((H28/B16)^2))</f>
        <v>0</v>
      </c>
    </row>
    <row r="29" spans="1:14" ht="15.75" thickBot="1" x14ac:dyDescent="0.3">
      <c r="A29" s="122" t="s">
        <v>332</v>
      </c>
      <c r="B29" s="40"/>
      <c r="C29" s="40"/>
      <c r="D29" s="40"/>
      <c r="E29" s="127"/>
      <c r="G29" s="120" t="s">
        <v>224</v>
      </c>
      <c r="H29">
        <f ca="1">COUNTIF(OFFSET(Lekeitio_2_3b_raw!A2,0,0,D9-B9+1,1),"115")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25">
        <f ca="1">IF(H29=0,0,((H29/B16)^2))</f>
        <v>0</v>
      </c>
    </row>
    <row r="30" spans="1:14" ht="15.75" thickTop="1" x14ac:dyDescent="0.25">
      <c r="G30" s="120" t="s">
        <v>225</v>
      </c>
      <c r="H30">
        <f ca="1">COUNTIF(OFFSET(Lekeitio_2_3b_raw!A2,0,0,D9-B9+1,1),"116")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25">
        <f ca="1">IF(H30=0,0,((H30/B16)^2))</f>
        <v>0</v>
      </c>
    </row>
    <row r="31" spans="1:14" x14ac:dyDescent="0.25">
      <c r="G31" s="120" t="s">
        <v>226</v>
      </c>
      <c r="H31">
        <f ca="1">COUNTIF(OFFSET(Lekeitio_2_3b_raw!A2,0,0,D9-B9+1,1),"117")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25">
        <f ca="1">IF(H31=0,0,((H31/B16)^2))</f>
        <v>0</v>
      </c>
    </row>
    <row r="32" spans="1:14" x14ac:dyDescent="0.25">
      <c r="G32" s="120" t="s">
        <v>227</v>
      </c>
      <c r="H32">
        <f ca="1">COUNTIF(OFFSET(Lekeitio_2_3b_raw!A2,0,0,D9-B9+1,1),"118")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25">
        <f ca="1">IF(H32=0,0,((H32/B16)^2))</f>
        <v>0</v>
      </c>
    </row>
    <row r="33" spans="7:11" x14ac:dyDescent="0.25">
      <c r="G33" s="120" t="s">
        <v>228</v>
      </c>
      <c r="H33">
        <f ca="1">COUNTIF(OFFSET(Lekeitio_2_3b_raw!A2,0,0,D9-B9+1,1),"109")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125">
        <f ca="1">IF(H33=0,0,((H33/B16)^2))</f>
        <v>0</v>
      </c>
    </row>
    <row r="34" spans="7:11" x14ac:dyDescent="0.25">
      <c r="G34" s="120" t="s">
        <v>229</v>
      </c>
      <c r="H34">
        <f ca="1">COUNTIF(OFFSET(Lekeitio_2_3b_raw!A2,0,0,D9-B9+1,1),"110")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25">
        <f ca="1">IF(H34=0,0,((H34/B16)^2))</f>
        <v>0</v>
      </c>
    </row>
    <row r="35" spans="7:11" x14ac:dyDescent="0.25">
      <c r="G35" s="121" t="s">
        <v>201</v>
      </c>
      <c r="K35" s="126"/>
    </row>
    <row r="36" spans="7:11" x14ac:dyDescent="0.25">
      <c r="G36" s="120" t="s">
        <v>230</v>
      </c>
      <c r="H36">
        <f ca="1">COUNTIF(OFFSET(Lekeitio_2_3b_raw!A2,0,0,D9-B9+1,1),"202")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25">
        <f ca="1">IF(H36=0,0,((H36/B17)^2))</f>
        <v>0</v>
      </c>
    </row>
    <row r="37" spans="7:11" x14ac:dyDescent="0.25">
      <c r="G37" s="120" t="s">
        <v>231</v>
      </c>
      <c r="H37">
        <f ca="1">COUNTIF(OFFSET(Lekeitio_2_3b_raw!A2,0,0,D9-B9+1,1),"201")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25">
        <f ca="1">IF(H37=0,0,((H37/B17)^2))</f>
        <v>0</v>
      </c>
    </row>
    <row r="38" spans="7:11" x14ac:dyDescent="0.25">
      <c r="G38" s="121" t="s">
        <v>202</v>
      </c>
      <c r="K38" s="126"/>
    </row>
    <row r="39" spans="7:11" x14ac:dyDescent="0.25">
      <c r="G39" s="120" t="s">
        <v>232</v>
      </c>
      <c r="H39">
        <f ca="1">COUNTIF(OFFSET(Lekeitio_2_3b_raw!A2,0,0,D9-B9+1,1),"306")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25">
        <f ca="1">IF(H39=0,0,((H39/B18)^2))</f>
        <v>0</v>
      </c>
    </row>
    <row r="40" spans="7:11" x14ac:dyDescent="0.25">
      <c r="G40" s="120" t="s">
        <v>233</v>
      </c>
      <c r="H40">
        <f ca="1">COUNTIF(OFFSET(Lekeitio_2_3b_raw!A2,0,0,D9-B9+1,1),"302")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25">
        <f ca="1">IF(H40=0,0,((H40/B18)^2))</f>
        <v>0</v>
      </c>
    </row>
    <row r="41" spans="7:11" x14ac:dyDescent="0.25">
      <c r="G41" s="120" t="s">
        <v>234</v>
      </c>
      <c r="H41">
        <f ca="1">COUNTIF(OFFSET(Lekeitio_2_3b_raw!A2,0,0,D9-B9+1,1),"307")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25">
        <f ca="1">IF(H41=0,0,((H41/B18)^2))</f>
        <v>0</v>
      </c>
    </row>
    <row r="42" spans="7:11" x14ac:dyDescent="0.25">
      <c r="G42" s="120" t="s">
        <v>235</v>
      </c>
      <c r="H42">
        <f ca="1">COUNTIF(OFFSET(Lekeitio_2_3b_raw!A2,0,0,D9-B9+1,1),"303")</f>
        <v>3</v>
      </c>
      <c r="I42" s="32">
        <f ca="1">(H42/H75)*100</f>
        <v>4.6875</v>
      </c>
      <c r="J42" s="32">
        <f ca="1">IF(H42=0,0,-1*((H42/B18)*(LN(H42/B18))))</f>
        <v>0</v>
      </c>
      <c r="K42" s="125">
        <f ca="1">IF(H42=0,0,((H42/B18)^2))</f>
        <v>1</v>
      </c>
    </row>
    <row r="43" spans="7:11" x14ac:dyDescent="0.25">
      <c r="G43" s="120" t="s">
        <v>236</v>
      </c>
      <c r="H43">
        <f ca="1">COUNTIF(OFFSET(Lekeitio_2_3b_raw!A2,0,0,D9-B9+1,1),"304")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25">
        <f ca="1">IF(H43=0,0,((H43/B18)^2))</f>
        <v>0</v>
      </c>
    </row>
    <row r="44" spans="7:11" x14ac:dyDescent="0.25">
      <c r="G44" s="120" t="s">
        <v>237</v>
      </c>
      <c r="H44">
        <f ca="1">COUNTIF(OFFSET(Lekeitio_2_3b_raw!A2,0,0,D9-B9+1,1),"305")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25">
        <f ca="1">IF(H44=0,0,((H44/B18)^2))</f>
        <v>0</v>
      </c>
    </row>
    <row r="45" spans="7:11" x14ac:dyDescent="0.25">
      <c r="G45" s="121" t="s">
        <v>203</v>
      </c>
      <c r="K45" s="126"/>
    </row>
    <row r="46" spans="7:11" x14ac:dyDescent="0.25">
      <c r="G46" s="120" t="s">
        <v>238</v>
      </c>
      <c r="H46">
        <f ca="1">COUNTIF(OFFSET(Lekeitio_2_3b_raw!A2,0,0,D9-B9+1,1),"401")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25">
        <f ca="1">IF(H46=0,0,((H46/B19)^2))</f>
        <v>0</v>
      </c>
    </row>
    <row r="47" spans="7:11" x14ac:dyDescent="0.25">
      <c r="G47" s="120" t="s">
        <v>239</v>
      </c>
      <c r="H47">
        <f ca="1">COUNTIF(OFFSET(Lekeitio_2_3b_raw!A2,0,0,D9-B9+1,1),"402")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25">
        <f ca="1">IF(H47=0,0,((H47/B19)^2))</f>
        <v>0</v>
      </c>
    </row>
    <row r="48" spans="7:11" x14ac:dyDescent="0.25">
      <c r="G48" s="121" t="s">
        <v>204</v>
      </c>
      <c r="K48" s="126"/>
    </row>
    <row r="49" spans="7:11" x14ac:dyDescent="0.25">
      <c r="G49" s="120" t="s">
        <v>240</v>
      </c>
      <c r="H49">
        <f ca="1">COUNTIF(OFFSET(Lekeitio_2_3b_raw!A2,0,0,D9-B9+1,1),"501")</f>
        <v>30</v>
      </c>
      <c r="I49" s="32">
        <f ca="1">(H49/H75)*100</f>
        <v>46.875</v>
      </c>
      <c r="J49" s="32">
        <f ca="1">IF(H49=0,0,-1*((H49/B20)*(LN(H49/B20))))</f>
        <v>0</v>
      </c>
      <c r="K49" s="125">
        <f ca="1">IF(H49=0,0,((H49/B20)^2))</f>
        <v>1</v>
      </c>
    </row>
    <row r="50" spans="7:11" x14ac:dyDescent="0.25">
      <c r="G50" s="120" t="s">
        <v>241</v>
      </c>
      <c r="H50">
        <f ca="1">COUNTIF(OFFSET(Lekeitio_2_3b_raw!A2,0,0,D9-B9+1,1),"502")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25">
        <f ca="1">IF(H50=0,0,((H50/B20)^2))</f>
        <v>0</v>
      </c>
    </row>
    <row r="51" spans="7:11" x14ac:dyDescent="0.25">
      <c r="G51" s="120" t="s">
        <v>242</v>
      </c>
      <c r="H51">
        <f ca="1">COUNTIF(OFFSET(Lekeitio_2_3b_raw!A2,0,0,D9-B9+1,1),"503")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25">
        <f ca="1">IF(H51=0,0,((H51/B20)^2))</f>
        <v>0</v>
      </c>
    </row>
    <row r="52" spans="7:11" x14ac:dyDescent="0.25">
      <c r="G52" s="120" t="s">
        <v>243</v>
      </c>
      <c r="H52">
        <f ca="1">COUNTIF(OFFSET(Lekeitio_2_3b_raw!A2,0,0,D9-B9+1,1),"504")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25">
        <f ca="1">IF(H52=0,0,((H52/B20)^2))</f>
        <v>0</v>
      </c>
    </row>
    <row r="53" spans="7:11" x14ac:dyDescent="0.25">
      <c r="G53" s="121" t="s">
        <v>205</v>
      </c>
      <c r="K53" s="126"/>
    </row>
    <row r="54" spans="7:11" x14ac:dyDescent="0.25">
      <c r="G54" s="120" t="s">
        <v>244</v>
      </c>
      <c r="H54">
        <f ca="1">COUNTIF(OFFSET(Lekeitio_2_3b_raw!A2,0,0,D9-B9+1,1),"601")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25">
        <f ca="1">IF(H54=0,0,((H54/B21)^2))</f>
        <v>0</v>
      </c>
    </row>
    <row r="55" spans="7:11" x14ac:dyDescent="0.25">
      <c r="G55" s="120" t="s">
        <v>245</v>
      </c>
      <c r="H55">
        <f ca="1">COUNTIF(OFFSET(Lekeitio_2_3b_raw!A2,0,0,D9-B9+1,1),"602")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25">
        <f ca="1">IF(H55=0,0,((H55/B21)^2))</f>
        <v>0</v>
      </c>
    </row>
    <row r="56" spans="7:11" x14ac:dyDescent="0.25">
      <c r="G56" s="120" t="s">
        <v>246</v>
      </c>
      <c r="H56">
        <f ca="1">COUNTIF(OFFSET(Lekeitio_2_3b_raw!A2,0,0,D9-B9+1,1),"603")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125">
        <f ca="1">IF(H56=0,0,((H56/B21)^2))</f>
        <v>0</v>
      </c>
    </row>
    <row r="57" spans="7:11" x14ac:dyDescent="0.25">
      <c r="G57" s="120" t="s">
        <v>247</v>
      </c>
      <c r="H57">
        <f ca="1">COUNTIF(OFFSET(Lekeitio_2_3b_raw!A2,0,0,D9-B9+1,1),"604")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25">
        <f ca="1">IF(H57=0,0,((H57/B21)^2))</f>
        <v>0</v>
      </c>
    </row>
    <row r="58" spans="7:11" x14ac:dyDescent="0.25">
      <c r="G58" s="121" t="s">
        <v>206</v>
      </c>
      <c r="K58" s="126"/>
    </row>
    <row r="59" spans="7:11" x14ac:dyDescent="0.25">
      <c r="G59" s="120" t="s">
        <v>248</v>
      </c>
      <c r="H59">
        <f ca="1">COUNTIF(OFFSET(Lekeitio_2_3b_raw!A2,0,0,D9-B9+1,1),"701")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25">
        <f ca="1">IF(H59=0,0,((H59/B22)^2))</f>
        <v>0</v>
      </c>
    </row>
    <row r="60" spans="7:11" x14ac:dyDescent="0.25">
      <c r="G60" s="120" t="s">
        <v>249</v>
      </c>
      <c r="H60">
        <f ca="1">COUNTIF(OFFSET(Lekeitio_2_3b_raw!A2,0,0,D9-B9+1,1),"702")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25">
        <f ca="1">IF(H60=0,0,((H60/B22)^2))</f>
        <v>0</v>
      </c>
    </row>
    <row r="61" spans="7:11" x14ac:dyDescent="0.25">
      <c r="G61" s="120" t="s">
        <v>250</v>
      </c>
      <c r="H61">
        <f ca="1">COUNTIF(OFFSET(Lekeitio_2_3b_raw!A2,0,0,D9-B9+1,1),"703")</f>
        <v>1</v>
      </c>
      <c r="I61" s="32">
        <f ca="1">(H61/H75)*100</f>
        <v>1.5625</v>
      </c>
      <c r="J61" s="32">
        <f ca="1">IF(H61=0,0,-1*((H61/B22)*(LN(H61/B22))))</f>
        <v>0</v>
      </c>
      <c r="K61" s="125">
        <f ca="1">IF(H61=0,0,((H61/B22)^2))</f>
        <v>1</v>
      </c>
    </row>
    <row r="62" spans="7:11" x14ac:dyDescent="0.25">
      <c r="G62" s="120" t="s">
        <v>251</v>
      </c>
      <c r="H62">
        <f ca="1">COUNTIF(OFFSET(Lekeitio_2_3b_raw!A2,0,0,D9-B9+1,1),"705")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25">
        <f ca="1">IF(H62=0,0,((H62/B22)^2))</f>
        <v>0</v>
      </c>
    </row>
    <row r="63" spans="7:11" x14ac:dyDescent="0.25">
      <c r="G63" s="120" t="s">
        <v>252</v>
      </c>
      <c r="H63">
        <f ca="1">COUNTIF(OFFSET(Lekeitio_2_3b_raw!A2,0,0,D9-B9+1,1),"704")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25">
        <f ca="1">IF(H63=0,0,((H63/B22)^2))</f>
        <v>0</v>
      </c>
    </row>
    <row r="64" spans="7:11" x14ac:dyDescent="0.25">
      <c r="G64" s="121" t="s">
        <v>207</v>
      </c>
      <c r="K64" s="126"/>
    </row>
    <row r="65" spans="7:11" x14ac:dyDescent="0.25">
      <c r="G65" s="120" t="s">
        <v>253</v>
      </c>
      <c r="H65">
        <f ca="1">COUNTIF(OFFSET(Lekeitio_2_3b_raw!A2,0,0,D9-B9+1,1),"801")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25">
        <f ca="1">IF(H65=0,0,((H65/B23)^2))</f>
        <v>0</v>
      </c>
    </row>
    <row r="66" spans="7:11" x14ac:dyDescent="0.25">
      <c r="G66" s="120" t="s">
        <v>254</v>
      </c>
      <c r="H66">
        <f ca="1">COUNTIF(OFFSET(Lekeitio_2_3b_raw!A2,0,0,D9-B9+1,1),"802")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25">
        <f ca="1">IF(H66=0,0,((H66/B23)^2))</f>
        <v>0</v>
      </c>
    </row>
    <row r="67" spans="7:11" x14ac:dyDescent="0.25">
      <c r="G67" s="121" t="s">
        <v>208</v>
      </c>
      <c r="K67" s="126"/>
    </row>
    <row r="68" spans="7:11" x14ac:dyDescent="0.25">
      <c r="G68" s="120" t="s">
        <v>255</v>
      </c>
      <c r="H68">
        <f ca="1">COUNTIF(OFFSET(Lekeitio_2_3b_raw!A2,0,0,D9-B9+1,1),"901")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25">
        <f ca="1">IF(H68=0,0,((H68/B24)^2))</f>
        <v>0</v>
      </c>
    </row>
    <row r="69" spans="7:11" x14ac:dyDescent="0.25">
      <c r="G69" s="120" t="s">
        <v>256</v>
      </c>
      <c r="H69">
        <f ca="1">COUNTIF(OFFSET(Lekeitio_2_3b_raw!A2,0,0,D9-B9+1,1),"902")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25">
        <f ca="1">IF(H69=0,0,((H69/B24)^2))</f>
        <v>0</v>
      </c>
    </row>
    <row r="70" spans="7:11" x14ac:dyDescent="0.25">
      <c r="G70" s="120" t="s">
        <v>257</v>
      </c>
      <c r="H70">
        <f ca="1">COUNTIF(OFFSET(Lekeitio_2_3b_raw!A2,0,0,D9-B9+1,1),"904")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25">
        <f ca="1">IF(H70=0,0,((H70/B24)^2))</f>
        <v>0</v>
      </c>
    </row>
    <row r="71" spans="7:11" x14ac:dyDescent="0.25">
      <c r="G71" s="120" t="s">
        <v>258</v>
      </c>
      <c r="H71">
        <f ca="1">COUNTIF(OFFSET(Lekeitio_2_3b_raw!A2,0,0,D9-B9+1,1),"905")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25">
        <f ca="1">IF(H71=0,0,((H71/B24)^2))</f>
        <v>0</v>
      </c>
    </row>
    <row r="72" spans="7:11" x14ac:dyDescent="0.25">
      <c r="G72" s="120" t="s">
        <v>259</v>
      </c>
      <c r="H72">
        <f ca="1">COUNTIF(OFFSET(Lekeitio_2_3b_raw!A2,0,0,D9-B9+1,1),"903")</f>
        <v>5</v>
      </c>
      <c r="I72" s="32">
        <f ca="1">(H72/H75)*100</f>
        <v>7.8125</v>
      </c>
      <c r="J72" s="32">
        <f ca="1">IF(H72=0,0,-1*((H72/B24)*(LN(H72/B24))))</f>
        <v>0</v>
      </c>
      <c r="K72" s="125">
        <f ca="1">IF(H72=0,0,((H72/B24)^2))</f>
        <v>1</v>
      </c>
    </row>
    <row r="73" spans="7:11" x14ac:dyDescent="0.25">
      <c r="G73" s="121" t="s">
        <v>209</v>
      </c>
      <c r="K73" s="126"/>
    </row>
    <row r="74" spans="7:11" x14ac:dyDescent="0.25">
      <c r="G74" s="120" t="s">
        <v>260</v>
      </c>
      <c r="H74">
        <f ca="1">COUNTIF(OFFSET(Lekeitio_2_3b_raw!A2,0,0,D9-B9+1,1),"1001")</f>
        <v>11</v>
      </c>
      <c r="I74" s="32">
        <f ca="1">(H74/SUM(H15:H74))*100</f>
        <v>17.1875</v>
      </c>
      <c r="J74" s="32"/>
      <c r="K74" s="125">
        <f ca="1">IF(H74=0,0,((H74/B25)^2))</f>
        <v>1</v>
      </c>
    </row>
    <row r="75" spans="7:11" ht="15.75" thickBot="1" x14ac:dyDescent="0.3">
      <c r="G75" s="128" t="s">
        <v>285</v>
      </c>
      <c r="H75" s="51">
        <f ca="1">SUM(H16:H74)</f>
        <v>64</v>
      </c>
      <c r="I75" s="51">
        <f ca="1">SUM(I16:I74)</f>
        <v>100</v>
      </c>
      <c r="J75" s="40"/>
      <c r="K75" s="127"/>
    </row>
    <row r="76" spans="7:11" ht="15.75" thickTop="1" x14ac:dyDescent="0.25"/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4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COUNTA(OFFSET(Lekeitio_2_4a_raw!A2,0,0,D9-B9+1,1))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30" t="s">
        <v>319</v>
      </c>
      <c r="B15" s="33" t="s">
        <v>281</v>
      </c>
      <c r="C15" s="33" t="s">
        <v>282</v>
      </c>
      <c r="D15" s="33" t="s">
        <v>283</v>
      </c>
      <c r="E15" s="135" t="s">
        <v>284</v>
      </c>
      <c r="G15" s="130" t="s">
        <v>280</v>
      </c>
      <c r="H15" s="33" t="s">
        <v>281</v>
      </c>
      <c r="I15" s="33" t="s">
        <v>282</v>
      </c>
      <c r="J15" s="33" t="s">
        <v>283</v>
      </c>
      <c r="K15" s="135" t="s">
        <v>284</v>
      </c>
      <c r="N15">
        <v>16</v>
      </c>
    </row>
    <row r="16" spans="1:14" x14ac:dyDescent="0.25">
      <c r="A16" s="131" t="s">
        <v>320</v>
      </c>
      <c r="B16" s="35">
        <f ca="1">COUNTIF(OFFSET(Lekeitio_2_4a_raw!C2,0,0,D9-B9+1,1), "100")</f>
        <v>10</v>
      </c>
      <c r="C16" s="36">
        <f ca="1">(B16/H75)*100</f>
        <v>15.625</v>
      </c>
      <c r="D16" s="36">
        <f ca="1">SUM(J17:J34)</f>
        <v>0</v>
      </c>
      <c r="E16" s="136">
        <f ca="1">1-SUM(K17:K34)</f>
        <v>0</v>
      </c>
      <c r="G16" s="133" t="s">
        <v>200</v>
      </c>
      <c r="K16" s="138"/>
      <c r="N16">
        <v>75</v>
      </c>
    </row>
    <row r="17" spans="1:14" x14ac:dyDescent="0.25">
      <c r="A17" s="132" t="s">
        <v>321</v>
      </c>
      <c r="B17">
        <f ca="1">COUNTIF(OFFSET(Lekeitio_2_4a_raw!C2,0,0,D9-B9+1,1), "200")</f>
        <v>0</v>
      </c>
      <c r="C17" s="32">
        <f ca="1">(B17/H75)*100</f>
        <v>0</v>
      </c>
      <c r="D17" s="32">
        <f ca="1">SUM(J36:J37)</f>
        <v>0</v>
      </c>
      <c r="E17" s="137">
        <f ca="1">1-SUM(K36:K37)</f>
        <v>1</v>
      </c>
      <c r="G17" s="132" t="s">
        <v>212</v>
      </c>
      <c r="H17">
        <f ca="1">COUNTIF(OFFSET(Lekeitio_2_4a_raw!A2,0,0,D9-B9+1,1),"108")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37">
        <f ca="1">IF(H17=0,0,((H17/B16)^2))</f>
        <v>0</v>
      </c>
      <c r="N17">
        <v>7</v>
      </c>
    </row>
    <row r="18" spans="1:14" x14ac:dyDescent="0.25">
      <c r="A18" s="131" t="s">
        <v>322</v>
      </c>
      <c r="B18" s="35">
        <f ca="1">COUNTIF(OFFSET(Lekeitio_2_4a_raw!C2,0,0,D9-B9+1,1), "300")</f>
        <v>16</v>
      </c>
      <c r="C18" s="36">
        <f ca="1">(B18/H75)*100</f>
        <v>25</v>
      </c>
      <c r="D18" s="36">
        <f ca="1">SUM(J39:J44)</f>
        <v>0</v>
      </c>
      <c r="E18" s="136">
        <f ca="1">1-SUM(K39:K44)</f>
        <v>0</v>
      </c>
      <c r="G18" s="132" t="s">
        <v>213</v>
      </c>
      <c r="H18">
        <f ca="1">COUNTIF(OFFSET(Lekeitio_2_4a_raw!A2,0,0,D9-B9+1,1),"105")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37">
        <f ca="1">IF(H18=0,0,((H18/B16)^2))</f>
        <v>0</v>
      </c>
    </row>
    <row r="19" spans="1:14" x14ac:dyDescent="0.25">
      <c r="A19" s="132" t="s">
        <v>323</v>
      </c>
      <c r="B19">
        <f ca="1">COUNTIF(OFFSET(Lekeitio_2_4a_raw!C2,0,0,D9-B9+1,1), "400")</f>
        <v>0</v>
      </c>
      <c r="C19" s="32">
        <f ca="1">(B19/H75)*100</f>
        <v>0</v>
      </c>
      <c r="D19" s="32">
        <f ca="1">SUM(J46:J47)</f>
        <v>0</v>
      </c>
      <c r="E19" s="137">
        <f ca="1">1-SUM(K46:K47)</f>
        <v>1</v>
      </c>
      <c r="G19" s="132" t="s">
        <v>214</v>
      </c>
      <c r="H19">
        <f ca="1">COUNTIF(OFFSET(Lekeitio_2_4a_raw!A2,0,0,D9-B9+1,1),"103")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37">
        <f ca="1">IF(H19=0,0,((H19/B16)^2))</f>
        <v>0</v>
      </c>
    </row>
    <row r="20" spans="1:14" x14ac:dyDescent="0.25">
      <c r="A20" s="131" t="s">
        <v>324</v>
      </c>
      <c r="B20" s="35">
        <f ca="1">COUNTIF(OFFSET(Lekeitio_2_4a_raw!C2,0,0,D9-B9+1,1), "500")</f>
        <v>28</v>
      </c>
      <c r="C20" s="36">
        <f ca="1">(B20/H75)*100</f>
        <v>43.75</v>
      </c>
      <c r="D20" s="36">
        <f ca="1">SUM(J49:J52)</f>
        <v>0</v>
      </c>
      <c r="E20" s="136">
        <f ca="1">1-SUM(K49:K52)</f>
        <v>0</v>
      </c>
      <c r="G20" s="132" t="s">
        <v>215</v>
      </c>
      <c r="H20">
        <f ca="1">COUNTIF(OFFSET(Lekeitio_2_4a_raw!A2,0,0,D9-B9+1,1),"107")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37">
        <f ca="1">IF(H20=0,0,((H20/B16)^2))</f>
        <v>0</v>
      </c>
    </row>
    <row r="21" spans="1:14" x14ac:dyDescent="0.25">
      <c r="A21" s="132" t="s">
        <v>325</v>
      </c>
      <c r="B21">
        <f ca="1">COUNTIF(OFFSET(Lekeitio_2_4a_raw!C2,0,0,D9-B9+1,1), "600")</f>
        <v>1</v>
      </c>
      <c r="C21" s="32">
        <f ca="1">(B21/H75)*100</f>
        <v>1.5625</v>
      </c>
      <c r="D21" s="32">
        <f ca="1">SUM(J54:J57)</f>
        <v>0</v>
      </c>
      <c r="E21" s="137">
        <f ca="1">1-SUM(K54:K57)</f>
        <v>0</v>
      </c>
      <c r="G21" s="132" t="s">
        <v>216</v>
      </c>
      <c r="H21">
        <f ca="1">COUNTIF(OFFSET(Lekeitio_2_4a_raw!A2,0,0,D9-B9+1,1),"101")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37">
        <f ca="1">IF(H21=0,0,((H21/B16)^2))</f>
        <v>0</v>
      </c>
    </row>
    <row r="22" spans="1:14" x14ac:dyDescent="0.25">
      <c r="A22" s="131" t="s">
        <v>326</v>
      </c>
      <c r="B22" s="35">
        <f ca="1">COUNTIF(OFFSET(Lekeitio_2_4a_raw!C2,0,0,D9-B9+1,1), "700")</f>
        <v>0</v>
      </c>
      <c r="C22" s="36">
        <f ca="1">(B22/H75)*100</f>
        <v>0</v>
      </c>
      <c r="D22" s="36">
        <f ca="1">SUM(J59:J63)</f>
        <v>0</v>
      </c>
      <c r="E22" s="136">
        <f ca="1">1-SUM(K59:K63)</f>
        <v>1</v>
      </c>
      <c r="G22" s="132" t="s">
        <v>217</v>
      </c>
      <c r="H22">
        <f ca="1">COUNTIF(OFFSET(Lekeitio_2_4a_raw!A2,0,0,D9-B9+1,1),"106")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37">
        <f ca="1">IF(H22=0,0,((H22/B16)^2))</f>
        <v>0</v>
      </c>
    </row>
    <row r="23" spans="1:14" x14ac:dyDescent="0.25">
      <c r="A23" s="132" t="s">
        <v>327</v>
      </c>
      <c r="B23">
        <f ca="1">COUNTIF(OFFSET(Lekeitio_2_4a_raw!C2,0,0,D9-B9+1,1), "800")</f>
        <v>0</v>
      </c>
      <c r="C23" s="32">
        <f ca="1">(B23/H75)*100</f>
        <v>0</v>
      </c>
      <c r="D23" s="32">
        <f ca="1">SUM(J65:J66)</f>
        <v>0</v>
      </c>
      <c r="E23" s="137">
        <f ca="1">1-SUM(K65:K66)</f>
        <v>1</v>
      </c>
      <c r="G23" s="132" t="s">
        <v>218</v>
      </c>
      <c r="H23">
        <f ca="1">COUNTIF(OFFSET(Lekeitio_2_4a_raw!A2,0,0,D9-B9+1,1),"102")</f>
        <v>10</v>
      </c>
      <c r="I23" s="32">
        <f ca="1">(H23/H75)*100</f>
        <v>15.625</v>
      </c>
      <c r="J23" s="32">
        <f ca="1">IF(H23=0,0,-1*((H23/B16)*(LN(H23/B16))))</f>
        <v>0</v>
      </c>
      <c r="K23" s="137">
        <f ca="1">IF(H23=0,0,((H23/B16)^2))</f>
        <v>1</v>
      </c>
    </row>
    <row r="24" spans="1:14" x14ac:dyDescent="0.25">
      <c r="A24" s="131" t="s">
        <v>328</v>
      </c>
      <c r="B24" s="35">
        <f ca="1">COUNTIF(OFFSET(Lekeitio_2_4a_raw!C2,0,0,D9-B9+1,1), "900")</f>
        <v>9</v>
      </c>
      <c r="C24" s="36">
        <f ca="1">(B24/H75)*100</f>
        <v>14.0625</v>
      </c>
      <c r="D24" s="36">
        <f ca="1">SUM(J68:J72)</f>
        <v>0</v>
      </c>
      <c r="E24" s="136">
        <f ca="1">1-SUM(K68:K72)</f>
        <v>0</v>
      </c>
      <c r="G24" s="132" t="s">
        <v>219</v>
      </c>
      <c r="H24">
        <f ca="1">COUNTIF(OFFSET(Lekeitio_2_4a_raw!A2,0,0,D9-B9+1,1),"104")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37">
        <f ca="1">IF(H24=0,0,((H24/B16)^2))</f>
        <v>0</v>
      </c>
    </row>
    <row r="25" spans="1:14" x14ac:dyDescent="0.25">
      <c r="A25" s="132" t="s">
        <v>329</v>
      </c>
      <c r="B25">
        <f ca="1">COUNTIF(OFFSET(Lekeitio_2_4a_raw!C2,0,0,D9-B9+1,1), "1000")</f>
        <v>0</v>
      </c>
      <c r="C25" s="32">
        <f ca="1">(B25/H75)*100</f>
        <v>0</v>
      </c>
      <c r="D25" s="32">
        <f>SUM(J74:J74)</f>
        <v>0</v>
      </c>
      <c r="E25" s="137">
        <f ca="1">1-SUM(K74:K74)</f>
        <v>1</v>
      </c>
      <c r="G25" s="132" t="s">
        <v>220</v>
      </c>
      <c r="H25">
        <f ca="1">COUNTIF(OFFSET(Lekeitio_2_4a_raw!A2,0,0,D9-B9+1,1),"111")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37">
        <f ca="1">IF(H25=0,0,((H25/B16)^2))</f>
        <v>0</v>
      </c>
    </row>
    <row r="26" spans="1:14" x14ac:dyDescent="0.25">
      <c r="A26" s="133" t="s">
        <v>330</v>
      </c>
      <c r="B26" s="31">
        <f ca="1">SUM(B16:B25)</f>
        <v>64</v>
      </c>
      <c r="C26" s="37" t="e">
        <f ca="1">SUM(C16:C25)-C0</f>
        <v>#NAME?</v>
      </c>
      <c r="E26" s="138"/>
      <c r="G26" s="132" t="s">
        <v>221</v>
      </c>
      <c r="H26">
        <f ca="1">COUNTIF(OFFSET(Lekeitio_2_4a_raw!A2,0,0,D9-B9+1,1),"112")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37">
        <f ca="1">IF(H26=0,0,((H26/B16)^2))</f>
        <v>0</v>
      </c>
    </row>
    <row r="27" spans="1:14" x14ac:dyDescent="0.25">
      <c r="A27" s="132"/>
      <c r="E27" s="138"/>
      <c r="G27" s="132" t="s">
        <v>222</v>
      </c>
      <c r="H27">
        <f ca="1">COUNTIF(OFFSET(Lekeitio_2_4a_raw!A2,0,0,D9-B9+1,1),"113")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37">
        <f ca="1">IF(H27=0,0,((H27/B16)^2))</f>
        <v>0</v>
      </c>
    </row>
    <row r="28" spans="1:14" x14ac:dyDescent="0.25">
      <c r="A28" s="133" t="s">
        <v>331</v>
      </c>
      <c r="E28" s="138"/>
      <c r="G28" s="132" t="s">
        <v>223</v>
      </c>
      <c r="H28">
        <f ca="1">COUNTIF(OFFSET(Lekeitio_2_4a_raw!A2,0,0,D9-B9+1,1),"114")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37">
        <f ca="1">IF(H28=0,0,((H28/B16)^2))</f>
        <v>0</v>
      </c>
    </row>
    <row r="29" spans="1:14" ht="15.75" thickBot="1" x14ac:dyDescent="0.3">
      <c r="A29" s="134" t="s">
        <v>332</v>
      </c>
      <c r="B29" s="40"/>
      <c r="C29" s="40"/>
      <c r="D29" s="40"/>
      <c r="E29" s="139"/>
      <c r="G29" s="132" t="s">
        <v>224</v>
      </c>
      <c r="H29">
        <f ca="1">COUNTIF(OFFSET(Lekeitio_2_4a_raw!A2,0,0,D9-B9+1,1),"115")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37">
        <f ca="1">IF(H29=0,0,((H29/B16)^2))</f>
        <v>0</v>
      </c>
    </row>
    <row r="30" spans="1:14" ht="15.75" thickTop="1" x14ac:dyDescent="0.25">
      <c r="G30" s="132" t="s">
        <v>225</v>
      </c>
      <c r="H30">
        <f ca="1">COUNTIF(OFFSET(Lekeitio_2_4a_raw!A2,0,0,D9-B9+1,1),"116")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37">
        <f ca="1">IF(H30=0,0,((H30/B16)^2))</f>
        <v>0</v>
      </c>
    </row>
    <row r="31" spans="1:14" x14ac:dyDescent="0.25">
      <c r="G31" s="132" t="s">
        <v>226</v>
      </c>
      <c r="H31">
        <f ca="1">COUNTIF(OFFSET(Lekeitio_2_4a_raw!A2,0,0,D9-B9+1,1),"117")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37">
        <f ca="1">IF(H31=0,0,((H31/B16)^2))</f>
        <v>0</v>
      </c>
    </row>
    <row r="32" spans="1:14" x14ac:dyDescent="0.25">
      <c r="G32" s="132" t="s">
        <v>227</v>
      </c>
      <c r="H32">
        <f ca="1">COUNTIF(OFFSET(Lekeitio_2_4a_raw!A2,0,0,D9-B9+1,1),"118")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37">
        <f ca="1">IF(H32=0,0,((H32/B16)^2))</f>
        <v>0</v>
      </c>
    </row>
    <row r="33" spans="7:11" x14ac:dyDescent="0.25">
      <c r="G33" s="132" t="s">
        <v>228</v>
      </c>
      <c r="H33">
        <f ca="1">COUNTIF(OFFSET(Lekeitio_2_4a_raw!A2,0,0,D9-B9+1,1),"109")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137">
        <f ca="1">IF(H33=0,0,((H33/B16)^2))</f>
        <v>0</v>
      </c>
    </row>
    <row r="34" spans="7:11" x14ac:dyDescent="0.25">
      <c r="G34" s="132" t="s">
        <v>229</v>
      </c>
      <c r="H34">
        <f ca="1">COUNTIF(OFFSET(Lekeitio_2_4a_raw!A2,0,0,D9-B9+1,1),"110")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37">
        <f ca="1">IF(H34=0,0,((H34/B16)^2))</f>
        <v>0</v>
      </c>
    </row>
    <row r="35" spans="7:11" x14ac:dyDescent="0.25">
      <c r="G35" s="133" t="s">
        <v>201</v>
      </c>
      <c r="K35" s="138"/>
    </row>
    <row r="36" spans="7:11" x14ac:dyDescent="0.25">
      <c r="G36" s="132" t="s">
        <v>230</v>
      </c>
      <c r="H36">
        <f ca="1">COUNTIF(OFFSET(Lekeitio_2_4a_raw!A2,0,0,D9-B9+1,1),"202")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37">
        <f ca="1">IF(H36=0,0,((H36/B17)^2))</f>
        <v>0</v>
      </c>
    </row>
    <row r="37" spans="7:11" x14ac:dyDescent="0.25">
      <c r="G37" s="132" t="s">
        <v>231</v>
      </c>
      <c r="H37">
        <f ca="1">COUNTIF(OFFSET(Lekeitio_2_4a_raw!A2,0,0,D9-B9+1,1),"201")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37">
        <f ca="1">IF(H37=0,0,((H37/B17)^2))</f>
        <v>0</v>
      </c>
    </row>
    <row r="38" spans="7:11" x14ac:dyDescent="0.25">
      <c r="G38" s="133" t="s">
        <v>202</v>
      </c>
      <c r="K38" s="138"/>
    </row>
    <row r="39" spans="7:11" x14ac:dyDescent="0.25">
      <c r="G39" s="132" t="s">
        <v>232</v>
      </c>
      <c r="H39">
        <f ca="1">COUNTIF(OFFSET(Lekeitio_2_4a_raw!A2,0,0,D9-B9+1,1),"306")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37">
        <f ca="1">IF(H39=0,0,((H39/B18)^2))</f>
        <v>0</v>
      </c>
    </row>
    <row r="40" spans="7:11" x14ac:dyDescent="0.25">
      <c r="G40" s="132" t="s">
        <v>233</v>
      </c>
      <c r="H40">
        <f ca="1">COUNTIF(OFFSET(Lekeitio_2_4a_raw!A2,0,0,D9-B9+1,1),"302")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37">
        <f ca="1">IF(H40=0,0,((H40/B18)^2))</f>
        <v>0</v>
      </c>
    </row>
    <row r="41" spans="7:11" x14ac:dyDescent="0.25">
      <c r="G41" s="132" t="s">
        <v>234</v>
      </c>
      <c r="H41">
        <f ca="1">COUNTIF(OFFSET(Lekeitio_2_4a_raw!A2,0,0,D9-B9+1,1),"307")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37">
        <f ca="1">IF(H41=0,0,((H41/B18)^2))</f>
        <v>0</v>
      </c>
    </row>
    <row r="42" spans="7:11" x14ac:dyDescent="0.25">
      <c r="G42" s="132" t="s">
        <v>235</v>
      </c>
      <c r="H42">
        <f ca="1">COUNTIF(OFFSET(Lekeitio_2_4a_raw!A2,0,0,D9-B9+1,1),"303")</f>
        <v>16</v>
      </c>
      <c r="I42" s="32">
        <f ca="1">(H42/H75)*100</f>
        <v>25</v>
      </c>
      <c r="J42" s="32">
        <f ca="1">IF(H42=0,0,-1*((H42/B18)*(LN(H42/B18))))</f>
        <v>0</v>
      </c>
      <c r="K42" s="137">
        <f ca="1">IF(H42=0,0,((H42/B18)^2))</f>
        <v>1</v>
      </c>
    </row>
    <row r="43" spans="7:11" x14ac:dyDescent="0.25">
      <c r="G43" s="132" t="s">
        <v>236</v>
      </c>
      <c r="H43">
        <f ca="1">COUNTIF(OFFSET(Lekeitio_2_4a_raw!A2,0,0,D9-B9+1,1),"304")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37">
        <f ca="1">IF(H43=0,0,((H43/B18)^2))</f>
        <v>0</v>
      </c>
    </row>
    <row r="44" spans="7:11" x14ac:dyDescent="0.25">
      <c r="G44" s="132" t="s">
        <v>237</v>
      </c>
      <c r="H44">
        <f ca="1">COUNTIF(OFFSET(Lekeitio_2_4a_raw!A2,0,0,D9-B9+1,1),"305")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37">
        <f ca="1">IF(H44=0,0,((H44/B18)^2))</f>
        <v>0</v>
      </c>
    </row>
    <row r="45" spans="7:11" x14ac:dyDescent="0.25">
      <c r="G45" s="133" t="s">
        <v>203</v>
      </c>
      <c r="K45" s="138"/>
    </row>
    <row r="46" spans="7:11" x14ac:dyDescent="0.25">
      <c r="G46" s="132" t="s">
        <v>238</v>
      </c>
      <c r="H46">
        <f ca="1">COUNTIF(OFFSET(Lekeitio_2_4a_raw!A2,0,0,D9-B9+1,1),"401")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37">
        <f ca="1">IF(H46=0,0,((H46/B19)^2))</f>
        <v>0</v>
      </c>
    </row>
    <row r="47" spans="7:11" x14ac:dyDescent="0.25">
      <c r="G47" s="132" t="s">
        <v>239</v>
      </c>
      <c r="H47">
        <f ca="1">COUNTIF(OFFSET(Lekeitio_2_4a_raw!A2,0,0,D9-B9+1,1),"402")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37">
        <f ca="1">IF(H47=0,0,((H47/B19)^2))</f>
        <v>0</v>
      </c>
    </row>
    <row r="48" spans="7:11" x14ac:dyDescent="0.25">
      <c r="G48" s="133" t="s">
        <v>204</v>
      </c>
      <c r="K48" s="138"/>
    </row>
    <row r="49" spans="7:11" x14ac:dyDescent="0.25">
      <c r="G49" s="132" t="s">
        <v>240</v>
      </c>
      <c r="H49">
        <f ca="1">COUNTIF(OFFSET(Lekeitio_2_4a_raw!A2,0,0,D9-B9+1,1),"501")</f>
        <v>28</v>
      </c>
      <c r="I49" s="32">
        <f ca="1">(H49/H75)*100</f>
        <v>43.75</v>
      </c>
      <c r="J49" s="32">
        <f ca="1">IF(H49=0,0,-1*((H49/B20)*(LN(H49/B20))))</f>
        <v>0</v>
      </c>
      <c r="K49" s="137">
        <f ca="1">IF(H49=0,0,((H49/B20)^2))</f>
        <v>1</v>
      </c>
    </row>
    <row r="50" spans="7:11" x14ac:dyDescent="0.25">
      <c r="G50" s="132" t="s">
        <v>241</v>
      </c>
      <c r="H50">
        <f ca="1">COUNTIF(OFFSET(Lekeitio_2_4a_raw!A2,0,0,D9-B9+1,1),"502")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37">
        <f ca="1">IF(H50=0,0,((H50/B20)^2))</f>
        <v>0</v>
      </c>
    </row>
    <row r="51" spans="7:11" x14ac:dyDescent="0.25">
      <c r="G51" s="132" t="s">
        <v>242</v>
      </c>
      <c r="H51">
        <f ca="1">COUNTIF(OFFSET(Lekeitio_2_4a_raw!A2,0,0,D9-B9+1,1),"503")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37">
        <f ca="1">IF(H51=0,0,((H51/B20)^2))</f>
        <v>0</v>
      </c>
    </row>
    <row r="52" spans="7:11" x14ac:dyDescent="0.25">
      <c r="G52" s="132" t="s">
        <v>243</v>
      </c>
      <c r="H52">
        <f ca="1">COUNTIF(OFFSET(Lekeitio_2_4a_raw!A2,0,0,D9-B9+1,1),"504")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37">
        <f ca="1">IF(H52=0,0,((H52/B20)^2))</f>
        <v>0</v>
      </c>
    </row>
    <row r="53" spans="7:11" x14ac:dyDescent="0.25">
      <c r="G53" s="133" t="s">
        <v>205</v>
      </c>
      <c r="K53" s="138"/>
    </row>
    <row r="54" spans="7:11" x14ac:dyDescent="0.25">
      <c r="G54" s="132" t="s">
        <v>244</v>
      </c>
      <c r="H54">
        <f ca="1">COUNTIF(OFFSET(Lekeitio_2_4a_raw!A2,0,0,D9-B9+1,1),"601")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37">
        <f ca="1">IF(H54=0,0,((H54/B21)^2))</f>
        <v>0</v>
      </c>
    </row>
    <row r="55" spans="7:11" x14ac:dyDescent="0.25">
      <c r="G55" s="132" t="s">
        <v>245</v>
      </c>
      <c r="H55">
        <f ca="1">COUNTIF(OFFSET(Lekeitio_2_4a_raw!A2,0,0,D9-B9+1,1),"602")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37">
        <f ca="1">IF(H55=0,0,((H55/B21)^2))</f>
        <v>0</v>
      </c>
    </row>
    <row r="56" spans="7:11" x14ac:dyDescent="0.25">
      <c r="G56" s="132" t="s">
        <v>246</v>
      </c>
      <c r="H56">
        <f ca="1">COUNTIF(OFFSET(Lekeitio_2_4a_raw!A2,0,0,D9-B9+1,1),"603")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137">
        <f ca="1">IF(H56=0,0,((H56/B21)^2))</f>
        <v>0</v>
      </c>
    </row>
    <row r="57" spans="7:11" x14ac:dyDescent="0.25">
      <c r="G57" s="132" t="s">
        <v>247</v>
      </c>
      <c r="H57">
        <f ca="1">COUNTIF(OFFSET(Lekeitio_2_4a_raw!A2,0,0,D9-B9+1,1),"604")</f>
        <v>1</v>
      </c>
      <c r="I57" s="32">
        <f ca="1">(H57/H75)*100</f>
        <v>1.5625</v>
      </c>
      <c r="J57" s="32">
        <f ca="1">IF(H57=0,0,-1*((H57/B21)*(LN(H57/B21))))</f>
        <v>0</v>
      </c>
      <c r="K57" s="137">
        <f ca="1">IF(H57=0,0,((H57/B21)^2))</f>
        <v>1</v>
      </c>
    </row>
    <row r="58" spans="7:11" x14ac:dyDescent="0.25">
      <c r="G58" s="133" t="s">
        <v>206</v>
      </c>
      <c r="K58" s="138"/>
    </row>
    <row r="59" spans="7:11" x14ac:dyDescent="0.25">
      <c r="G59" s="132" t="s">
        <v>248</v>
      </c>
      <c r="H59">
        <f ca="1">COUNTIF(OFFSET(Lekeitio_2_4a_raw!A2,0,0,D9-B9+1,1),"701")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37">
        <f ca="1">IF(H59=0,0,((H59/B22)^2))</f>
        <v>0</v>
      </c>
    </row>
    <row r="60" spans="7:11" x14ac:dyDescent="0.25">
      <c r="G60" s="132" t="s">
        <v>249</v>
      </c>
      <c r="H60">
        <f ca="1">COUNTIF(OFFSET(Lekeitio_2_4a_raw!A2,0,0,D9-B9+1,1),"702")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37">
        <f ca="1">IF(H60=0,0,((H60/B22)^2))</f>
        <v>0</v>
      </c>
    </row>
    <row r="61" spans="7:11" x14ac:dyDescent="0.25">
      <c r="G61" s="132" t="s">
        <v>250</v>
      </c>
      <c r="H61">
        <f ca="1">COUNTIF(OFFSET(Lekeitio_2_4a_raw!A2,0,0,D9-B9+1,1),"703")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37">
        <f ca="1">IF(H61=0,0,((H61/B22)^2))</f>
        <v>0</v>
      </c>
    </row>
    <row r="62" spans="7:11" x14ac:dyDescent="0.25">
      <c r="G62" s="132" t="s">
        <v>251</v>
      </c>
      <c r="H62">
        <f ca="1">COUNTIF(OFFSET(Lekeitio_2_4a_raw!A2,0,0,D9-B9+1,1),"705")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37">
        <f ca="1">IF(H62=0,0,((H62/B22)^2))</f>
        <v>0</v>
      </c>
    </row>
    <row r="63" spans="7:11" x14ac:dyDescent="0.25">
      <c r="G63" s="132" t="s">
        <v>252</v>
      </c>
      <c r="H63">
        <f ca="1">COUNTIF(OFFSET(Lekeitio_2_4a_raw!A2,0,0,D9-B9+1,1),"704")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37">
        <f ca="1">IF(H63=0,0,((H63/B22)^2))</f>
        <v>0</v>
      </c>
    </row>
    <row r="64" spans="7:11" x14ac:dyDescent="0.25">
      <c r="G64" s="133" t="s">
        <v>207</v>
      </c>
      <c r="K64" s="138"/>
    </row>
    <row r="65" spans="7:11" x14ac:dyDescent="0.25">
      <c r="G65" s="132" t="s">
        <v>253</v>
      </c>
      <c r="H65">
        <f ca="1">COUNTIF(OFFSET(Lekeitio_2_4a_raw!A2,0,0,D9-B9+1,1),"801")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37">
        <f ca="1">IF(H65=0,0,((H65/B23)^2))</f>
        <v>0</v>
      </c>
    </row>
    <row r="66" spans="7:11" x14ac:dyDescent="0.25">
      <c r="G66" s="132" t="s">
        <v>254</v>
      </c>
      <c r="H66">
        <f ca="1">COUNTIF(OFFSET(Lekeitio_2_4a_raw!A2,0,0,D9-B9+1,1),"802")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37">
        <f ca="1">IF(H66=0,0,((H66/B23)^2))</f>
        <v>0</v>
      </c>
    </row>
    <row r="67" spans="7:11" x14ac:dyDescent="0.25">
      <c r="G67" s="133" t="s">
        <v>208</v>
      </c>
      <c r="K67" s="138"/>
    </row>
    <row r="68" spans="7:11" x14ac:dyDescent="0.25">
      <c r="G68" s="132" t="s">
        <v>255</v>
      </c>
      <c r="H68">
        <f ca="1">COUNTIF(OFFSET(Lekeitio_2_4a_raw!A2,0,0,D9-B9+1,1),"901")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37">
        <f ca="1">IF(H68=0,0,((H68/B24)^2))</f>
        <v>0</v>
      </c>
    </row>
    <row r="69" spans="7:11" x14ac:dyDescent="0.25">
      <c r="G69" s="132" t="s">
        <v>256</v>
      </c>
      <c r="H69">
        <f ca="1">COUNTIF(OFFSET(Lekeitio_2_4a_raw!A2,0,0,D9-B9+1,1),"902")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37">
        <f ca="1">IF(H69=0,0,((H69/B24)^2))</f>
        <v>0</v>
      </c>
    </row>
    <row r="70" spans="7:11" x14ac:dyDescent="0.25">
      <c r="G70" s="132" t="s">
        <v>257</v>
      </c>
      <c r="H70">
        <f ca="1">COUNTIF(OFFSET(Lekeitio_2_4a_raw!A2,0,0,D9-B9+1,1),"904")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37">
        <f ca="1">IF(H70=0,0,((H70/B24)^2))</f>
        <v>0</v>
      </c>
    </row>
    <row r="71" spans="7:11" x14ac:dyDescent="0.25">
      <c r="G71" s="132" t="s">
        <v>258</v>
      </c>
      <c r="H71">
        <f ca="1">COUNTIF(OFFSET(Lekeitio_2_4a_raw!A2,0,0,D9-B9+1,1),"905")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37">
        <f ca="1">IF(H71=0,0,((H71/B24)^2))</f>
        <v>0</v>
      </c>
    </row>
    <row r="72" spans="7:11" x14ac:dyDescent="0.25">
      <c r="G72" s="132" t="s">
        <v>259</v>
      </c>
      <c r="H72">
        <f ca="1">COUNTIF(OFFSET(Lekeitio_2_4a_raw!A2,0,0,D9-B9+1,1),"903")</f>
        <v>9</v>
      </c>
      <c r="I72" s="32">
        <f ca="1">(H72/H75)*100</f>
        <v>14.0625</v>
      </c>
      <c r="J72" s="32">
        <f ca="1">IF(H72=0,0,-1*((H72/B24)*(LN(H72/B24))))</f>
        <v>0</v>
      </c>
      <c r="K72" s="137">
        <f ca="1">IF(H72=0,0,((H72/B24)^2))</f>
        <v>1</v>
      </c>
    </row>
    <row r="73" spans="7:11" x14ac:dyDescent="0.25">
      <c r="G73" s="133" t="s">
        <v>209</v>
      </c>
      <c r="K73" s="138"/>
    </row>
    <row r="74" spans="7:11" x14ac:dyDescent="0.25">
      <c r="G74" s="132" t="s">
        <v>260</v>
      </c>
      <c r="H74">
        <f ca="1">COUNTIF(OFFSET(Lekeitio_2_4a_raw!A2,0,0,D9-B9+1,1),"1001")</f>
        <v>0</v>
      </c>
      <c r="I74" s="32">
        <f ca="1">(H74/SUM(H15:H74))*100</f>
        <v>0</v>
      </c>
      <c r="J74" s="32"/>
      <c r="K74" s="137">
        <f ca="1">IF(H74=0,0,((H74/B25)^2))</f>
        <v>0</v>
      </c>
    </row>
    <row r="75" spans="7:11" ht="15.75" thickBot="1" x14ac:dyDescent="0.3">
      <c r="G75" s="140" t="s">
        <v>285</v>
      </c>
      <c r="H75" s="51">
        <f ca="1">SUM(H16:H74)</f>
        <v>64</v>
      </c>
      <c r="I75" s="51">
        <f ca="1">SUM(I16:I74)</f>
        <v>100</v>
      </c>
      <c r="J75" s="40"/>
      <c r="K75" s="139"/>
    </row>
    <row r="76" spans="7:11" ht="15.75" thickTop="1" x14ac:dyDescent="0.25"/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4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COUNTA(OFFSET(Lekeitio_2_4b_raw!A2,0,0,D9-B9+1,1))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48" t="s">
        <v>319</v>
      </c>
      <c r="B15" s="33" t="s">
        <v>281</v>
      </c>
      <c r="C15" s="33" t="s">
        <v>282</v>
      </c>
      <c r="D15" s="33" t="s">
        <v>283</v>
      </c>
      <c r="E15" s="145" t="s">
        <v>284</v>
      </c>
      <c r="G15" s="148" t="s">
        <v>280</v>
      </c>
      <c r="H15" s="33" t="s">
        <v>281</v>
      </c>
      <c r="I15" s="33" t="s">
        <v>282</v>
      </c>
      <c r="J15" s="33" t="s">
        <v>283</v>
      </c>
      <c r="K15" s="145" t="s">
        <v>284</v>
      </c>
      <c r="N15">
        <v>16</v>
      </c>
    </row>
    <row r="16" spans="1:14" x14ac:dyDescent="0.25">
      <c r="A16" s="149" t="s">
        <v>320</v>
      </c>
      <c r="B16" s="35">
        <f ca="1">COUNTIF(OFFSET(Lekeitio_2_4b_raw!C2,0,0,D9-B9+1,1), "100")</f>
        <v>22</v>
      </c>
      <c r="C16" s="36">
        <f ca="1">(B16/H75)*100</f>
        <v>34.375</v>
      </c>
      <c r="D16" s="36">
        <f ca="1">SUM(J17:J34)</f>
        <v>0.64968771274762338</v>
      </c>
      <c r="E16" s="147">
        <f ca="1">1-SUM(K17:K34)</f>
        <v>0.36776859504132231</v>
      </c>
      <c r="G16" s="151" t="s">
        <v>200</v>
      </c>
      <c r="K16" s="143"/>
      <c r="N16">
        <v>75</v>
      </c>
    </row>
    <row r="17" spans="1:14" x14ac:dyDescent="0.25">
      <c r="A17" s="150" t="s">
        <v>321</v>
      </c>
      <c r="B17">
        <f ca="1">COUNTIF(OFFSET(Lekeitio_2_4b_raw!C2,0,0,D9-B9+1,1), "200")</f>
        <v>0</v>
      </c>
      <c r="C17" s="32">
        <f ca="1">(B17/H75)*100</f>
        <v>0</v>
      </c>
      <c r="D17" s="32">
        <f ca="1">SUM(J36:J37)</f>
        <v>0</v>
      </c>
      <c r="E17" s="146">
        <f ca="1">1-SUM(K36:K37)</f>
        <v>1</v>
      </c>
      <c r="G17" s="150" t="s">
        <v>212</v>
      </c>
      <c r="H17">
        <f ca="1">COUNTIF(OFFSET(Lekeitio_2_4b_raw!A2,0,0,D9-B9+1,1),"108")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46">
        <f ca="1">IF(H17=0,0,((H17/B16)^2))</f>
        <v>0</v>
      </c>
      <c r="N17">
        <v>7</v>
      </c>
    </row>
    <row r="18" spans="1:14" x14ac:dyDescent="0.25">
      <c r="A18" s="149" t="s">
        <v>322</v>
      </c>
      <c r="B18" s="35">
        <f ca="1">COUNTIF(OFFSET(Lekeitio_2_4b_raw!C2,0,0,D9-B9+1,1), "300")</f>
        <v>0</v>
      </c>
      <c r="C18" s="36">
        <f ca="1">(B18/H75)*100</f>
        <v>0</v>
      </c>
      <c r="D18" s="36">
        <f ca="1">SUM(J39:J44)</f>
        <v>0</v>
      </c>
      <c r="E18" s="147">
        <f ca="1">1-SUM(K39:K44)</f>
        <v>1</v>
      </c>
      <c r="G18" s="150" t="s">
        <v>213</v>
      </c>
      <c r="H18">
        <f ca="1">COUNTIF(OFFSET(Lekeitio_2_4b_raw!A2,0,0,D9-B9+1,1),"105")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46">
        <f ca="1">IF(H18=0,0,((H18/B16)^2))</f>
        <v>0</v>
      </c>
    </row>
    <row r="19" spans="1:14" x14ac:dyDescent="0.25">
      <c r="A19" s="150" t="s">
        <v>323</v>
      </c>
      <c r="B19">
        <f ca="1">COUNTIF(OFFSET(Lekeitio_2_4b_raw!C2,0,0,D9-B9+1,1), "400")</f>
        <v>0</v>
      </c>
      <c r="C19" s="32">
        <f ca="1">(B19/H75)*100</f>
        <v>0</v>
      </c>
      <c r="D19" s="32">
        <f ca="1">SUM(J46:J47)</f>
        <v>0</v>
      </c>
      <c r="E19" s="146">
        <f ca="1">1-SUM(K46:K47)</f>
        <v>1</v>
      </c>
      <c r="G19" s="150" t="s">
        <v>214</v>
      </c>
      <c r="H19">
        <f ca="1">COUNTIF(OFFSET(Lekeitio_2_4b_raw!A2,0,0,D9-B9+1,1),"103")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46">
        <f ca="1">IF(H19=0,0,((H19/B16)^2))</f>
        <v>0</v>
      </c>
    </row>
    <row r="20" spans="1:14" x14ac:dyDescent="0.25">
      <c r="A20" s="149" t="s">
        <v>324</v>
      </c>
      <c r="B20" s="35">
        <f ca="1">COUNTIF(OFFSET(Lekeitio_2_4b_raw!C2,0,0,D9-B9+1,1), "500")</f>
        <v>31</v>
      </c>
      <c r="C20" s="36">
        <f ca="1">(B20/H75)*100</f>
        <v>48.4375</v>
      </c>
      <c r="D20" s="36">
        <f ca="1">SUM(J49:J52)</f>
        <v>0</v>
      </c>
      <c r="E20" s="147">
        <f ca="1">1-SUM(K49:K52)</f>
        <v>0</v>
      </c>
      <c r="G20" s="150" t="s">
        <v>215</v>
      </c>
      <c r="H20">
        <f ca="1">COUNTIF(OFFSET(Lekeitio_2_4b_raw!A2,0,0,D9-B9+1,1),"107")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46">
        <f ca="1">IF(H20=0,0,((H20/B16)^2))</f>
        <v>0</v>
      </c>
    </row>
    <row r="21" spans="1:14" x14ac:dyDescent="0.25">
      <c r="A21" s="150" t="s">
        <v>325</v>
      </c>
      <c r="B21">
        <f ca="1">COUNTIF(OFFSET(Lekeitio_2_4b_raw!C2,0,0,D9-B9+1,1), "600")</f>
        <v>1</v>
      </c>
      <c r="C21" s="32">
        <f ca="1">(B21/H75)*100</f>
        <v>1.5625</v>
      </c>
      <c r="D21" s="32">
        <f ca="1">SUM(J54:J57)</f>
        <v>0</v>
      </c>
      <c r="E21" s="146">
        <f ca="1">1-SUM(K54:K57)</f>
        <v>0</v>
      </c>
      <c r="G21" s="150" t="s">
        <v>216</v>
      </c>
      <c r="H21">
        <f ca="1">COUNTIF(OFFSET(Lekeitio_2_4b_raw!A2,0,0,D9-B9+1,1),"101")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46">
        <f ca="1">IF(H21=0,0,((H21/B16)^2))</f>
        <v>0</v>
      </c>
    </row>
    <row r="22" spans="1:14" x14ac:dyDescent="0.25">
      <c r="A22" s="149" t="s">
        <v>326</v>
      </c>
      <c r="B22" s="35">
        <f ca="1">COUNTIF(OFFSET(Lekeitio_2_4b_raw!C2,0,0,D9-B9+1,1), "700")</f>
        <v>1</v>
      </c>
      <c r="C22" s="36">
        <f ca="1">(B22/H75)*100</f>
        <v>1.5625</v>
      </c>
      <c r="D22" s="36">
        <f ca="1">SUM(J59:J63)</f>
        <v>0</v>
      </c>
      <c r="E22" s="147">
        <f ca="1">1-SUM(K59:K63)</f>
        <v>0</v>
      </c>
      <c r="G22" s="150" t="s">
        <v>217</v>
      </c>
      <c r="H22">
        <f ca="1">COUNTIF(OFFSET(Lekeitio_2_4b_raw!A2,0,0,D9-B9+1,1),"106")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46">
        <f ca="1">IF(H22=0,0,((H22/B16)^2))</f>
        <v>0</v>
      </c>
    </row>
    <row r="23" spans="1:14" x14ac:dyDescent="0.25">
      <c r="A23" s="150" t="s">
        <v>327</v>
      </c>
      <c r="B23">
        <f ca="1">COUNTIF(OFFSET(Lekeitio_2_4b_raw!C2,0,0,D9-B9+1,1), "800")</f>
        <v>0</v>
      </c>
      <c r="C23" s="32">
        <f ca="1">(B23/H75)*100</f>
        <v>0</v>
      </c>
      <c r="D23" s="32">
        <f ca="1">SUM(J65:J66)</f>
        <v>0</v>
      </c>
      <c r="E23" s="146">
        <f ca="1">1-SUM(K65:K66)</f>
        <v>1</v>
      </c>
      <c r="G23" s="150" t="s">
        <v>218</v>
      </c>
      <c r="H23">
        <f ca="1">COUNTIF(OFFSET(Lekeitio_2_4b_raw!A2,0,0,D9-B9+1,1),"102")</f>
        <v>4</v>
      </c>
      <c r="I23" s="32">
        <f ca="1">(H23/H75)*100</f>
        <v>6.25</v>
      </c>
      <c r="J23" s="32">
        <f ca="1">IF(H23=0,0,-1*((H23/B16)*(LN(H23/B16))))</f>
        <v>0.30995419858880463</v>
      </c>
      <c r="K23" s="146">
        <f ca="1">IF(H23=0,0,((H23/B16)^2))</f>
        <v>3.3057851239669422E-2</v>
      </c>
    </row>
    <row r="24" spans="1:14" x14ac:dyDescent="0.25">
      <c r="A24" s="149" t="s">
        <v>328</v>
      </c>
      <c r="B24" s="35">
        <f ca="1">COUNTIF(OFFSET(Lekeitio_2_4b_raw!C2,0,0,D9-B9+1,1), "900")</f>
        <v>7</v>
      </c>
      <c r="C24" s="36">
        <f ca="1">(B24/H75)*100</f>
        <v>10.9375</v>
      </c>
      <c r="D24" s="36">
        <f ca="1">SUM(J68:J72)</f>
        <v>0</v>
      </c>
      <c r="E24" s="147">
        <f ca="1">1-SUM(K68:K72)</f>
        <v>0</v>
      </c>
      <c r="G24" s="150" t="s">
        <v>219</v>
      </c>
      <c r="H24">
        <f ca="1">COUNTIF(OFFSET(Lekeitio_2_4b_raw!A2,0,0,D9-B9+1,1),"104")</f>
        <v>1</v>
      </c>
      <c r="I24" s="32">
        <f ca="1">(H24/H75)*100</f>
        <v>1.5625</v>
      </c>
      <c r="J24" s="32">
        <f ca="1">IF(H24=0,0,-1*((H24/B16)*(LN(H24/B16))))</f>
        <v>0.14050192969810527</v>
      </c>
      <c r="K24" s="146">
        <f ca="1">IF(H24=0,0,((H24/B16)^2))</f>
        <v>2.0661157024793389E-3</v>
      </c>
    </row>
    <row r="25" spans="1:14" x14ac:dyDescent="0.25">
      <c r="A25" s="150" t="s">
        <v>329</v>
      </c>
      <c r="B25">
        <f ca="1">COUNTIF(OFFSET(Lekeitio_2_4b_raw!C2,0,0,D9-B9+1,1), "1000")</f>
        <v>2</v>
      </c>
      <c r="C25" s="32">
        <f ca="1">(B25/H75)*100</f>
        <v>3.125</v>
      </c>
      <c r="D25" s="32">
        <f>SUM(J74:J74)</f>
        <v>0</v>
      </c>
      <c r="E25" s="146">
        <f ca="1">1-SUM(K74:K74)</f>
        <v>0</v>
      </c>
      <c r="G25" s="150" t="s">
        <v>220</v>
      </c>
      <c r="H25">
        <f ca="1">COUNTIF(OFFSET(Lekeitio_2_4b_raw!A2,0,0,D9-B9+1,1),"111")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46">
        <f ca="1">IF(H25=0,0,((H25/B16)^2))</f>
        <v>0</v>
      </c>
    </row>
    <row r="26" spans="1:14" x14ac:dyDescent="0.25">
      <c r="A26" s="151" t="s">
        <v>330</v>
      </c>
      <c r="B26" s="31">
        <f ca="1">SUM(B16:B25)</f>
        <v>64</v>
      </c>
      <c r="C26" s="37" t="e">
        <f ca="1">SUM(C16:C25)-C0</f>
        <v>#NAME?</v>
      </c>
      <c r="E26" s="143"/>
      <c r="G26" s="150" t="s">
        <v>221</v>
      </c>
      <c r="H26">
        <f ca="1">COUNTIF(OFFSET(Lekeitio_2_4b_raw!A2,0,0,D9-B9+1,1),"112")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46">
        <f ca="1">IF(H26=0,0,((H26/B16)^2))</f>
        <v>0</v>
      </c>
    </row>
    <row r="27" spans="1:14" x14ac:dyDescent="0.25">
      <c r="A27" s="150"/>
      <c r="E27" s="143"/>
      <c r="G27" s="150" t="s">
        <v>222</v>
      </c>
      <c r="H27">
        <f ca="1">COUNTIF(OFFSET(Lekeitio_2_4b_raw!A2,0,0,D9-B9+1,1),"113")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46">
        <f ca="1">IF(H27=0,0,((H27/B16)^2))</f>
        <v>0</v>
      </c>
    </row>
    <row r="28" spans="1:14" x14ac:dyDescent="0.25">
      <c r="A28" s="151" t="s">
        <v>331</v>
      </c>
      <c r="E28" s="143"/>
      <c r="G28" s="150" t="s">
        <v>223</v>
      </c>
      <c r="H28">
        <f ca="1">COUNTIF(OFFSET(Lekeitio_2_4b_raw!A2,0,0,D9-B9+1,1),"114")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46">
        <f ca="1">IF(H28=0,0,((H28/B16)^2))</f>
        <v>0</v>
      </c>
    </row>
    <row r="29" spans="1:14" ht="15.75" thickBot="1" x14ac:dyDescent="0.3">
      <c r="A29" s="152" t="s">
        <v>332</v>
      </c>
      <c r="B29" s="40"/>
      <c r="C29" s="40"/>
      <c r="D29" s="40"/>
      <c r="E29" s="144"/>
      <c r="G29" s="150" t="s">
        <v>224</v>
      </c>
      <c r="H29">
        <f ca="1">COUNTIF(OFFSET(Lekeitio_2_4b_raw!A2,0,0,D9-B9+1,1),"115")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46">
        <f ca="1">IF(H29=0,0,((H29/B16)^2))</f>
        <v>0</v>
      </c>
    </row>
    <row r="30" spans="1:14" ht="15.75" thickTop="1" x14ac:dyDescent="0.25">
      <c r="G30" s="150" t="s">
        <v>225</v>
      </c>
      <c r="H30">
        <f ca="1">COUNTIF(OFFSET(Lekeitio_2_4b_raw!A2,0,0,D9-B9+1,1),"116")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46">
        <f ca="1">IF(H30=0,0,((H30/B16)^2))</f>
        <v>0</v>
      </c>
    </row>
    <row r="31" spans="1:14" x14ac:dyDescent="0.25">
      <c r="G31" s="150" t="s">
        <v>226</v>
      </c>
      <c r="H31">
        <f ca="1">COUNTIF(OFFSET(Lekeitio_2_4b_raw!A2,0,0,D9-B9+1,1),"117")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46">
        <f ca="1">IF(H31=0,0,((H31/B16)^2))</f>
        <v>0</v>
      </c>
    </row>
    <row r="32" spans="1:14" x14ac:dyDescent="0.25">
      <c r="G32" s="150" t="s">
        <v>227</v>
      </c>
      <c r="H32">
        <f ca="1">COUNTIF(OFFSET(Lekeitio_2_4b_raw!A2,0,0,D9-B9+1,1),"118")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46">
        <f ca="1">IF(H32=0,0,((H32/B16)^2))</f>
        <v>0</v>
      </c>
    </row>
    <row r="33" spans="7:11" x14ac:dyDescent="0.25">
      <c r="G33" s="150" t="s">
        <v>228</v>
      </c>
      <c r="H33">
        <f ca="1">COUNTIF(OFFSET(Lekeitio_2_4b_raw!A2,0,0,D9-B9+1,1),"109")</f>
        <v>17</v>
      </c>
      <c r="I33" s="32">
        <f ca="1">(H33/H75)*100</f>
        <v>26.5625</v>
      </c>
      <c r="J33" s="32">
        <f ca="1">IF(H33=0,0,-1*((H33/B16)*(LN(H33/B16))))</f>
        <v>0.19923158446071346</v>
      </c>
      <c r="K33" s="146">
        <f ca="1">IF(H33=0,0,((H33/B16)^2))</f>
        <v>0.59710743801652888</v>
      </c>
    </row>
    <row r="34" spans="7:11" x14ac:dyDescent="0.25">
      <c r="G34" s="150" t="s">
        <v>229</v>
      </c>
      <c r="H34">
        <f ca="1">COUNTIF(OFFSET(Lekeitio_2_4b_raw!A2,0,0,D9-B9+1,1),"110")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46">
        <f ca="1">IF(H34=0,0,((H34/B16)^2))</f>
        <v>0</v>
      </c>
    </row>
    <row r="35" spans="7:11" x14ac:dyDescent="0.25">
      <c r="G35" s="151" t="s">
        <v>201</v>
      </c>
      <c r="K35" s="143"/>
    </row>
    <row r="36" spans="7:11" x14ac:dyDescent="0.25">
      <c r="G36" s="150" t="s">
        <v>230</v>
      </c>
      <c r="H36">
        <f ca="1">COUNTIF(OFFSET(Lekeitio_2_4b_raw!A2,0,0,D9-B9+1,1),"202")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46">
        <f ca="1">IF(H36=0,0,((H36/B17)^2))</f>
        <v>0</v>
      </c>
    </row>
    <row r="37" spans="7:11" x14ac:dyDescent="0.25">
      <c r="G37" s="150" t="s">
        <v>231</v>
      </c>
      <c r="H37">
        <f ca="1">COUNTIF(OFFSET(Lekeitio_2_4b_raw!A2,0,0,D9-B9+1,1),"201")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46">
        <f ca="1">IF(H37=0,0,((H37/B17)^2))</f>
        <v>0</v>
      </c>
    </row>
    <row r="38" spans="7:11" x14ac:dyDescent="0.25">
      <c r="G38" s="151" t="s">
        <v>202</v>
      </c>
      <c r="K38" s="143"/>
    </row>
    <row r="39" spans="7:11" x14ac:dyDescent="0.25">
      <c r="G39" s="150" t="s">
        <v>232</v>
      </c>
      <c r="H39">
        <f ca="1">COUNTIF(OFFSET(Lekeitio_2_4b_raw!A2,0,0,D9-B9+1,1),"306")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46">
        <f ca="1">IF(H39=0,0,((H39/B18)^2))</f>
        <v>0</v>
      </c>
    </row>
    <row r="40" spans="7:11" x14ac:dyDescent="0.25">
      <c r="G40" s="150" t="s">
        <v>233</v>
      </c>
      <c r="H40">
        <f ca="1">COUNTIF(OFFSET(Lekeitio_2_4b_raw!A2,0,0,D9-B9+1,1),"302")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46">
        <f ca="1">IF(H40=0,0,((H40/B18)^2))</f>
        <v>0</v>
      </c>
    </row>
    <row r="41" spans="7:11" x14ac:dyDescent="0.25">
      <c r="G41" s="150" t="s">
        <v>234</v>
      </c>
      <c r="H41">
        <f ca="1">COUNTIF(OFFSET(Lekeitio_2_4b_raw!A2,0,0,D9-B9+1,1),"307")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46">
        <f ca="1">IF(H41=0,0,((H41/B18)^2))</f>
        <v>0</v>
      </c>
    </row>
    <row r="42" spans="7:11" x14ac:dyDescent="0.25">
      <c r="G42" s="150" t="s">
        <v>235</v>
      </c>
      <c r="H42">
        <f ca="1">COUNTIF(OFFSET(Lekeitio_2_4b_raw!A2,0,0,D9-B9+1,1),"303")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46">
        <f ca="1">IF(H42=0,0,((H42/B18)^2))</f>
        <v>0</v>
      </c>
    </row>
    <row r="43" spans="7:11" x14ac:dyDescent="0.25">
      <c r="G43" s="150" t="s">
        <v>236</v>
      </c>
      <c r="H43">
        <f ca="1">COUNTIF(OFFSET(Lekeitio_2_4b_raw!A2,0,0,D9-B9+1,1),"304")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46">
        <f ca="1">IF(H43=0,0,((H43/B18)^2))</f>
        <v>0</v>
      </c>
    </row>
    <row r="44" spans="7:11" x14ac:dyDescent="0.25">
      <c r="G44" s="150" t="s">
        <v>237</v>
      </c>
      <c r="H44">
        <f ca="1">COUNTIF(OFFSET(Lekeitio_2_4b_raw!A2,0,0,D9-B9+1,1),"305")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46">
        <f ca="1">IF(H44=0,0,((H44/B18)^2))</f>
        <v>0</v>
      </c>
    </row>
    <row r="45" spans="7:11" x14ac:dyDescent="0.25">
      <c r="G45" s="151" t="s">
        <v>203</v>
      </c>
      <c r="K45" s="143"/>
    </row>
    <row r="46" spans="7:11" x14ac:dyDescent="0.25">
      <c r="G46" s="150" t="s">
        <v>238</v>
      </c>
      <c r="H46">
        <f ca="1">COUNTIF(OFFSET(Lekeitio_2_4b_raw!A2,0,0,D9-B9+1,1),"401")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46">
        <f ca="1">IF(H46=0,0,((H46/B19)^2))</f>
        <v>0</v>
      </c>
    </row>
    <row r="47" spans="7:11" x14ac:dyDescent="0.25">
      <c r="G47" s="150" t="s">
        <v>239</v>
      </c>
      <c r="H47">
        <f ca="1">COUNTIF(OFFSET(Lekeitio_2_4b_raw!A2,0,0,D9-B9+1,1),"402")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46">
        <f ca="1">IF(H47=0,0,((H47/B19)^2))</f>
        <v>0</v>
      </c>
    </row>
    <row r="48" spans="7:11" x14ac:dyDescent="0.25">
      <c r="G48" s="151" t="s">
        <v>204</v>
      </c>
      <c r="K48" s="143"/>
    </row>
    <row r="49" spans="7:11" x14ac:dyDescent="0.25">
      <c r="G49" s="150" t="s">
        <v>240</v>
      </c>
      <c r="H49">
        <f ca="1">COUNTIF(OFFSET(Lekeitio_2_4b_raw!A2,0,0,D9-B9+1,1),"501")</f>
        <v>31</v>
      </c>
      <c r="I49" s="32">
        <f ca="1">(H49/H75)*100</f>
        <v>48.4375</v>
      </c>
      <c r="J49" s="32">
        <f ca="1">IF(H49=0,0,-1*((H49/B20)*(LN(H49/B20))))</f>
        <v>0</v>
      </c>
      <c r="K49" s="146">
        <f ca="1">IF(H49=0,0,((H49/B20)^2))</f>
        <v>1</v>
      </c>
    </row>
    <row r="50" spans="7:11" x14ac:dyDescent="0.25">
      <c r="G50" s="150" t="s">
        <v>241</v>
      </c>
      <c r="H50">
        <f ca="1">COUNTIF(OFFSET(Lekeitio_2_4b_raw!A2,0,0,D9-B9+1,1),"502")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46">
        <f ca="1">IF(H50=0,0,((H50/B20)^2))</f>
        <v>0</v>
      </c>
    </row>
    <row r="51" spans="7:11" x14ac:dyDescent="0.25">
      <c r="G51" s="150" t="s">
        <v>242</v>
      </c>
      <c r="H51">
        <f ca="1">COUNTIF(OFFSET(Lekeitio_2_4b_raw!A2,0,0,D9-B9+1,1),"503")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46">
        <f ca="1">IF(H51=0,0,((H51/B20)^2))</f>
        <v>0</v>
      </c>
    </row>
    <row r="52" spans="7:11" x14ac:dyDescent="0.25">
      <c r="G52" s="150" t="s">
        <v>243</v>
      </c>
      <c r="H52">
        <f ca="1">COUNTIF(OFFSET(Lekeitio_2_4b_raw!A2,0,0,D9-B9+1,1),"504")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46">
        <f ca="1">IF(H52=0,0,((H52/B20)^2))</f>
        <v>0</v>
      </c>
    </row>
    <row r="53" spans="7:11" x14ac:dyDescent="0.25">
      <c r="G53" s="151" t="s">
        <v>205</v>
      </c>
      <c r="K53" s="143"/>
    </row>
    <row r="54" spans="7:11" x14ac:dyDescent="0.25">
      <c r="G54" s="150" t="s">
        <v>244</v>
      </c>
      <c r="H54">
        <f ca="1">COUNTIF(OFFSET(Lekeitio_2_4b_raw!A2,0,0,D9-B9+1,1),"601")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46">
        <f ca="1">IF(H54=0,0,((H54/B21)^2))</f>
        <v>0</v>
      </c>
    </row>
    <row r="55" spans="7:11" x14ac:dyDescent="0.25">
      <c r="G55" s="150" t="s">
        <v>245</v>
      </c>
      <c r="H55">
        <f ca="1">COUNTIF(OFFSET(Lekeitio_2_4b_raw!A2,0,0,D9-B9+1,1),"602")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46">
        <f ca="1">IF(H55=0,0,((H55/B21)^2))</f>
        <v>0</v>
      </c>
    </row>
    <row r="56" spans="7:11" x14ac:dyDescent="0.25">
      <c r="G56" s="150" t="s">
        <v>246</v>
      </c>
      <c r="H56">
        <f ca="1">COUNTIF(OFFSET(Lekeitio_2_4b_raw!A2,0,0,D9-B9+1,1),"603")</f>
        <v>1</v>
      </c>
      <c r="I56" s="32">
        <f ca="1">(H56/H75)*100</f>
        <v>1.5625</v>
      </c>
      <c r="J56" s="32">
        <f ca="1">IF(H56=0,0,-1*((H56/B21)*(LN(H56/B21))))</f>
        <v>0</v>
      </c>
      <c r="K56" s="146">
        <f ca="1">IF(H56=0,0,((H56/B21)^2))</f>
        <v>1</v>
      </c>
    </row>
    <row r="57" spans="7:11" x14ac:dyDescent="0.25">
      <c r="G57" s="150" t="s">
        <v>247</v>
      </c>
      <c r="H57">
        <f ca="1">COUNTIF(OFFSET(Lekeitio_2_4b_raw!A2,0,0,D9-B9+1,1),"604")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46">
        <f ca="1">IF(H57=0,0,((H57/B21)^2))</f>
        <v>0</v>
      </c>
    </row>
    <row r="58" spans="7:11" x14ac:dyDescent="0.25">
      <c r="G58" s="151" t="s">
        <v>206</v>
      </c>
      <c r="K58" s="143"/>
    </row>
    <row r="59" spans="7:11" x14ac:dyDescent="0.25">
      <c r="G59" s="150" t="s">
        <v>248</v>
      </c>
      <c r="H59">
        <f ca="1">COUNTIF(OFFSET(Lekeitio_2_4b_raw!A2,0,0,D9-B9+1,1),"701")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46">
        <f ca="1">IF(H59=0,0,((H59/B22)^2))</f>
        <v>0</v>
      </c>
    </row>
    <row r="60" spans="7:11" x14ac:dyDescent="0.25">
      <c r="G60" s="150" t="s">
        <v>249</v>
      </c>
      <c r="H60">
        <f ca="1">COUNTIF(OFFSET(Lekeitio_2_4b_raw!A2,0,0,D9-B9+1,1),"702")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46">
        <f ca="1">IF(H60=0,0,((H60/B22)^2))</f>
        <v>0</v>
      </c>
    </row>
    <row r="61" spans="7:11" x14ac:dyDescent="0.25">
      <c r="G61" s="150" t="s">
        <v>250</v>
      </c>
      <c r="H61">
        <f ca="1">COUNTIF(OFFSET(Lekeitio_2_4b_raw!A2,0,0,D9-B9+1,1),"703")</f>
        <v>1</v>
      </c>
      <c r="I61" s="32">
        <f ca="1">(H61/H75)*100</f>
        <v>1.5625</v>
      </c>
      <c r="J61" s="32">
        <f ca="1">IF(H61=0,0,-1*((H61/B22)*(LN(H61/B22))))</f>
        <v>0</v>
      </c>
      <c r="K61" s="146">
        <f ca="1">IF(H61=0,0,((H61/B22)^2))</f>
        <v>1</v>
      </c>
    </row>
    <row r="62" spans="7:11" x14ac:dyDescent="0.25">
      <c r="G62" s="150" t="s">
        <v>251</v>
      </c>
      <c r="H62">
        <f ca="1">COUNTIF(OFFSET(Lekeitio_2_4b_raw!A2,0,0,D9-B9+1,1),"705")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46">
        <f ca="1">IF(H62=0,0,((H62/B22)^2))</f>
        <v>0</v>
      </c>
    </row>
    <row r="63" spans="7:11" x14ac:dyDescent="0.25">
      <c r="G63" s="150" t="s">
        <v>252</v>
      </c>
      <c r="H63">
        <f ca="1">COUNTIF(OFFSET(Lekeitio_2_4b_raw!A2,0,0,D9-B9+1,1),"704")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46">
        <f ca="1">IF(H63=0,0,((H63/B22)^2))</f>
        <v>0</v>
      </c>
    </row>
    <row r="64" spans="7:11" x14ac:dyDescent="0.25">
      <c r="G64" s="151" t="s">
        <v>207</v>
      </c>
      <c r="K64" s="143"/>
    </row>
    <row r="65" spans="7:11" x14ac:dyDescent="0.25">
      <c r="G65" s="150" t="s">
        <v>253</v>
      </c>
      <c r="H65">
        <f ca="1">COUNTIF(OFFSET(Lekeitio_2_4b_raw!A2,0,0,D9-B9+1,1),"801")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46">
        <f ca="1">IF(H65=0,0,((H65/B23)^2))</f>
        <v>0</v>
      </c>
    </row>
    <row r="66" spans="7:11" x14ac:dyDescent="0.25">
      <c r="G66" s="150" t="s">
        <v>254</v>
      </c>
      <c r="H66">
        <f ca="1">COUNTIF(OFFSET(Lekeitio_2_4b_raw!A2,0,0,D9-B9+1,1),"802")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46">
        <f ca="1">IF(H66=0,0,((H66/B23)^2))</f>
        <v>0</v>
      </c>
    </row>
    <row r="67" spans="7:11" x14ac:dyDescent="0.25">
      <c r="G67" s="151" t="s">
        <v>208</v>
      </c>
      <c r="K67" s="143"/>
    </row>
    <row r="68" spans="7:11" x14ac:dyDescent="0.25">
      <c r="G68" s="150" t="s">
        <v>255</v>
      </c>
      <c r="H68">
        <f ca="1">COUNTIF(OFFSET(Lekeitio_2_4b_raw!A2,0,0,D9-B9+1,1),"901")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46">
        <f ca="1">IF(H68=0,0,((H68/B24)^2))</f>
        <v>0</v>
      </c>
    </row>
    <row r="69" spans="7:11" x14ac:dyDescent="0.25">
      <c r="G69" s="150" t="s">
        <v>256</v>
      </c>
      <c r="H69">
        <f ca="1">COUNTIF(OFFSET(Lekeitio_2_4b_raw!A2,0,0,D9-B9+1,1),"902")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46">
        <f ca="1">IF(H69=0,0,((H69/B24)^2))</f>
        <v>0</v>
      </c>
    </row>
    <row r="70" spans="7:11" x14ac:dyDescent="0.25">
      <c r="G70" s="150" t="s">
        <v>257</v>
      </c>
      <c r="H70">
        <f ca="1">COUNTIF(OFFSET(Lekeitio_2_4b_raw!A2,0,0,D9-B9+1,1),"904")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46">
        <f ca="1">IF(H70=0,0,((H70/B24)^2))</f>
        <v>0</v>
      </c>
    </row>
    <row r="71" spans="7:11" x14ac:dyDescent="0.25">
      <c r="G71" s="150" t="s">
        <v>258</v>
      </c>
      <c r="H71">
        <f ca="1">COUNTIF(OFFSET(Lekeitio_2_4b_raw!A2,0,0,D9-B9+1,1),"905")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46">
        <f ca="1">IF(H71=0,0,((H71/B24)^2))</f>
        <v>0</v>
      </c>
    </row>
    <row r="72" spans="7:11" x14ac:dyDescent="0.25">
      <c r="G72" s="150" t="s">
        <v>259</v>
      </c>
      <c r="H72">
        <f ca="1">COUNTIF(OFFSET(Lekeitio_2_4b_raw!A2,0,0,D9-B9+1,1),"903")</f>
        <v>7</v>
      </c>
      <c r="I72" s="32">
        <f ca="1">(H72/H75)*100</f>
        <v>10.9375</v>
      </c>
      <c r="J72" s="32">
        <f ca="1">IF(H72=0,0,-1*((H72/B24)*(LN(H72/B24))))</f>
        <v>0</v>
      </c>
      <c r="K72" s="146">
        <f ca="1">IF(H72=0,0,((H72/B24)^2))</f>
        <v>1</v>
      </c>
    </row>
    <row r="73" spans="7:11" x14ac:dyDescent="0.25">
      <c r="G73" s="151" t="s">
        <v>209</v>
      </c>
      <c r="K73" s="143"/>
    </row>
    <row r="74" spans="7:11" x14ac:dyDescent="0.25">
      <c r="G74" s="150" t="s">
        <v>260</v>
      </c>
      <c r="H74">
        <f ca="1">COUNTIF(OFFSET(Lekeitio_2_4b_raw!A2,0,0,D9-B9+1,1),"1001")</f>
        <v>2</v>
      </c>
      <c r="I74" s="32">
        <f ca="1">(H74/SUM(H15:H74))*100</f>
        <v>3.125</v>
      </c>
      <c r="J74" s="32"/>
      <c r="K74" s="146">
        <f ca="1">IF(H74=0,0,((H74/B25)^2))</f>
        <v>1</v>
      </c>
    </row>
    <row r="75" spans="7:11" ht="15.75" thickBot="1" x14ac:dyDescent="0.3">
      <c r="G75" s="153" t="s">
        <v>285</v>
      </c>
      <c r="H75" s="51">
        <f ca="1">SUM(H16:H74)</f>
        <v>64</v>
      </c>
      <c r="I75" s="51">
        <f ca="1">SUM(I16:I74)</f>
        <v>100</v>
      </c>
      <c r="J75" s="40"/>
      <c r="K75" s="144"/>
    </row>
    <row r="76" spans="7:11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5703125" bestFit="1" customWidth="1"/>
    <col min="6" max="6" width="43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18">
        <v>303</v>
      </c>
      <c r="B2" s="38"/>
      <c r="C2" s="53">
        <v>300</v>
      </c>
      <c r="D2" s="53" t="s">
        <v>339</v>
      </c>
      <c r="E2" s="53" t="s">
        <v>409</v>
      </c>
      <c r="F2" s="53" t="s">
        <v>410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408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29"/>
    </row>
    <row r="3" spans="1:34" x14ac:dyDescent="0.25">
      <c r="A3" s="121">
        <v>102</v>
      </c>
      <c r="B3" s="31"/>
      <c r="C3">
        <v>100</v>
      </c>
      <c r="E3" t="s">
        <v>409</v>
      </c>
      <c r="F3" t="s">
        <v>410</v>
      </c>
      <c r="H3" t="s">
        <v>333</v>
      </c>
      <c r="I3" t="s">
        <v>334</v>
      </c>
      <c r="J3" t="s">
        <v>335</v>
      </c>
      <c r="N3" t="s">
        <v>408</v>
      </c>
      <c r="AH3" s="126"/>
    </row>
    <row r="4" spans="1:34" x14ac:dyDescent="0.25">
      <c r="A4" s="121">
        <v>303</v>
      </c>
      <c r="B4" s="31"/>
      <c r="C4">
        <v>300</v>
      </c>
      <c r="E4" t="s">
        <v>409</v>
      </c>
      <c r="F4" t="s">
        <v>410</v>
      </c>
      <c r="H4" t="s">
        <v>333</v>
      </c>
      <c r="I4" t="s">
        <v>334</v>
      </c>
      <c r="J4" t="s">
        <v>335</v>
      </c>
      <c r="N4" t="s">
        <v>408</v>
      </c>
      <c r="AH4" s="126"/>
    </row>
    <row r="5" spans="1:34" x14ac:dyDescent="0.25">
      <c r="A5" s="121">
        <v>1001</v>
      </c>
      <c r="B5" s="31"/>
      <c r="C5">
        <v>1000</v>
      </c>
      <c r="E5" t="s">
        <v>409</v>
      </c>
      <c r="F5" t="s">
        <v>410</v>
      </c>
      <c r="H5" t="s">
        <v>333</v>
      </c>
      <c r="I5" t="s">
        <v>334</v>
      </c>
      <c r="J5" t="s">
        <v>335</v>
      </c>
      <c r="N5" t="s">
        <v>408</v>
      </c>
      <c r="AH5" s="126"/>
    </row>
    <row r="6" spans="1:34" x14ac:dyDescent="0.25">
      <c r="A6" s="121">
        <v>1001</v>
      </c>
      <c r="B6" s="31"/>
      <c r="C6">
        <v>1000</v>
      </c>
      <c r="E6" t="s">
        <v>409</v>
      </c>
      <c r="F6" t="s">
        <v>410</v>
      </c>
      <c r="H6" t="s">
        <v>333</v>
      </c>
      <c r="I6" t="s">
        <v>334</v>
      </c>
      <c r="J6" t="s">
        <v>335</v>
      </c>
      <c r="N6" t="s">
        <v>408</v>
      </c>
      <c r="AH6" s="126"/>
    </row>
    <row r="7" spans="1:34" x14ac:dyDescent="0.25">
      <c r="A7" s="121">
        <v>1001</v>
      </c>
      <c r="B7" s="31"/>
      <c r="C7">
        <v>1000</v>
      </c>
      <c r="E7" t="s">
        <v>409</v>
      </c>
      <c r="F7" t="s">
        <v>410</v>
      </c>
      <c r="H7" t="s">
        <v>333</v>
      </c>
      <c r="I7" t="s">
        <v>334</v>
      </c>
      <c r="J7" t="s">
        <v>335</v>
      </c>
      <c r="N7" t="s">
        <v>408</v>
      </c>
      <c r="AH7" s="126"/>
    </row>
    <row r="8" spans="1:34" x14ac:dyDescent="0.25">
      <c r="A8" s="121">
        <v>1001</v>
      </c>
      <c r="B8" s="31"/>
      <c r="C8">
        <v>1000</v>
      </c>
      <c r="E8" t="s">
        <v>409</v>
      </c>
      <c r="F8" t="s">
        <v>410</v>
      </c>
      <c r="H8" t="s">
        <v>333</v>
      </c>
      <c r="I8" t="s">
        <v>334</v>
      </c>
      <c r="J8" t="s">
        <v>335</v>
      </c>
      <c r="N8" t="s">
        <v>408</v>
      </c>
      <c r="AH8" s="126"/>
    </row>
    <row r="9" spans="1:34" x14ac:dyDescent="0.25">
      <c r="A9" s="121">
        <v>1001</v>
      </c>
      <c r="B9" s="31"/>
      <c r="C9">
        <v>1000</v>
      </c>
      <c r="E9" t="s">
        <v>409</v>
      </c>
      <c r="F9" t="s">
        <v>410</v>
      </c>
      <c r="H9" t="s">
        <v>333</v>
      </c>
      <c r="I9" t="s">
        <v>334</v>
      </c>
      <c r="J9" t="s">
        <v>335</v>
      </c>
      <c r="N9" t="s">
        <v>408</v>
      </c>
      <c r="AH9" s="126"/>
    </row>
    <row r="10" spans="1:34" x14ac:dyDescent="0.25">
      <c r="A10" s="121">
        <v>102</v>
      </c>
      <c r="B10" s="31"/>
      <c r="C10">
        <v>100</v>
      </c>
      <c r="E10" t="s">
        <v>409</v>
      </c>
      <c r="F10" t="s">
        <v>410</v>
      </c>
      <c r="H10" t="s">
        <v>333</v>
      </c>
      <c r="I10" t="s">
        <v>334</v>
      </c>
      <c r="J10" t="s">
        <v>335</v>
      </c>
      <c r="N10" t="s">
        <v>408</v>
      </c>
      <c r="AH10" s="126"/>
    </row>
    <row r="11" spans="1:34" x14ac:dyDescent="0.25">
      <c r="A11" s="121">
        <v>501</v>
      </c>
      <c r="B11" s="31"/>
      <c r="C11">
        <v>500</v>
      </c>
      <c r="E11" t="s">
        <v>409</v>
      </c>
      <c r="F11" t="s">
        <v>410</v>
      </c>
      <c r="H11" t="s">
        <v>333</v>
      </c>
      <c r="I11" t="s">
        <v>334</v>
      </c>
      <c r="J11" t="s">
        <v>335</v>
      </c>
      <c r="N11" t="s">
        <v>408</v>
      </c>
      <c r="AH11" s="126"/>
    </row>
    <row r="12" spans="1:34" x14ac:dyDescent="0.25">
      <c r="A12" s="121">
        <v>501</v>
      </c>
      <c r="B12" s="31"/>
      <c r="C12">
        <v>500</v>
      </c>
      <c r="E12" t="s">
        <v>409</v>
      </c>
      <c r="F12" t="s">
        <v>410</v>
      </c>
      <c r="H12" t="s">
        <v>333</v>
      </c>
      <c r="I12" t="s">
        <v>334</v>
      </c>
      <c r="J12" t="s">
        <v>335</v>
      </c>
      <c r="N12" t="s">
        <v>408</v>
      </c>
      <c r="AH12" s="126"/>
    </row>
    <row r="13" spans="1:34" x14ac:dyDescent="0.25">
      <c r="A13" s="121">
        <v>1001</v>
      </c>
      <c r="B13" s="31"/>
      <c r="C13">
        <v>1000</v>
      </c>
      <c r="E13" t="s">
        <v>409</v>
      </c>
      <c r="F13" t="s">
        <v>410</v>
      </c>
      <c r="H13" t="s">
        <v>333</v>
      </c>
      <c r="I13" t="s">
        <v>334</v>
      </c>
      <c r="J13" t="s">
        <v>335</v>
      </c>
      <c r="N13" t="s">
        <v>408</v>
      </c>
      <c r="AH13" s="126"/>
    </row>
    <row r="14" spans="1:34" x14ac:dyDescent="0.25">
      <c r="A14" s="121">
        <v>1001</v>
      </c>
      <c r="B14" s="31"/>
      <c r="C14">
        <v>1000</v>
      </c>
      <c r="E14" t="s">
        <v>409</v>
      </c>
      <c r="F14" t="s">
        <v>410</v>
      </c>
      <c r="H14" t="s">
        <v>333</v>
      </c>
      <c r="I14" t="s">
        <v>334</v>
      </c>
      <c r="J14" t="s">
        <v>335</v>
      </c>
      <c r="N14" t="s">
        <v>408</v>
      </c>
      <c r="AH14" s="126"/>
    </row>
    <row r="15" spans="1:34" x14ac:dyDescent="0.25">
      <c r="A15" s="121">
        <v>1001</v>
      </c>
      <c r="B15" s="31"/>
      <c r="C15">
        <v>1000</v>
      </c>
      <c r="E15" t="s">
        <v>409</v>
      </c>
      <c r="F15" t="s">
        <v>410</v>
      </c>
      <c r="H15" t="s">
        <v>333</v>
      </c>
      <c r="I15" t="s">
        <v>334</v>
      </c>
      <c r="J15" t="s">
        <v>335</v>
      </c>
      <c r="N15" t="s">
        <v>408</v>
      </c>
      <c r="AH15" s="126"/>
    </row>
    <row r="16" spans="1:34" x14ac:dyDescent="0.25">
      <c r="A16" s="121">
        <v>1001</v>
      </c>
      <c r="B16" s="31"/>
      <c r="C16">
        <v>1000</v>
      </c>
      <c r="E16" t="s">
        <v>409</v>
      </c>
      <c r="F16" t="s">
        <v>410</v>
      </c>
      <c r="H16" t="s">
        <v>333</v>
      </c>
      <c r="I16" t="s">
        <v>334</v>
      </c>
      <c r="J16" t="s">
        <v>335</v>
      </c>
      <c r="N16" t="s">
        <v>408</v>
      </c>
      <c r="AH16" s="126"/>
    </row>
    <row r="17" spans="1:34" x14ac:dyDescent="0.25">
      <c r="A17" s="121">
        <v>102</v>
      </c>
      <c r="B17" s="31"/>
      <c r="C17">
        <v>100</v>
      </c>
      <c r="E17" t="s">
        <v>409</v>
      </c>
      <c r="F17" t="s">
        <v>410</v>
      </c>
      <c r="H17" t="s">
        <v>333</v>
      </c>
      <c r="I17" t="s">
        <v>334</v>
      </c>
      <c r="J17" t="s">
        <v>335</v>
      </c>
      <c r="N17" t="s">
        <v>408</v>
      </c>
      <c r="AH17" s="126"/>
    </row>
    <row r="18" spans="1:34" x14ac:dyDescent="0.25">
      <c r="A18" s="121">
        <v>1001</v>
      </c>
      <c r="B18" s="31"/>
      <c r="C18">
        <v>1000</v>
      </c>
      <c r="E18" t="s">
        <v>409</v>
      </c>
      <c r="F18" t="s">
        <v>410</v>
      </c>
      <c r="H18" t="s">
        <v>333</v>
      </c>
      <c r="I18" t="s">
        <v>334</v>
      </c>
      <c r="J18" t="s">
        <v>335</v>
      </c>
      <c r="N18" t="s">
        <v>408</v>
      </c>
      <c r="AH18" s="126"/>
    </row>
    <row r="19" spans="1:34" x14ac:dyDescent="0.25">
      <c r="A19" s="121">
        <v>501</v>
      </c>
      <c r="B19" s="31"/>
      <c r="C19">
        <v>500</v>
      </c>
      <c r="E19" t="s">
        <v>409</v>
      </c>
      <c r="F19" t="s">
        <v>410</v>
      </c>
      <c r="H19" t="s">
        <v>333</v>
      </c>
      <c r="I19" t="s">
        <v>334</v>
      </c>
      <c r="J19" t="s">
        <v>335</v>
      </c>
      <c r="N19" t="s">
        <v>408</v>
      </c>
      <c r="AH19" s="126"/>
    </row>
    <row r="20" spans="1:34" x14ac:dyDescent="0.25">
      <c r="A20" s="121">
        <v>703</v>
      </c>
      <c r="B20" s="31"/>
      <c r="C20">
        <v>700</v>
      </c>
      <c r="E20" t="s">
        <v>409</v>
      </c>
      <c r="F20" t="s">
        <v>410</v>
      </c>
      <c r="H20" t="s">
        <v>333</v>
      </c>
      <c r="I20" t="s">
        <v>334</v>
      </c>
      <c r="J20" t="s">
        <v>335</v>
      </c>
      <c r="N20" t="s">
        <v>408</v>
      </c>
      <c r="AH20" s="126"/>
    </row>
    <row r="21" spans="1:34" x14ac:dyDescent="0.25">
      <c r="A21" s="121">
        <v>903</v>
      </c>
      <c r="B21" s="31"/>
      <c r="C21">
        <v>900</v>
      </c>
      <c r="E21" t="s">
        <v>409</v>
      </c>
      <c r="F21" t="s">
        <v>410</v>
      </c>
      <c r="H21" t="s">
        <v>333</v>
      </c>
      <c r="I21" t="s">
        <v>334</v>
      </c>
      <c r="J21" t="s">
        <v>335</v>
      </c>
      <c r="N21" t="s">
        <v>408</v>
      </c>
      <c r="AH21" s="126"/>
    </row>
    <row r="22" spans="1:34" x14ac:dyDescent="0.25">
      <c r="A22" s="121">
        <v>1001</v>
      </c>
      <c r="B22" s="31"/>
      <c r="C22">
        <v>1000</v>
      </c>
      <c r="E22" t="s">
        <v>409</v>
      </c>
      <c r="F22" t="s">
        <v>410</v>
      </c>
      <c r="H22" t="s">
        <v>333</v>
      </c>
      <c r="I22" t="s">
        <v>334</v>
      </c>
      <c r="J22" t="s">
        <v>335</v>
      </c>
      <c r="N22" t="s">
        <v>408</v>
      </c>
      <c r="AH22" s="126"/>
    </row>
    <row r="23" spans="1:34" x14ac:dyDescent="0.25">
      <c r="A23" s="121">
        <v>102</v>
      </c>
      <c r="B23" s="31"/>
      <c r="C23">
        <v>100</v>
      </c>
      <c r="E23" t="s">
        <v>409</v>
      </c>
      <c r="F23" t="s">
        <v>410</v>
      </c>
      <c r="H23" t="s">
        <v>333</v>
      </c>
      <c r="I23" t="s">
        <v>334</v>
      </c>
      <c r="J23" t="s">
        <v>335</v>
      </c>
      <c r="N23" t="s">
        <v>408</v>
      </c>
      <c r="AH23" s="126"/>
    </row>
    <row r="24" spans="1:34" x14ac:dyDescent="0.25">
      <c r="A24" s="121">
        <v>102</v>
      </c>
      <c r="B24" s="31"/>
      <c r="C24">
        <v>100</v>
      </c>
      <c r="E24" t="s">
        <v>409</v>
      </c>
      <c r="F24" t="s">
        <v>410</v>
      </c>
      <c r="H24" t="s">
        <v>333</v>
      </c>
      <c r="I24" t="s">
        <v>334</v>
      </c>
      <c r="J24" t="s">
        <v>335</v>
      </c>
      <c r="N24" t="s">
        <v>408</v>
      </c>
      <c r="AH24" s="126"/>
    </row>
    <row r="25" spans="1:34" x14ac:dyDescent="0.25">
      <c r="A25" s="121">
        <v>102</v>
      </c>
      <c r="B25" s="31"/>
      <c r="C25">
        <v>100</v>
      </c>
      <c r="E25" t="s">
        <v>409</v>
      </c>
      <c r="F25" t="s">
        <v>410</v>
      </c>
      <c r="H25" t="s">
        <v>333</v>
      </c>
      <c r="I25" t="s">
        <v>334</v>
      </c>
      <c r="J25" t="s">
        <v>335</v>
      </c>
      <c r="N25" t="s">
        <v>408</v>
      </c>
      <c r="AH25" s="126"/>
    </row>
    <row r="26" spans="1:34" x14ac:dyDescent="0.25">
      <c r="A26" s="121">
        <v>501</v>
      </c>
      <c r="B26" s="31"/>
      <c r="C26">
        <v>500</v>
      </c>
      <c r="E26" t="s">
        <v>409</v>
      </c>
      <c r="F26" t="s">
        <v>410</v>
      </c>
      <c r="H26" t="s">
        <v>333</v>
      </c>
      <c r="I26" t="s">
        <v>334</v>
      </c>
      <c r="J26" t="s">
        <v>335</v>
      </c>
      <c r="N26" t="s">
        <v>408</v>
      </c>
      <c r="AH26" s="126"/>
    </row>
    <row r="27" spans="1:34" x14ac:dyDescent="0.25">
      <c r="A27" s="121">
        <v>501</v>
      </c>
      <c r="B27" s="31"/>
      <c r="C27">
        <v>500</v>
      </c>
      <c r="E27" t="s">
        <v>409</v>
      </c>
      <c r="F27" t="s">
        <v>410</v>
      </c>
      <c r="H27" t="s">
        <v>333</v>
      </c>
      <c r="I27" t="s">
        <v>334</v>
      </c>
      <c r="J27" t="s">
        <v>335</v>
      </c>
      <c r="N27" t="s">
        <v>408</v>
      </c>
      <c r="AH27" s="126"/>
    </row>
    <row r="28" spans="1:34" x14ac:dyDescent="0.25">
      <c r="A28" s="121">
        <v>501</v>
      </c>
      <c r="B28" s="31"/>
      <c r="C28">
        <v>500</v>
      </c>
      <c r="E28" t="s">
        <v>409</v>
      </c>
      <c r="F28" t="s">
        <v>410</v>
      </c>
      <c r="H28" t="s">
        <v>333</v>
      </c>
      <c r="I28" t="s">
        <v>334</v>
      </c>
      <c r="J28" t="s">
        <v>335</v>
      </c>
      <c r="N28" t="s">
        <v>408</v>
      </c>
      <c r="AH28" s="126"/>
    </row>
    <row r="29" spans="1:34" x14ac:dyDescent="0.25">
      <c r="A29" s="121">
        <v>501</v>
      </c>
      <c r="B29" s="31"/>
      <c r="C29">
        <v>500</v>
      </c>
      <c r="E29" t="s">
        <v>409</v>
      </c>
      <c r="F29" t="s">
        <v>410</v>
      </c>
      <c r="H29" t="s">
        <v>333</v>
      </c>
      <c r="I29" t="s">
        <v>334</v>
      </c>
      <c r="J29" t="s">
        <v>335</v>
      </c>
      <c r="N29" t="s">
        <v>408</v>
      </c>
      <c r="AH29" s="126"/>
    </row>
    <row r="30" spans="1:34" x14ac:dyDescent="0.25">
      <c r="A30" s="121">
        <v>102</v>
      </c>
      <c r="B30" s="31"/>
      <c r="C30">
        <v>100</v>
      </c>
      <c r="E30" t="s">
        <v>409</v>
      </c>
      <c r="F30" t="s">
        <v>410</v>
      </c>
      <c r="H30" t="s">
        <v>333</v>
      </c>
      <c r="I30" t="s">
        <v>334</v>
      </c>
      <c r="J30" t="s">
        <v>335</v>
      </c>
      <c r="N30" t="s">
        <v>408</v>
      </c>
      <c r="AH30" s="126"/>
    </row>
    <row r="31" spans="1:34" x14ac:dyDescent="0.25">
      <c r="A31" s="121">
        <v>102</v>
      </c>
      <c r="B31" s="31"/>
      <c r="C31">
        <v>100</v>
      </c>
      <c r="E31" t="s">
        <v>409</v>
      </c>
      <c r="F31" t="s">
        <v>410</v>
      </c>
      <c r="H31" t="s">
        <v>333</v>
      </c>
      <c r="I31" t="s">
        <v>334</v>
      </c>
      <c r="J31" t="s">
        <v>335</v>
      </c>
      <c r="N31" t="s">
        <v>408</v>
      </c>
      <c r="AH31" s="126"/>
    </row>
    <row r="32" spans="1:34" x14ac:dyDescent="0.25">
      <c r="A32" s="121">
        <v>501</v>
      </c>
      <c r="B32" s="31"/>
      <c r="C32">
        <v>500</v>
      </c>
      <c r="E32" t="s">
        <v>409</v>
      </c>
      <c r="F32" t="s">
        <v>410</v>
      </c>
      <c r="H32" t="s">
        <v>333</v>
      </c>
      <c r="I32" t="s">
        <v>334</v>
      </c>
      <c r="J32" t="s">
        <v>335</v>
      </c>
      <c r="N32" t="s">
        <v>408</v>
      </c>
      <c r="AH32" s="126"/>
    </row>
    <row r="33" spans="1:34" x14ac:dyDescent="0.25">
      <c r="A33" s="121">
        <v>102</v>
      </c>
      <c r="B33" s="31"/>
      <c r="C33">
        <v>100</v>
      </c>
      <c r="E33" t="s">
        <v>409</v>
      </c>
      <c r="F33" t="s">
        <v>410</v>
      </c>
      <c r="H33" t="s">
        <v>333</v>
      </c>
      <c r="I33" t="s">
        <v>334</v>
      </c>
      <c r="J33" t="s">
        <v>335</v>
      </c>
      <c r="N33" t="s">
        <v>408</v>
      </c>
      <c r="AH33" s="126"/>
    </row>
    <row r="34" spans="1:34" x14ac:dyDescent="0.25">
      <c r="A34" s="121">
        <v>102</v>
      </c>
      <c r="B34" s="31"/>
      <c r="C34">
        <v>100</v>
      </c>
      <c r="E34" t="s">
        <v>409</v>
      </c>
      <c r="F34" t="s">
        <v>410</v>
      </c>
      <c r="H34" t="s">
        <v>333</v>
      </c>
      <c r="I34" t="s">
        <v>334</v>
      </c>
      <c r="J34" t="s">
        <v>335</v>
      </c>
      <c r="N34" t="s">
        <v>408</v>
      </c>
      <c r="AH34" s="126"/>
    </row>
    <row r="35" spans="1:34" x14ac:dyDescent="0.25">
      <c r="A35" s="121">
        <v>501</v>
      </c>
      <c r="B35" s="31"/>
      <c r="C35">
        <v>500</v>
      </c>
      <c r="E35" t="s">
        <v>409</v>
      </c>
      <c r="F35" t="s">
        <v>410</v>
      </c>
      <c r="H35" t="s">
        <v>333</v>
      </c>
      <c r="I35" t="s">
        <v>334</v>
      </c>
      <c r="J35" t="s">
        <v>335</v>
      </c>
      <c r="N35" t="s">
        <v>408</v>
      </c>
      <c r="AH35" s="126"/>
    </row>
    <row r="36" spans="1:34" x14ac:dyDescent="0.25">
      <c r="A36" s="121">
        <v>903</v>
      </c>
      <c r="B36" s="31"/>
      <c r="C36">
        <v>900</v>
      </c>
      <c r="E36" t="s">
        <v>409</v>
      </c>
      <c r="F36" t="s">
        <v>410</v>
      </c>
      <c r="H36" t="s">
        <v>333</v>
      </c>
      <c r="I36" t="s">
        <v>334</v>
      </c>
      <c r="J36" t="s">
        <v>335</v>
      </c>
      <c r="N36" t="s">
        <v>408</v>
      </c>
      <c r="AH36" s="126"/>
    </row>
    <row r="37" spans="1:34" x14ac:dyDescent="0.25">
      <c r="A37" s="121">
        <v>501</v>
      </c>
      <c r="B37" s="31"/>
      <c r="C37">
        <v>500</v>
      </c>
      <c r="E37" t="s">
        <v>409</v>
      </c>
      <c r="F37" t="s">
        <v>410</v>
      </c>
      <c r="H37" t="s">
        <v>333</v>
      </c>
      <c r="I37" t="s">
        <v>334</v>
      </c>
      <c r="J37" t="s">
        <v>335</v>
      </c>
      <c r="N37" t="s">
        <v>408</v>
      </c>
      <c r="AH37" s="126"/>
    </row>
    <row r="38" spans="1:34" x14ac:dyDescent="0.25">
      <c r="A38" s="121">
        <v>501</v>
      </c>
      <c r="B38" s="31"/>
      <c r="C38">
        <v>500</v>
      </c>
      <c r="E38" t="s">
        <v>409</v>
      </c>
      <c r="F38" t="s">
        <v>410</v>
      </c>
      <c r="H38" t="s">
        <v>333</v>
      </c>
      <c r="I38" t="s">
        <v>334</v>
      </c>
      <c r="J38" t="s">
        <v>335</v>
      </c>
      <c r="N38" t="s">
        <v>408</v>
      </c>
      <c r="AH38" s="126"/>
    </row>
    <row r="39" spans="1:34" x14ac:dyDescent="0.25">
      <c r="A39" s="121">
        <v>501</v>
      </c>
      <c r="B39" s="31"/>
      <c r="C39">
        <v>500</v>
      </c>
      <c r="E39" t="s">
        <v>409</v>
      </c>
      <c r="F39" t="s">
        <v>410</v>
      </c>
      <c r="H39" t="s">
        <v>333</v>
      </c>
      <c r="I39" t="s">
        <v>334</v>
      </c>
      <c r="J39" t="s">
        <v>335</v>
      </c>
      <c r="N39" t="s">
        <v>408</v>
      </c>
      <c r="AH39" s="126"/>
    </row>
    <row r="40" spans="1:34" x14ac:dyDescent="0.25">
      <c r="A40" s="121">
        <v>501</v>
      </c>
      <c r="B40" s="31"/>
      <c r="C40">
        <v>500</v>
      </c>
      <c r="E40" t="s">
        <v>409</v>
      </c>
      <c r="F40" t="s">
        <v>410</v>
      </c>
      <c r="H40" t="s">
        <v>333</v>
      </c>
      <c r="I40" t="s">
        <v>334</v>
      </c>
      <c r="J40" t="s">
        <v>335</v>
      </c>
      <c r="N40" t="s">
        <v>408</v>
      </c>
      <c r="AH40" s="126"/>
    </row>
    <row r="41" spans="1:34" x14ac:dyDescent="0.25">
      <c r="A41" s="121">
        <v>102</v>
      </c>
      <c r="B41" s="31"/>
      <c r="C41">
        <v>100</v>
      </c>
      <c r="E41" t="s">
        <v>409</v>
      </c>
      <c r="F41" t="s">
        <v>410</v>
      </c>
      <c r="H41" t="s">
        <v>333</v>
      </c>
      <c r="I41" t="s">
        <v>334</v>
      </c>
      <c r="J41" t="s">
        <v>335</v>
      </c>
      <c r="N41" t="s">
        <v>408</v>
      </c>
      <c r="AH41" s="126"/>
    </row>
    <row r="42" spans="1:34" x14ac:dyDescent="0.25">
      <c r="A42" s="121">
        <v>501</v>
      </c>
      <c r="B42" s="31"/>
      <c r="C42">
        <v>500</v>
      </c>
      <c r="E42" t="s">
        <v>409</v>
      </c>
      <c r="F42" t="s">
        <v>410</v>
      </c>
      <c r="H42" t="s">
        <v>333</v>
      </c>
      <c r="I42" t="s">
        <v>334</v>
      </c>
      <c r="J42" t="s">
        <v>335</v>
      </c>
      <c r="N42" t="s">
        <v>408</v>
      </c>
      <c r="AH42" s="126"/>
    </row>
    <row r="43" spans="1:34" x14ac:dyDescent="0.25">
      <c r="A43" s="121">
        <v>501</v>
      </c>
      <c r="B43" s="31"/>
      <c r="C43">
        <v>500</v>
      </c>
      <c r="E43" t="s">
        <v>409</v>
      </c>
      <c r="F43" t="s">
        <v>410</v>
      </c>
      <c r="H43" t="s">
        <v>333</v>
      </c>
      <c r="I43" t="s">
        <v>334</v>
      </c>
      <c r="J43" t="s">
        <v>335</v>
      </c>
      <c r="N43" t="s">
        <v>408</v>
      </c>
      <c r="AH43" s="126"/>
    </row>
    <row r="44" spans="1:34" x14ac:dyDescent="0.25">
      <c r="A44" s="121">
        <v>501</v>
      </c>
      <c r="B44" s="31"/>
      <c r="C44">
        <v>500</v>
      </c>
      <c r="E44" t="s">
        <v>409</v>
      </c>
      <c r="F44" t="s">
        <v>410</v>
      </c>
      <c r="H44" t="s">
        <v>333</v>
      </c>
      <c r="I44" t="s">
        <v>334</v>
      </c>
      <c r="J44" t="s">
        <v>335</v>
      </c>
      <c r="N44" t="s">
        <v>408</v>
      </c>
      <c r="AH44" s="126"/>
    </row>
    <row r="45" spans="1:34" x14ac:dyDescent="0.25">
      <c r="A45" s="121">
        <v>501</v>
      </c>
      <c r="B45" s="31"/>
      <c r="C45">
        <v>500</v>
      </c>
      <c r="E45" t="s">
        <v>409</v>
      </c>
      <c r="F45" t="s">
        <v>410</v>
      </c>
      <c r="H45" t="s">
        <v>333</v>
      </c>
      <c r="I45" t="s">
        <v>334</v>
      </c>
      <c r="J45" t="s">
        <v>335</v>
      </c>
      <c r="N45" t="s">
        <v>408</v>
      </c>
      <c r="AH45" s="126"/>
    </row>
    <row r="46" spans="1:34" x14ac:dyDescent="0.25">
      <c r="A46" s="121">
        <v>501</v>
      </c>
      <c r="B46" s="31"/>
      <c r="C46">
        <v>500</v>
      </c>
      <c r="E46" t="s">
        <v>409</v>
      </c>
      <c r="F46" t="s">
        <v>410</v>
      </c>
      <c r="H46" t="s">
        <v>333</v>
      </c>
      <c r="I46" t="s">
        <v>334</v>
      </c>
      <c r="J46" t="s">
        <v>335</v>
      </c>
      <c r="N46" t="s">
        <v>408</v>
      </c>
      <c r="AH46" s="126"/>
    </row>
    <row r="47" spans="1:34" x14ac:dyDescent="0.25">
      <c r="A47" s="121">
        <v>501</v>
      </c>
      <c r="B47" s="31"/>
      <c r="C47">
        <v>500</v>
      </c>
      <c r="E47" t="s">
        <v>409</v>
      </c>
      <c r="F47" t="s">
        <v>410</v>
      </c>
      <c r="H47" t="s">
        <v>333</v>
      </c>
      <c r="I47" t="s">
        <v>334</v>
      </c>
      <c r="J47" t="s">
        <v>335</v>
      </c>
      <c r="N47" t="s">
        <v>408</v>
      </c>
      <c r="AH47" s="126"/>
    </row>
    <row r="48" spans="1:34" x14ac:dyDescent="0.25">
      <c r="A48" s="121">
        <v>501</v>
      </c>
      <c r="B48" s="31"/>
      <c r="C48">
        <v>500</v>
      </c>
      <c r="E48" t="s">
        <v>409</v>
      </c>
      <c r="F48" t="s">
        <v>410</v>
      </c>
      <c r="H48" t="s">
        <v>333</v>
      </c>
      <c r="I48" t="s">
        <v>334</v>
      </c>
      <c r="J48" t="s">
        <v>335</v>
      </c>
      <c r="N48" t="s">
        <v>408</v>
      </c>
      <c r="AH48" s="126"/>
    </row>
    <row r="49" spans="1:34" x14ac:dyDescent="0.25">
      <c r="A49" s="121">
        <v>303</v>
      </c>
      <c r="B49" s="31"/>
      <c r="C49">
        <v>300</v>
      </c>
      <c r="E49" t="s">
        <v>409</v>
      </c>
      <c r="F49" t="s">
        <v>410</v>
      </c>
      <c r="H49" t="s">
        <v>333</v>
      </c>
      <c r="I49" t="s">
        <v>334</v>
      </c>
      <c r="J49" t="s">
        <v>335</v>
      </c>
      <c r="N49" t="s">
        <v>408</v>
      </c>
      <c r="AH49" s="126"/>
    </row>
    <row r="50" spans="1:34" x14ac:dyDescent="0.25">
      <c r="A50" s="121">
        <v>501</v>
      </c>
      <c r="B50" s="31"/>
      <c r="C50">
        <v>500</v>
      </c>
      <c r="E50" t="s">
        <v>409</v>
      </c>
      <c r="F50" t="s">
        <v>410</v>
      </c>
      <c r="H50" t="s">
        <v>333</v>
      </c>
      <c r="I50" t="s">
        <v>334</v>
      </c>
      <c r="J50" t="s">
        <v>335</v>
      </c>
      <c r="N50" t="s">
        <v>408</v>
      </c>
      <c r="AH50" s="126"/>
    </row>
    <row r="51" spans="1:34" x14ac:dyDescent="0.25">
      <c r="A51" s="121">
        <v>102</v>
      </c>
      <c r="B51" s="31"/>
      <c r="C51">
        <v>100</v>
      </c>
      <c r="E51" t="s">
        <v>409</v>
      </c>
      <c r="F51" t="s">
        <v>410</v>
      </c>
      <c r="H51" t="s">
        <v>333</v>
      </c>
      <c r="I51" t="s">
        <v>334</v>
      </c>
      <c r="J51" t="s">
        <v>335</v>
      </c>
      <c r="N51" t="s">
        <v>408</v>
      </c>
      <c r="AH51" s="126"/>
    </row>
    <row r="52" spans="1:34" x14ac:dyDescent="0.25">
      <c r="A52" s="121">
        <v>501</v>
      </c>
      <c r="B52" s="31"/>
      <c r="C52">
        <v>500</v>
      </c>
      <c r="E52" t="s">
        <v>409</v>
      </c>
      <c r="F52" t="s">
        <v>410</v>
      </c>
      <c r="H52" t="s">
        <v>333</v>
      </c>
      <c r="I52" t="s">
        <v>334</v>
      </c>
      <c r="J52" t="s">
        <v>335</v>
      </c>
      <c r="N52" t="s">
        <v>408</v>
      </c>
      <c r="AH52" s="126"/>
    </row>
    <row r="53" spans="1:34" x14ac:dyDescent="0.25">
      <c r="A53" s="121">
        <v>501</v>
      </c>
      <c r="B53" s="31"/>
      <c r="C53">
        <v>500</v>
      </c>
      <c r="E53" t="s">
        <v>409</v>
      </c>
      <c r="F53" t="s">
        <v>410</v>
      </c>
      <c r="H53" t="s">
        <v>333</v>
      </c>
      <c r="I53" t="s">
        <v>334</v>
      </c>
      <c r="J53" t="s">
        <v>335</v>
      </c>
      <c r="N53" t="s">
        <v>408</v>
      </c>
      <c r="AH53" s="126"/>
    </row>
    <row r="54" spans="1:34" x14ac:dyDescent="0.25">
      <c r="A54" s="121">
        <v>903</v>
      </c>
      <c r="B54" s="31"/>
      <c r="C54">
        <v>900</v>
      </c>
      <c r="E54" t="s">
        <v>409</v>
      </c>
      <c r="F54" t="s">
        <v>410</v>
      </c>
      <c r="H54" t="s">
        <v>333</v>
      </c>
      <c r="I54" t="s">
        <v>334</v>
      </c>
      <c r="J54" t="s">
        <v>335</v>
      </c>
      <c r="N54" t="s">
        <v>408</v>
      </c>
      <c r="AH54" s="126"/>
    </row>
    <row r="55" spans="1:34" x14ac:dyDescent="0.25">
      <c r="A55" s="121">
        <v>903</v>
      </c>
      <c r="B55" s="31"/>
      <c r="C55">
        <v>900</v>
      </c>
      <c r="E55" t="s">
        <v>409</v>
      </c>
      <c r="F55" t="s">
        <v>410</v>
      </c>
      <c r="H55" t="s">
        <v>333</v>
      </c>
      <c r="I55" t="s">
        <v>334</v>
      </c>
      <c r="J55" t="s">
        <v>335</v>
      </c>
      <c r="N55" t="s">
        <v>408</v>
      </c>
      <c r="AH55" s="126"/>
    </row>
    <row r="56" spans="1:34" x14ac:dyDescent="0.25">
      <c r="A56" s="121">
        <v>501</v>
      </c>
      <c r="B56" s="31"/>
      <c r="C56">
        <v>500</v>
      </c>
      <c r="E56" t="s">
        <v>409</v>
      </c>
      <c r="F56" t="s">
        <v>410</v>
      </c>
      <c r="H56" t="s">
        <v>333</v>
      </c>
      <c r="I56" t="s">
        <v>334</v>
      </c>
      <c r="J56" t="s">
        <v>335</v>
      </c>
      <c r="N56" t="s">
        <v>408</v>
      </c>
      <c r="AH56" s="126"/>
    </row>
    <row r="57" spans="1:34" x14ac:dyDescent="0.25">
      <c r="A57" s="121">
        <v>501</v>
      </c>
      <c r="B57" s="31"/>
      <c r="C57">
        <v>500</v>
      </c>
      <c r="E57" t="s">
        <v>409</v>
      </c>
      <c r="F57" t="s">
        <v>410</v>
      </c>
      <c r="H57" t="s">
        <v>333</v>
      </c>
      <c r="I57" t="s">
        <v>334</v>
      </c>
      <c r="J57" t="s">
        <v>335</v>
      </c>
      <c r="N57" t="s">
        <v>408</v>
      </c>
      <c r="AH57" s="126"/>
    </row>
    <row r="58" spans="1:34" x14ac:dyDescent="0.25">
      <c r="A58" s="121">
        <v>102</v>
      </c>
      <c r="B58" s="31"/>
      <c r="C58">
        <v>100</v>
      </c>
      <c r="E58" t="s">
        <v>409</v>
      </c>
      <c r="F58" t="s">
        <v>410</v>
      </c>
      <c r="H58" t="s">
        <v>333</v>
      </c>
      <c r="I58" t="s">
        <v>334</v>
      </c>
      <c r="J58" t="s">
        <v>335</v>
      </c>
      <c r="N58" t="s">
        <v>408</v>
      </c>
      <c r="AH58" s="126"/>
    </row>
    <row r="59" spans="1:34" x14ac:dyDescent="0.25">
      <c r="A59" s="121">
        <v>903</v>
      </c>
      <c r="B59" s="31"/>
      <c r="C59">
        <v>900</v>
      </c>
      <c r="E59" t="s">
        <v>409</v>
      </c>
      <c r="F59" t="s">
        <v>410</v>
      </c>
      <c r="H59" t="s">
        <v>333</v>
      </c>
      <c r="I59" t="s">
        <v>334</v>
      </c>
      <c r="J59" t="s">
        <v>335</v>
      </c>
      <c r="N59" t="s">
        <v>408</v>
      </c>
      <c r="AH59" s="126"/>
    </row>
    <row r="60" spans="1:34" x14ac:dyDescent="0.25">
      <c r="A60" s="121">
        <v>501</v>
      </c>
      <c r="B60" s="31"/>
      <c r="C60">
        <v>500</v>
      </c>
      <c r="E60" t="s">
        <v>409</v>
      </c>
      <c r="F60" t="s">
        <v>410</v>
      </c>
      <c r="H60" t="s">
        <v>333</v>
      </c>
      <c r="I60" t="s">
        <v>334</v>
      </c>
      <c r="J60" t="s">
        <v>335</v>
      </c>
      <c r="N60" t="s">
        <v>408</v>
      </c>
      <c r="AH60" s="126"/>
    </row>
    <row r="61" spans="1:34" x14ac:dyDescent="0.25">
      <c r="A61" s="121">
        <v>501</v>
      </c>
      <c r="B61" s="31"/>
      <c r="C61">
        <v>500</v>
      </c>
      <c r="E61" t="s">
        <v>409</v>
      </c>
      <c r="F61" t="s">
        <v>410</v>
      </c>
      <c r="H61" t="s">
        <v>333</v>
      </c>
      <c r="I61" t="s">
        <v>334</v>
      </c>
      <c r="J61" t="s">
        <v>335</v>
      </c>
      <c r="N61" t="s">
        <v>408</v>
      </c>
      <c r="AH61" s="126"/>
    </row>
    <row r="62" spans="1:34" x14ac:dyDescent="0.25">
      <c r="A62" s="121">
        <v>501</v>
      </c>
      <c r="B62" s="31"/>
      <c r="C62">
        <v>500</v>
      </c>
      <c r="E62" t="s">
        <v>409</v>
      </c>
      <c r="F62" t="s">
        <v>410</v>
      </c>
      <c r="H62" t="s">
        <v>333</v>
      </c>
      <c r="I62" t="s">
        <v>334</v>
      </c>
      <c r="J62" t="s">
        <v>335</v>
      </c>
      <c r="N62" t="s">
        <v>408</v>
      </c>
      <c r="AH62" s="126"/>
    </row>
    <row r="63" spans="1:34" x14ac:dyDescent="0.25">
      <c r="A63" s="121">
        <v>501</v>
      </c>
      <c r="B63" s="31"/>
      <c r="C63">
        <v>500</v>
      </c>
      <c r="E63" t="s">
        <v>409</v>
      </c>
      <c r="F63" t="s">
        <v>410</v>
      </c>
      <c r="H63" t="s">
        <v>333</v>
      </c>
      <c r="I63" t="s">
        <v>334</v>
      </c>
      <c r="J63" t="s">
        <v>335</v>
      </c>
      <c r="N63" t="s">
        <v>408</v>
      </c>
      <c r="AH63" s="126"/>
    </row>
    <row r="64" spans="1:34" x14ac:dyDescent="0.25">
      <c r="A64" s="121">
        <v>501</v>
      </c>
      <c r="B64" s="31"/>
      <c r="C64">
        <v>500</v>
      </c>
      <c r="E64" t="s">
        <v>409</v>
      </c>
      <c r="F64" t="s">
        <v>410</v>
      </c>
      <c r="H64" t="s">
        <v>333</v>
      </c>
      <c r="I64" t="s">
        <v>334</v>
      </c>
      <c r="J64" t="s">
        <v>335</v>
      </c>
      <c r="N64" t="s">
        <v>408</v>
      </c>
      <c r="AH64" s="126"/>
    </row>
    <row r="65" spans="1:34" ht="15.75" thickBot="1" x14ac:dyDescent="0.3">
      <c r="A65" s="122">
        <v>102</v>
      </c>
      <c r="B65" s="39"/>
      <c r="C65" s="40">
        <v>100</v>
      </c>
      <c r="D65" s="40" t="s">
        <v>340</v>
      </c>
      <c r="E65" s="40" t="s">
        <v>409</v>
      </c>
      <c r="F65" s="40" t="s">
        <v>410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408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27"/>
    </row>
    <row r="66" spans="1:34" ht="15.75" thickTop="1" x14ac:dyDescent="0.25"/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4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COUNTA(OFFSET(Lekeitio_2_5a_raw!A2,0,0,D9-B9+1,1))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61" t="s">
        <v>319</v>
      </c>
      <c r="B15" s="33" t="s">
        <v>281</v>
      </c>
      <c r="C15" s="33" t="s">
        <v>282</v>
      </c>
      <c r="D15" s="33" t="s">
        <v>283</v>
      </c>
      <c r="E15" s="158" t="s">
        <v>284</v>
      </c>
      <c r="G15" s="161" t="s">
        <v>280</v>
      </c>
      <c r="H15" s="33" t="s">
        <v>281</v>
      </c>
      <c r="I15" s="33" t="s">
        <v>282</v>
      </c>
      <c r="J15" s="33" t="s">
        <v>283</v>
      </c>
      <c r="K15" s="158" t="s">
        <v>284</v>
      </c>
      <c r="N15">
        <v>16</v>
      </c>
    </row>
    <row r="16" spans="1:14" x14ac:dyDescent="0.25">
      <c r="A16" s="162" t="s">
        <v>320</v>
      </c>
      <c r="B16" s="35">
        <f ca="1">COUNTIF(OFFSET(Lekeitio_2_5a_raw!C2,0,0,D9-B9+1,1), "100")</f>
        <v>22</v>
      </c>
      <c r="C16" s="36">
        <f ca="1">(B16/H75)*100</f>
        <v>34.375</v>
      </c>
      <c r="D16" s="36">
        <f ca="1">SUM(J17:J34)</f>
        <v>0.99492363257177518</v>
      </c>
      <c r="E16" s="160">
        <f ca="1">1-SUM(K17:K34)</f>
        <v>0.5950413223140496</v>
      </c>
      <c r="G16" s="164" t="s">
        <v>200</v>
      </c>
      <c r="K16" s="156"/>
      <c r="N16">
        <v>75</v>
      </c>
    </row>
    <row r="17" spans="1:14" x14ac:dyDescent="0.25">
      <c r="A17" s="163" t="s">
        <v>321</v>
      </c>
      <c r="B17">
        <f ca="1">COUNTIF(OFFSET(Lekeitio_2_5a_raw!C2,0,0,D9-B9+1,1), "200")</f>
        <v>0</v>
      </c>
      <c r="C17" s="32">
        <f ca="1">(B17/H75)*100</f>
        <v>0</v>
      </c>
      <c r="D17" s="32">
        <f ca="1">SUM(J36:J37)</f>
        <v>0</v>
      </c>
      <c r="E17" s="159">
        <f ca="1">1-SUM(K36:K37)</f>
        <v>1</v>
      </c>
      <c r="G17" s="163" t="s">
        <v>212</v>
      </c>
      <c r="H17">
        <f ca="1">COUNTIF(OFFSET(Lekeitio_2_5a_raw!A2,0,0,D9-B9+1,1),"108")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59">
        <f ca="1">IF(H17=0,0,((H17/B16)^2))</f>
        <v>0</v>
      </c>
      <c r="N17">
        <v>7</v>
      </c>
    </row>
    <row r="18" spans="1:14" x14ac:dyDescent="0.25">
      <c r="A18" s="162" t="s">
        <v>322</v>
      </c>
      <c r="B18" s="35">
        <f ca="1">COUNTIF(OFFSET(Lekeitio_2_5a_raw!C2,0,0,D9-B9+1,1), "300")</f>
        <v>18</v>
      </c>
      <c r="C18" s="36">
        <f ca="1">(B18/H75)*100</f>
        <v>28.125</v>
      </c>
      <c r="D18" s="36">
        <f ca="1">SUM(J39:J44)</f>
        <v>0</v>
      </c>
      <c r="E18" s="160">
        <f ca="1">1-SUM(K39:K44)</f>
        <v>0</v>
      </c>
      <c r="G18" s="163" t="s">
        <v>213</v>
      </c>
      <c r="H18">
        <f ca="1">COUNTIF(OFFSET(Lekeitio_2_5a_raw!A2,0,0,D9-B9+1,1),"105")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59">
        <f ca="1">IF(H18=0,0,((H18/B16)^2))</f>
        <v>0</v>
      </c>
    </row>
    <row r="19" spans="1:14" x14ac:dyDescent="0.25">
      <c r="A19" s="163" t="s">
        <v>323</v>
      </c>
      <c r="B19">
        <f ca="1">COUNTIF(OFFSET(Lekeitio_2_5a_raw!C2,0,0,D9-B9+1,1), "400")</f>
        <v>0</v>
      </c>
      <c r="C19" s="32">
        <f ca="1">(B19/H75)*100</f>
        <v>0</v>
      </c>
      <c r="D19" s="32">
        <f ca="1">SUM(J46:J47)</f>
        <v>0</v>
      </c>
      <c r="E19" s="159">
        <f ca="1">1-SUM(K46:K47)</f>
        <v>1</v>
      </c>
      <c r="G19" s="163" t="s">
        <v>214</v>
      </c>
      <c r="H19">
        <f ca="1">COUNTIF(OFFSET(Lekeitio_2_5a_raw!A2,0,0,D9-B9+1,1),"103")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59">
        <f ca="1">IF(H19=0,0,((H19/B16)^2))</f>
        <v>0</v>
      </c>
    </row>
    <row r="20" spans="1:14" x14ac:dyDescent="0.25">
      <c r="A20" s="162" t="s">
        <v>324</v>
      </c>
      <c r="B20" s="35">
        <f ca="1">COUNTIF(OFFSET(Lekeitio_2_5a_raw!C2,0,0,D9-B9+1,1), "500")</f>
        <v>24</v>
      </c>
      <c r="C20" s="36">
        <f ca="1">(B20/H75)*100</f>
        <v>37.5</v>
      </c>
      <c r="D20" s="36">
        <f ca="1">SUM(J49:J52)</f>
        <v>0</v>
      </c>
      <c r="E20" s="160">
        <f ca="1">1-SUM(K49:K52)</f>
        <v>0</v>
      </c>
      <c r="G20" s="163" t="s">
        <v>215</v>
      </c>
      <c r="H20">
        <f ca="1">COUNTIF(OFFSET(Lekeitio_2_5a_raw!A2,0,0,D9-B9+1,1),"107")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59">
        <f ca="1">IF(H20=0,0,((H20/B16)^2))</f>
        <v>0</v>
      </c>
    </row>
    <row r="21" spans="1:14" x14ac:dyDescent="0.25">
      <c r="A21" s="163" t="s">
        <v>325</v>
      </c>
      <c r="B21">
        <f ca="1">COUNTIF(OFFSET(Lekeitio_2_5a_raw!C2,0,0,D9-B9+1,1), "600")</f>
        <v>0</v>
      </c>
      <c r="C21" s="32">
        <f ca="1">(B21/H75)*100</f>
        <v>0</v>
      </c>
      <c r="D21" s="32">
        <f ca="1">SUM(J54:J57)</f>
        <v>0</v>
      </c>
      <c r="E21" s="159">
        <f ca="1">1-SUM(K54:K57)</f>
        <v>1</v>
      </c>
      <c r="G21" s="163" t="s">
        <v>216</v>
      </c>
      <c r="H21">
        <f ca="1">COUNTIF(OFFSET(Lekeitio_2_5a_raw!A2,0,0,D9-B9+1,1),"101")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59">
        <f ca="1">IF(H21=0,0,((H21/B16)^2))</f>
        <v>0</v>
      </c>
    </row>
    <row r="22" spans="1:14" x14ac:dyDescent="0.25">
      <c r="A22" s="162" t="s">
        <v>326</v>
      </c>
      <c r="B22" s="35">
        <f ca="1">COUNTIF(OFFSET(Lekeitio_2_5a_raw!C2,0,0,D9-B9+1,1), "700")</f>
        <v>0</v>
      </c>
      <c r="C22" s="36">
        <f ca="1">(B22/H75)*100</f>
        <v>0</v>
      </c>
      <c r="D22" s="36">
        <f ca="1">SUM(J59:J63)</f>
        <v>0</v>
      </c>
      <c r="E22" s="160">
        <f ca="1">1-SUM(K59:K63)</f>
        <v>1</v>
      </c>
      <c r="G22" s="163" t="s">
        <v>217</v>
      </c>
      <c r="H22">
        <f ca="1">COUNTIF(OFFSET(Lekeitio_2_5a_raw!A2,0,0,D9-B9+1,1),"106")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59">
        <f ca="1">IF(H22=0,0,((H22/B16)^2))</f>
        <v>0</v>
      </c>
    </row>
    <row r="23" spans="1:14" x14ac:dyDescent="0.25">
      <c r="A23" s="163" t="s">
        <v>327</v>
      </c>
      <c r="B23">
        <f ca="1">COUNTIF(OFFSET(Lekeitio_2_5a_raw!C2,0,0,D9-B9+1,1), "800")</f>
        <v>0</v>
      </c>
      <c r="C23" s="32">
        <f ca="1">(B23/H75)*100</f>
        <v>0</v>
      </c>
      <c r="D23" s="32">
        <f ca="1">SUM(J65:J66)</f>
        <v>0</v>
      </c>
      <c r="E23" s="159">
        <f ca="1">1-SUM(K65:K66)</f>
        <v>1</v>
      </c>
      <c r="G23" s="163" t="s">
        <v>218</v>
      </c>
      <c r="H23">
        <f ca="1">COUNTIF(OFFSET(Lekeitio_2_5a_raw!A2,0,0,D9-B9+1,1),"102")</f>
        <v>6</v>
      </c>
      <c r="I23" s="32">
        <f ca="1">(H23/H75)*100</f>
        <v>9.375</v>
      </c>
      <c r="J23" s="32">
        <f ca="1">IF(H23=0,0,-1*((H23/B16)*(LN(H23/B16))))</f>
        <v>0.35434990476279837</v>
      </c>
      <c r="K23" s="159">
        <f ca="1">IF(H23=0,0,((H23/B16)^2))</f>
        <v>7.4380165289256187E-2</v>
      </c>
    </row>
    <row r="24" spans="1:14" x14ac:dyDescent="0.25">
      <c r="A24" s="162" t="s">
        <v>328</v>
      </c>
      <c r="B24" s="35">
        <f ca="1">COUNTIF(OFFSET(Lekeitio_2_5a_raw!C2,0,0,D9-B9+1,1), "900")</f>
        <v>0</v>
      </c>
      <c r="C24" s="36">
        <f ca="1">(B24/H75)*100</f>
        <v>0</v>
      </c>
      <c r="D24" s="36">
        <f ca="1">SUM(J68:J72)</f>
        <v>0</v>
      </c>
      <c r="E24" s="160">
        <f ca="1">1-SUM(K68:K72)</f>
        <v>1</v>
      </c>
      <c r="G24" s="163" t="s">
        <v>219</v>
      </c>
      <c r="H24">
        <f ca="1">COUNTIF(OFFSET(Lekeitio_2_5a_raw!A2,0,0,D9-B9+1,1),"104")</f>
        <v>4</v>
      </c>
      <c r="I24" s="32">
        <f ca="1">(H24/H75)*100</f>
        <v>6.25</v>
      </c>
      <c r="J24" s="32">
        <f ca="1">IF(H24=0,0,-1*((H24/B16)*(LN(H24/B16))))</f>
        <v>0.30995419858880463</v>
      </c>
      <c r="K24" s="159">
        <f ca="1">IF(H24=0,0,((H24/B16)^2))</f>
        <v>3.3057851239669422E-2</v>
      </c>
    </row>
    <row r="25" spans="1:14" x14ac:dyDescent="0.25">
      <c r="A25" s="163" t="s">
        <v>329</v>
      </c>
      <c r="B25">
        <f ca="1">COUNTIF(OFFSET(Lekeitio_2_5a_raw!C2,0,0,D9-B9+1,1), "1000")</f>
        <v>0</v>
      </c>
      <c r="C25" s="32">
        <f ca="1">(B25/H75)*100</f>
        <v>0</v>
      </c>
      <c r="D25" s="32">
        <f>SUM(J74:J74)</f>
        <v>0</v>
      </c>
      <c r="E25" s="159">
        <f ca="1">1-SUM(K74:K74)</f>
        <v>1</v>
      </c>
      <c r="G25" s="163" t="s">
        <v>220</v>
      </c>
      <c r="H25">
        <f ca="1">COUNTIF(OFFSET(Lekeitio_2_5a_raw!A2,0,0,D9-B9+1,1),"111")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59">
        <f ca="1">IF(H25=0,0,((H25/B16)^2))</f>
        <v>0</v>
      </c>
    </row>
    <row r="26" spans="1:14" x14ac:dyDescent="0.25">
      <c r="A26" s="164" t="s">
        <v>330</v>
      </c>
      <c r="B26" s="31">
        <f ca="1">SUM(B16:B25)</f>
        <v>64</v>
      </c>
      <c r="C26" s="37" t="e">
        <f ca="1">SUM(C16:C25)-C0</f>
        <v>#NAME?</v>
      </c>
      <c r="E26" s="156"/>
      <c r="G26" s="163" t="s">
        <v>221</v>
      </c>
      <c r="H26">
        <f ca="1">COUNTIF(OFFSET(Lekeitio_2_5a_raw!A2,0,0,D9-B9+1,1),"112")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59">
        <f ca="1">IF(H26=0,0,((H26/B16)^2))</f>
        <v>0</v>
      </c>
    </row>
    <row r="27" spans="1:14" x14ac:dyDescent="0.25">
      <c r="A27" s="163"/>
      <c r="E27" s="156"/>
      <c r="G27" s="163" t="s">
        <v>222</v>
      </c>
      <c r="H27">
        <f ca="1">COUNTIF(OFFSET(Lekeitio_2_5a_raw!A2,0,0,D9-B9+1,1),"113")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59">
        <f ca="1">IF(H27=0,0,((H27/B16)^2))</f>
        <v>0</v>
      </c>
    </row>
    <row r="28" spans="1:14" x14ac:dyDescent="0.25">
      <c r="A28" s="164" t="s">
        <v>331</v>
      </c>
      <c r="E28" s="156"/>
      <c r="G28" s="163" t="s">
        <v>223</v>
      </c>
      <c r="H28">
        <f ca="1">COUNTIF(OFFSET(Lekeitio_2_5a_raw!A2,0,0,D9-B9+1,1),"114")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59">
        <f ca="1">IF(H28=0,0,((H28/B16)^2))</f>
        <v>0</v>
      </c>
    </row>
    <row r="29" spans="1:14" ht="15.75" thickBot="1" x14ac:dyDescent="0.3">
      <c r="A29" s="165" t="s">
        <v>332</v>
      </c>
      <c r="B29" s="40"/>
      <c r="C29" s="40"/>
      <c r="D29" s="40"/>
      <c r="E29" s="157"/>
      <c r="G29" s="163" t="s">
        <v>224</v>
      </c>
      <c r="H29">
        <f ca="1">COUNTIF(OFFSET(Lekeitio_2_5a_raw!A2,0,0,D9-B9+1,1),"115")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59">
        <f ca="1">IF(H29=0,0,((H29/B16)^2))</f>
        <v>0</v>
      </c>
    </row>
    <row r="30" spans="1:14" ht="15.75" thickTop="1" x14ac:dyDescent="0.25">
      <c r="G30" s="163" t="s">
        <v>225</v>
      </c>
      <c r="H30">
        <f ca="1">COUNTIF(OFFSET(Lekeitio_2_5a_raw!A2,0,0,D9-B9+1,1),"116")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59">
        <f ca="1">IF(H30=0,0,((H30/B16)^2))</f>
        <v>0</v>
      </c>
    </row>
    <row r="31" spans="1:14" x14ac:dyDescent="0.25">
      <c r="G31" s="163" t="s">
        <v>226</v>
      </c>
      <c r="H31">
        <f ca="1">COUNTIF(OFFSET(Lekeitio_2_5a_raw!A2,0,0,D9-B9+1,1),"117")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59">
        <f ca="1">IF(H31=0,0,((H31/B16)^2))</f>
        <v>0</v>
      </c>
    </row>
    <row r="32" spans="1:14" x14ac:dyDescent="0.25">
      <c r="G32" s="163" t="s">
        <v>227</v>
      </c>
      <c r="H32">
        <f ca="1">COUNTIF(OFFSET(Lekeitio_2_5a_raw!A2,0,0,D9-B9+1,1),"118")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59">
        <f ca="1">IF(H32=0,0,((H32/B16)^2))</f>
        <v>0</v>
      </c>
    </row>
    <row r="33" spans="7:11" x14ac:dyDescent="0.25">
      <c r="G33" s="163" t="s">
        <v>228</v>
      </c>
      <c r="H33">
        <f ca="1">COUNTIF(OFFSET(Lekeitio_2_5a_raw!A2,0,0,D9-B9+1,1),"109")</f>
        <v>12</v>
      </c>
      <c r="I33" s="32">
        <f ca="1">(H33/H75)*100</f>
        <v>18.75</v>
      </c>
      <c r="J33" s="32">
        <f ca="1">IF(H33=0,0,-1*((H33/B16)*(LN(H33/B16))))</f>
        <v>0.33061952922017213</v>
      </c>
      <c r="K33" s="159">
        <f ca="1">IF(H33=0,0,((H33/B16)^2))</f>
        <v>0.29752066115702475</v>
      </c>
    </row>
    <row r="34" spans="7:11" x14ac:dyDescent="0.25">
      <c r="G34" s="163" t="s">
        <v>229</v>
      </c>
      <c r="H34">
        <f ca="1">COUNTIF(OFFSET(Lekeitio_2_5a_raw!A2,0,0,D9-B9+1,1),"110")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59">
        <f ca="1">IF(H34=0,0,((H34/B16)^2))</f>
        <v>0</v>
      </c>
    </row>
    <row r="35" spans="7:11" x14ac:dyDescent="0.25">
      <c r="G35" s="164" t="s">
        <v>201</v>
      </c>
      <c r="K35" s="156"/>
    </row>
    <row r="36" spans="7:11" x14ac:dyDescent="0.25">
      <c r="G36" s="163" t="s">
        <v>230</v>
      </c>
      <c r="H36">
        <f ca="1">COUNTIF(OFFSET(Lekeitio_2_5a_raw!A2,0,0,D9-B9+1,1),"202")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59">
        <f ca="1">IF(H36=0,0,((H36/B17)^2))</f>
        <v>0</v>
      </c>
    </row>
    <row r="37" spans="7:11" x14ac:dyDescent="0.25">
      <c r="G37" s="163" t="s">
        <v>231</v>
      </c>
      <c r="H37">
        <f ca="1">COUNTIF(OFFSET(Lekeitio_2_5a_raw!A2,0,0,D9-B9+1,1),"201")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59">
        <f ca="1">IF(H37=0,0,((H37/B17)^2))</f>
        <v>0</v>
      </c>
    </row>
    <row r="38" spans="7:11" x14ac:dyDescent="0.25">
      <c r="G38" s="164" t="s">
        <v>202</v>
      </c>
      <c r="K38" s="156"/>
    </row>
    <row r="39" spans="7:11" x14ac:dyDescent="0.25">
      <c r="G39" s="163" t="s">
        <v>232</v>
      </c>
      <c r="H39">
        <f ca="1">COUNTIF(OFFSET(Lekeitio_2_5a_raw!A2,0,0,D9-B9+1,1),"306")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59">
        <f ca="1">IF(H39=0,0,((H39/B18)^2))</f>
        <v>0</v>
      </c>
    </row>
    <row r="40" spans="7:11" x14ac:dyDescent="0.25">
      <c r="G40" s="163" t="s">
        <v>233</v>
      </c>
      <c r="H40">
        <f ca="1">COUNTIF(OFFSET(Lekeitio_2_5a_raw!A2,0,0,D9-B9+1,1),"302")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59">
        <f ca="1">IF(H40=0,0,((H40/B18)^2))</f>
        <v>0</v>
      </c>
    </row>
    <row r="41" spans="7:11" x14ac:dyDescent="0.25">
      <c r="G41" s="163" t="s">
        <v>234</v>
      </c>
      <c r="H41">
        <f ca="1">COUNTIF(OFFSET(Lekeitio_2_5a_raw!A2,0,0,D9-B9+1,1),"307")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59">
        <f ca="1">IF(H41=0,0,((H41/B18)^2))</f>
        <v>0</v>
      </c>
    </row>
    <row r="42" spans="7:11" x14ac:dyDescent="0.25">
      <c r="G42" s="163" t="s">
        <v>235</v>
      </c>
      <c r="H42">
        <f ca="1">COUNTIF(OFFSET(Lekeitio_2_5a_raw!A2,0,0,D9-B9+1,1),"303")</f>
        <v>18</v>
      </c>
      <c r="I42" s="32">
        <f ca="1">(H42/H75)*100</f>
        <v>28.125</v>
      </c>
      <c r="J42" s="32">
        <f ca="1">IF(H42=0,0,-1*((H42/B18)*(LN(H42/B18))))</f>
        <v>0</v>
      </c>
      <c r="K42" s="159">
        <f ca="1">IF(H42=0,0,((H42/B18)^2))</f>
        <v>1</v>
      </c>
    </row>
    <row r="43" spans="7:11" x14ac:dyDescent="0.25">
      <c r="G43" s="163" t="s">
        <v>236</v>
      </c>
      <c r="H43">
        <f ca="1">COUNTIF(OFFSET(Lekeitio_2_5a_raw!A2,0,0,D9-B9+1,1),"304")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59">
        <f ca="1">IF(H43=0,0,((H43/B18)^2))</f>
        <v>0</v>
      </c>
    </row>
    <row r="44" spans="7:11" x14ac:dyDescent="0.25">
      <c r="G44" s="163" t="s">
        <v>237</v>
      </c>
      <c r="H44">
        <f ca="1">COUNTIF(OFFSET(Lekeitio_2_5a_raw!A2,0,0,D9-B9+1,1),"305")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59">
        <f ca="1">IF(H44=0,0,((H44/B18)^2))</f>
        <v>0</v>
      </c>
    </row>
    <row r="45" spans="7:11" x14ac:dyDescent="0.25">
      <c r="G45" s="164" t="s">
        <v>203</v>
      </c>
      <c r="K45" s="156"/>
    </row>
    <row r="46" spans="7:11" x14ac:dyDescent="0.25">
      <c r="G46" s="163" t="s">
        <v>238</v>
      </c>
      <c r="H46">
        <f ca="1">COUNTIF(OFFSET(Lekeitio_2_5a_raw!A2,0,0,D9-B9+1,1),"401")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59">
        <f ca="1">IF(H46=0,0,((H46/B19)^2))</f>
        <v>0</v>
      </c>
    </row>
    <row r="47" spans="7:11" x14ac:dyDescent="0.25">
      <c r="G47" s="163" t="s">
        <v>239</v>
      </c>
      <c r="H47">
        <f ca="1">COUNTIF(OFFSET(Lekeitio_2_5a_raw!A2,0,0,D9-B9+1,1),"402")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59">
        <f ca="1">IF(H47=0,0,((H47/B19)^2))</f>
        <v>0</v>
      </c>
    </row>
    <row r="48" spans="7:11" x14ac:dyDescent="0.25">
      <c r="G48" s="164" t="s">
        <v>204</v>
      </c>
      <c r="K48" s="156"/>
    </row>
    <row r="49" spans="7:11" x14ac:dyDescent="0.25">
      <c r="G49" s="163" t="s">
        <v>240</v>
      </c>
      <c r="H49">
        <f ca="1">COUNTIF(OFFSET(Lekeitio_2_5a_raw!A2,0,0,D9-B9+1,1),"501")</f>
        <v>24</v>
      </c>
      <c r="I49" s="32">
        <f ca="1">(H49/H75)*100</f>
        <v>37.5</v>
      </c>
      <c r="J49" s="32">
        <f ca="1">IF(H49=0,0,-1*((H49/B20)*(LN(H49/B20))))</f>
        <v>0</v>
      </c>
      <c r="K49" s="159">
        <f ca="1">IF(H49=0,0,((H49/B20)^2))</f>
        <v>1</v>
      </c>
    </row>
    <row r="50" spans="7:11" x14ac:dyDescent="0.25">
      <c r="G50" s="163" t="s">
        <v>241</v>
      </c>
      <c r="H50">
        <f ca="1">COUNTIF(OFFSET(Lekeitio_2_5a_raw!A2,0,0,D9-B9+1,1),"502")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59">
        <f ca="1">IF(H50=0,0,((H50/B20)^2))</f>
        <v>0</v>
      </c>
    </row>
    <row r="51" spans="7:11" x14ac:dyDescent="0.25">
      <c r="G51" s="163" t="s">
        <v>242</v>
      </c>
      <c r="H51">
        <f ca="1">COUNTIF(OFFSET(Lekeitio_2_5a_raw!A2,0,0,D9-B9+1,1),"503")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59">
        <f ca="1">IF(H51=0,0,((H51/B20)^2))</f>
        <v>0</v>
      </c>
    </row>
    <row r="52" spans="7:11" x14ac:dyDescent="0.25">
      <c r="G52" s="163" t="s">
        <v>243</v>
      </c>
      <c r="H52">
        <f ca="1">COUNTIF(OFFSET(Lekeitio_2_5a_raw!A2,0,0,D9-B9+1,1),"504")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59">
        <f ca="1">IF(H52=0,0,((H52/B20)^2))</f>
        <v>0</v>
      </c>
    </row>
    <row r="53" spans="7:11" x14ac:dyDescent="0.25">
      <c r="G53" s="164" t="s">
        <v>205</v>
      </c>
      <c r="K53" s="156"/>
    </row>
    <row r="54" spans="7:11" x14ac:dyDescent="0.25">
      <c r="G54" s="163" t="s">
        <v>244</v>
      </c>
      <c r="H54">
        <f ca="1">COUNTIF(OFFSET(Lekeitio_2_5a_raw!A2,0,0,D9-B9+1,1),"601")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59">
        <f ca="1">IF(H54=0,0,((H54/B21)^2))</f>
        <v>0</v>
      </c>
    </row>
    <row r="55" spans="7:11" x14ac:dyDescent="0.25">
      <c r="G55" s="163" t="s">
        <v>245</v>
      </c>
      <c r="H55">
        <f ca="1">COUNTIF(OFFSET(Lekeitio_2_5a_raw!A2,0,0,D9-B9+1,1),"602")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59">
        <f ca="1">IF(H55=0,0,((H55/B21)^2))</f>
        <v>0</v>
      </c>
    </row>
    <row r="56" spans="7:11" x14ac:dyDescent="0.25">
      <c r="G56" s="163" t="s">
        <v>246</v>
      </c>
      <c r="H56">
        <f ca="1">COUNTIF(OFFSET(Lekeitio_2_5a_raw!A2,0,0,D9-B9+1,1),"603")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159">
        <f ca="1">IF(H56=0,0,((H56/B21)^2))</f>
        <v>0</v>
      </c>
    </row>
    <row r="57" spans="7:11" x14ac:dyDescent="0.25">
      <c r="G57" s="163" t="s">
        <v>247</v>
      </c>
      <c r="H57">
        <f ca="1">COUNTIF(OFFSET(Lekeitio_2_5a_raw!A2,0,0,D9-B9+1,1),"604")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59">
        <f ca="1">IF(H57=0,0,((H57/B21)^2))</f>
        <v>0</v>
      </c>
    </row>
    <row r="58" spans="7:11" x14ac:dyDescent="0.25">
      <c r="G58" s="164" t="s">
        <v>206</v>
      </c>
      <c r="K58" s="156"/>
    </row>
    <row r="59" spans="7:11" x14ac:dyDescent="0.25">
      <c r="G59" s="163" t="s">
        <v>248</v>
      </c>
      <c r="H59">
        <f ca="1">COUNTIF(OFFSET(Lekeitio_2_5a_raw!A2,0,0,D9-B9+1,1),"701")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59">
        <f ca="1">IF(H59=0,0,((H59/B22)^2))</f>
        <v>0</v>
      </c>
    </row>
    <row r="60" spans="7:11" x14ac:dyDescent="0.25">
      <c r="G60" s="163" t="s">
        <v>249</v>
      </c>
      <c r="H60">
        <f ca="1">COUNTIF(OFFSET(Lekeitio_2_5a_raw!A2,0,0,D9-B9+1,1),"702")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59">
        <f ca="1">IF(H60=0,0,((H60/B22)^2))</f>
        <v>0</v>
      </c>
    </row>
    <row r="61" spans="7:11" x14ac:dyDescent="0.25">
      <c r="G61" s="163" t="s">
        <v>250</v>
      </c>
      <c r="H61">
        <f ca="1">COUNTIF(OFFSET(Lekeitio_2_5a_raw!A2,0,0,D9-B9+1,1),"703")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59">
        <f ca="1">IF(H61=0,0,((H61/B22)^2))</f>
        <v>0</v>
      </c>
    </row>
    <row r="62" spans="7:11" x14ac:dyDescent="0.25">
      <c r="G62" s="163" t="s">
        <v>251</v>
      </c>
      <c r="H62">
        <f ca="1">COUNTIF(OFFSET(Lekeitio_2_5a_raw!A2,0,0,D9-B9+1,1),"705")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59">
        <f ca="1">IF(H62=0,0,((H62/B22)^2))</f>
        <v>0</v>
      </c>
    </row>
    <row r="63" spans="7:11" x14ac:dyDescent="0.25">
      <c r="G63" s="163" t="s">
        <v>252</v>
      </c>
      <c r="H63">
        <f ca="1">COUNTIF(OFFSET(Lekeitio_2_5a_raw!A2,0,0,D9-B9+1,1),"704")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59">
        <f ca="1">IF(H63=0,0,((H63/B22)^2))</f>
        <v>0</v>
      </c>
    </row>
    <row r="64" spans="7:11" x14ac:dyDescent="0.25">
      <c r="G64" s="164" t="s">
        <v>207</v>
      </c>
      <c r="K64" s="156"/>
    </row>
    <row r="65" spans="7:11" x14ac:dyDescent="0.25">
      <c r="G65" s="163" t="s">
        <v>253</v>
      </c>
      <c r="H65">
        <f ca="1">COUNTIF(OFFSET(Lekeitio_2_5a_raw!A2,0,0,D9-B9+1,1),"801")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59">
        <f ca="1">IF(H65=0,0,((H65/B23)^2))</f>
        <v>0</v>
      </c>
    </row>
    <row r="66" spans="7:11" x14ac:dyDescent="0.25">
      <c r="G66" s="163" t="s">
        <v>254</v>
      </c>
      <c r="H66">
        <f ca="1">COUNTIF(OFFSET(Lekeitio_2_5a_raw!A2,0,0,D9-B9+1,1),"802")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59">
        <f ca="1">IF(H66=0,0,((H66/B23)^2))</f>
        <v>0</v>
      </c>
    </row>
    <row r="67" spans="7:11" x14ac:dyDescent="0.25">
      <c r="G67" s="164" t="s">
        <v>208</v>
      </c>
      <c r="K67" s="156"/>
    </row>
    <row r="68" spans="7:11" x14ac:dyDescent="0.25">
      <c r="G68" s="163" t="s">
        <v>255</v>
      </c>
      <c r="H68">
        <f ca="1">COUNTIF(OFFSET(Lekeitio_2_5a_raw!A2,0,0,D9-B9+1,1),"901")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59">
        <f ca="1">IF(H68=0,0,((H68/B24)^2))</f>
        <v>0</v>
      </c>
    </row>
    <row r="69" spans="7:11" x14ac:dyDescent="0.25">
      <c r="G69" s="163" t="s">
        <v>256</v>
      </c>
      <c r="H69">
        <f ca="1">COUNTIF(OFFSET(Lekeitio_2_5a_raw!A2,0,0,D9-B9+1,1),"902")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59">
        <f ca="1">IF(H69=0,0,((H69/B24)^2))</f>
        <v>0</v>
      </c>
    </row>
    <row r="70" spans="7:11" x14ac:dyDescent="0.25">
      <c r="G70" s="163" t="s">
        <v>257</v>
      </c>
      <c r="H70">
        <f ca="1">COUNTIF(OFFSET(Lekeitio_2_5a_raw!A2,0,0,D9-B9+1,1),"904")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59">
        <f ca="1">IF(H70=0,0,((H70/B24)^2))</f>
        <v>0</v>
      </c>
    </row>
    <row r="71" spans="7:11" x14ac:dyDescent="0.25">
      <c r="G71" s="163" t="s">
        <v>258</v>
      </c>
      <c r="H71">
        <f ca="1">COUNTIF(OFFSET(Lekeitio_2_5a_raw!A2,0,0,D9-B9+1,1),"905")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59">
        <f ca="1">IF(H71=0,0,((H71/B24)^2))</f>
        <v>0</v>
      </c>
    </row>
    <row r="72" spans="7:11" x14ac:dyDescent="0.25">
      <c r="G72" s="163" t="s">
        <v>259</v>
      </c>
      <c r="H72">
        <f ca="1">COUNTIF(OFFSET(Lekeitio_2_5a_raw!A2,0,0,D9-B9+1,1),"903")</f>
        <v>0</v>
      </c>
      <c r="I72" s="32">
        <f ca="1">(H72/H75)*100</f>
        <v>0</v>
      </c>
      <c r="J72" s="32">
        <f ca="1">IF(H72=0,0,-1*((H72/B24)*(LN(H72/B24))))</f>
        <v>0</v>
      </c>
      <c r="K72" s="159">
        <f ca="1">IF(H72=0,0,((H72/B24)^2))</f>
        <v>0</v>
      </c>
    </row>
    <row r="73" spans="7:11" x14ac:dyDescent="0.25">
      <c r="G73" s="164" t="s">
        <v>209</v>
      </c>
      <c r="K73" s="156"/>
    </row>
    <row r="74" spans="7:11" x14ac:dyDescent="0.25">
      <c r="G74" s="163" t="s">
        <v>260</v>
      </c>
      <c r="H74">
        <f ca="1">COUNTIF(OFFSET(Lekeitio_2_5a_raw!A2,0,0,D9-B9+1,1),"1001")</f>
        <v>0</v>
      </c>
      <c r="I74" s="32">
        <f ca="1">(H74/SUM(H15:H74))*100</f>
        <v>0</v>
      </c>
      <c r="J74" s="32"/>
      <c r="K74" s="159">
        <f ca="1">IF(H74=0,0,((H74/B25)^2))</f>
        <v>0</v>
      </c>
    </row>
    <row r="75" spans="7:11" ht="15.75" thickBot="1" x14ac:dyDescent="0.3">
      <c r="G75" s="166" t="s">
        <v>285</v>
      </c>
      <c r="H75" s="51">
        <f ca="1">SUM(H16:H74)</f>
        <v>64</v>
      </c>
      <c r="I75" s="51">
        <f ca="1">SUM(I16:I74)</f>
        <v>100</v>
      </c>
      <c r="J75" s="40"/>
      <c r="K75" s="157"/>
    </row>
    <row r="76" spans="7:11" ht="15.75" thickTop="1" x14ac:dyDescent="0.25"/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58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COUNTA(OFFSET(Lekeitio_2_5b_raw!A2,0,0,D9-B9+1,1))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73" t="s">
        <v>319</v>
      </c>
      <c r="B15" s="33" t="s">
        <v>281</v>
      </c>
      <c r="C15" s="33" t="s">
        <v>282</v>
      </c>
      <c r="D15" s="33" t="s">
        <v>283</v>
      </c>
      <c r="E15" s="170" t="s">
        <v>284</v>
      </c>
      <c r="G15" s="173" t="s">
        <v>280</v>
      </c>
      <c r="H15" s="33" t="s">
        <v>281</v>
      </c>
      <c r="I15" s="33" t="s">
        <v>282</v>
      </c>
      <c r="J15" s="33" t="s">
        <v>283</v>
      </c>
      <c r="K15" s="170" t="s">
        <v>284</v>
      </c>
      <c r="N15">
        <v>16</v>
      </c>
    </row>
    <row r="16" spans="1:14" x14ac:dyDescent="0.25">
      <c r="A16" s="174" t="s">
        <v>320</v>
      </c>
      <c r="B16" s="35">
        <f ca="1">COUNTIF(OFFSET(Lekeitio_2_5b_raw!C2,0,0,D9-B9+1,1), "100")</f>
        <v>25</v>
      </c>
      <c r="C16" s="36">
        <f ca="1">(B16/H75)*100</f>
        <v>39.0625</v>
      </c>
      <c r="D16" s="36">
        <f ca="1">SUM(J17:J34)</f>
        <v>0.2787693717685874</v>
      </c>
      <c r="E16" s="172">
        <f ca="1">1-SUM(K17:K34)</f>
        <v>0.1472</v>
      </c>
      <c r="G16" s="176" t="s">
        <v>200</v>
      </c>
      <c r="K16" s="168"/>
      <c r="N16">
        <v>75</v>
      </c>
    </row>
    <row r="17" spans="1:14" x14ac:dyDescent="0.25">
      <c r="A17" s="175" t="s">
        <v>321</v>
      </c>
      <c r="B17">
        <f ca="1">COUNTIF(OFFSET(Lekeitio_2_5b_raw!C2,0,0,D9-B9+1,1), "200")</f>
        <v>0</v>
      </c>
      <c r="C17" s="32">
        <f ca="1">(B17/H75)*100</f>
        <v>0</v>
      </c>
      <c r="D17" s="32">
        <f ca="1">SUM(J36:J37)</f>
        <v>0</v>
      </c>
      <c r="E17" s="171">
        <f ca="1">1-SUM(K36:K37)</f>
        <v>1</v>
      </c>
      <c r="G17" s="175" t="s">
        <v>212</v>
      </c>
      <c r="H17">
        <f ca="1">COUNTIF(OFFSET(Lekeitio_2_5b_raw!A2,0,0,D9-B9+1,1),"108")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71">
        <f ca="1">IF(H17=0,0,((H17/B16)^2))</f>
        <v>0</v>
      </c>
      <c r="N17">
        <v>7</v>
      </c>
    </row>
    <row r="18" spans="1:14" x14ac:dyDescent="0.25">
      <c r="A18" s="174" t="s">
        <v>322</v>
      </c>
      <c r="B18" s="35">
        <f ca="1">COUNTIF(OFFSET(Lekeitio_2_5b_raw!C2,0,0,D9-B9+1,1), "300")</f>
        <v>3</v>
      </c>
      <c r="C18" s="36">
        <f ca="1">(B18/H75)*100</f>
        <v>4.6875</v>
      </c>
      <c r="D18" s="36">
        <f ca="1">SUM(J39:J44)</f>
        <v>0</v>
      </c>
      <c r="E18" s="172">
        <f ca="1">1-SUM(K39:K44)</f>
        <v>0</v>
      </c>
      <c r="G18" s="175" t="s">
        <v>213</v>
      </c>
      <c r="H18">
        <f ca="1">COUNTIF(OFFSET(Lekeitio_2_5b_raw!A2,0,0,D9-B9+1,1),"105")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71">
        <f ca="1">IF(H18=0,0,((H18/B16)^2))</f>
        <v>0</v>
      </c>
    </row>
    <row r="19" spans="1:14" x14ac:dyDescent="0.25">
      <c r="A19" s="175" t="s">
        <v>323</v>
      </c>
      <c r="B19">
        <f ca="1">COUNTIF(OFFSET(Lekeitio_2_5b_raw!C2,0,0,D9-B9+1,1), "400")</f>
        <v>0</v>
      </c>
      <c r="C19" s="32">
        <f ca="1">(B19/H75)*100</f>
        <v>0</v>
      </c>
      <c r="D19" s="32">
        <f ca="1">SUM(J46:J47)</f>
        <v>0</v>
      </c>
      <c r="E19" s="171">
        <f ca="1">1-SUM(K46:K47)</f>
        <v>1</v>
      </c>
      <c r="G19" s="175" t="s">
        <v>214</v>
      </c>
      <c r="H19">
        <f ca="1">COUNTIF(OFFSET(Lekeitio_2_5b_raw!A2,0,0,D9-B9+1,1),"103")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71">
        <f ca="1">IF(H19=0,0,((H19/B16)^2))</f>
        <v>0</v>
      </c>
    </row>
    <row r="20" spans="1:14" x14ac:dyDescent="0.25">
      <c r="A20" s="174" t="s">
        <v>324</v>
      </c>
      <c r="B20" s="35">
        <f ca="1">COUNTIF(OFFSET(Lekeitio_2_5b_raw!C2,0,0,D9-B9+1,1), "500")</f>
        <v>28</v>
      </c>
      <c r="C20" s="36">
        <f ca="1">(B20/H75)*100</f>
        <v>43.75</v>
      </c>
      <c r="D20" s="36">
        <f ca="1">SUM(J49:J52)</f>
        <v>0</v>
      </c>
      <c r="E20" s="172">
        <f ca="1">1-SUM(K49:K52)</f>
        <v>0</v>
      </c>
      <c r="G20" s="175" t="s">
        <v>215</v>
      </c>
      <c r="H20">
        <f ca="1">COUNTIF(OFFSET(Lekeitio_2_5b_raw!A2,0,0,D9-B9+1,1),"107")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71">
        <f ca="1">IF(H20=0,0,((H20/B16)^2))</f>
        <v>0</v>
      </c>
    </row>
    <row r="21" spans="1:14" x14ac:dyDescent="0.25">
      <c r="A21" s="175" t="s">
        <v>325</v>
      </c>
      <c r="B21">
        <f ca="1">COUNTIF(OFFSET(Lekeitio_2_5b_raw!C2,0,0,D9-B9+1,1), "600")</f>
        <v>0</v>
      </c>
      <c r="C21" s="32">
        <f ca="1">(B21/H75)*100</f>
        <v>0</v>
      </c>
      <c r="D21" s="32">
        <f ca="1">SUM(J54:J57)</f>
        <v>0</v>
      </c>
      <c r="E21" s="171">
        <f ca="1">1-SUM(K54:K57)</f>
        <v>1</v>
      </c>
      <c r="G21" s="175" t="s">
        <v>216</v>
      </c>
      <c r="H21">
        <f ca="1">COUNTIF(OFFSET(Lekeitio_2_5b_raw!A2,0,0,D9-B9+1,1),"101")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71">
        <f ca="1">IF(H21=0,0,((H21/B16)^2))</f>
        <v>0</v>
      </c>
    </row>
    <row r="22" spans="1:14" x14ac:dyDescent="0.25">
      <c r="A22" s="174" t="s">
        <v>326</v>
      </c>
      <c r="B22" s="35">
        <f ca="1">COUNTIF(OFFSET(Lekeitio_2_5b_raw!C2,0,0,D9-B9+1,1), "700")</f>
        <v>0</v>
      </c>
      <c r="C22" s="36">
        <f ca="1">(B22/H75)*100</f>
        <v>0</v>
      </c>
      <c r="D22" s="36">
        <f ca="1">SUM(J59:J63)</f>
        <v>0</v>
      </c>
      <c r="E22" s="172">
        <f ca="1">1-SUM(K59:K63)</f>
        <v>1</v>
      </c>
      <c r="G22" s="175" t="s">
        <v>217</v>
      </c>
      <c r="H22">
        <f ca="1">COUNTIF(OFFSET(Lekeitio_2_5b_raw!A2,0,0,D9-B9+1,1),"106")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71">
        <f ca="1">IF(H22=0,0,((H22/B16)^2))</f>
        <v>0</v>
      </c>
    </row>
    <row r="23" spans="1:14" x14ac:dyDescent="0.25">
      <c r="A23" s="175" t="s">
        <v>327</v>
      </c>
      <c r="B23">
        <f ca="1">COUNTIF(OFFSET(Lekeitio_2_5b_raw!C2,0,0,D9-B9+1,1), "800")</f>
        <v>0</v>
      </c>
      <c r="C23" s="32">
        <f ca="1">(B23/H75)*100</f>
        <v>0</v>
      </c>
      <c r="D23" s="32">
        <f ca="1">SUM(J65:J66)</f>
        <v>0</v>
      </c>
      <c r="E23" s="171">
        <f ca="1">1-SUM(K65:K66)</f>
        <v>1</v>
      </c>
      <c r="G23" s="175" t="s">
        <v>218</v>
      </c>
      <c r="H23">
        <f ca="1">COUNTIF(OFFSET(Lekeitio_2_5b_raw!A2,0,0,D9-B9+1,1),"102")</f>
        <v>23</v>
      </c>
      <c r="I23" s="32">
        <f ca="1">(H23/H75)*100</f>
        <v>35.9375</v>
      </c>
      <c r="J23" s="32">
        <f ca="1">IF(H23=0,0,-1*((H23/B16)*(LN(H23/B16))))</f>
        <v>7.6711080223926933E-2</v>
      </c>
      <c r="K23" s="171">
        <f ca="1">IF(H23=0,0,((H23/B16)^2))</f>
        <v>0.84640000000000004</v>
      </c>
    </row>
    <row r="24" spans="1:14" x14ac:dyDescent="0.25">
      <c r="A24" s="174" t="s">
        <v>328</v>
      </c>
      <c r="B24" s="35">
        <f ca="1">COUNTIF(OFFSET(Lekeitio_2_5b_raw!C2,0,0,D9-B9+1,1), "900")</f>
        <v>8</v>
      </c>
      <c r="C24" s="36">
        <f ca="1">(B24/H75)*100</f>
        <v>12.5</v>
      </c>
      <c r="D24" s="36">
        <f ca="1">SUM(J68:J72)</f>
        <v>0</v>
      </c>
      <c r="E24" s="172">
        <f ca="1">1-SUM(K68:K72)</f>
        <v>0</v>
      </c>
      <c r="G24" s="175" t="s">
        <v>219</v>
      </c>
      <c r="H24">
        <f ca="1">COUNTIF(OFFSET(Lekeitio_2_5b_raw!A2,0,0,D9-B9+1,1),"104")</f>
        <v>2</v>
      </c>
      <c r="I24" s="32">
        <f ca="1">(H24/H75)*100</f>
        <v>3.125</v>
      </c>
      <c r="J24" s="32">
        <f ca="1">IF(H24=0,0,-1*((H24/B16)*(LN(H24/B16))))</f>
        <v>0.20205829154466046</v>
      </c>
      <c r="K24" s="171">
        <f ca="1">IF(H24=0,0,((H24/B16)^2))</f>
        <v>6.4000000000000003E-3</v>
      </c>
    </row>
    <row r="25" spans="1:14" x14ac:dyDescent="0.25">
      <c r="A25" s="175" t="s">
        <v>329</v>
      </c>
      <c r="B25">
        <f ca="1">COUNTIF(OFFSET(Lekeitio_2_5b_raw!C2,0,0,D9-B9+1,1), "1000")</f>
        <v>0</v>
      </c>
      <c r="C25" s="32">
        <f ca="1">(B25/H75)*100</f>
        <v>0</v>
      </c>
      <c r="D25" s="32">
        <f>SUM(J74:J74)</f>
        <v>0</v>
      </c>
      <c r="E25" s="171">
        <f ca="1">1-SUM(K74:K74)</f>
        <v>1</v>
      </c>
      <c r="G25" s="175" t="s">
        <v>220</v>
      </c>
      <c r="H25">
        <f ca="1">COUNTIF(OFFSET(Lekeitio_2_5b_raw!A2,0,0,D9-B9+1,1),"111")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71">
        <f ca="1">IF(H25=0,0,((H25/B16)^2))</f>
        <v>0</v>
      </c>
    </row>
    <row r="26" spans="1:14" x14ac:dyDescent="0.25">
      <c r="A26" s="176" t="s">
        <v>330</v>
      </c>
      <c r="B26" s="31">
        <f ca="1">SUM(B16:B25)</f>
        <v>64</v>
      </c>
      <c r="C26" s="37" t="e">
        <f ca="1">SUM(C16:C25)-C0</f>
        <v>#NAME?</v>
      </c>
      <c r="E26" s="168"/>
      <c r="G26" s="175" t="s">
        <v>221</v>
      </c>
      <c r="H26">
        <f ca="1">COUNTIF(OFFSET(Lekeitio_2_5b_raw!A2,0,0,D9-B9+1,1),"112")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71">
        <f ca="1">IF(H26=0,0,((H26/B16)^2))</f>
        <v>0</v>
      </c>
    </row>
    <row r="27" spans="1:14" x14ac:dyDescent="0.25">
      <c r="A27" s="175"/>
      <c r="E27" s="168"/>
      <c r="G27" s="175" t="s">
        <v>222</v>
      </c>
      <c r="H27">
        <f ca="1">COUNTIF(OFFSET(Lekeitio_2_5b_raw!A2,0,0,D9-B9+1,1),"113")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71">
        <f ca="1">IF(H27=0,0,((H27/B16)^2))</f>
        <v>0</v>
      </c>
    </row>
    <row r="28" spans="1:14" x14ac:dyDescent="0.25">
      <c r="A28" s="176" t="s">
        <v>331</v>
      </c>
      <c r="E28" s="168"/>
      <c r="G28" s="175" t="s">
        <v>223</v>
      </c>
      <c r="H28">
        <f ca="1">COUNTIF(OFFSET(Lekeitio_2_5b_raw!A2,0,0,D9-B9+1,1),"114")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71">
        <f ca="1">IF(H28=0,0,((H28/B16)^2))</f>
        <v>0</v>
      </c>
    </row>
    <row r="29" spans="1:14" ht="15.75" thickBot="1" x14ac:dyDescent="0.3">
      <c r="A29" s="177" t="s">
        <v>332</v>
      </c>
      <c r="B29" s="40"/>
      <c r="C29" s="40"/>
      <c r="D29" s="40"/>
      <c r="E29" s="169"/>
      <c r="G29" s="175" t="s">
        <v>224</v>
      </c>
      <c r="H29">
        <f ca="1">COUNTIF(OFFSET(Lekeitio_2_5b_raw!A2,0,0,D9-B9+1,1),"115")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71">
        <f ca="1">IF(H29=0,0,((H29/B16)^2))</f>
        <v>0</v>
      </c>
    </row>
    <row r="30" spans="1:14" ht="15.75" thickTop="1" x14ac:dyDescent="0.25">
      <c r="G30" s="175" t="s">
        <v>225</v>
      </c>
      <c r="H30">
        <f ca="1">COUNTIF(OFFSET(Lekeitio_2_5b_raw!A2,0,0,D9-B9+1,1),"116")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71">
        <f ca="1">IF(H30=0,0,((H30/B16)^2))</f>
        <v>0</v>
      </c>
    </row>
    <row r="31" spans="1:14" x14ac:dyDescent="0.25">
      <c r="G31" s="175" t="s">
        <v>226</v>
      </c>
      <c r="H31">
        <f ca="1">COUNTIF(OFFSET(Lekeitio_2_5b_raw!A2,0,0,D9-B9+1,1),"117")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71">
        <f ca="1">IF(H31=0,0,((H31/B16)^2))</f>
        <v>0</v>
      </c>
    </row>
    <row r="32" spans="1:14" x14ac:dyDescent="0.25">
      <c r="G32" s="175" t="s">
        <v>227</v>
      </c>
      <c r="H32">
        <f ca="1">COUNTIF(OFFSET(Lekeitio_2_5b_raw!A2,0,0,D9-B9+1,1),"118")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71">
        <f ca="1">IF(H32=0,0,((H32/B16)^2))</f>
        <v>0</v>
      </c>
    </row>
    <row r="33" spans="7:11" x14ac:dyDescent="0.25">
      <c r="G33" s="175" t="s">
        <v>228</v>
      </c>
      <c r="H33">
        <f ca="1">COUNTIF(OFFSET(Lekeitio_2_5b_raw!A2,0,0,D9-B9+1,1),"109")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171">
        <f ca="1">IF(H33=0,0,((H33/B16)^2))</f>
        <v>0</v>
      </c>
    </row>
    <row r="34" spans="7:11" x14ac:dyDescent="0.25">
      <c r="G34" s="175" t="s">
        <v>229</v>
      </c>
      <c r="H34">
        <f ca="1">COUNTIF(OFFSET(Lekeitio_2_5b_raw!A2,0,0,D9-B9+1,1),"110")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71">
        <f ca="1">IF(H34=0,0,((H34/B16)^2))</f>
        <v>0</v>
      </c>
    </row>
    <row r="35" spans="7:11" x14ac:dyDescent="0.25">
      <c r="G35" s="176" t="s">
        <v>201</v>
      </c>
      <c r="K35" s="168"/>
    </row>
    <row r="36" spans="7:11" x14ac:dyDescent="0.25">
      <c r="G36" s="175" t="s">
        <v>230</v>
      </c>
      <c r="H36">
        <f ca="1">COUNTIF(OFFSET(Lekeitio_2_5b_raw!A2,0,0,D9-B9+1,1),"202")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71">
        <f ca="1">IF(H36=0,0,((H36/B17)^2))</f>
        <v>0</v>
      </c>
    </row>
    <row r="37" spans="7:11" x14ac:dyDescent="0.25">
      <c r="G37" s="175" t="s">
        <v>231</v>
      </c>
      <c r="H37">
        <f ca="1">COUNTIF(OFFSET(Lekeitio_2_5b_raw!A2,0,0,D9-B9+1,1),"201")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71">
        <f ca="1">IF(H37=0,0,((H37/B17)^2))</f>
        <v>0</v>
      </c>
    </row>
    <row r="38" spans="7:11" x14ac:dyDescent="0.25">
      <c r="G38" s="176" t="s">
        <v>202</v>
      </c>
      <c r="K38" s="168"/>
    </row>
    <row r="39" spans="7:11" x14ac:dyDescent="0.25">
      <c r="G39" s="175" t="s">
        <v>232</v>
      </c>
      <c r="H39">
        <f ca="1">COUNTIF(OFFSET(Lekeitio_2_5b_raw!A2,0,0,D9-B9+1,1),"306")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71">
        <f ca="1">IF(H39=0,0,((H39/B18)^2))</f>
        <v>0</v>
      </c>
    </row>
    <row r="40" spans="7:11" x14ac:dyDescent="0.25">
      <c r="G40" s="175" t="s">
        <v>233</v>
      </c>
      <c r="H40">
        <f ca="1">COUNTIF(OFFSET(Lekeitio_2_5b_raw!A2,0,0,D9-B9+1,1),"302")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71">
        <f ca="1">IF(H40=0,0,((H40/B18)^2))</f>
        <v>0</v>
      </c>
    </row>
    <row r="41" spans="7:11" x14ac:dyDescent="0.25">
      <c r="G41" s="175" t="s">
        <v>234</v>
      </c>
      <c r="H41">
        <f ca="1">COUNTIF(OFFSET(Lekeitio_2_5b_raw!A2,0,0,D9-B9+1,1),"307")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71">
        <f ca="1">IF(H41=0,0,((H41/B18)^2))</f>
        <v>0</v>
      </c>
    </row>
    <row r="42" spans="7:11" x14ac:dyDescent="0.25">
      <c r="G42" s="175" t="s">
        <v>235</v>
      </c>
      <c r="H42">
        <f ca="1">COUNTIF(OFFSET(Lekeitio_2_5b_raw!A2,0,0,D9-B9+1,1),"303")</f>
        <v>3</v>
      </c>
      <c r="I42" s="32">
        <f ca="1">(H42/H75)*100</f>
        <v>4.6875</v>
      </c>
      <c r="J42" s="32">
        <f ca="1">IF(H42=0,0,-1*((H42/B18)*(LN(H42/B18))))</f>
        <v>0</v>
      </c>
      <c r="K42" s="171">
        <f ca="1">IF(H42=0,0,((H42/B18)^2))</f>
        <v>1</v>
      </c>
    </row>
    <row r="43" spans="7:11" x14ac:dyDescent="0.25">
      <c r="G43" s="175" t="s">
        <v>236</v>
      </c>
      <c r="H43">
        <f ca="1">COUNTIF(OFFSET(Lekeitio_2_5b_raw!A2,0,0,D9-B9+1,1),"304")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71">
        <f ca="1">IF(H43=0,0,((H43/B18)^2))</f>
        <v>0</v>
      </c>
    </row>
    <row r="44" spans="7:11" x14ac:dyDescent="0.25">
      <c r="G44" s="175" t="s">
        <v>237</v>
      </c>
      <c r="H44">
        <f ca="1">COUNTIF(OFFSET(Lekeitio_2_5b_raw!A2,0,0,D9-B9+1,1),"305")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71">
        <f ca="1">IF(H44=0,0,((H44/B18)^2))</f>
        <v>0</v>
      </c>
    </row>
    <row r="45" spans="7:11" x14ac:dyDescent="0.25">
      <c r="G45" s="176" t="s">
        <v>203</v>
      </c>
      <c r="K45" s="168"/>
    </row>
    <row r="46" spans="7:11" x14ac:dyDescent="0.25">
      <c r="G46" s="175" t="s">
        <v>238</v>
      </c>
      <c r="H46">
        <f ca="1">COUNTIF(OFFSET(Lekeitio_2_5b_raw!A2,0,0,D9-B9+1,1),"401")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71">
        <f ca="1">IF(H46=0,0,((H46/B19)^2))</f>
        <v>0</v>
      </c>
    </row>
    <row r="47" spans="7:11" x14ac:dyDescent="0.25">
      <c r="G47" s="175" t="s">
        <v>239</v>
      </c>
      <c r="H47">
        <f ca="1">COUNTIF(OFFSET(Lekeitio_2_5b_raw!A2,0,0,D9-B9+1,1),"402")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71">
        <f ca="1">IF(H47=0,0,((H47/B19)^2))</f>
        <v>0</v>
      </c>
    </row>
    <row r="48" spans="7:11" x14ac:dyDescent="0.25">
      <c r="G48" s="176" t="s">
        <v>204</v>
      </c>
      <c r="K48" s="168"/>
    </row>
    <row r="49" spans="7:11" x14ac:dyDescent="0.25">
      <c r="G49" s="175" t="s">
        <v>240</v>
      </c>
      <c r="H49">
        <f ca="1">COUNTIF(OFFSET(Lekeitio_2_5b_raw!A2,0,0,D9-B9+1,1),"501")</f>
        <v>28</v>
      </c>
      <c r="I49" s="32">
        <f ca="1">(H49/H75)*100</f>
        <v>43.75</v>
      </c>
      <c r="J49" s="32">
        <f ca="1">IF(H49=0,0,-1*((H49/B20)*(LN(H49/B20))))</f>
        <v>0</v>
      </c>
      <c r="K49" s="171">
        <f ca="1">IF(H49=0,0,((H49/B20)^2))</f>
        <v>1</v>
      </c>
    </row>
    <row r="50" spans="7:11" x14ac:dyDescent="0.25">
      <c r="G50" s="175" t="s">
        <v>241</v>
      </c>
      <c r="H50">
        <f ca="1">COUNTIF(OFFSET(Lekeitio_2_5b_raw!A2,0,0,D9-B9+1,1),"502")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71">
        <f ca="1">IF(H50=0,0,((H50/B20)^2))</f>
        <v>0</v>
      </c>
    </row>
    <row r="51" spans="7:11" x14ac:dyDescent="0.25">
      <c r="G51" s="175" t="s">
        <v>242</v>
      </c>
      <c r="H51">
        <f ca="1">COUNTIF(OFFSET(Lekeitio_2_5b_raw!A2,0,0,D9-B9+1,1),"503")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71">
        <f ca="1">IF(H51=0,0,((H51/B20)^2))</f>
        <v>0</v>
      </c>
    </row>
    <row r="52" spans="7:11" x14ac:dyDescent="0.25">
      <c r="G52" s="175" t="s">
        <v>243</v>
      </c>
      <c r="H52">
        <f ca="1">COUNTIF(OFFSET(Lekeitio_2_5b_raw!A2,0,0,D9-B9+1,1),"504")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71">
        <f ca="1">IF(H52=0,0,((H52/B20)^2))</f>
        <v>0</v>
      </c>
    </row>
    <row r="53" spans="7:11" x14ac:dyDescent="0.25">
      <c r="G53" s="176" t="s">
        <v>205</v>
      </c>
      <c r="K53" s="168"/>
    </row>
    <row r="54" spans="7:11" x14ac:dyDescent="0.25">
      <c r="G54" s="175" t="s">
        <v>244</v>
      </c>
      <c r="H54">
        <f ca="1">COUNTIF(OFFSET(Lekeitio_2_5b_raw!A2,0,0,D9-B9+1,1),"601")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71">
        <f ca="1">IF(H54=0,0,((H54/B21)^2))</f>
        <v>0</v>
      </c>
    </row>
    <row r="55" spans="7:11" x14ac:dyDescent="0.25">
      <c r="G55" s="175" t="s">
        <v>245</v>
      </c>
      <c r="H55">
        <f ca="1">COUNTIF(OFFSET(Lekeitio_2_5b_raw!A2,0,0,D9-B9+1,1),"602")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71">
        <f ca="1">IF(H55=0,0,((H55/B21)^2))</f>
        <v>0</v>
      </c>
    </row>
    <row r="56" spans="7:11" x14ac:dyDescent="0.25">
      <c r="G56" s="175" t="s">
        <v>246</v>
      </c>
      <c r="H56">
        <f ca="1">COUNTIF(OFFSET(Lekeitio_2_5b_raw!A2,0,0,D9-B9+1,1),"603")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171">
        <f ca="1">IF(H56=0,0,((H56/B21)^2))</f>
        <v>0</v>
      </c>
    </row>
    <row r="57" spans="7:11" x14ac:dyDescent="0.25">
      <c r="G57" s="175" t="s">
        <v>247</v>
      </c>
      <c r="H57">
        <f ca="1">COUNTIF(OFFSET(Lekeitio_2_5b_raw!A2,0,0,D9-B9+1,1),"604")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171">
        <f ca="1">IF(H57=0,0,((H57/B21)^2))</f>
        <v>0</v>
      </c>
    </row>
    <row r="58" spans="7:11" x14ac:dyDescent="0.25">
      <c r="G58" s="176" t="s">
        <v>206</v>
      </c>
      <c r="K58" s="168"/>
    </row>
    <row r="59" spans="7:11" x14ac:dyDescent="0.25">
      <c r="G59" s="175" t="s">
        <v>248</v>
      </c>
      <c r="H59">
        <f ca="1">COUNTIF(OFFSET(Lekeitio_2_5b_raw!A2,0,0,D9-B9+1,1),"701")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71">
        <f ca="1">IF(H59=0,0,((H59/B22)^2))</f>
        <v>0</v>
      </c>
    </row>
    <row r="60" spans="7:11" x14ac:dyDescent="0.25">
      <c r="G60" s="175" t="s">
        <v>249</v>
      </c>
      <c r="H60">
        <f ca="1">COUNTIF(OFFSET(Lekeitio_2_5b_raw!A2,0,0,D9-B9+1,1),"702")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71">
        <f ca="1">IF(H60=0,0,((H60/B22)^2))</f>
        <v>0</v>
      </c>
    </row>
    <row r="61" spans="7:11" x14ac:dyDescent="0.25">
      <c r="G61" s="175" t="s">
        <v>250</v>
      </c>
      <c r="H61">
        <f ca="1">COUNTIF(OFFSET(Lekeitio_2_5b_raw!A2,0,0,D9-B9+1,1),"703")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71">
        <f ca="1">IF(H61=0,0,((H61/B22)^2))</f>
        <v>0</v>
      </c>
    </row>
    <row r="62" spans="7:11" x14ac:dyDescent="0.25">
      <c r="G62" s="175" t="s">
        <v>251</v>
      </c>
      <c r="H62">
        <f ca="1">COUNTIF(OFFSET(Lekeitio_2_5b_raw!A2,0,0,D9-B9+1,1),"705")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71">
        <f ca="1">IF(H62=0,0,((H62/B22)^2))</f>
        <v>0</v>
      </c>
    </row>
    <row r="63" spans="7:11" x14ac:dyDescent="0.25">
      <c r="G63" s="175" t="s">
        <v>252</v>
      </c>
      <c r="H63">
        <f ca="1">COUNTIF(OFFSET(Lekeitio_2_5b_raw!A2,0,0,D9-B9+1,1),"704")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71">
        <f ca="1">IF(H63=0,0,((H63/B22)^2))</f>
        <v>0</v>
      </c>
    </row>
    <row r="64" spans="7:11" x14ac:dyDescent="0.25">
      <c r="G64" s="176" t="s">
        <v>207</v>
      </c>
      <c r="K64" s="168"/>
    </row>
    <row r="65" spans="7:11" x14ac:dyDescent="0.25">
      <c r="G65" s="175" t="s">
        <v>253</v>
      </c>
      <c r="H65">
        <f ca="1">COUNTIF(OFFSET(Lekeitio_2_5b_raw!A2,0,0,D9-B9+1,1),"801")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71">
        <f ca="1">IF(H65=0,0,((H65/B23)^2))</f>
        <v>0</v>
      </c>
    </row>
    <row r="66" spans="7:11" x14ac:dyDescent="0.25">
      <c r="G66" s="175" t="s">
        <v>254</v>
      </c>
      <c r="H66">
        <f ca="1">COUNTIF(OFFSET(Lekeitio_2_5b_raw!A2,0,0,D9-B9+1,1),"802")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71">
        <f ca="1">IF(H66=0,0,((H66/B23)^2))</f>
        <v>0</v>
      </c>
    </row>
    <row r="67" spans="7:11" x14ac:dyDescent="0.25">
      <c r="G67" s="176" t="s">
        <v>208</v>
      </c>
      <c r="K67" s="168"/>
    </row>
    <row r="68" spans="7:11" x14ac:dyDescent="0.25">
      <c r="G68" s="175" t="s">
        <v>255</v>
      </c>
      <c r="H68">
        <f ca="1">COUNTIF(OFFSET(Lekeitio_2_5b_raw!A2,0,0,D9-B9+1,1),"901")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71">
        <f ca="1">IF(H68=0,0,((H68/B24)^2))</f>
        <v>0</v>
      </c>
    </row>
    <row r="69" spans="7:11" x14ac:dyDescent="0.25">
      <c r="G69" s="175" t="s">
        <v>256</v>
      </c>
      <c r="H69">
        <f ca="1">COUNTIF(OFFSET(Lekeitio_2_5b_raw!A2,0,0,D9-B9+1,1),"902")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71">
        <f ca="1">IF(H69=0,0,((H69/B24)^2))</f>
        <v>0</v>
      </c>
    </row>
    <row r="70" spans="7:11" x14ac:dyDescent="0.25">
      <c r="G70" s="175" t="s">
        <v>257</v>
      </c>
      <c r="H70">
        <f ca="1">COUNTIF(OFFSET(Lekeitio_2_5b_raw!A2,0,0,D9-B9+1,1),"904")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71">
        <f ca="1">IF(H70=0,0,((H70/B24)^2))</f>
        <v>0</v>
      </c>
    </row>
    <row r="71" spans="7:11" x14ac:dyDescent="0.25">
      <c r="G71" s="175" t="s">
        <v>258</v>
      </c>
      <c r="H71">
        <f ca="1">COUNTIF(OFFSET(Lekeitio_2_5b_raw!A2,0,0,D9-B9+1,1),"905")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71">
        <f ca="1">IF(H71=0,0,((H71/B24)^2))</f>
        <v>0</v>
      </c>
    </row>
    <row r="72" spans="7:11" x14ac:dyDescent="0.25">
      <c r="G72" s="175" t="s">
        <v>259</v>
      </c>
      <c r="H72">
        <f ca="1">COUNTIF(OFFSET(Lekeitio_2_5b_raw!A2,0,0,D9-B9+1,1),"903")</f>
        <v>8</v>
      </c>
      <c r="I72" s="32">
        <f ca="1">(H72/H75)*100</f>
        <v>12.5</v>
      </c>
      <c r="J72" s="32">
        <f ca="1">IF(H72=0,0,-1*((H72/B24)*(LN(H72/B24))))</f>
        <v>0</v>
      </c>
      <c r="K72" s="171">
        <f ca="1">IF(H72=0,0,((H72/B24)^2))</f>
        <v>1</v>
      </c>
    </row>
    <row r="73" spans="7:11" x14ac:dyDescent="0.25">
      <c r="G73" s="176" t="s">
        <v>209</v>
      </c>
      <c r="K73" s="168"/>
    </row>
    <row r="74" spans="7:11" x14ac:dyDescent="0.25">
      <c r="G74" s="175" t="s">
        <v>260</v>
      </c>
      <c r="H74">
        <f ca="1">COUNTIF(OFFSET(Lekeitio_2_5b_raw!A2,0,0,D9-B9+1,1),"1001")</f>
        <v>0</v>
      </c>
      <c r="I74" s="32">
        <f ca="1">(H74/SUM(H15:H74))*100</f>
        <v>0</v>
      </c>
      <c r="J74" s="32"/>
      <c r="K74" s="171">
        <f ca="1">IF(H74=0,0,((H74/B25)^2))</f>
        <v>0</v>
      </c>
    </row>
    <row r="75" spans="7:11" ht="15.75" thickBot="1" x14ac:dyDescent="0.3">
      <c r="G75" s="178" t="s">
        <v>285</v>
      </c>
      <c r="H75" s="51">
        <f ca="1">SUM(H16:H74)</f>
        <v>64</v>
      </c>
      <c r="I75" s="51">
        <f ca="1">SUM(I16:I74)</f>
        <v>100</v>
      </c>
      <c r="J75" s="40"/>
      <c r="K75" s="169"/>
    </row>
    <row r="76" spans="7:11" ht="15.75" thickTop="1" x14ac:dyDescent="0.25"/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1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COUNTA(OFFSET(Lekeitio_2_6a_raw!A2,0,0,D9-B9+1,1))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85" t="s">
        <v>319</v>
      </c>
      <c r="B15" s="33" t="s">
        <v>281</v>
      </c>
      <c r="C15" s="33" t="s">
        <v>282</v>
      </c>
      <c r="D15" s="33" t="s">
        <v>283</v>
      </c>
      <c r="E15" s="182" t="s">
        <v>284</v>
      </c>
      <c r="G15" s="185" t="s">
        <v>280</v>
      </c>
      <c r="H15" s="33" t="s">
        <v>281</v>
      </c>
      <c r="I15" s="33" t="s">
        <v>282</v>
      </c>
      <c r="J15" s="33" t="s">
        <v>283</v>
      </c>
      <c r="K15" s="182" t="s">
        <v>284</v>
      </c>
      <c r="N15">
        <v>16</v>
      </c>
    </row>
    <row r="16" spans="1:14" x14ac:dyDescent="0.25">
      <c r="A16" s="186" t="s">
        <v>320</v>
      </c>
      <c r="B16" s="35">
        <f ca="1">COUNTIF(OFFSET(Lekeitio_2_6a_raw!C2,0,0,D9-B9+1,1), "100")</f>
        <v>8</v>
      </c>
      <c r="C16" s="36">
        <f ca="1">(B16/H75)*100</f>
        <v>12.5</v>
      </c>
      <c r="D16" s="36">
        <f ca="1">SUM(J17:J34)</f>
        <v>0.37677016125643675</v>
      </c>
      <c r="E16" s="184">
        <f ca="1">1-SUM(K17:K34)</f>
        <v>0.21875</v>
      </c>
      <c r="G16" s="188" t="s">
        <v>200</v>
      </c>
      <c r="K16" s="180"/>
      <c r="N16">
        <v>75</v>
      </c>
    </row>
    <row r="17" spans="1:14" x14ac:dyDescent="0.25">
      <c r="A17" s="187" t="s">
        <v>321</v>
      </c>
      <c r="B17">
        <f ca="1">COUNTIF(OFFSET(Lekeitio_2_6a_raw!C2,0,0,D9-B9+1,1), "200")</f>
        <v>0</v>
      </c>
      <c r="C17" s="32">
        <f ca="1">(B17/H75)*100</f>
        <v>0</v>
      </c>
      <c r="D17" s="32">
        <f ca="1">SUM(J36:J37)</f>
        <v>0</v>
      </c>
      <c r="E17" s="183">
        <f ca="1">1-SUM(K36:K37)</f>
        <v>1</v>
      </c>
      <c r="G17" s="187" t="s">
        <v>212</v>
      </c>
      <c r="H17">
        <f ca="1">COUNTIF(OFFSET(Lekeitio_2_6a_raw!A2,0,0,D9-B9+1,1),"108")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83">
        <f ca="1">IF(H17=0,0,((H17/B16)^2))</f>
        <v>0</v>
      </c>
      <c r="N17">
        <v>7</v>
      </c>
    </row>
    <row r="18" spans="1:14" x14ac:dyDescent="0.25">
      <c r="A18" s="186" t="s">
        <v>322</v>
      </c>
      <c r="B18" s="35">
        <f ca="1">COUNTIF(OFFSET(Lekeitio_2_6a_raw!C2,0,0,D9-B9+1,1), "300")</f>
        <v>20</v>
      </c>
      <c r="C18" s="36">
        <f ca="1">(B18/H75)*100</f>
        <v>31.25</v>
      </c>
      <c r="D18" s="36">
        <f ca="1">SUM(J39:J44)</f>
        <v>0</v>
      </c>
      <c r="E18" s="184">
        <f ca="1">1-SUM(K39:K44)</f>
        <v>0</v>
      </c>
      <c r="G18" s="187" t="s">
        <v>213</v>
      </c>
      <c r="H18">
        <f ca="1">COUNTIF(OFFSET(Lekeitio_2_6a_raw!A2,0,0,D9-B9+1,1),"105")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83">
        <f ca="1">IF(H18=0,0,((H18/B16)^2))</f>
        <v>0</v>
      </c>
    </row>
    <row r="19" spans="1:14" x14ac:dyDescent="0.25">
      <c r="A19" s="187" t="s">
        <v>323</v>
      </c>
      <c r="B19">
        <f ca="1">COUNTIF(OFFSET(Lekeitio_2_6a_raw!C2,0,0,D9-B9+1,1), "400")</f>
        <v>0</v>
      </c>
      <c r="C19" s="32">
        <f ca="1">(B19/H75)*100</f>
        <v>0</v>
      </c>
      <c r="D19" s="32">
        <f ca="1">SUM(J46:J47)</f>
        <v>0</v>
      </c>
      <c r="E19" s="183">
        <f ca="1">1-SUM(K46:K47)</f>
        <v>1</v>
      </c>
      <c r="G19" s="187" t="s">
        <v>214</v>
      </c>
      <c r="H19">
        <f ca="1">COUNTIF(OFFSET(Lekeitio_2_6a_raw!A2,0,0,D9-B9+1,1),"103")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83">
        <f ca="1">IF(H19=0,0,((H19/B16)^2))</f>
        <v>0</v>
      </c>
    </row>
    <row r="20" spans="1:14" x14ac:dyDescent="0.25">
      <c r="A20" s="186" t="s">
        <v>324</v>
      </c>
      <c r="B20" s="35">
        <f ca="1">COUNTIF(OFFSET(Lekeitio_2_6a_raw!C2,0,0,D9-B9+1,1), "500")</f>
        <v>29</v>
      </c>
      <c r="C20" s="36">
        <f ca="1">(B20/H75)*100</f>
        <v>45.3125</v>
      </c>
      <c r="D20" s="36">
        <f ca="1">SUM(J49:J52)</f>
        <v>0</v>
      </c>
      <c r="E20" s="184">
        <f ca="1">1-SUM(K49:K52)</f>
        <v>0</v>
      </c>
      <c r="G20" s="187" t="s">
        <v>215</v>
      </c>
      <c r="H20">
        <f ca="1">COUNTIF(OFFSET(Lekeitio_2_6a_raw!A2,0,0,D9-B9+1,1),"107")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83">
        <f ca="1">IF(H20=0,0,((H20/B16)^2))</f>
        <v>0</v>
      </c>
    </row>
    <row r="21" spans="1:14" x14ac:dyDescent="0.25">
      <c r="A21" s="187" t="s">
        <v>325</v>
      </c>
      <c r="B21">
        <f ca="1">COUNTIF(OFFSET(Lekeitio_2_6a_raw!C2,0,0,D9-B9+1,1), "600")</f>
        <v>2</v>
      </c>
      <c r="C21" s="32">
        <f ca="1">(B21/H75)*100</f>
        <v>3.125</v>
      </c>
      <c r="D21" s="32">
        <f ca="1">SUM(J54:J57)</f>
        <v>0</v>
      </c>
      <c r="E21" s="183">
        <f ca="1">1-SUM(K54:K57)</f>
        <v>0</v>
      </c>
      <c r="G21" s="187" t="s">
        <v>216</v>
      </c>
      <c r="H21">
        <f ca="1">COUNTIF(OFFSET(Lekeitio_2_6a_raw!A2,0,0,D9-B9+1,1),"101")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83">
        <f ca="1">IF(H21=0,0,((H21/B16)^2))</f>
        <v>0</v>
      </c>
    </row>
    <row r="22" spans="1:14" x14ac:dyDescent="0.25">
      <c r="A22" s="186" t="s">
        <v>326</v>
      </c>
      <c r="B22" s="35">
        <f ca="1">COUNTIF(OFFSET(Lekeitio_2_6a_raw!C2,0,0,D9-B9+1,1), "700")</f>
        <v>0</v>
      </c>
      <c r="C22" s="36">
        <f ca="1">(B22/H75)*100</f>
        <v>0</v>
      </c>
      <c r="D22" s="36">
        <f ca="1">SUM(J59:J63)</f>
        <v>0</v>
      </c>
      <c r="E22" s="184">
        <f ca="1">1-SUM(K59:K63)</f>
        <v>1</v>
      </c>
      <c r="G22" s="187" t="s">
        <v>217</v>
      </c>
      <c r="H22">
        <f ca="1">COUNTIF(OFFSET(Lekeitio_2_6a_raw!A2,0,0,D9-B9+1,1),"106")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83">
        <f ca="1">IF(H22=0,0,((H22/B16)^2))</f>
        <v>0</v>
      </c>
    </row>
    <row r="23" spans="1:14" x14ac:dyDescent="0.25">
      <c r="A23" s="187" t="s">
        <v>327</v>
      </c>
      <c r="B23">
        <f ca="1">COUNTIF(OFFSET(Lekeitio_2_6a_raw!C2,0,0,D9-B9+1,1), "800")</f>
        <v>0</v>
      </c>
      <c r="C23" s="32">
        <f ca="1">(B23/H75)*100</f>
        <v>0</v>
      </c>
      <c r="D23" s="32">
        <f ca="1">SUM(J65:J66)</f>
        <v>0</v>
      </c>
      <c r="E23" s="183">
        <f ca="1">1-SUM(K65:K66)</f>
        <v>1</v>
      </c>
      <c r="G23" s="187" t="s">
        <v>218</v>
      </c>
      <c r="H23">
        <f ca="1">COUNTIF(OFFSET(Lekeitio_2_6a_raw!A2,0,0,D9-B9+1,1),"102")</f>
        <v>7</v>
      </c>
      <c r="I23" s="32">
        <f ca="1">(H23/H75)*100</f>
        <v>10.9375</v>
      </c>
      <c r="J23" s="32">
        <f ca="1">IF(H23=0,0,-1*((H23/B16)*(LN(H23/B16))))</f>
        <v>0.1168399685464573</v>
      </c>
      <c r="K23" s="183">
        <f ca="1">IF(H23=0,0,((H23/B16)^2))</f>
        <v>0.765625</v>
      </c>
    </row>
    <row r="24" spans="1:14" x14ac:dyDescent="0.25">
      <c r="A24" s="186" t="s">
        <v>328</v>
      </c>
      <c r="B24" s="35">
        <f ca="1">COUNTIF(OFFSET(Lekeitio_2_6a_raw!C2,0,0,D9-B9+1,1), "900")</f>
        <v>5</v>
      </c>
      <c r="C24" s="36">
        <f ca="1">(B24/H75)*100</f>
        <v>7.8125</v>
      </c>
      <c r="D24" s="36">
        <f ca="1">SUM(J68:J72)</f>
        <v>0</v>
      </c>
      <c r="E24" s="184">
        <f ca="1">1-SUM(K68:K72)</f>
        <v>0</v>
      </c>
      <c r="G24" s="187" t="s">
        <v>219</v>
      </c>
      <c r="H24">
        <f ca="1">COUNTIF(OFFSET(Lekeitio_2_6a_raw!A2,0,0,D9-B9+1,1),"104")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83">
        <f ca="1">IF(H24=0,0,((H24/B16)^2))</f>
        <v>0</v>
      </c>
    </row>
    <row r="25" spans="1:14" x14ac:dyDescent="0.25">
      <c r="A25" s="187" t="s">
        <v>329</v>
      </c>
      <c r="B25">
        <f ca="1">COUNTIF(OFFSET(Lekeitio_2_6a_raw!C2,0,0,D9-B9+1,1), "1000")</f>
        <v>0</v>
      </c>
      <c r="C25" s="32">
        <f ca="1">(B25/H75)*100</f>
        <v>0</v>
      </c>
      <c r="D25" s="32">
        <f>SUM(J74:J74)</f>
        <v>0</v>
      </c>
      <c r="E25" s="183">
        <f ca="1">1-SUM(K74:K74)</f>
        <v>1</v>
      </c>
      <c r="G25" s="187" t="s">
        <v>220</v>
      </c>
      <c r="H25">
        <f ca="1">COUNTIF(OFFSET(Lekeitio_2_6a_raw!A2,0,0,D9-B9+1,1),"111")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83">
        <f ca="1">IF(H25=0,0,((H25/B16)^2))</f>
        <v>0</v>
      </c>
    </row>
    <row r="26" spans="1:14" x14ac:dyDescent="0.25">
      <c r="A26" s="188" t="s">
        <v>330</v>
      </c>
      <c r="B26" s="31">
        <f ca="1">SUM(B16:B25)</f>
        <v>64</v>
      </c>
      <c r="C26" s="37" t="e">
        <f ca="1">SUM(C16:C25)-C0</f>
        <v>#NAME?</v>
      </c>
      <c r="E26" s="180"/>
      <c r="G26" s="187" t="s">
        <v>221</v>
      </c>
      <c r="H26">
        <f ca="1">COUNTIF(OFFSET(Lekeitio_2_6a_raw!A2,0,0,D9-B9+1,1),"112")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83">
        <f ca="1">IF(H26=0,0,((H26/B16)^2))</f>
        <v>0</v>
      </c>
    </row>
    <row r="27" spans="1:14" x14ac:dyDescent="0.25">
      <c r="A27" s="187"/>
      <c r="E27" s="180"/>
      <c r="G27" s="187" t="s">
        <v>222</v>
      </c>
      <c r="H27">
        <f ca="1">COUNTIF(OFFSET(Lekeitio_2_6a_raw!A2,0,0,D9-B9+1,1),"113")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83">
        <f ca="1">IF(H27=0,0,((H27/B16)^2))</f>
        <v>0</v>
      </c>
    </row>
    <row r="28" spans="1:14" x14ac:dyDescent="0.25">
      <c r="A28" s="188" t="s">
        <v>331</v>
      </c>
      <c r="E28" s="180"/>
      <c r="G28" s="187" t="s">
        <v>223</v>
      </c>
      <c r="H28">
        <f ca="1">COUNTIF(OFFSET(Lekeitio_2_6a_raw!A2,0,0,D9-B9+1,1),"114")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83">
        <f ca="1">IF(H28=0,0,((H28/B16)^2))</f>
        <v>0</v>
      </c>
    </row>
    <row r="29" spans="1:14" ht="15.75" thickBot="1" x14ac:dyDescent="0.3">
      <c r="A29" s="189" t="s">
        <v>332</v>
      </c>
      <c r="B29" s="40"/>
      <c r="C29" s="40"/>
      <c r="D29" s="40"/>
      <c r="E29" s="181"/>
      <c r="G29" s="187" t="s">
        <v>224</v>
      </c>
      <c r="H29">
        <f ca="1">COUNTIF(OFFSET(Lekeitio_2_6a_raw!A2,0,0,D9-B9+1,1),"115")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83">
        <f ca="1">IF(H29=0,0,((H29/B16)^2))</f>
        <v>0</v>
      </c>
    </row>
    <row r="30" spans="1:14" ht="15.75" thickTop="1" x14ac:dyDescent="0.25">
      <c r="G30" s="187" t="s">
        <v>225</v>
      </c>
      <c r="H30">
        <f ca="1">COUNTIF(OFFSET(Lekeitio_2_6a_raw!A2,0,0,D9-B9+1,1),"116")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83">
        <f ca="1">IF(H30=0,0,((H30/B16)^2))</f>
        <v>0</v>
      </c>
    </row>
    <row r="31" spans="1:14" x14ac:dyDescent="0.25">
      <c r="G31" s="187" t="s">
        <v>226</v>
      </c>
      <c r="H31">
        <f ca="1">COUNTIF(OFFSET(Lekeitio_2_6a_raw!A2,0,0,D9-B9+1,1),"117")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183">
        <f ca="1">IF(H31=0,0,((H31/B16)^2))</f>
        <v>0</v>
      </c>
    </row>
    <row r="32" spans="1:14" x14ac:dyDescent="0.25">
      <c r="G32" s="187" t="s">
        <v>227</v>
      </c>
      <c r="H32">
        <f ca="1">COUNTIF(OFFSET(Lekeitio_2_6a_raw!A2,0,0,D9-B9+1,1),"118")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83">
        <f ca="1">IF(H32=0,0,((H32/B16)^2))</f>
        <v>0</v>
      </c>
    </row>
    <row r="33" spans="7:11" x14ac:dyDescent="0.25">
      <c r="G33" s="187" t="s">
        <v>228</v>
      </c>
      <c r="H33">
        <f ca="1">COUNTIF(OFFSET(Lekeitio_2_6a_raw!A2,0,0,D9-B9+1,1),"109")</f>
        <v>1</v>
      </c>
      <c r="I33" s="32">
        <f ca="1">(H33/H75)*100</f>
        <v>1.5625</v>
      </c>
      <c r="J33" s="32">
        <f ca="1">IF(H33=0,0,-1*((H33/B16)*(LN(H33/B16))))</f>
        <v>0.25993019270997947</v>
      </c>
      <c r="K33" s="183">
        <f ca="1">IF(H33=0,0,((H33/B16)^2))</f>
        <v>1.5625E-2</v>
      </c>
    </row>
    <row r="34" spans="7:11" x14ac:dyDescent="0.25">
      <c r="G34" s="187" t="s">
        <v>229</v>
      </c>
      <c r="H34">
        <f ca="1">COUNTIF(OFFSET(Lekeitio_2_6a_raw!A2,0,0,D9-B9+1,1),"110")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83">
        <f ca="1">IF(H34=0,0,((H34/B16)^2))</f>
        <v>0</v>
      </c>
    </row>
    <row r="35" spans="7:11" x14ac:dyDescent="0.25">
      <c r="G35" s="188" t="s">
        <v>201</v>
      </c>
      <c r="K35" s="180"/>
    </row>
    <row r="36" spans="7:11" x14ac:dyDescent="0.25">
      <c r="G36" s="187" t="s">
        <v>230</v>
      </c>
      <c r="H36">
        <f ca="1">COUNTIF(OFFSET(Lekeitio_2_6a_raw!A2,0,0,D9-B9+1,1),"202")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83">
        <f ca="1">IF(H36=0,0,((H36/B17)^2))</f>
        <v>0</v>
      </c>
    </row>
    <row r="37" spans="7:11" x14ac:dyDescent="0.25">
      <c r="G37" s="187" t="s">
        <v>231</v>
      </c>
      <c r="H37">
        <f ca="1">COUNTIF(OFFSET(Lekeitio_2_6a_raw!A2,0,0,D9-B9+1,1),"201")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83">
        <f ca="1">IF(H37=0,0,((H37/B17)^2))</f>
        <v>0</v>
      </c>
    </row>
    <row r="38" spans="7:11" x14ac:dyDescent="0.25">
      <c r="G38" s="188" t="s">
        <v>202</v>
      </c>
      <c r="K38" s="180"/>
    </row>
    <row r="39" spans="7:11" x14ac:dyDescent="0.25">
      <c r="G39" s="187" t="s">
        <v>232</v>
      </c>
      <c r="H39">
        <f ca="1">COUNTIF(OFFSET(Lekeitio_2_6a_raw!A2,0,0,D9-B9+1,1),"306")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83">
        <f ca="1">IF(H39=0,0,((H39/B18)^2))</f>
        <v>0</v>
      </c>
    </row>
    <row r="40" spans="7:11" x14ac:dyDescent="0.25">
      <c r="G40" s="187" t="s">
        <v>233</v>
      </c>
      <c r="H40">
        <f ca="1">COUNTIF(OFFSET(Lekeitio_2_6a_raw!A2,0,0,D9-B9+1,1),"302")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83">
        <f ca="1">IF(H40=0,0,((H40/B18)^2))</f>
        <v>0</v>
      </c>
    </row>
    <row r="41" spans="7:11" x14ac:dyDescent="0.25">
      <c r="G41" s="187" t="s">
        <v>234</v>
      </c>
      <c r="H41">
        <f ca="1">COUNTIF(OFFSET(Lekeitio_2_6a_raw!A2,0,0,D9-B9+1,1),"307")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83">
        <f ca="1">IF(H41=0,0,((H41/B18)^2))</f>
        <v>0</v>
      </c>
    </row>
    <row r="42" spans="7:11" x14ac:dyDescent="0.25">
      <c r="G42" s="187" t="s">
        <v>235</v>
      </c>
      <c r="H42">
        <f ca="1">COUNTIF(OFFSET(Lekeitio_2_6a_raw!A2,0,0,D9-B9+1,1),"303")</f>
        <v>20</v>
      </c>
      <c r="I42" s="32">
        <f ca="1">(H42/H75)*100</f>
        <v>31.25</v>
      </c>
      <c r="J42" s="32">
        <f ca="1">IF(H42=0,0,-1*((H42/B18)*(LN(H42/B18))))</f>
        <v>0</v>
      </c>
      <c r="K42" s="183">
        <f ca="1">IF(H42=0,0,((H42/B18)^2))</f>
        <v>1</v>
      </c>
    </row>
    <row r="43" spans="7:11" x14ac:dyDescent="0.25">
      <c r="G43" s="187" t="s">
        <v>236</v>
      </c>
      <c r="H43">
        <f ca="1">COUNTIF(OFFSET(Lekeitio_2_6a_raw!A2,0,0,D9-B9+1,1),"304")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83">
        <f ca="1">IF(H43=0,0,((H43/B18)^2))</f>
        <v>0</v>
      </c>
    </row>
    <row r="44" spans="7:11" x14ac:dyDescent="0.25">
      <c r="G44" s="187" t="s">
        <v>237</v>
      </c>
      <c r="H44">
        <f ca="1">COUNTIF(OFFSET(Lekeitio_2_6a_raw!A2,0,0,D9-B9+1,1),"305")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83">
        <f ca="1">IF(H44=0,0,((H44/B18)^2))</f>
        <v>0</v>
      </c>
    </row>
    <row r="45" spans="7:11" x14ac:dyDescent="0.25">
      <c r="G45" s="188" t="s">
        <v>203</v>
      </c>
      <c r="K45" s="180"/>
    </row>
    <row r="46" spans="7:11" x14ac:dyDescent="0.25">
      <c r="G46" s="187" t="s">
        <v>238</v>
      </c>
      <c r="H46">
        <f ca="1">COUNTIF(OFFSET(Lekeitio_2_6a_raw!A2,0,0,D9-B9+1,1),"401")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83">
        <f ca="1">IF(H46=0,0,((H46/B19)^2))</f>
        <v>0</v>
      </c>
    </row>
    <row r="47" spans="7:11" x14ac:dyDescent="0.25">
      <c r="G47" s="187" t="s">
        <v>239</v>
      </c>
      <c r="H47">
        <f ca="1">COUNTIF(OFFSET(Lekeitio_2_6a_raw!A2,0,0,D9-B9+1,1),"402")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83">
        <f ca="1">IF(H47=0,0,((H47/B19)^2))</f>
        <v>0</v>
      </c>
    </row>
    <row r="48" spans="7:11" x14ac:dyDescent="0.25">
      <c r="G48" s="188" t="s">
        <v>204</v>
      </c>
      <c r="K48" s="180"/>
    </row>
    <row r="49" spans="7:11" x14ac:dyDescent="0.25">
      <c r="G49" s="187" t="s">
        <v>240</v>
      </c>
      <c r="H49">
        <f ca="1">COUNTIF(OFFSET(Lekeitio_2_6a_raw!A2,0,0,D9-B9+1,1),"501")</f>
        <v>29</v>
      </c>
      <c r="I49" s="32">
        <f ca="1">(H49/H75)*100</f>
        <v>45.3125</v>
      </c>
      <c r="J49" s="32">
        <f ca="1">IF(H49=0,0,-1*((H49/B20)*(LN(H49/B20))))</f>
        <v>0</v>
      </c>
      <c r="K49" s="183">
        <f ca="1">IF(H49=0,0,((H49/B20)^2))</f>
        <v>1</v>
      </c>
    </row>
    <row r="50" spans="7:11" x14ac:dyDescent="0.25">
      <c r="G50" s="187" t="s">
        <v>241</v>
      </c>
      <c r="H50">
        <f ca="1">COUNTIF(OFFSET(Lekeitio_2_6a_raw!A2,0,0,D9-B9+1,1),"502")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83">
        <f ca="1">IF(H50=0,0,((H50/B20)^2))</f>
        <v>0</v>
      </c>
    </row>
    <row r="51" spans="7:11" x14ac:dyDescent="0.25">
      <c r="G51" s="187" t="s">
        <v>242</v>
      </c>
      <c r="H51">
        <f ca="1">COUNTIF(OFFSET(Lekeitio_2_6a_raw!A2,0,0,D9-B9+1,1),"503")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83">
        <f ca="1">IF(H51=0,0,((H51/B20)^2))</f>
        <v>0</v>
      </c>
    </row>
    <row r="52" spans="7:11" x14ac:dyDescent="0.25">
      <c r="G52" s="187" t="s">
        <v>243</v>
      </c>
      <c r="H52">
        <f ca="1">COUNTIF(OFFSET(Lekeitio_2_6a_raw!A2,0,0,D9-B9+1,1),"504")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83">
        <f ca="1">IF(H52=0,0,((H52/B20)^2))</f>
        <v>0</v>
      </c>
    </row>
    <row r="53" spans="7:11" x14ac:dyDescent="0.25">
      <c r="G53" s="188" t="s">
        <v>205</v>
      </c>
      <c r="K53" s="180"/>
    </row>
    <row r="54" spans="7:11" x14ac:dyDescent="0.25">
      <c r="G54" s="187" t="s">
        <v>244</v>
      </c>
      <c r="H54">
        <f ca="1">COUNTIF(OFFSET(Lekeitio_2_6a_raw!A2,0,0,D9-B9+1,1),"601")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83">
        <f ca="1">IF(H54=0,0,((H54/B21)^2))</f>
        <v>0</v>
      </c>
    </row>
    <row r="55" spans="7:11" x14ac:dyDescent="0.25">
      <c r="G55" s="187" t="s">
        <v>245</v>
      </c>
      <c r="H55">
        <f ca="1">COUNTIF(OFFSET(Lekeitio_2_6a_raw!A2,0,0,D9-B9+1,1),"602")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83">
        <f ca="1">IF(H55=0,0,((H55/B21)^2))</f>
        <v>0</v>
      </c>
    </row>
    <row r="56" spans="7:11" x14ac:dyDescent="0.25">
      <c r="G56" s="187" t="s">
        <v>246</v>
      </c>
      <c r="H56">
        <f ca="1">COUNTIF(OFFSET(Lekeitio_2_6a_raw!A2,0,0,D9-B9+1,1),"603")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183">
        <f ca="1">IF(H56=0,0,((H56/B21)^2))</f>
        <v>0</v>
      </c>
    </row>
    <row r="57" spans="7:11" x14ac:dyDescent="0.25">
      <c r="G57" s="187" t="s">
        <v>247</v>
      </c>
      <c r="H57">
        <f ca="1">COUNTIF(OFFSET(Lekeitio_2_6a_raw!A2,0,0,D9-B9+1,1),"604")</f>
        <v>2</v>
      </c>
      <c r="I57" s="32">
        <f ca="1">(H57/H75)*100</f>
        <v>3.125</v>
      </c>
      <c r="J57" s="32">
        <f ca="1">IF(H57=0,0,-1*((H57/B21)*(LN(H57/B21))))</f>
        <v>0</v>
      </c>
      <c r="K57" s="183">
        <f ca="1">IF(H57=0,0,((H57/B21)^2))</f>
        <v>1</v>
      </c>
    </row>
    <row r="58" spans="7:11" x14ac:dyDescent="0.25">
      <c r="G58" s="188" t="s">
        <v>206</v>
      </c>
      <c r="K58" s="180"/>
    </row>
    <row r="59" spans="7:11" x14ac:dyDescent="0.25">
      <c r="G59" s="187" t="s">
        <v>248</v>
      </c>
      <c r="H59">
        <f ca="1">COUNTIF(OFFSET(Lekeitio_2_6a_raw!A2,0,0,D9-B9+1,1),"701")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83">
        <f ca="1">IF(H59=0,0,((H59/B22)^2))</f>
        <v>0</v>
      </c>
    </row>
    <row r="60" spans="7:11" x14ac:dyDescent="0.25">
      <c r="G60" s="187" t="s">
        <v>249</v>
      </c>
      <c r="H60">
        <f ca="1">COUNTIF(OFFSET(Lekeitio_2_6a_raw!A2,0,0,D9-B9+1,1),"702")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83">
        <f ca="1">IF(H60=0,0,((H60/B22)^2))</f>
        <v>0</v>
      </c>
    </row>
    <row r="61" spans="7:11" x14ac:dyDescent="0.25">
      <c r="G61" s="187" t="s">
        <v>250</v>
      </c>
      <c r="H61">
        <f ca="1">COUNTIF(OFFSET(Lekeitio_2_6a_raw!A2,0,0,D9-B9+1,1),"703")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83">
        <f ca="1">IF(H61=0,0,((H61/B22)^2))</f>
        <v>0</v>
      </c>
    </row>
    <row r="62" spans="7:11" x14ac:dyDescent="0.25">
      <c r="G62" s="187" t="s">
        <v>251</v>
      </c>
      <c r="H62">
        <f ca="1">COUNTIF(OFFSET(Lekeitio_2_6a_raw!A2,0,0,D9-B9+1,1),"705")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83">
        <f ca="1">IF(H62=0,0,((H62/B22)^2))</f>
        <v>0</v>
      </c>
    </row>
    <row r="63" spans="7:11" x14ac:dyDescent="0.25">
      <c r="G63" s="187" t="s">
        <v>252</v>
      </c>
      <c r="H63">
        <f ca="1">COUNTIF(OFFSET(Lekeitio_2_6a_raw!A2,0,0,D9-B9+1,1),"704")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83">
        <f ca="1">IF(H63=0,0,((H63/B22)^2))</f>
        <v>0</v>
      </c>
    </row>
    <row r="64" spans="7:11" x14ac:dyDescent="0.25">
      <c r="G64" s="188" t="s">
        <v>207</v>
      </c>
      <c r="K64" s="180"/>
    </row>
    <row r="65" spans="7:11" x14ac:dyDescent="0.25">
      <c r="G65" s="187" t="s">
        <v>253</v>
      </c>
      <c r="H65">
        <f ca="1">COUNTIF(OFFSET(Lekeitio_2_6a_raw!A2,0,0,D9-B9+1,1),"801")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83">
        <f ca="1">IF(H65=0,0,((H65/B23)^2))</f>
        <v>0</v>
      </c>
    </row>
    <row r="66" spans="7:11" x14ac:dyDescent="0.25">
      <c r="G66" s="187" t="s">
        <v>254</v>
      </c>
      <c r="H66">
        <f ca="1">COUNTIF(OFFSET(Lekeitio_2_6a_raw!A2,0,0,D9-B9+1,1),"802")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83">
        <f ca="1">IF(H66=0,0,((H66/B23)^2))</f>
        <v>0</v>
      </c>
    </row>
    <row r="67" spans="7:11" x14ac:dyDescent="0.25">
      <c r="G67" s="188" t="s">
        <v>208</v>
      </c>
      <c r="K67" s="180"/>
    </row>
    <row r="68" spans="7:11" x14ac:dyDescent="0.25">
      <c r="G68" s="187" t="s">
        <v>255</v>
      </c>
      <c r="H68">
        <f ca="1">COUNTIF(OFFSET(Lekeitio_2_6a_raw!A2,0,0,D9-B9+1,1),"901")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83">
        <f ca="1">IF(H68=0,0,((H68/B24)^2))</f>
        <v>0</v>
      </c>
    </row>
    <row r="69" spans="7:11" x14ac:dyDescent="0.25">
      <c r="G69" s="187" t="s">
        <v>256</v>
      </c>
      <c r="H69">
        <f ca="1">COUNTIF(OFFSET(Lekeitio_2_6a_raw!A2,0,0,D9-B9+1,1),"902")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83">
        <f ca="1">IF(H69=0,0,((H69/B24)^2))</f>
        <v>0</v>
      </c>
    </row>
    <row r="70" spans="7:11" x14ac:dyDescent="0.25">
      <c r="G70" s="187" t="s">
        <v>257</v>
      </c>
      <c r="H70">
        <f ca="1">COUNTIF(OFFSET(Lekeitio_2_6a_raw!A2,0,0,D9-B9+1,1),"904")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83">
        <f ca="1">IF(H70=0,0,((H70/B24)^2))</f>
        <v>0</v>
      </c>
    </row>
    <row r="71" spans="7:11" x14ac:dyDescent="0.25">
      <c r="G71" s="187" t="s">
        <v>258</v>
      </c>
      <c r="H71">
        <f ca="1">COUNTIF(OFFSET(Lekeitio_2_6a_raw!A2,0,0,D9-B9+1,1),"905")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83">
        <f ca="1">IF(H71=0,0,((H71/B24)^2))</f>
        <v>0</v>
      </c>
    </row>
    <row r="72" spans="7:11" x14ac:dyDescent="0.25">
      <c r="G72" s="187" t="s">
        <v>259</v>
      </c>
      <c r="H72">
        <f ca="1">COUNTIF(OFFSET(Lekeitio_2_6a_raw!A2,0,0,D9-B9+1,1),"903")</f>
        <v>5</v>
      </c>
      <c r="I72" s="32">
        <f ca="1">(H72/H75)*100</f>
        <v>7.8125</v>
      </c>
      <c r="J72" s="32">
        <f ca="1">IF(H72=0,0,-1*((H72/B24)*(LN(H72/B24))))</f>
        <v>0</v>
      </c>
      <c r="K72" s="183">
        <f ca="1">IF(H72=0,0,((H72/B24)^2))</f>
        <v>1</v>
      </c>
    </row>
    <row r="73" spans="7:11" x14ac:dyDescent="0.25">
      <c r="G73" s="188" t="s">
        <v>209</v>
      </c>
      <c r="K73" s="180"/>
    </row>
    <row r="74" spans="7:11" x14ac:dyDescent="0.25">
      <c r="G74" s="187" t="s">
        <v>260</v>
      </c>
      <c r="H74">
        <f ca="1">COUNTIF(OFFSET(Lekeitio_2_6a_raw!A2,0,0,D9-B9+1,1),"1001")</f>
        <v>0</v>
      </c>
      <c r="I74" s="32">
        <f ca="1">(H74/SUM(H15:H74))*100</f>
        <v>0</v>
      </c>
      <c r="J74" s="32"/>
      <c r="K74" s="183">
        <f ca="1">IF(H74=0,0,((H74/B25)^2))</f>
        <v>0</v>
      </c>
    </row>
    <row r="75" spans="7:11" ht="15.75" thickBot="1" x14ac:dyDescent="0.3">
      <c r="G75" s="190" t="s">
        <v>285</v>
      </c>
      <c r="H75" s="51">
        <f ca="1">SUM(H16:H74)</f>
        <v>64</v>
      </c>
      <c r="I75" s="51">
        <f ca="1">SUM(I16:I74)</f>
        <v>100</v>
      </c>
      <c r="J75" s="40"/>
      <c r="K75" s="181"/>
    </row>
    <row r="76" spans="7:11" ht="15.75" thickTop="1" x14ac:dyDescent="0.25"/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58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COUNTA(OFFSET(Lekeitio_2_6b_raw!A2,0,0,D9-B9+1,1))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197" t="s">
        <v>319</v>
      </c>
      <c r="B15" s="33" t="s">
        <v>281</v>
      </c>
      <c r="C15" s="33" t="s">
        <v>282</v>
      </c>
      <c r="D15" s="33" t="s">
        <v>283</v>
      </c>
      <c r="E15" s="194" t="s">
        <v>284</v>
      </c>
      <c r="G15" s="197" t="s">
        <v>280</v>
      </c>
      <c r="H15" s="33" t="s">
        <v>281</v>
      </c>
      <c r="I15" s="33" t="s">
        <v>282</v>
      </c>
      <c r="J15" s="33" t="s">
        <v>283</v>
      </c>
      <c r="K15" s="194" t="s">
        <v>284</v>
      </c>
      <c r="N15">
        <v>16</v>
      </c>
    </row>
    <row r="16" spans="1:14" x14ac:dyDescent="0.25">
      <c r="A16" s="198" t="s">
        <v>320</v>
      </c>
      <c r="B16" s="35">
        <f ca="1">COUNTIF(OFFSET(Lekeitio_2_6b_raw!C2,0,0,D9-B9+1,1), "100")</f>
        <v>25</v>
      </c>
      <c r="C16" s="36">
        <f ca="1">(B16/H75)*100</f>
        <v>39.0625</v>
      </c>
      <c r="D16" s="36">
        <f ca="1">SUM(J17:J34)</f>
        <v>0.97325312113216911</v>
      </c>
      <c r="E16" s="196">
        <f ca="1">1-SUM(K17:K34)</f>
        <v>0.59519999999999995</v>
      </c>
      <c r="G16" s="200" t="s">
        <v>200</v>
      </c>
      <c r="K16" s="192"/>
      <c r="N16">
        <v>75</v>
      </c>
    </row>
    <row r="17" spans="1:14" x14ac:dyDescent="0.25">
      <c r="A17" s="199" t="s">
        <v>321</v>
      </c>
      <c r="B17">
        <f ca="1">COUNTIF(OFFSET(Lekeitio_2_6b_raw!C2,0,0,D9-B9+1,1), "200")</f>
        <v>0</v>
      </c>
      <c r="C17" s="32">
        <f ca="1">(B17/H75)*100</f>
        <v>0</v>
      </c>
      <c r="D17" s="32">
        <f ca="1">SUM(J36:J37)</f>
        <v>0</v>
      </c>
      <c r="E17" s="195">
        <f ca="1">1-SUM(K36:K37)</f>
        <v>1</v>
      </c>
      <c r="G17" s="199" t="s">
        <v>212</v>
      </c>
      <c r="H17">
        <f ca="1">COUNTIF(OFFSET(Lekeitio_2_6b_raw!A2,0,0,D9-B9+1,1),"108")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195">
        <f ca="1">IF(H17=0,0,((H17/B16)^2))</f>
        <v>0</v>
      </c>
      <c r="N17">
        <v>7</v>
      </c>
    </row>
    <row r="18" spans="1:14" x14ac:dyDescent="0.25">
      <c r="A18" s="198" t="s">
        <v>322</v>
      </c>
      <c r="B18" s="35">
        <f ca="1">COUNTIF(OFFSET(Lekeitio_2_6b_raw!C2,0,0,D9-B9+1,1), "300")</f>
        <v>0</v>
      </c>
      <c r="C18" s="36">
        <f ca="1">(B18/H75)*100</f>
        <v>0</v>
      </c>
      <c r="D18" s="36">
        <f ca="1">SUM(J39:J44)</f>
        <v>0</v>
      </c>
      <c r="E18" s="196">
        <f ca="1">1-SUM(K39:K44)</f>
        <v>1</v>
      </c>
      <c r="G18" s="199" t="s">
        <v>213</v>
      </c>
      <c r="H18">
        <f ca="1">COUNTIF(OFFSET(Lekeitio_2_6b_raw!A2,0,0,D9-B9+1,1),"105")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195">
        <f ca="1">IF(H18=0,0,((H18/B16)^2))</f>
        <v>0</v>
      </c>
    </row>
    <row r="19" spans="1:14" x14ac:dyDescent="0.25">
      <c r="A19" s="199" t="s">
        <v>323</v>
      </c>
      <c r="B19">
        <f ca="1">COUNTIF(OFFSET(Lekeitio_2_6b_raw!C2,0,0,D9-B9+1,1), "400")</f>
        <v>0</v>
      </c>
      <c r="C19" s="32">
        <f ca="1">(B19/H75)*100</f>
        <v>0</v>
      </c>
      <c r="D19" s="32">
        <f ca="1">SUM(J46:J47)</f>
        <v>0</v>
      </c>
      <c r="E19" s="195">
        <f ca="1">1-SUM(K46:K47)</f>
        <v>1</v>
      </c>
      <c r="G19" s="199" t="s">
        <v>214</v>
      </c>
      <c r="H19">
        <f ca="1">COUNTIF(OFFSET(Lekeitio_2_6b_raw!A2,0,0,D9-B9+1,1),"103")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195">
        <f ca="1">IF(H19=0,0,((H19/B16)^2))</f>
        <v>0</v>
      </c>
    </row>
    <row r="20" spans="1:14" x14ac:dyDescent="0.25">
      <c r="A20" s="198" t="s">
        <v>324</v>
      </c>
      <c r="B20" s="35">
        <f ca="1">COUNTIF(OFFSET(Lekeitio_2_6b_raw!C2,0,0,D9-B9+1,1), "500")</f>
        <v>26</v>
      </c>
      <c r="C20" s="36">
        <f ca="1">(B20/H75)*100</f>
        <v>40.625</v>
      </c>
      <c r="D20" s="36">
        <f ca="1">SUM(J49:J52)</f>
        <v>0</v>
      </c>
      <c r="E20" s="196">
        <f ca="1">1-SUM(K49:K52)</f>
        <v>0</v>
      </c>
      <c r="G20" s="199" t="s">
        <v>215</v>
      </c>
      <c r="H20">
        <f ca="1">COUNTIF(OFFSET(Lekeitio_2_6b_raw!A2,0,0,D9-B9+1,1),"107")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195">
        <f ca="1">IF(H20=0,0,((H20/B16)^2))</f>
        <v>0</v>
      </c>
    </row>
    <row r="21" spans="1:14" x14ac:dyDescent="0.25">
      <c r="A21" s="199" t="s">
        <v>325</v>
      </c>
      <c r="B21">
        <f ca="1">COUNTIF(OFFSET(Lekeitio_2_6b_raw!C2,0,0,D9-B9+1,1), "600")</f>
        <v>4</v>
      </c>
      <c r="C21" s="32">
        <f ca="1">(B21/H75)*100</f>
        <v>6.25</v>
      </c>
      <c r="D21" s="32">
        <f ca="1">SUM(J54:J57)</f>
        <v>0.56233514461880829</v>
      </c>
      <c r="E21" s="195">
        <f ca="1">1-SUM(K54:K57)</f>
        <v>0.375</v>
      </c>
      <c r="G21" s="199" t="s">
        <v>216</v>
      </c>
      <c r="H21">
        <f ca="1">COUNTIF(OFFSET(Lekeitio_2_6b_raw!A2,0,0,D9-B9+1,1),"101")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195">
        <f ca="1">IF(H21=0,0,((H21/B16)^2))</f>
        <v>0</v>
      </c>
    </row>
    <row r="22" spans="1:14" x14ac:dyDescent="0.25">
      <c r="A22" s="198" t="s">
        <v>326</v>
      </c>
      <c r="B22" s="35">
        <f ca="1">COUNTIF(OFFSET(Lekeitio_2_6b_raw!C2,0,0,D9-B9+1,1), "700")</f>
        <v>0</v>
      </c>
      <c r="C22" s="36">
        <f ca="1">(B22/H75)*100</f>
        <v>0</v>
      </c>
      <c r="D22" s="36">
        <f ca="1">SUM(J59:J63)</f>
        <v>0</v>
      </c>
      <c r="E22" s="196">
        <f ca="1">1-SUM(K59:K63)</f>
        <v>1</v>
      </c>
      <c r="G22" s="199" t="s">
        <v>217</v>
      </c>
      <c r="H22">
        <f ca="1">COUNTIF(OFFSET(Lekeitio_2_6b_raw!A2,0,0,D9-B9+1,1),"106")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195">
        <f ca="1">IF(H22=0,0,((H22/B16)^2))</f>
        <v>0</v>
      </c>
    </row>
    <row r="23" spans="1:14" x14ac:dyDescent="0.25">
      <c r="A23" s="199" t="s">
        <v>327</v>
      </c>
      <c r="B23">
        <f ca="1">COUNTIF(OFFSET(Lekeitio_2_6b_raw!C2,0,0,D9-B9+1,1), "800")</f>
        <v>0</v>
      </c>
      <c r="C23" s="32">
        <f ca="1">(B23/H75)*100</f>
        <v>0</v>
      </c>
      <c r="D23" s="32">
        <f ca="1">SUM(J65:J66)</f>
        <v>0</v>
      </c>
      <c r="E23" s="195">
        <f ca="1">1-SUM(K65:K66)</f>
        <v>1</v>
      </c>
      <c r="G23" s="199" t="s">
        <v>218</v>
      </c>
      <c r="H23">
        <f ca="1">COUNTIF(OFFSET(Lekeitio_2_6b_raw!A2,0,0,D9-B9+1,1),"102")</f>
        <v>10</v>
      </c>
      <c r="I23" s="32">
        <f ca="1">(H23/H75)*100</f>
        <v>15.625</v>
      </c>
      <c r="J23" s="32">
        <f ca="1">IF(H23=0,0,-1*((H23/B16)*(LN(H23/B16))))</f>
        <v>0.36651629274966202</v>
      </c>
      <c r="K23" s="195">
        <f ca="1">IF(H23=0,0,((H23/B16)^2))</f>
        <v>0.16000000000000003</v>
      </c>
    </row>
    <row r="24" spans="1:14" x14ac:dyDescent="0.25">
      <c r="A24" s="198" t="s">
        <v>328</v>
      </c>
      <c r="B24" s="35">
        <f ca="1">COUNTIF(OFFSET(Lekeitio_2_6b_raw!C2,0,0,D9-B9+1,1), "900")</f>
        <v>9</v>
      </c>
      <c r="C24" s="36">
        <f ca="1">(B24/H75)*100</f>
        <v>14.0625</v>
      </c>
      <c r="D24" s="36">
        <f ca="1">SUM(J68:J72)</f>
        <v>0</v>
      </c>
      <c r="E24" s="196">
        <f ca="1">1-SUM(K68:K72)</f>
        <v>0</v>
      </c>
      <c r="G24" s="199" t="s">
        <v>219</v>
      </c>
      <c r="H24">
        <f ca="1">COUNTIF(OFFSET(Lekeitio_2_6b_raw!A2,0,0,D9-B9+1,1),"104")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195">
        <f ca="1">IF(H24=0,0,((H24/B16)^2))</f>
        <v>0</v>
      </c>
    </row>
    <row r="25" spans="1:14" x14ac:dyDescent="0.25">
      <c r="A25" s="199" t="s">
        <v>329</v>
      </c>
      <c r="B25">
        <f ca="1">COUNTIF(OFFSET(Lekeitio_2_6b_raw!C2,0,0,D9-B9+1,1), "1000")</f>
        <v>0</v>
      </c>
      <c r="C25" s="32">
        <f ca="1">(B25/H75)*100</f>
        <v>0</v>
      </c>
      <c r="D25" s="32">
        <f>SUM(J74:J74)</f>
        <v>0</v>
      </c>
      <c r="E25" s="195">
        <f ca="1">1-SUM(K74:K74)</f>
        <v>1</v>
      </c>
      <c r="G25" s="199" t="s">
        <v>220</v>
      </c>
      <c r="H25">
        <f ca="1">COUNTIF(OFFSET(Lekeitio_2_6b_raw!A2,0,0,D9-B9+1,1),"111")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195">
        <f ca="1">IF(H25=0,0,((H25/B16)^2))</f>
        <v>0</v>
      </c>
    </row>
    <row r="26" spans="1:14" x14ac:dyDescent="0.25">
      <c r="A26" s="200" t="s">
        <v>330</v>
      </c>
      <c r="B26" s="31">
        <f ca="1">SUM(B16:B25)</f>
        <v>64</v>
      </c>
      <c r="C26" s="37" t="e">
        <f ca="1">SUM(C16:C25)-C0</f>
        <v>#NAME?</v>
      </c>
      <c r="E26" s="192"/>
      <c r="G26" s="199" t="s">
        <v>221</v>
      </c>
      <c r="H26">
        <f ca="1">COUNTIF(OFFSET(Lekeitio_2_6b_raw!A2,0,0,D9-B9+1,1),"112")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195">
        <f ca="1">IF(H26=0,0,((H26/B16)^2))</f>
        <v>0</v>
      </c>
    </row>
    <row r="27" spans="1:14" x14ac:dyDescent="0.25">
      <c r="A27" s="199"/>
      <c r="E27" s="192"/>
      <c r="G27" s="199" t="s">
        <v>222</v>
      </c>
      <c r="H27">
        <f ca="1">COUNTIF(OFFSET(Lekeitio_2_6b_raw!A2,0,0,D9-B9+1,1),"113")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195">
        <f ca="1">IF(H27=0,0,((H27/B16)^2))</f>
        <v>0</v>
      </c>
    </row>
    <row r="28" spans="1:14" x14ac:dyDescent="0.25">
      <c r="A28" s="200" t="s">
        <v>331</v>
      </c>
      <c r="E28" s="192"/>
      <c r="G28" s="199" t="s">
        <v>223</v>
      </c>
      <c r="H28">
        <f ca="1">COUNTIF(OFFSET(Lekeitio_2_6b_raw!A2,0,0,D9-B9+1,1),"114")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195">
        <f ca="1">IF(H28=0,0,((H28/B16)^2))</f>
        <v>0</v>
      </c>
    </row>
    <row r="29" spans="1:14" ht="15.75" thickBot="1" x14ac:dyDescent="0.3">
      <c r="A29" s="201" t="s">
        <v>332</v>
      </c>
      <c r="B29" s="40"/>
      <c r="C29" s="40"/>
      <c r="D29" s="40"/>
      <c r="E29" s="193"/>
      <c r="G29" s="199" t="s">
        <v>224</v>
      </c>
      <c r="H29">
        <f ca="1">COUNTIF(OFFSET(Lekeitio_2_6b_raw!A2,0,0,D9-B9+1,1),"115")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195">
        <f ca="1">IF(H29=0,0,((H29/B16)^2))</f>
        <v>0</v>
      </c>
    </row>
    <row r="30" spans="1:14" ht="15.75" thickTop="1" x14ac:dyDescent="0.25">
      <c r="G30" s="199" t="s">
        <v>225</v>
      </c>
      <c r="H30">
        <f ca="1">COUNTIF(OFFSET(Lekeitio_2_6b_raw!A2,0,0,D9-B9+1,1),"116")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195">
        <f ca="1">IF(H30=0,0,((H30/B16)^2))</f>
        <v>0</v>
      </c>
    </row>
    <row r="31" spans="1:14" x14ac:dyDescent="0.25">
      <c r="G31" s="199" t="s">
        <v>226</v>
      </c>
      <c r="H31">
        <f ca="1">COUNTIF(OFFSET(Lekeitio_2_6b_raw!A2,0,0,D9-B9+1,1),"117")</f>
        <v>3</v>
      </c>
      <c r="I31" s="32">
        <f ca="1">(H31/H75)*100</f>
        <v>4.6875</v>
      </c>
      <c r="J31" s="32">
        <f ca="1">IF(H31=0,0,-1*((H31/B16)*(LN(H31/B16))))</f>
        <v>0.2544316243440109</v>
      </c>
      <c r="K31" s="195">
        <f ca="1">IF(H31=0,0,((H31/B16)^2))</f>
        <v>1.44E-2</v>
      </c>
    </row>
    <row r="32" spans="1:14" x14ac:dyDescent="0.25">
      <c r="G32" s="199" t="s">
        <v>227</v>
      </c>
      <c r="H32">
        <f ca="1">COUNTIF(OFFSET(Lekeitio_2_6b_raw!A2,0,0,D9-B9+1,1),"118")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195">
        <f ca="1">IF(H32=0,0,((H32/B16)^2))</f>
        <v>0</v>
      </c>
    </row>
    <row r="33" spans="7:11" x14ac:dyDescent="0.25">
      <c r="G33" s="199" t="s">
        <v>228</v>
      </c>
      <c r="H33">
        <f ca="1">COUNTIF(OFFSET(Lekeitio_2_6b_raw!A2,0,0,D9-B9+1,1),"109")</f>
        <v>12</v>
      </c>
      <c r="I33" s="32">
        <f ca="1">(H33/H75)*100</f>
        <v>18.75</v>
      </c>
      <c r="J33" s="32">
        <f ca="1">IF(H33=0,0,-1*((H33/B16)*(LN(H33/B16))))</f>
        <v>0.35230520403849619</v>
      </c>
      <c r="K33" s="195">
        <f ca="1">IF(H33=0,0,((H33/B16)^2))</f>
        <v>0.23039999999999999</v>
      </c>
    </row>
    <row r="34" spans="7:11" x14ac:dyDescent="0.25">
      <c r="G34" s="199" t="s">
        <v>229</v>
      </c>
      <c r="H34">
        <f ca="1">COUNTIF(OFFSET(Lekeitio_2_6b_raw!A2,0,0,D9-B9+1,1),"110")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195">
        <f ca="1">IF(H34=0,0,((H34/B16)^2))</f>
        <v>0</v>
      </c>
    </row>
    <row r="35" spans="7:11" x14ac:dyDescent="0.25">
      <c r="G35" s="200" t="s">
        <v>201</v>
      </c>
      <c r="K35" s="192"/>
    </row>
    <row r="36" spans="7:11" x14ac:dyDescent="0.25">
      <c r="G36" s="199" t="s">
        <v>230</v>
      </c>
      <c r="H36">
        <f ca="1">COUNTIF(OFFSET(Lekeitio_2_6b_raw!A2,0,0,D9-B9+1,1),"202")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195">
        <f ca="1">IF(H36=0,0,((H36/B17)^2))</f>
        <v>0</v>
      </c>
    </row>
    <row r="37" spans="7:11" x14ac:dyDescent="0.25">
      <c r="G37" s="199" t="s">
        <v>231</v>
      </c>
      <c r="H37">
        <f ca="1">COUNTIF(OFFSET(Lekeitio_2_6b_raw!A2,0,0,D9-B9+1,1),"201")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195">
        <f ca="1">IF(H37=0,0,((H37/B17)^2))</f>
        <v>0</v>
      </c>
    </row>
    <row r="38" spans="7:11" x14ac:dyDescent="0.25">
      <c r="G38" s="200" t="s">
        <v>202</v>
      </c>
      <c r="K38" s="192"/>
    </row>
    <row r="39" spans="7:11" x14ac:dyDescent="0.25">
      <c r="G39" s="199" t="s">
        <v>232</v>
      </c>
      <c r="H39">
        <f ca="1">COUNTIF(OFFSET(Lekeitio_2_6b_raw!A2,0,0,D9-B9+1,1),"306")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195">
        <f ca="1">IF(H39=0,0,((H39/B18)^2))</f>
        <v>0</v>
      </c>
    </row>
    <row r="40" spans="7:11" x14ac:dyDescent="0.25">
      <c r="G40" s="199" t="s">
        <v>233</v>
      </c>
      <c r="H40">
        <f ca="1">COUNTIF(OFFSET(Lekeitio_2_6b_raw!A2,0,0,D9-B9+1,1),"302")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195">
        <f ca="1">IF(H40=0,0,((H40/B18)^2))</f>
        <v>0</v>
      </c>
    </row>
    <row r="41" spans="7:11" x14ac:dyDescent="0.25">
      <c r="G41" s="199" t="s">
        <v>234</v>
      </c>
      <c r="H41">
        <f ca="1">COUNTIF(OFFSET(Lekeitio_2_6b_raw!A2,0,0,D9-B9+1,1),"307")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195">
        <f ca="1">IF(H41=0,0,((H41/B18)^2))</f>
        <v>0</v>
      </c>
    </row>
    <row r="42" spans="7:11" x14ac:dyDescent="0.25">
      <c r="G42" s="199" t="s">
        <v>235</v>
      </c>
      <c r="H42">
        <f ca="1">COUNTIF(OFFSET(Lekeitio_2_6b_raw!A2,0,0,D9-B9+1,1),"303")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195">
        <f ca="1">IF(H42=0,0,((H42/B18)^2))</f>
        <v>0</v>
      </c>
    </row>
    <row r="43" spans="7:11" x14ac:dyDescent="0.25">
      <c r="G43" s="199" t="s">
        <v>236</v>
      </c>
      <c r="H43">
        <f ca="1">COUNTIF(OFFSET(Lekeitio_2_6b_raw!A2,0,0,D9-B9+1,1),"304")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195">
        <f ca="1">IF(H43=0,0,((H43/B18)^2))</f>
        <v>0</v>
      </c>
    </row>
    <row r="44" spans="7:11" x14ac:dyDescent="0.25">
      <c r="G44" s="199" t="s">
        <v>237</v>
      </c>
      <c r="H44">
        <f ca="1">COUNTIF(OFFSET(Lekeitio_2_6b_raw!A2,0,0,D9-B9+1,1),"305")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195">
        <f ca="1">IF(H44=0,0,((H44/B18)^2))</f>
        <v>0</v>
      </c>
    </row>
    <row r="45" spans="7:11" x14ac:dyDescent="0.25">
      <c r="G45" s="200" t="s">
        <v>203</v>
      </c>
      <c r="K45" s="192"/>
    </row>
    <row r="46" spans="7:11" x14ac:dyDescent="0.25">
      <c r="G46" s="199" t="s">
        <v>238</v>
      </c>
      <c r="H46">
        <f ca="1">COUNTIF(OFFSET(Lekeitio_2_6b_raw!A2,0,0,D9-B9+1,1),"401")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195">
        <f ca="1">IF(H46=0,0,((H46/B19)^2))</f>
        <v>0</v>
      </c>
    </row>
    <row r="47" spans="7:11" x14ac:dyDescent="0.25">
      <c r="G47" s="199" t="s">
        <v>239</v>
      </c>
      <c r="H47">
        <f ca="1">COUNTIF(OFFSET(Lekeitio_2_6b_raw!A2,0,0,D9-B9+1,1),"402")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195">
        <f ca="1">IF(H47=0,0,((H47/B19)^2))</f>
        <v>0</v>
      </c>
    </row>
    <row r="48" spans="7:11" x14ac:dyDescent="0.25">
      <c r="G48" s="200" t="s">
        <v>204</v>
      </c>
      <c r="K48" s="192"/>
    </row>
    <row r="49" spans="7:11" x14ac:dyDescent="0.25">
      <c r="G49" s="199" t="s">
        <v>240</v>
      </c>
      <c r="H49">
        <f ca="1">COUNTIF(OFFSET(Lekeitio_2_6b_raw!A2,0,0,D9-B9+1,1),"501")</f>
        <v>26</v>
      </c>
      <c r="I49" s="32">
        <f ca="1">(H49/H75)*100</f>
        <v>40.625</v>
      </c>
      <c r="J49" s="32">
        <f ca="1">IF(H49=0,0,-1*((H49/B20)*(LN(H49/B20))))</f>
        <v>0</v>
      </c>
      <c r="K49" s="195">
        <f ca="1">IF(H49=0,0,((H49/B20)^2))</f>
        <v>1</v>
      </c>
    </row>
    <row r="50" spans="7:11" x14ac:dyDescent="0.25">
      <c r="G50" s="199" t="s">
        <v>241</v>
      </c>
      <c r="H50">
        <f ca="1">COUNTIF(OFFSET(Lekeitio_2_6b_raw!A2,0,0,D9-B9+1,1),"502")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195">
        <f ca="1">IF(H50=0,0,((H50/B20)^2))</f>
        <v>0</v>
      </c>
    </row>
    <row r="51" spans="7:11" x14ac:dyDescent="0.25">
      <c r="G51" s="199" t="s">
        <v>242</v>
      </c>
      <c r="H51">
        <f ca="1">COUNTIF(OFFSET(Lekeitio_2_6b_raw!A2,0,0,D9-B9+1,1),"503")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195">
        <f ca="1">IF(H51=0,0,((H51/B20)^2))</f>
        <v>0</v>
      </c>
    </row>
    <row r="52" spans="7:11" x14ac:dyDescent="0.25">
      <c r="G52" s="199" t="s">
        <v>243</v>
      </c>
      <c r="H52">
        <f ca="1">COUNTIF(OFFSET(Lekeitio_2_6b_raw!A2,0,0,D9-B9+1,1),"504")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195">
        <f ca="1">IF(H52=0,0,((H52/B20)^2))</f>
        <v>0</v>
      </c>
    </row>
    <row r="53" spans="7:11" x14ac:dyDescent="0.25">
      <c r="G53" s="200" t="s">
        <v>205</v>
      </c>
      <c r="K53" s="192"/>
    </row>
    <row r="54" spans="7:11" x14ac:dyDescent="0.25">
      <c r="G54" s="199" t="s">
        <v>244</v>
      </c>
      <c r="H54">
        <f ca="1">COUNTIF(OFFSET(Lekeitio_2_6b_raw!A2,0,0,D9-B9+1,1),"601")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195">
        <f ca="1">IF(H54=0,0,((H54/B21)^2))</f>
        <v>0</v>
      </c>
    </row>
    <row r="55" spans="7:11" x14ac:dyDescent="0.25">
      <c r="G55" s="199" t="s">
        <v>245</v>
      </c>
      <c r="H55">
        <f ca="1">COUNTIF(OFFSET(Lekeitio_2_6b_raw!A2,0,0,D9-B9+1,1),"602")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195">
        <f ca="1">IF(H55=0,0,((H55/B21)^2))</f>
        <v>0</v>
      </c>
    </row>
    <row r="56" spans="7:11" x14ac:dyDescent="0.25">
      <c r="G56" s="199" t="s">
        <v>246</v>
      </c>
      <c r="H56">
        <f ca="1">COUNTIF(OFFSET(Lekeitio_2_6b_raw!A2,0,0,D9-B9+1,1),"603")</f>
        <v>3</v>
      </c>
      <c r="I56" s="32">
        <f ca="1">(H56/H75)*100</f>
        <v>4.6875</v>
      </c>
      <c r="J56" s="32">
        <f ca="1">IF(H56=0,0,-1*((H56/B21)*(LN(H56/B21))))</f>
        <v>0.21576155433883568</v>
      </c>
      <c r="K56" s="195">
        <f ca="1">IF(H56=0,0,((H56/B21)^2))</f>
        <v>0.5625</v>
      </c>
    </row>
    <row r="57" spans="7:11" x14ac:dyDescent="0.25">
      <c r="G57" s="199" t="s">
        <v>247</v>
      </c>
      <c r="H57">
        <f ca="1">COUNTIF(OFFSET(Lekeitio_2_6b_raw!A2,0,0,D9-B9+1,1),"604")</f>
        <v>1</v>
      </c>
      <c r="I57" s="32">
        <f ca="1">(H57/H75)*100</f>
        <v>1.5625</v>
      </c>
      <c r="J57" s="32">
        <f ca="1">IF(H57=0,0,-1*((H57/B21)*(LN(H57/B21))))</f>
        <v>0.34657359027997264</v>
      </c>
      <c r="K57" s="195">
        <f ca="1">IF(H57=0,0,((H57/B21)^2))</f>
        <v>6.25E-2</v>
      </c>
    </row>
    <row r="58" spans="7:11" x14ac:dyDescent="0.25">
      <c r="G58" s="200" t="s">
        <v>206</v>
      </c>
      <c r="K58" s="192"/>
    </row>
    <row r="59" spans="7:11" x14ac:dyDescent="0.25">
      <c r="G59" s="199" t="s">
        <v>248</v>
      </c>
      <c r="H59">
        <f ca="1">COUNTIF(OFFSET(Lekeitio_2_6b_raw!A2,0,0,D9-B9+1,1),"701")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195">
        <f ca="1">IF(H59=0,0,((H59/B22)^2))</f>
        <v>0</v>
      </c>
    </row>
    <row r="60" spans="7:11" x14ac:dyDescent="0.25">
      <c r="G60" s="199" t="s">
        <v>249</v>
      </c>
      <c r="H60">
        <f ca="1">COUNTIF(OFFSET(Lekeitio_2_6b_raw!A2,0,0,D9-B9+1,1),"702")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195">
        <f ca="1">IF(H60=0,0,((H60/B22)^2))</f>
        <v>0</v>
      </c>
    </row>
    <row r="61" spans="7:11" x14ac:dyDescent="0.25">
      <c r="G61" s="199" t="s">
        <v>250</v>
      </c>
      <c r="H61">
        <f ca="1">COUNTIF(OFFSET(Lekeitio_2_6b_raw!A2,0,0,D9-B9+1,1),"703")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195">
        <f ca="1">IF(H61=0,0,((H61/B22)^2))</f>
        <v>0</v>
      </c>
    </row>
    <row r="62" spans="7:11" x14ac:dyDescent="0.25">
      <c r="G62" s="199" t="s">
        <v>251</v>
      </c>
      <c r="H62">
        <f ca="1">COUNTIF(OFFSET(Lekeitio_2_6b_raw!A2,0,0,D9-B9+1,1),"705")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195">
        <f ca="1">IF(H62=0,0,((H62/B22)^2))</f>
        <v>0</v>
      </c>
    </row>
    <row r="63" spans="7:11" x14ac:dyDescent="0.25">
      <c r="G63" s="199" t="s">
        <v>252</v>
      </c>
      <c r="H63">
        <f ca="1">COUNTIF(OFFSET(Lekeitio_2_6b_raw!A2,0,0,D9-B9+1,1),"704")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195">
        <f ca="1">IF(H63=0,0,((H63/B22)^2))</f>
        <v>0</v>
      </c>
    </row>
    <row r="64" spans="7:11" x14ac:dyDescent="0.25">
      <c r="G64" s="200" t="s">
        <v>207</v>
      </c>
      <c r="K64" s="192"/>
    </row>
    <row r="65" spans="7:11" x14ac:dyDescent="0.25">
      <c r="G65" s="199" t="s">
        <v>253</v>
      </c>
      <c r="H65">
        <f ca="1">COUNTIF(OFFSET(Lekeitio_2_6b_raw!A2,0,0,D9-B9+1,1),"801")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195">
        <f ca="1">IF(H65=0,0,((H65/B23)^2))</f>
        <v>0</v>
      </c>
    </row>
    <row r="66" spans="7:11" x14ac:dyDescent="0.25">
      <c r="G66" s="199" t="s">
        <v>254</v>
      </c>
      <c r="H66">
        <f ca="1">COUNTIF(OFFSET(Lekeitio_2_6b_raw!A2,0,0,D9-B9+1,1),"802")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195">
        <f ca="1">IF(H66=0,0,((H66/B23)^2))</f>
        <v>0</v>
      </c>
    </row>
    <row r="67" spans="7:11" x14ac:dyDescent="0.25">
      <c r="G67" s="200" t="s">
        <v>208</v>
      </c>
      <c r="K67" s="192"/>
    </row>
    <row r="68" spans="7:11" x14ac:dyDescent="0.25">
      <c r="G68" s="199" t="s">
        <v>255</v>
      </c>
      <c r="H68">
        <f ca="1">COUNTIF(OFFSET(Lekeitio_2_6b_raw!A2,0,0,D9-B9+1,1),"901")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195">
        <f ca="1">IF(H68=0,0,((H68/B24)^2))</f>
        <v>0</v>
      </c>
    </row>
    <row r="69" spans="7:11" x14ac:dyDescent="0.25">
      <c r="G69" s="199" t="s">
        <v>256</v>
      </c>
      <c r="H69">
        <f ca="1">COUNTIF(OFFSET(Lekeitio_2_6b_raw!A2,0,0,D9-B9+1,1),"902")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195">
        <f ca="1">IF(H69=0,0,((H69/B24)^2))</f>
        <v>0</v>
      </c>
    </row>
    <row r="70" spans="7:11" x14ac:dyDescent="0.25">
      <c r="G70" s="199" t="s">
        <v>257</v>
      </c>
      <c r="H70">
        <f ca="1">COUNTIF(OFFSET(Lekeitio_2_6b_raw!A2,0,0,D9-B9+1,1),"904")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195">
        <f ca="1">IF(H70=0,0,((H70/B24)^2))</f>
        <v>0</v>
      </c>
    </row>
    <row r="71" spans="7:11" x14ac:dyDescent="0.25">
      <c r="G71" s="199" t="s">
        <v>258</v>
      </c>
      <c r="H71">
        <f ca="1">COUNTIF(OFFSET(Lekeitio_2_6b_raw!A2,0,0,D9-B9+1,1),"905")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195">
        <f ca="1">IF(H71=0,0,((H71/B24)^2))</f>
        <v>0</v>
      </c>
    </row>
    <row r="72" spans="7:11" x14ac:dyDescent="0.25">
      <c r="G72" s="199" t="s">
        <v>259</v>
      </c>
      <c r="H72">
        <f ca="1">COUNTIF(OFFSET(Lekeitio_2_6b_raw!A2,0,0,D9-B9+1,1),"903")</f>
        <v>9</v>
      </c>
      <c r="I72" s="32">
        <f ca="1">(H72/H75)*100</f>
        <v>14.0625</v>
      </c>
      <c r="J72" s="32">
        <f ca="1">IF(H72=0,0,-1*((H72/B24)*(LN(H72/B24))))</f>
        <v>0</v>
      </c>
      <c r="K72" s="195">
        <f ca="1">IF(H72=0,0,((H72/B24)^2))</f>
        <v>1</v>
      </c>
    </row>
    <row r="73" spans="7:11" x14ac:dyDescent="0.25">
      <c r="G73" s="200" t="s">
        <v>209</v>
      </c>
      <c r="K73" s="192"/>
    </row>
    <row r="74" spans="7:11" x14ac:dyDescent="0.25">
      <c r="G74" s="199" t="s">
        <v>260</v>
      </c>
      <c r="H74">
        <f ca="1">COUNTIF(OFFSET(Lekeitio_2_6b_raw!A2,0,0,D9-B9+1,1),"1001")</f>
        <v>0</v>
      </c>
      <c r="I74" s="32">
        <f ca="1">(H74/SUM(H15:H74))*100</f>
        <v>0</v>
      </c>
      <c r="J74" s="32"/>
      <c r="K74" s="195">
        <f ca="1">IF(H74=0,0,((H74/B25)^2))</f>
        <v>0</v>
      </c>
    </row>
    <row r="75" spans="7:11" ht="15.75" thickBot="1" x14ac:dyDescent="0.3">
      <c r="G75" s="202" t="s">
        <v>285</v>
      </c>
      <c r="H75" s="51">
        <f ca="1">SUM(H16:H74)</f>
        <v>64</v>
      </c>
      <c r="I75" s="51">
        <f ca="1">SUM(I16:I74)</f>
        <v>100</v>
      </c>
      <c r="J75" s="40"/>
      <c r="K75" s="193"/>
    </row>
    <row r="76" spans="7:11" ht="15.75" thickTop="1" x14ac:dyDescent="0.25"/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4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COUNTA(OFFSET(Lekeitio_2_7a_raw!A2,0,0,D9-B9+1,1))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13" t="s">
        <v>319</v>
      </c>
      <c r="B15" s="33" t="s">
        <v>281</v>
      </c>
      <c r="C15" s="33" t="s">
        <v>282</v>
      </c>
      <c r="D15" s="33" t="s">
        <v>283</v>
      </c>
      <c r="E15" s="209" t="s">
        <v>284</v>
      </c>
      <c r="G15" s="213" t="s">
        <v>280</v>
      </c>
      <c r="H15" s="33" t="s">
        <v>281</v>
      </c>
      <c r="I15" s="33" t="s">
        <v>282</v>
      </c>
      <c r="J15" s="33" t="s">
        <v>283</v>
      </c>
      <c r="K15" s="209" t="s">
        <v>284</v>
      </c>
      <c r="N15">
        <v>16</v>
      </c>
    </row>
    <row r="16" spans="1:14" x14ac:dyDescent="0.25">
      <c r="A16" s="214" t="s">
        <v>320</v>
      </c>
      <c r="B16" s="35">
        <f ca="1">COUNTIF(OFFSET(Lekeitio_2_7a_raw!C2,0,0,D9-B9+1,1), "100")</f>
        <v>28</v>
      </c>
      <c r="C16" s="36">
        <f ca="1">(B16/H75)*100</f>
        <v>43.75</v>
      </c>
      <c r="D16" s="36">
        <f ca="1">SUM(J17:J34)</f>
        <v>1.2953253013361588</v>
      </c>
      <c r="E16" s="211">
        <f ca="1">1-SUM(K17:K34)</f>
        <v>0.70153061224489799</v>
      </c>
      <c r="G16" s="216" t="s">
        <v>200</v>
      </c>
      <c r="K16" s="207"/>
      <c r="N16">
        <v>75</v>
      </c>
    </row>
    <row r="17" spans="1:14" x14ac:dyDescent="0.25">
      <c r="A17" s="215" t="s">
        <v>321</v>
      </c>
      <c r="B17">
        <f ca="1">COUNTIF(OFFSET(Lekeitio_2_7a_raw!C2,0,0,D9-B9+1,1), "200")</f>
        <v>0</v>
      </c>
      <c r="C17" s="32">
        <f ca="1">(B17/H75)*100</f>
        <v>0</v>
      </c>
      <c r="D17" s="32">
        <f ca="1">SUM(J36:J37)</f>
        <v>0</v>
      </c>
      <c r="E17" s="210">
        <f ca="1">1-SUM(K36:K37)</f>
        <v>1</v>
      </c>
      <c r="G17" s="215" t="s">
        <v>212</v>
      </c>
      <c r="H17">
        <f ca="1">COUNTIF(OFFSET(Lekeitio_2_7a_raw!A2,0,0,D9-B9+1,1),"108")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10">
        <f ca="1">IF(H17=0,0,((H17/B16)^2))</f>
        <v>0</v>
      </c>
      <c r="N17">
        <v>7</v>
      </c>
    </row>
    <row r="18" spans="1:14" x14ac:dyDescent="0.25">
      <c r="A18" s="214" t="s">
        <v>322</v>
      </c>
      <c r="B18" s="35">
        <f ca="1">COUNTIF(OFFSET(Lekeitio_2_7a_raw!C2,0,0,D9-B9+1,1), "300")</f>
        <v>17</v>
      </c>
      <c r="C18" s="36">
        <f ca="1">(B18/H75)*100</f>
        <v>26.5625</v>
      </c>
      <c r="D18" s="36">
        <f ca="1">SUM(J39:J44)</f>
        <v>0</v>
      </c>
      <c r="E18" s="211">
        <f ca="1">1-SUM(K39:K44)</f>
        <v>0</v>
      </c>
      <c r="G18" s="215" t="s">
        <v>213</v>
      </c>
      <c r="H18">
        <f ca="1">COUNTIF(OFFSET(Lekeitio_2_7a_raw!A2,0,0,D9-B9+1,1),"105")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10">
        <f ca="1">IF(H18=0,0,((H18/B16)^2))</f>
        <v>0</v>
      </c>
    </row>
    <row r="19" spans="1:14" x14ac:dyDescent="0.25">
      <c r="A19" s="215" t="s">
        <v>323</v>
      </c>
      <c r="B19">
        <f ca="1">COUNTIF(OFFSET(Lekeitio_2_7a_raw!C2,0,0,D9-B9+1,1), "400")</f>
        <v>0</v>
      </c>
      <c r="C19" s="32">
        <f ca="1">(B19/H75)*100</f>
        <v>0</v>
      </c>
      <c r="D19" s="32">
        <f ca="1">SUM(J46:J47)</f>
        <v>0</v>
      </c>
      <c r="E19" s="210">
        <f ca="1">1-SUM(K46:K47)</f>
        <v>1</v>
      </c>
      <c r="G19" s="215" t="s">
        <v>214</v>
      </c>
      <c r="H19">
        <f ca="1">COUNTIF(OFFSET(Lekeitio_2_7a_raw!A2,0,0,D9-B9+1,1),"103")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10">
        <f ca="1">IF(H19=0,0,((H19/B16)^2))</f>
        <v>0</v>
      </c>
    </row>
    <row r="20" spans="1:14" x14ac:dyDescent="0.25">
      <c r="A20" s="214" t="s">
        <v>324</v>
      </c>
      <c r="B20" s="35">
        <f ca="1">COUNTIF(OFFSET(Lekeitio_2_7a_raw!C2,0,0,D9-B9+1,1), "500")</f>
        <v>16</v>
      </c>
      <c r="C20" s="36">
        <f ca="1">(B20/H75)*100</f>
        <v>25</v>
      </c>
      <c r="D20" s="36">
        <f ca="1">SUM(J49:J52)</f>
        <v>0</v>
      </c>
      <c r="E20" s="211">
        <f ca="1">1-SUM(K49:K52)</f>
        <v>0</v>
      </c>
      <c r="G20" s="215" t="s">
        <v>215</v>
      </c>
      <c r="H20">
        <f ca="1">COUNTIF(OFFSET(Lekeitio_2_7a_raw!A2,0,0,D9-B9+1,1),"107")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10">
        <f ca="1">IF(H20=0,0,((H20/B16)^2))</f>
        <v>0</v>
      </c>
    </row>
    <row r="21" spans="1:14" x14ac:dyDescent="0.25">
      <c r="A21" s="215" t="s">
        <v>325</v>
      </c>
      <c r="B21">
        <f ca="1">COUNTIF(OFFSET(Lekeitio_2_7a_raw!C2,0,0,D9-B9+1,1), "600")</f>
        <v>2</v>
      </c>
      <c r="C21" s="32">
        <f ca="1">(B21/H75)*100</f>
        <v>3.125</v>
      </c>
      <c r="D21" s="32">
        <f ca="1">SUM(J54:J57)</f>
        <v>0</v>
      </c>
      <c r="E21" s="210">
        <f ca="1">1-SUM(K54:K57)</f>
        <v>0</v>
      </c>
      <c r="G21" s="215" t="s">
        <v>216</v>
      </c>
      <c r="H21">
        <f ca="1">COUNTIF(OFFSET(Lekeitio_2_7a_raw!A2,0,0,D9-B9+1,1),"101")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10">
        <f ca="1">IF(H21=0,0,((H21/B16)^2))</f>
        <v>0</v>
      </c>
    </row>
    <row r="22" spans="1:14" x14ac:dyDescent="0.25">
      <c r="A22" s="214" t="s">
        <v>326</v>
      </c>
      <c r="B22" s="35">
        <f ca="1">COUNTIF(OFFSET(Lekeitio_2_7a_raw!C2,0,0,D9-B9+1,1), "700")</f>
        <v>0</v>
      </c>
      <c r="C22" s="36">
        <f ca="1">(B22/H75)*100</f>
        <v>0</v>
      </c>
      <c r="D22" s="36">
        <f ca="1">SUM(J59:J63)</f>
        <v>0</v>
      </c>
      <c r="E22" s="211">
        <f ca="1">1-SUM(K59:K63)</f>
        <v>1</v>
      </c>
      <c r="G22" s="215" t="s">
        <v>217</v>
      </c>
      <c r="H22">
        <f ca="1">COUNTIF(OFFSET(Lekeitio_2_7a_raw!A2,0,0,D9-B9+1,1),"106")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10">
        <f ca="1">IF(H22=0,0,((H22/B16)^2))</f>
        <v>0</v>
      </c>
    </row>
    <row r="23" spans="1:14" x14ac:dyDescent="0.25">
      <c r="A23" s="215" t="s">
        <v>327</v>
      </c>
      <c r="B23">
        <f ca="1">COUNTIF(OFFSET(Lekeitio_2_7a_raw!C2,0,0,D9-B9+1,1), "800")</f>
        <v>0</v>
      </c>
      <c r="C23" s="32">
        <f ca="1">(B23/H75)*100</f>
        <v>0</v>
      </c>
      <c r="D23" s="32">
        <f ca="1">SUM(J65:J66)</f>
        <v>0</v>
      </c>
      <c r="E23" s="210">
        <f ca="1">1-SUM(K65:K66)</f>
        <v>1</v>
      </c>
      <c r="G23" s="215" t="s">
        <v>218</v>
      </c>
      <c r="H23">
        <f ca="1">COUNTIF(OFFSET(Lekeitio_2_7a_raw!A2,0,0,D9-B9+1,1),"102")</f>
        <v>5</v>
      </c>
      <c r="I23" s="32">
        <f ca="1">(H23/H75)*100</f>
        <v>7.8125</v>
      </c>
      <c r="J23" s="32">
        <f ca="1">IF(H23=0,0,-1*((H23/B16)*(LN(H23/B16))))</f>
        <v>0.30763689245376852</v>
      </c>
      <c r="K23" s="210">
        <f ca="1">IF(H23=0,0,((H23/B16)^2))</f>
        <v>3.1887755102040817E-2</v>
      </c>
    </row>
    <row r="24" spans="1:14" x14ac:dyDescent="0.25">
      <c r="A24" s="214" t="s">
        <v>328</v>
      </c>
      <c r="B24" s="35">
        <f ca="1">COUNTIF(OFFSET(Lekeitio_2_7a_raw!C2,0,0,D9-B9+1,1), "900")</f>
        <v>1</v>
      </c>
      <c r="C24" s="36">
        <f ca="1">(B24/H75)*100</f>
        <v>1.5625</v>
      </c>
      <c r="D24" s="36">
        <f ca="1">SUM(J68:J72)</f>
        <v>0</v>
      </c>
      <c r="E24" s="211">
        <f ca="1">1-SUM(K68:K72)</f>
        <v>0</v>
      </c>
      <c r="G24" s="215" t="s">
        <v>219</v>
      </c>
      <c r="H24">
        <f ca="1">COUNTIF(OFFSET(Lekeitio_2_7a_raw!A2,0,0,D9-B9+1,1),"104")</f>
        <v>4</v>
      </c>
      <c r="I24" s="32">
        <f ca="1">(H24/H75)*100</f>
        <v>6.25</v>
      </c>
      <c r="J24" s="32">
        <f ca="1">IF(H24=0,0,-1*((H24/B16)*(LN(H24/B16))))</f>
        <v>0.27798716415075903</v>
      </c>
      <c r="K24" s="210">
        <f ca="1">IF(H24=0,0,((H24/B16)^2))</f>
        <v>2.0408163265306121E-2</v>
      </c>
    </row>
    <row r="25" spans="1:14" x14ac:dyDescent="0.25">
      <c r="A25" s="215" t="s">
        <v>329</v>
      </c>
      <c r="B25">
        <f ca="1">COUNTIF(OFFSET(Lekeitio_2_7a_raw!C2,0,0,D9-B9+1,1), "1000")</f>
        <v>0</v>
      </c>
      <c r="C25" s="32">
        <f ca="1">(B25/H75)*100</f>
        <v>0</v>
      </c>
      <c r="D25" s="32">
        <f>SUM(J74:J74)</f>
        <v>0</v>
      </c>
      <c r="E25" s="210">
        <f ca="1">1-SUM(K74:K74)</f>
        <v>1</v>
      </c>
      <c r="G25" s="215" t="s">
        <v>220</v>
      </c>
      <c r="H25">
        <f ca="1">COUNTIF(OFFSET(Lekeitio_2_7a_raw!A2,0,0,D9-B9+1,1),"111")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10">
        <f ca="1">IF(H25=0,0,((H25/B16)^2))</f>
        <v>0</v>
      </c>
    </row>
    <row r="26" spans="1:14" x14ac:dyDescent="0.25">
      <c r="A26" s="216" t="s">
        <v>330</v>
      </c>
      <c r="B26" s="31">
        <f ca="1">SUM(B16:B25)</f>
        <v>64</v>
      </c>
      <c r="C26" s="37" t="e">
        <f ca="1">SUM(C16:C25)-C0</f>
        <v>#NAME?</v>
      </c>
      <c r="E26" s="207"/>
      <c r="G26" s="215" t="s">
        <v>221</v>
      </c>
      <c r="H26">
        <f ca="1">COUNTIF(OFFSET(Lekeitio_2_7a_raw!A2,0,0,D9-B9+1,1),"112")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10">
        <f ca="1">IF(H26=0,0,((H26/B16)^2))</f>
        <v>0</v>
      </c>
    </row>
    <row r="27" spans="1:14" x14ac:dyDescent="0.25">
      <c r="A27" s="215"/>
      <c r="E27" s="207"/>
      <c r="G27" s="215" t="s">
        <v>222</v>
      </c>
      <c r="H27">
        <f ca="1">COUNTIF(OFFSET(Lekeitio_2_7a_raw!A2,0,0,D9-B9+1,1),"113")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10">
        <f ca="1">IF(H27=0,0,((H27/B16)^2))</f>
        <v>0</v>
      </c>
    </row>
    <row r="28" spans="1:14" x14ac:dyDescent="0.25">
      <c r="A28" s="216" t="s">
        <v>331</v>
      </c>
      <c r="E28" s="207"/>
      <c r="G28" s="215" t="s">
        <v>223</v>
      </c>
      <c r="H28">
        <f ca="1">COUNTIF(OFFSET(Lekeitio_2_7a_raw!A2,0,0,D9-B9+1,1),"114")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10">
        <f ca="1">IF(H28=0,0,((H28/B16)^2))</f>
        <v>0</v>
      </c>
    </row>
    <row r="29" spans="1:14" ht="15.75" thickBot="1" x14ac:dyDescent="0.3">
      <c r="A29" s="217" t="s">
        <v>332</v>
      </c>
      <c r="B29" s="40"/>
      <c r="C29" s="40"/>
      <c r="D29" s="40"/>
      <c r="E29" s="208"/>
      <c r="G29" s="215" t="s">
        <v>224</v>
      </c>
      <c r="H29">
        <f ca="1">COUNTIF(OFFSET(Lekeitio_2_7a_raw!A2,0,0,D9-B9+1,1),"115")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10">
        <f ca="1">IF(H29=0,0,((H29/B16)^2))</f>
        <v>0</v>
      </c>
    </row>
    <row r="30" spans="1:14" ht="15.75" thickTop="1" x14ac:dyDescent="0.25">
      <c r="G30" s="215" t="s">
        <v>225</v>
      </c>
      <c r="H30">
        <f ca="1">COUNTIF(OFFSET(Lekeitio_2_7a_raw!A2,0,0,D9-B9+1,1),"116")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10">
        <f ca="1">IF(H30=0,0,((H30/B16)^2))</f>
        <v>0</v>
      </c>
    </row>
    <row r="31" spans="1:14" x14ac:dyDescent="0.25">
      <c r="G31" s="215" t="s">
        <v>226</v>
      </c>
      <c r="H31">
        <f ca="1">COUNTIF(OFFSET(Lekeitio_2_7a_raw!A2,0,0,D9-B9+1,1),"117")</f>
        <v>7</v>
      </c>
      <c r="I31" s="32">
        <f ca="1">(H31/H75)*100</f>
        <v>10.9375</v>
      </c>
      <c r="J31" s="32">
        <f ca="1">IF(H31=0,0,-1*((H31/B16)*(LN(H31/B16))))</f>
        <v>0.34657359027997264</v>
      </c>
      <c r="K31" s="210">
        <f ca="1">IF(H31=0,0,((H31/B16)^2))</f>
        <v>6.25E-2</v>
      </c>
    </row>
    <row r="32" spans="1:14" x14ac:dyDescent="0.25">
      <c r="G32" s="215" t="s">
        <v>227</v>
      </c>
      <c r="H32">
        <f ca="1">COUNTIF(OFFSET(Lekeitio_2_7a_raw!A2,0,0,D9-B9+1,1),"118")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10">
        <f ca="1">IF(H32=0,0,((H32/B16)^2))</f>
        <v>0</v>
      </c>
    </row>
    <row r="33" spans="7:11" x14ac:dyDescent="0.25">
      <c r="G33" s="215" t="s">
        <v>228</v>
      </c>
      <c r="H33">
        <f ca="1">COUNTIF(OFFSET(Lekeitio_2_7a_raw!A2,0,0,D9-B9+1,1),"109")</f>
        <v>12</v>
      </c>
      <c r="I33" s="32">
        <f ca="1">(H33/H75)*100</f>
        <v>18.75</v>
      </c>
      <c r="J33" s="32">
        <f ca="1">IF(H33=0,0,-1*((H33/B16)*(LN(H33/B16))))</f>
        <v>0.36312765445165868</v>
      </c>
      <c r="K33" s="210">
        <f ca="1">IF(H33=0,0,((H33/B16)^2))</f>
        <v>0.18367346938775508</v>
      </c>
    </row>
    <row r="34" spans="7:11" x14ac:dyDescent="0.25">
      <c r="G34" s="215" t="s">
        <v>229</v>
      </c>
      <c r="H34">
        <f ca="1">COUNTIF(OFFSET(Lekeitio_2_7a_raw!A2,0,0,D9-B9+1,1),"110")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10">
        <f ca="1">IF(H34=0,0,((H34/B16)^2))</f>
        <v>0</v>
      </c>
    </row>
    <row r="35" spans="7:11" x14ac:dyDescent="0.25">
      <c r="G35" s="216" t="s">
        <v>201</v>
      </c>
      <c r="K35" s="207"/>
    </row>
    <row r="36" spans="7:11" x14ac:dyDescent="0.25">
      <c r="G36" s="215" t="s">
        <v>230</v>
      </c>
      <c r="H36">
        <f ca="1">COUNTIF(OFFSET(Lekeitio_2_7a_raw!A2,0,0,D9-B9+1,1),"202")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10">
        <f ca="1">IF(H36=0,0,((H36/B17)^2))</f>
        <v>0</v>
      </c>
    </row>
    <row r="37" spans="7:11" x14ac:dyDescent="0.25">
      <c r="G37" s="215" t="s">
        <v>231</v>
      </c>
      <c r="H37">
        <f ca="1">COUNTIF(OFFSET(Lekeitio_2_7a_raw!A2,0,0,D9-B9+1,1),"201")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10">
        <f ca="1">IF(H37=0,0,((H37/B17)^2))</f>
        <v>0</v>
      </c>
    </row>
    <row r="38" spans="7:11" x14ac:dyDescent="0.25">
      <c r="G38" s="216" t="s">
        <v>202</v>
      </c>
      <c r="K38" s="207"/>
    </row>
    <row r="39" spans="7:11" x14ac:dyDescent="0.25">
      <c r="G39" s="215" t="s">
        <v>232</v>
      </c>
      <c r="H39">
        <f ca="1">COUNTIF(OFFSET(Lekeitio_2_7a_raw!A2,0,0,D9-B9+1,1),"306")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10">
        <f ca="1">IF(H39=0,0,((H39/B18)^2))</f>
        <v>0</v>
      </c>
    </row>
    <row r="40" spans="7:11" x14ac:dyDescent="0.25">
      <c r="G40" s="215" t="s">
        <v>233</v>
      </c>
      <c r="H40">
        <f ca="1">COUNTIF(OFFSET(Lekeitio_2_7a_raw!A2,0,0,D9-B9+1,1),"302")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10">
        <f ca="1">IF(H40=0,0,((H40/B18)^2))</f>
        <v>0</v>
      </c>
    </row>
    <row r="41" spans="7:11" x14ac:dyDescent="0.25">
      <c r="G41" s="215" t="s">
        <v>234</v>
      </c>
      <c r="H41">
        <f ca="1">COUNTIF(OFFSET(Lekeitio_2_7a_raw!A2,0,0,D9-B9+1,1),"307")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10">
        <f ca="1">IF(H41=0,0,((H41/B18)^2))</f>
        <v>0</v>
      </c>
    </row>
    <row r="42" spans="7:11" x14ac:dyDescent="0.25">
      <c r="G42" s="215" t="s">
        <v>235</v>
      </c>
      <c r="H42">
        <f ca="1">COUNTIF(OFFSET(Lekeitio_2_7a_raw!A2,0,0,D9-B9+1,1),"303")</f>
        <v>17</v>
      </c>
      <c r="I42" s="32">
        <f ca="1">(H42/H75)*100</f>
        <v>26.5625</v>
      </c>
      <c r="J42" s="32">
        <f ca="1">IF(H42=0,0,-1*((H42/B18)*(LN(H42/B18))))</f>
        <v>0</v>
      </c>
      <c r="K42" s="210">
        <f ca="1">IF(H42=0,0,((H42/B18)^2))</f>
        <v>1</v>
      </c>
    </row>
    <row r="43" spans="7:11" x14ac:dyDescent="0.25">
      <c r="G43" s="215" t="s">
        <v>236</v>
      </c>
      <c r="H43">
        <f ca="1">COUNTIF(OFFSET(Lekeitio_2_7a_raw!A2,0,0,D9-B9+1,1),"304")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10">
        <f ca="1">IF(H43=0,0,((H43/B18)^2))</f>
        <v>0</v>
      </c>
    </row>
    <row r="44" spans="7:11" x14ac:dyDescent="0.25">
      <c r="G44" s="215" t="s">
        <v>237</v>
      </c>
      <c r="H44">
        <f ca="1">COUNTIF(OFFSET(Lekeitio_2_7a_raw!A2,0,0,D9-B9+1,1),"305")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10">
        <f ca="1">IF(H44=0,0,((H44/B18)^2))</f>
        <v>0</v>
      </c>
    </row>
    <row r="45" spans="7:11" x14ac:dyDescent="0.25">
      <c r="G45" s="216" t="s">
        <v>203</v>
      </c>
      <c r="K45" s="207"/>
    </row>
    <row r="46" spans="7:11" x14ac:dyDescent="0.25">
      <c r="G46" s="215" t="s">
        <v>238</v>
      </c>
      <c r="H46">
        <f ca="1">COUNTIF(OFFSET(Lekeitio_2_7a_raw!A2,0,0,D9-B9+1,1),"401")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10">
        <f ca="1">IF(H46=0,0,((H46/B19)^2))</f>
        <v>0</v>
      </c>
    </row>
    <row r="47" spans="7:11" x14ac:dyDescent="0.25">
      <c r="G47" s="215" t="s">
        <v>239</v>
      </c>
      <c r="H47">
        <f ca="1">COUNTIF(OFFSET(Lekeitio_2_7a_raw!A2,0,0,D9-B9+1,1),"402")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10">
        <f ca="1">IF(H47=0,0,((H47/B19)^2))</f>
        <v>0</v>
      </c>
    </row>
    <row r="48" spans="7:11" x14ac:dyDescent="0.25">
      <c r="G48" s="216" t="s">
        <v>204</v>
      </c>
      <c r="K48" s="207"/>
    </row>
    <row r="49" spans="7:11" x14ac:dyDescent="0.25">
      <c r="G49" s="215" t="s">
        <v>240</v>
      </c>
      <c r="H49">
        <f ca="1">COUNTIF(OFFSET(Lekeitio_2_7a_raw!A2,0,0,D9-B9+1,1),"501")</f>
        <v>16</v>
      </c>
      <c r="I49" s="32">
        <f ca="1">(H49/H75)*100</f>
        <v>25</v>
      </c>
      <c r="J49" s="32">
        <f ca="1">IF(H49=0,0,-1*((H49/B20)*(LN(H49/B20))))</f>
        <v>0</v>
      </c>
      <c r="K49" s="210">
        <f ca="1">IF(H49=0,0,((H49/B20)^2))</f>
        <v>1</v>
      </c>
    </row>
    <row r="50" spans="7:11" x14ac:dyDescent="0.25">
      <c r="G50" s="215" t="s">
        <v>241</v>
      </c>
      <c r="H50">
        <f ca="1">COUNTIF(OFFSET(Lekeitio_2_7a_raw!A2,0,0,D9-B9+1,1),"502")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210">
        <f ca="1">IF(H50=0,0,((H50/B20)^2))</f>
        <v>0</v>
      </c>
    </row>
    <row r="51" spans="7:11" x14ac:dyDescent="0.25">
      <c r="G51" s="215" t="s">
        <v>242</v>
      </c>
      <c r="H51">
        <f ca="1">COUNTIF(OFFSET(Lekeitio_2_7a_raw!A2,0,0,D9-B9+1,1),"503")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210">
        <f ca="1">IF(H51=0,0,((H51/B20)^2))</f>
        <v>0</v>
      </c>
    </row>
    <row r="52" spans="7:11" x14ac:dyDescent="0.25">
      <c r="G52" s="215" t="s">
        <v>243</v>
      </c>
      <c r="H52">
        <f ca="1">COUNTIF(OFFSET(Lekeitio_2_7a_raw!A2,0,0,D9-B9+1,1),"504")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10">
        <f ca="1">IF(H52=0,0,((H52/B20)^2))</f>
        <v>0</v>
      </c>
    </row>
    <row r="53" spans="7:11" x14ac:dyDescent="0.25">
      <c r="G53" s="216" t="s">
        <v>205</v>
      </c>
      <c r="K53" s="207"/>
    </row>
    <row r="54" spans="7:11" x14ac:dyDescent="0.25">
      <c r="G54" s="215" t="s">
        <v>244</v>
      </c>
      <c r="H54">
        <f ca="1">COUNTIF(OFFSET(Lekeitio_2_7a_raw!A2,0,0,D9-B9+1,1),"601")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10">
        <f ca="1">IF(H54=0,0,((H54/B21)^2))</f>
        <v>0</v>
      </c>
    </row>
    <row r="55" spans="7:11" x14ac:dyDescent="0.25">
      <c r="G55" s="215" t="s">
        <v>245</v>
      </c>
      <c r="H55">
        <f ca="1">COUNTIF(OFFSET(Lekeitio_2_7a_raw!A2,0,0,D9-B9+1,1),"602")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10">
        <f ca="1">IF(H55=0,0,((H55/B21)^2))</f>
        <v>0</v>
      </c>
    </row>
    <row r="56" spans="7:11" x14ac:dyDescent="0.25">
      <c r="G56" s="215" t="s">
        <v>246</v>
      </c>
      <c r="H56">
        <f ca="1">COUNTIF(OFFSET(Lekeitio_2_7a_raw!A2,0,0,D9-B9+1,1),"603")</f>
        <v>2</v>
      </c>
      <c r="I56" s="32">
        <f ca="1">(H56/H75)*100</f>
        <v>3.125</v>
      </c>
      <c r="J56" s="32">
        <f ca="1">IF(H56=0,0,-1*((H56/B21)*(LN(H56/B21))))</f>
        <v>0</v>
      </c>
      <c r="K56" s="210">
        <f ca="1">IF(H56=0,0,((H56/B21)^2))</f>
        <v>1</v>
      </c>
    </row>
    <row r="57" spans="7:11" x14ac:dyDescent="0.25">
      <c r="G57" s="215" t="s">
        <v>247</v>
      </c>
      <c r="H57">
        <f ca="1">COUNTIF(OFFSET(Lekeitio_2_7a_raw!A2,0,0,D9-B9+1,1),"604")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210">
        <f ca="1">IF(H57=0,0,((H57/B21)^2))</f>
        <v>0</v>
      </c>
    </row>
    <row r="58" spans="7:11" x14ac:dyDescent="0.25">
      <c r="G58" s="216" t="s">
        <v>206</v>
      </c>
      <c r="K58" s="207"/>
    </row>
    <row r="59" spans="7:11" x14ac:dyDescent="0.25">
      <c r="G59" s="215" t="s">
        <v>248</v>
      </c>
      <c r="H59">
        <f ca="1">COUNTIF(OFFSET(Lekeitio_2_7a_raw!A2,0,0,D9-B9+1,1),"701")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10">
        <f ca="1">IF(H59=0,0,((H59/B22)^2))</f>
        <v>0</v>
      </c>
    </row>
    <row r="60" spans="7:11" x14ac:dyDescent="0.25">
      <c r="G60" s="215" t="s">
        <v>249</v>
      </c>
      <c r="H60">
        <f ca="1">COUNTIF(OFFSET(Lekeitio_2_7a_raw!A2,0,0,D9-B9+1,1),"702")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10">
        <f ca="1">IF(H60=0,0,((H60/B22)^2))</f>
        <v>0</v>
      </c>
    </row>
    <row r="61" spans="7:11" x14ac:dyDescent="0.25">
      <c r="G61" s="215" t="s">
        <v>250</v>
      </c>
      <c r="H61">
        <f ca="1">COUNTIF(OFFSET(Lekeitio_2_7a_raw!A2,0,0,D9-B9+1,1),"703")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10">
        <f ca="1">IF(H61=0,0,((H61/B22)^2))</f>
        <v>0</v>
      </c>
    </row>
    <row r="62" spans="7:11" x14ac:dyDescent="0.25">
      <c r="G62" s="215" t="s">
        <v>251</v>
      </c>
      <c r="H62">
        <f ca="1">COUNTIF(OFFSET(Lekeitio_2_7a_raw!A2,0,0,D9-B9+1,1),"705")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10">
        <f ca="1">IF(H62=0,0,((H62/B22)^2))</f>
        <v>0</v>
      </c>
    </row>
    <row r="63" spans="7:11" x14ac:dyDescent="0.25">
      <c r="G63" s="215" t="s">
        <v>252</v>
      </c>
      <c r="H63">
        <f ca="1">COUNTIF(OFFSET(Lekeitio_2_7a_raw!A2,0,0,D9-B9+1,1),"704")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10">
        <f ca="1">IF(H63=0,0,((H63/B22)^2))</f>
        <v>0</v>
      </c>
    </row>
    <row r="64" spans="7:11" x14ac:dyDescent="0.25">
      <c r="G64" s="216" t="s">
        <v>207</v>
      </c>
      <c r="K64" s="207"/>
    </row>
    <row r="65" spans="7:11" x14ac:dyDescent="0.25">
      <c r="G65" s="215" t="s">
        <v>253</v>
      </c>
      <c r="H65">
        <f ca="1">COUNTIF(OFFSET(Lekeitio_2_7a_raw!A2,0,0,D9-B9+1,1),"801")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10">
        <f ca="1">IF(H65=0,0,((H65/B23)^2))</f>
        <v>0</v>
      </c>
    </row>
    <row r="66" spans="7:11" x14ac:dyDescent="0.25">
      <c r="G66" s="215" t="s">
        <v>254</v>
      </c>
      <c r="H66">
        <f ca="1">COUNTIF(OFFSET(Lekeitio_2_7a_raw!A2,0,0,D9-B9+1,1),"802")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10">
        <f ca="1">IF(H66=0,0,((H66/B23)^2))</f>
        <v>0</v>
      </c>
    </row>
    <row r="67" spans="7:11" x14ac:dyDescent="0.25">
      <c r="G67" s="216" t="s">
        <v>208</v>
      </c>
      <c r="K67" s="207"/>
    </row>
    <row r="68" spans="7:11" x14ac:dyDescent="0.25">
      <c r="G68" s="215" t="s">
        <v>255</v>
      </c>
      <c r="H68">
        <f ca="1">COUNTIF(OFFSET(Lekeitio_2_7a_raw!A2,0,0,D9-B9+1,1),"901")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210">
        <f ca="1">IF(H68=0,0,((H68/B24)^2))</f>
        <v>0</v>
      </c>
    </row>
    <row r="69" spans="7:11" x14ac:dyDescent="0.25">
      <c r="G69" s="215" t="s">
        <v>256</v>
      </c>
      <c r="H69">
        <f ca="1">COUNTIF(OFFSET(Lekeitio_2_7a_raw!A2,0,0,D9-B9+1,1),"902")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10">
        <f ca="1">IF(H69=0,0,((H69/B24)^2))</f>
        <v>0</v>
      </c>
    </row>
    <row r="70" spans="7:11" x14ac:dyDescent="0.25">
      <c r="G70" s="215" t="s">
        <v>257</v>
      </c>
      <c r="H70">
        <f ca="1">COUNTIF(OFFSET(Lekeitio_2_7a_raw!A2,0,0,D9-B9+1,1),"904")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10">
        <f ca="1">IF(H70=0,0,((H70/B24)^2))</f>
        <v>0</v>
      </c>
    </row>
    <row r="71" spans="7:11" x14ac:dyDescent="0.25">
      <c r="G71" s="215" t="s">
        <v>258</v>
      </c>
      <c r="H71">
        <f ca="1">COUNTIF(OFFSET(Lekeitio_2_7a_raw!A2,0,0,D9-B9+1,1),"905")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10">
        <f ca="1">IF(H71=0,0,((H71/B24)^2))</f>
        <v>0</v>
      </c>
    </row>
    <row r="72" spans="7:11" x14ac:dyDescent="0.25">
      <c r="G72" s="215" t="s">
        <v>259</v>
      </c>
      <c r="H72">
        <f ca="1">COUNTIF(OFFSET(Lekeitio_2_7a_raw!A2,0,0,D9-B9+1,1),"903")</f>
        <v>1</v>
      </c>
      <c r="I72" s="32">
        <f ca="1">(H72/H75)*100</f>
        <v>1.5625</v>
      </c>
      <c r="J72" s="32">
        <f ca="1">IF(H72=0,0,-1*((H72/B24)*(LN(H72/B24))))</f>
        <v>0</v>
      </c>
      <c r="K72" s="210">
        <f ca="1">IF(H72=0,0,((H72/B24)^2))</f>
        <v>1</v>
      </c>
    </row>
    <row r="73" spans="7:11" x14ac:dyDescent="0.25">
      <c r="G73" s="216" t="s">
        <v>209</v>
      </c>
      <c r="K73" s="207"/>
    </row>
    <row r="74" spans="7:11" x14ac:dyDescent="0.25">
      <c r="G74" s="215" t="s">
        <v>260</v>
      </c>
      <c r="H74">
        <f ca="1">COUNTIF(OFFSET(Lekeitio_2_7a_raw!A2,0,0,D9-B9+1,1),"1001")</f>
        <v>0</v>
      </c>
      <c r="I74" s="32">
        <f ca="1">(H74/SUM(H15:H74))*100</f>
        <v>0</v>
      </c>
      <c r="J74" s="32"/>
      <c r="K74" s="210">
        <f ca="1">IF(H74=0,0,((H74/B25)^2))</f>
        <v>0</v>
      </c>
    </row>
    <row r="75" spans="7:11" ht="15.75" thickBot="1" x14ac:dyDescent="0.3">
      <c r="G75" s="218" t="s">
        <v>285</v>
      </c>
      <c r="H75" s="51">
        <f ca="1">SUM(H16:H74)</f>
        <v>64</v>
      </c>
      <c r="I75" s="51">
        <f ca="1">SUM(I16:I74)</f>
        <v>100</v>
      </c>
      <c r="J75" s="40"/>
      <c r="K75" s="208"/>
    </row>
    <row r="76" spans="7:11" ht="15.75" thickTop="1" x14ac:dyDescent="0.25"/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58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COUNTA(OFFSET(Lekeitio_2_7b_raw!A2,0,0,D9-B9+1,1))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29" t="s">
        <v>319</v>
      </c>
      <c r="B15" s="33" t="s">
        <v>281</v>
      </c>
      <c r="C15" s="33" t="s">
        <v>282</v>
      </c>
      <c r="D15" s="33" t="s">
        <v>283</v>
      </c>
      <c r="E15" s="226" t="s">
        <v>284</v>
      </c>
      <c r="G15" s="229" t="s">
        <v>280</v>
      </c>
      <c r="H15" s="33" t="s">
        <v>281</v>
      </c>
      <c r="I15" s="33" t="s">
        <v>282</v>
      </c>
      <c r="J15" s="33" t="s">
        <v>283</v>
      </c>
      <c r="K15" s="226" t="s">
        <v>284</v>
      </c>
      <c r="N15">
        <v>16</v>
      </c>
    </row>
    <row r="16" spans="1:14" x14ac:dyDescent="0.25">
      <c r="A16" s="230" t="s">
        <v>320</v>
      </c>
      <c r="B16" s="35">
        <f ca="1">COUNTIF(OFFSET(Lekeitio_2_7b_raw!C2,0,0,D9-B9+1,1), "100")</f>
        <v>12</v>
      </c>
      <c r="C16" s="36">
        <f ca="1">(B16/H75)*100</f>
        <v>18.75</v>
      </c>
      <c r="D16" s="36">
        <f ca="1">SUM(J17:J34)</f>
        <v>0.56233514461880829</v>
      </c>
      <c r="E16" s="228">
        <f ca="1">1-SUM(K17:K34)</f>
        <v>0.375</v>
      </c>
      <c r="G16" s="232" t="s">
        <v>200</v>
      </c>
      <c r="K16" s="224"/>
      <c r="N16">
        <v>75</v>
      </c>
    </row>
    <row r="17" spans="1:14" x14ac:dyDescent="0.25">
      <c r="A17" s="231" t="s">
        <v>321</v>
      </c>
      <c r="B17">
        <f ca="1">COUNTIF(OFFSET(Lekeitio_2_7b_raw!C2,0,0,D9-B9+1,1), "200")</f>
        <v>0</v>
      </c>
      <c r="C17" s="32">
        <f ca="1">(B17/H75)*100</f>
        <v>0</v>
      </c>
      <c r="D17" s="32">
        <f ca="1">SUM(J36:J37)</f>
        <v>0</v>
      </c>
      <c r="E17" s="227">
        <f ca="1">1-SUM(K36:K37)</f>
        <v>1</v>
      </c>
      <c r="G17" s="231" t="s">
        <v>212</v>
      </c>
      <c r="H17">
        <f ca="1">COUNTIF(OFFSET(Lekeitio_2_7b_raw!A2,0,0,D9-B9+1,1),"108")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27">
        <f ca="1">IF(H17=0,0,((H17/B16)^2))</f>
        <v>0</v>
      </c>
      <c r="N17">
        <v>7</v>
      </c>
    </row>
    <row r="18" spans="1:14" x14ac:dyDescent="0.25">
      <c r="A18" s="230" t="s">
        <v>322</v>
      </c>
      <c r="B18" s="35">
        <f ca="1">COUNTIF(OFFSET(Lekeitio_2_7b_raw!C2,0,0,D9-B9+1,1), "300")</f>
        <v>0</v>
      </c>
      <c r="C18" s="36">
        <f ca="1">(B18/H75)*100</f>
        <v>0</v>
      </c>
      <c r="D18" s="36">
        <f ca="1">SUM(J39:J44)</f>
        <v>0</v>
      </c>
      <c r="E18" s="228">
        <f ca="1">1-SUM(K39:K44)</f>
        <v>1</v>
      </c>
      <c r="G18" s="231" t="s">
        <v>213</v>
      </c>
      <c r="H18">
        <f ca="1">COUNTIF(OFFSET(Lekeitio_2_7b_raw!A2,0,0,D9-B9+1,1),"105")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27">
        <f ca="1">IF(H18=0,0,((H18/B16)^2))</f>
        <v>0</v>
      </c>
    </row>
    <row r="19" spans="1:14" x14ac:dyDescent="0.25">
      <c r="A19" s="231" t="s">
        <v>323</v>
      </c>
      <c r="B19">
        <f ca="1">COUNTIF(OFFSET(Lekeitio_2_7b_raw!C2,0,0,D9-B9+1,1), "400")</f>
        <v>0</v>
      </c>
      <c r="C19" s="32">
        <f ca="1">(B19/H75)*100</f>
        <v>0</v>
      </c>
      <c r="D19" s="32">
        <f ca="1">SUM(J46:J47)</f>
        <v>0</v>
      </c>
      <c r="E19" s="227">
        <f ca="1">1-SUM(K46:K47)</f>
        <v>1</v>
      </c>
      <c r="G19" s="231" t="s">
        <v>214</v>
      </c>
      <c r="H19">
        <f ca="1">COUNTIF(OFFSET(Lekeitio_2_7b_raw!A2,0,0,D9-B9+1,1),"103")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27">
        <f ca="1">IF(H19=0,0,((H19/B16)^2))</f>
        <v>0</v>
      </c>
    </row>
    <row r="20" spans="1:14" x14ac:dyDescent="0.25">
      <c r="A20" s="230" t="s">
        <v>324</v>
      </c>
      <c r="B20" s="35">
        <f ca="1">COUNTIF(OFFSET(Lekeitio_2_7b_raw!C2,0,0,D9-B9+1,1), "500")</f>
        <v>40</v>
      </c>
      <c r="C20" s="36">
        <f ca="1">(B20/H75)*100</f>
        <v>62.5</v>
      </c>
      <c r="D20" s="36">
        <f ca="1">SUM(J49:J52)</f>
        <v>0</v>
      </c>
      <c r="E20" s="228">
        <f ca="1">1-SUM(K49:K52)</f>
        <v>0</v>
      </c>
      <c r="G20" s="231" t="s">
        <v>215</v>
      </c>
      <c r="H20">
        <f ca="1">COUNTIF(OFFSET(Lekeitio_2_7b_raw!A2,0,0,D9-B9+1,1),"107")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27">
        <f ca="1">IF(H20=0,0,((H20/B16)^2))</f>
        <v>0</v>
      </c>
    </row>
    <row r="21" spans="1:14" x14ac:dyDescent="0.25">
      <c r="A21" s="231" t="s">
        <v>325</v>
      </c>
      <c r="B21">
        <f ca="1">COUNTIF(OFFSET(Lekeitio_2_7b_raw!C2,0,0,D9-B9+1,1), "600")</f>
        <v>7</v>
      </c>
      <c r="C21" s="32">
        <f ca="1">(B21/H75)*100</f>
        <v>10.9375</v>
      </c>
      <c r="D21" s="32">
        <f ca="1">SUM(J54:J57)</f>
        <v>0.410116318288409</v>
      </c>
      <c r="E21" s="227">
        <f ca="1">1-SUM(K54:K57)</f>
        <v>0.24489795918367352</v>
      </c>
      <c r="G21" s="231" t="s">
        <v>216</v>
      </c>
      <c r="H21">
        <f ca="1">COUNTIF(OFFSET(Lekeitio_2_7b_raw!A2,0,0,D9-B9+1,1),"101")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27">
        <f ca="1">IF(H21=0,0,((H21/B16)^2))</f>
        <v>0</v>
      </c>
    </row>
    <row r="22" spans="1:14" x14ac:dyDescent="0.25">
      <c r="A22" s="230" t="s">
        <v>326</v>
      </c>
      <c r="B22" s="35">
        <f ca="1">COUNTIF(OFFSET(Lekeitio_2_7b_raw!C2,0,0,D9-B9+1,1), "700")</f>
        <v>1</v>
      </c>
      <c r="C22" s="36">
        <f ca="1">(B22/H75)*100</f>
        <v>1.5625</v>
      </c>
      <c r="D22" s="36">
        <f ca="1">SUM(J59:J63)</f>
        <v>0</v>
      </c>
      <c r="E22" s="228">
        <f ca="1">1-SUM(K59:K63)</f>
        <v>0</v>
      </c>
      <c r="G22" s="231" t="s">
        <v>217</v>
      </c>
      <c r="H22">
        <f ca="1">COUNTIF(OFFSET(Lekeitio_2_7b_raw!A2,0,0,D9-B9+1,1),"106")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27">
        <f ca="1">IF(H22=0,0,((H22/B16)^2))</f>
        <v>0</v>
      </c>
    </row>
    <row r="23" spans="1:14" x14ac:dyDescent="0.25">
      <c r="A23" s="231" t="s">
        <v>327</v>
      </c>
      <c r="B23">
        <f ca="1">COUNTIF(OFFSET(Lekeitio_2_7b_raw!C2,0,0,D9-B9+1,1), "800")</f>
        <v>0</v>
      </c>
      <c r="C23" s="32">
        <f ca="1">(B23/H75)*100</f>
        <v>0</v>
      </c>
      <c r="D23" s="32">
        <f ca="1">SUM(J65:J66)</f>
        <v>0</v>
      </c>
      <c r="E23" s="227">
        <f ca="1">1-SUM(K65:K66)</f>
        <v>1</v>
      </c>
      <c r="G23" s="231" t="s">
        <v>218</v>
      </c>
      <c r="H23">
        <f ca="1">COUNTIF(OFFSET(Lekeitio_2_7b_raw!A2,0,0,D9-B9+1,1),"102")</f>
        <v>9</v>
      </c>
      <c r="I23" s="32">
        <f ca="1">(H23/H75)*100</f>
        <v>14.0625</v>
      </c>
      <c r="J23" s="32">
        <f ca="1">IF(H23=0,0,-1*((H23/B16)*(LN(H23/B16))))</f>
        <v>0.21576155433883568</v>
      </c>
      <c r="K23" s="227">
        <f ca="1">IF(H23=0,0,((H23/B16)^2))</f>
        <v>0.5625</v>
      </c>
    </row>
    <row r="24" spans="1:14" x14ac:dyDescent="0.25">
      <c r="A24" s="230" t="s">
        <v>328</v>
      </c>
      <c r="B24" s="35">
        <f ca="1">COUNTIF(OFFSET(Lekeitio_2_7b_raw!C2,0,0,D9-B9+1,1), "900")</f>
        <v>4</v>
      </c>
      <c r="C24" s="36">
        <f ca="1">(B24/H75)*100</f>
        <v>6.25</v>
      </c>
      <c r="D24" s="36">
        <f ca="1">SUM(J68:J72)</f>
        <v>0</v>
      </c>
      <c r="E24" s="228">
        <f ca="1">1-SUM(K68:K72)</f>
        <v>0</v>
      </c>
      <c r="G24" s="231" t="s">
        <v>219</v>
      </c>
      <c r="H24">
        <f ca="1">COUNTIF(OFFSET(Lekeitio_2_7b_raw!A2,0,0,D9-B9+1,1),"104")</f>
        <v>0</v>
      </c>
      <c r="I24" s="32">
        <f ca="1">(H24/H75)*100</f>
        <v>0</v>
      </c>
      <c r="J24" s="32">
        <f ca="1">IF(H24=0,0,-1*((H24/B16)*(LN(H24/B16))))</f>
        <v>0</v>
      </c>
      <c r="K24" s="227">
        <f ca="1">IF(H24=0,0,((H24/B16)^2))</f>
        <v>0</v>
      </c>
    </row>
    <row r="25" spans="1:14" x14ac:dyDescent="0.25">
      <c r="A25" s="231" t="s">
        <v>329</v>
      </c>
      <c r="B25">
        <f ca="1">COUNTIF(OFFSET(Lekeitio_2_7b_raw!C2,0,0,D9-B9+1,1), "1000")</f>
        <v>0</v>
      </c>
      <c r="C25" s="32">
        <f ca="1">(B25/H75)*100</f>
        <v>0</v>
      </c>
      <c r="D25" s="32">
        <f>SUM(J74:J74)</f>
        <v>0</v>
      </c>
      <c r="E25" s="227">
        <f ca="1">1-SUM(K74:K74)</f>
        <v>1</v>
      </c>
      <c r="G25" s="231" t="s">
        <v>220</v>
      </c>
      <c r="H25">
        <f ca="1">COUNTIF(OFFSET(Lekeitio_2_7b_raw!A2,0,0,D9-B9+1,1),"111")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27">
        <f ca="1">IF(H25=0,0,((H25/B16)^2))</f>
        <v>0</v>
      </c>
    </row>
    <row r="26" spans="1:14" x14ac:dyDescent="0.25">
      <c r="A26" s="232" t="s">
        <v>330</v>
      </c>
      <c r="B26" s="31">
        <f ca="1">SUM(B16:B25)</f>
        <v>64</v>
      </c>
      <c r="C26" s="37" t="e">
        <f ca="1">SUM(C16:C25)-C0</f>
        <v>#NAME?</v>
      </c>
      <c r="E26" s="224"/>
      <c r="G26" s="231" t="s">
        <v>221</v>
      </c>
      <c r="H26">
        <f ca="1">COUNTIF(OFFSET(Lekeitio_2_7b_raw!A2,0,0,D9-B9+1,1),"112")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27">
        <f ca="1">IF(H26=0,0,((H26/B16)^2))</f>
        <v>0</v>
      </c>
    </row>
    <row r="27" spans="1:14" x14ac:dyDescent="0.25">
      <c r="A27" s="231"/>
      <c r="E27" s="224"/>
      <c r="G27" s="231" t="s">
        <v>222</v>
      </c>
      <c r="H27">
        <f ca="1">COUNTIF(OFFSET(Lekeitio_2_7b_raw!A2,0,0,D9-B9+1,1),"113")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27">
        <f ca="1">IF(H27=0,0,((H27/B16)^2))</f>
        <v>0</v>
      </c>
    </row>
    <row r="28" spans="1:14" x14ac:dyDescent="0.25">
      <c r="A28" s="232" t="s">
        <v>331</v>
      </c>
      <c r="E28" s="224"/>
      <c r="G28" s="231" t="s">
        <v>223</v>
      </c>
      <c r="H28">
        <f ca="1">COUNTIF(OFFSET(Lekeitio_2_7b_raw!A2,0,0,D9-B9+1,1),"114")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27">
        <f ca="1">IF(H28=0,0,((H28/B16)^2))</f>
        <v>0</v>
      </c>
    </row>
    <row r="29" spans="1:14" ht="15.75" thickBot="1" x14ac:dyDescent="0.3">
      <c r="A29" s="233" t="s">
        <v>332</v>
      </c>
      <c r="B29" s="40"/>
      <c r="C29" s="40"/>
      <c r="D29" s="40"/>
      <c r="E29" s="225"/>
      <c r="G29" s="231" t="s">
        <v>224</v>
      </c>
      <c r="H29">
        <f ca="1">COUNTIF(OFFSET(Lekeitio_2_7b_raw!A2,0,0,D9-B9+1,1),"115")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27">
        <f ca="1">IF(H29=0,0,((H29/B16)^2))</f>
        <v>0</v>
      </c>
    </row>
    <row r="30" spans="1:14" ht="15.75" thickTop="1" x14ac:dyDescent="0.25">
      <c r="G30" s="231" t="s">
        <v>225</v>
      </c>
      <c r="H30">
        <f ca="1">COUNTIF(OFFSET(Lekeitio_2_7b_raw!A2,0,0,D9-B9+1,1),"116")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27">
        <f ca="1">IF(H30=0,0,((H30/B16)^2))</f>
        <v>0</v>
      </c>
    </row>
    <row r="31" spans="1:14" x14ac:dyDescent="0.25">
      <c r="G31" s="231" t="s">
        <v>226</v>
      </c>
      <c r="H31">
        <f ca="1">COUNTIF(OFFSET(Lekeitio_2_7b_raw!A2,0,0,D9-B9+1,1),"117")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27">
        <f ca="1">IF(H31=0,0,((H31/B16)^2))</f>
        <v>0</v>
      </c>
    </row>
    <row r="32" spans="1:14" x14ac:dyDescent="0.25">
      <c r="G32" s="231" t="s">
        <v>227</v>
      </c>
      <c r="H32">
        <f ca="1">COUNTIF(OFFSET(Lekeitio_2_7b_raw!A2,0,0,D9-B9+1,1),"118")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27">
        <f ca="1">IF(H32=0,0,((H32/B16)^2))</f>
        <v>0</v>
      </c>
    </row>
    <row r="33" spans="7:11" x14ac:dyDescent="0.25">
      <c r="G33" s="231" t="s">
        <v>228</v>
      </c>
      <c r="H33">
        <f ca="1">COUNTIF(OFFSET(Lekeitio_2_7b_raw!A2,0,0,D9-B9+1,1),"109")</f>
        <v>3</v>
      </c>
      <c r="I33" s="32">
        <f ca="1">(H33/H75)*100</f>
        <v>4.6875</v>
      </c>
      <c r="J33" s="32">
        <f ca="1">IF(H33=0,0,-1*((H33/B16)*(LN(H33/B16))))</f>
        <v>0.34657359027997264</v>
      </c>
      <c r="K33" s="227">
        <f ca="1">IF(H33=0,0,((H33/B16)^2))</f>
        <v>6.25E-2</v>
      </c>
    </row>
    <row r="34" spans="7:11" x14ac:dyDescent="0.25">
      <c r="G34" s="231" t="s">
        <v>229</v>
      </c>
      <c r="H34">
        <f ca="1">COUNTIF(OFFSET(Lekeitio_2_7b_raw!A2,0,0,D9-B9+1,1),"110")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27">
        <f ca="1">IF(H34=0,0,((H34/B16)^2))</f>
        <v>0</v>
      </c>
    </row>
    <row r="35" spans="7:11" x14ac:dyDescent="0.25">
      <c r="G35" s="232" t="s">
        <v>201</v>
      </c>
      <c r="K35" s="224"/>
    </row>
    <row r="36" spans="7:11" x14ac:dyDescent="0.25">
      <c r="G36" s="231" t="s">
        <v>230</v>
      </c>
      <c r="H36">
        <f ca="1">COUNTIF(OFFSET(Lekeitio_2_7b_raw!A2,0,0,D9-B9+1,1),"202")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27">
        <f ca="1">IF(H36=0,0,((H36/B17)^2))</f>
        <v>0</v>
      </c>
    </row>
    <row r="37" spans="7:11" x14ac:dyDescent="0.25">
      <c r="G37" s="231" t="s">
        <v>231</v>
      </c>
      <c r="H37">
        <f ca="1">COUNTIF(OFFSET(Lekeitio_2_7b_raw!A2,0,0,D9-B9+1,1),"201")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27">
        <f ca="1">IF(H37=0,0,((H37/B17)^2))</f>
        <v>0</v>
      </c>
    </row>
    <row r="38" spans="7:11" x14ac:dyDescent="0.25">
      <c r="G38" s="232" t="s">
        <v>202</v>
      </c>
      <c r="K38" s="224"/>
    </row>
    <row r="39" spans="7:11" x14ac:dyDescent="0.25">
      <c r="G39" s="231" t="s">
        <v>232</v>
      </c>
      <c r="H39">
        <f ca="1">COUNTIF(OFFSET(Lekeitio_2_7b_raw!A2,0,0,D9-B9+1,1),"306")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27">
        <f ca="1">IF(H39=0,0,((H39/B18)^2))</f>
        <v>0</v>
      </c>
    </row>
    <row r="40" spans="7:11" x14ac:dyDescent="0.25">
      <c r="G40" s="231" t="s">
        <v>233</v>
      </c>
      <c r="H40">
        <f ca="1">COUNTIF(OFFSET(Lekeitio_2_7b_raw!A2,0,0,D9-B9+1,1),"302")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27">
        <f ca="1">IF(H40=0,0,((H40/B18)^2))</f>
        <v>0</v>
      </c>
    </row>
    <row r="41" spans="7:11" x14ac:dyDescent="0.25">
      <c r="G41" s="231" t="s">
        <v>234</v>
      </c>
      <c r="H41">
        <f ca="1">COUNTIF(OFFSET(Lekeitio_2_7b_raw!A2,0,0,D9-B9+1,1),"307")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27">
        <f ca="1">IF(H41=0,0,((H41/B18)^2))</f>
        <v>0</v>
      </c>
    </row>
    <row r="42" spans="7:11" x14ac:dyDescent="0.25">
      <c r="G42" s="231" t="s">
        <v>235</v>
      </c>
      <c r="H42">
        <f ca="1">COUNTIF(OFFSET(Lekeitio_2_7b_raw!A2,0,0,D9-B9+1,1),"303")</f>
        <v>0</v>
      </c>
      <c r="I42" s="32">
        <f ca="1">(H42/H75)*100</f>
        <v>0</v>
      </c>
      <c r="J42" s="32">
        <f ca="1">IF(H42=0,0,-1*((H42/B18)*(LN(H42/B18))))</f>
        <v>0</v>
      </c>
      <c r="K42" s="227">
        <f ca="1">IF(H42=0,0,((H42/B18)^2))</f>
        <v>0</v>
      </c>
    </row>
    <row r="43" spans="7:11" x14ac:dyDescent="0.25">
      <c r="G43" s="231" t="s">
        <v>236</v>
      </c>
      <c r="H43">
        <f ca="1">COUNTIF(OFFSET(Lekeitio_2_7b_raw!A2,0,0,D9-B9+1,1),"304")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27">
        <f ca="1">IF(H43=0,0,((H43/B18)^2))</f>
        <v>0</v>
      </c>
    </row>
    <row r="44" spans="7:11" x14ac:dyDescent="0.25">
      <c r="G44" s="231" t="s">
        <v>237</v>
      </c>
      <c r="H44">
        <f ca="1">COUNTIF(OFFSET(Lekeitio_2_7b_raw!A2,0,0,D9-B9+1,1),"305")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27">
        <f ca="1">IF(H44=0,0,((H44/B18)^2))</f>
        <v>0</v>
      </c>
    </row>
    <row r="45" spans="7:11" x14ac:dyDescent="0.25">
      <c r="G45" s="232" t="s">
        <v>203</v>
      </c>
      <c r="K45" s="224"/>
    </row>
    <row r="46" spans="7:11" x14ac:dyDescent="0.25">
      <c r="G46" s="231" t="s">
        <v>238</v>
      </c>
      <c r="H46">
        <f ca="1">COUNTIF(OFFSET(Lekeitio_2_7b_raw!A2,0,0,D9-B9+1,1),"401")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27">
        <f ca="1">IF(H46=0,0,((H46/B19)^2))</f>
        <v>0</v>
      </c>
    </row>
    <row r="47" spans="7:11" x14ac:dyDescent="0.25">
      <c r="G47" s="231" t="s">
        <v>239</v>
      </c>
      <c r="H47">
        <f ca="1">COUNTIF(OFFSET(Lekeitio_2_7b_raw!A2,0,0,D9-B9+1,1),"402")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27">
        <f ca="1">IF(H47=0,0,((H47/B19)^2))</f>
        <v>0</v>
      </c>
    </row>
    <row r="48" spans="7:11" x14ac:dyDescent="0.25">
      <c r="G48" s="232" t="s">
        <v>204</v>
      </c>
      <c r="K48" s="224"/>
    </row>
    <row r="49" spans="7:11" x14ac:dyDescent="0.25">
      <c r="G49" s="231" t="s">
        <v>240</v>
      </c>
      <c r="H49">
        <f ca="1">COUNTIF(OFFSET(Lekeitio_2_7b_raw!A2,0,0,D9-B9+1,1),"501")</f>
        <v>40</v>
      </c>
      <c r="I49" s="32">
        <f ca="1">(H49/H75)*100</f>
        <v>62.5</v>
      </c>
      <c r="J49" s="32">
        <f ca="1">IF(H49=0,0,-1*((H49/B20)*(LN(H49/B20))))</f>
        <v>0</v>
      </c>
      <c r="K49" s="227">
        <f ca="1">IF(H49=0,0,((H49/B20)^2))</f>
        <v>1</v>
      </c>
    </row>
    <row r="50" spans="7:11" x14ac:dyDescent="0.25">
      <c r="G50" s="231" t="s">
        <v>241</v>
      </c>
      <c r="H50">
        <f ca="1">COUNTIF(OFFSET(Lekeitio_2_7b_raw!A2,0,0,D9-B9+1,1),"502")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227">
        <f ca="1">IF(H50=0,0,((H50/B20)^2))</f>
        <v>0</v>
      </c>
    </row>
    <row r="51" spans="7:11" x14ac:dyDescent="0.25">
      <c r="G51" s="231" t="s">
        <v>242</v>
      </c>
      <c r="H51">
        <f ca="1">COUNTIF(OFFSET(Lekeitio_2_7b_raw!A2,0,0,D9-B9+1,1),"503")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227">
        <f ca="1">IF(H51=0,0,((H51/B20)^2))</f>
        <v>0</v>
      </c>
    </row>
    <row r="52" spans="7:11" x14ac:dyDescent="0.25">
      <c r="G52" s="231" t="s">
        <v>243</v>
      </c>
      <c r="H52">
        <f ca="1">COUNTIF(OFFSET(Lekeitio_2_7b_raw!A2,0,0,D9-B9+1,1),"504")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27">
        <f ca="1">IF(H52=0,0,((H52/B20)^2))</f>
        <v>0</v>
      </c>
    </row>
    <row r="53" spans="7:11" x14ac:dyDescent="0.25">
      <c r="G53" s="232" t="s">
        <v>205</v>
      </c>
      <c r="K53" s="224"/>
    </row>
    <row r="54" spans="7:11" x14ac:dyDescent="0.25">
      <c r="G54" s="231" t="s">
        <v>244</v>
      </c>
      <c r="H54">
        <f ca="1">COUNTIF(OFFSET(Lekeitio_2_7b_raw!A2,0,0,D9-B9+1,1),"601")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27">
        <f ca="1">IF(H54=0,0,((H54/B21)^2))</f>
        <v>0</v>
      </c>
    </row>
    <row r="55" spans="7:11" x14ac:dyDescent="0.25">
      <c r="G55" s="231" t="s">
        <v>245</v>
      </c>
      <c r="H55">
        <f ca="1">COUNTIF(OFFSET(Lekeitio_2_7b_raw!A2,0,0,D9-B9+1,1),"602")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27">
        <f ca="1">IF(H55=0,0,((H55/B21)^2))</f>
        <v>0</v>
      </c>
    </row>
    <row r="56" spans="7:11" x14ac:dyDescent="0.25">
      <c r="G56" s="231" t="s">
        <v>246</v>
      </c>
      <c r="H56">
        <f ca="1">COUNTIF(OFFSET(Lekeitio_2_7b_raw!A2,0,0,D9-B9+1,1),"603")</f>
        <v>1</v>
      </c>
      <c r="I56" s="32">
        <f ca="1">(H56/H75)*100</f>
        <v>1.5625</v>
      </c>
      <c r="J56" s="32">
        <f ca="1">IF(H56=0,0,-1*((H56/B21)*(LN(H56/B21))))</f>
        <v>0.27798716415075903</v>
      </c>
      <c r="K56" s="227">
        <f ca="1">IF(H56=0,0,((H56/B21)^2))</f>
        <v>2.0408163265306121E-2</v>
      </c>
    </row>
    <row r="57" spans="7:11" x14ac:dyDescent="0.25">
      <c r="G57" s="231" t="s">
        <v>247</v>
      </c>
      <c r="H57">
        <f ca="1">COUNTIF(OFFSET(Lekeitio_2_7b_raw!A2,0,0,D9-B9+1,1),"604")</f>
        <v>6</v>
      </c>
      <c r="I57" s="32">
        <f ca="1">(H57/H75)*100</f>
        <v>9.375</v>
      </c>
      <c r="J57" s="32">
        <f ca="1">IF(H57=0,0,-1*((H57/B21)*(LN(H57/B21))))</f>
        <v>0.13212915413765</v>
      </c>
      <c r="K57" s="227">
        <f ca="1">IF(H57=0,0,((H57/B21)^2))</f>
        <v>0.73469387755102034</v>
      </c>
    </row>
    <row r="58" spans="7:11" x14ac:dyDescent="0.25">
      <c r="G58" s="232" t="s">
        <v>206</v>
      </c>
      <c r="K58" s="224"/>
    </row>
    <row r="59" spans="7:11" x14ac:dyDescent="0.25">
      <c r="G59" s="231" t="s">
        <v>248</v>
      </c>
      <c r="H59">
        <f ca="1">COUNTIF(OFFSET(Lekeitio_2_7b_raw!A2,0,0,D9-B9+1,1),"701")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27">
        <f ca="1">IF(H59=0,0,((H59/B22)^2))</f>
        <v>0</v>
      </c>
    </row>
    <row r="60" spans="7:11" x14ac:dyDescent="0.25">
      <c r="G60" s="231" t="s">
        <v>249</v>
      </c>
      <c r="H60">
        <f ca="1">COUNTIF(OFFSET(Lekeitio_2_7b_raw!A2,0,0,D9-B9+1,1),"702")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27">
        <f ca="1">IF(H60=0,0,((H60/B22)^2))</f>
        <v>0</v>
      </c>
    </row>
    <row r="61" spans="7:11" x14ac:dyDescent="0.25">
      <c r="G61" s="231" t="s">
        <v>250</v>
      </c>
      <c r="H61">
        <f ca="1">COUNTIF(OFFSET(Lekeitio_2_7b_raw!A2,0,0,D9-B9+1,1),"703")</f>
        <v>1</v>
      </c>
      <c r="I61" s="32">
        <f ca="1">(H61/H75)*100</f>
        <v>1.5625</v>
      </c>
      <c r="J61" s="32">
        <f ca="1">IF(H61=0,0,-1*((H61/B22)*(LN(H61/B22))))</f>
        <v>0</v>
      </c>
      <c r="K61" s="227">
        <f ca="1">IF(H61=0,0,((H61/B22)^2))</f>
        <v>1</v>
      </c>
    </row>
    <row r="62" spans="7:11" x14ac:dyDescent="0.25">
      <c r="G62" s="231" t="s">
        <v>251</v>
      </c>
      <c r="H62">
        <f ca="1">COUNTIF(OFFSET(Lekeitio_2_7b_raw!A2,0,0,D9-B9+1,1),"705")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27">
        <f ca="1">IF(H62=0,0,((H62/B22)^2))</f>
        <v>0</v>
      </c>
    </row>
    <row r="63" spans="7:11" x14ac:dyDescent="0.25">
      <c r="G63" s="231" t="s">
        <v>252</v>
      </c>
      <c r="H63">
        <f ca="1">COUNTIF(OFFSET(Lekeitio_2_7b_raw!A2,0,0,D9-B9+1,1),"704")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27">
        <f ca="1">IF(H63=0,0,((H63/B22)^2))</f>
        <v>0</v>
      </c>
    </row>
    <row r="64" spans="7:11" x14ac:dyDescent="0.25">
      <c r="G64" s="232" t="s">
        <v>207</v>
      </c>
      <c r="K64" s="224"/>
    </row>
    <row r="65" spans="7:11" x14ac:dyDescent="0.25">
      <c r="G65" s="231" t="s">
        <v>253</v>
      </c>
      <c r="H65">
        <f ca="1">COUNTIF(OFFSET(Lekeitio_2_7b_raw!A2,0,0,D9-B9+1,1),"801")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27">
        <f ca="1">IF(H65=0,0,((H65/B23)^2))</f>
        <v>0</v>
      </c>
    </row>
    <row r="66" spans="7:11" x14ac:dyDescent="0.25">
      <c r="G66" s="231" t="s">
        <v>254</v>
      </c>
      <c r="H66">
        <f ca="1">COUNTIF(OFFSET(Lekeitio_2_7b_raw!A2,0,0,D9-B9+1,1),"802")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27">
        <f ca="1">IF(H66=0,0,((H66/B23)^2))</f>
        <v>0</v>
      </c>
    </row>
    <row r="67" spans="7:11" x14ac:dyDescent="0.25">
      <c r="G67" s="232" t="s">
        <v>208</v>
      </c>
      <c r="K67" s="224"/>
    </row>
    <row r="68" spans="7:11" x14ac:dyDescent="0.25">
      <c r="G68" s="231" t="s">
        <v>255</v>
      </c>
      <c r="H68">
        <f ca="1">COUNTIF(OFFSET(Lekeitio_2_7b_raw!A2,0,0,D9-B9+1,1),"901")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227">
        <f ca="1">IF(H68=0,0,((H68/B24)^2))</f>
        <v>0</v>
      </c>
    </row>
    <row r="69" spans="7:11" x14ac:dyDescent="0.25">
      <c r="G69" s="231" t="s">
        <v>256</v>
      </c>
      <c r="H69">
        <f ca="1">COUNTIF(OFFSET(Lekeitio_2_7b_raw!A2,0,0,D9-B9+1,1),"902")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27">
        <f ca="1">IF(H69=0,0,((H69/B24)^2))</f>
        <v>0</v>
      </c>
    </row>
    <row r="70" spans="7:11" x14ac:dyDescent="0.25">
      <c r="G70" s="231" t="s">
        <v>257</v>
      </c>
      <c r="H70">
        <f ca="1">COUNTIF(OFFSET(Lekeitio_2_7b_raw!A2,0,0,D9-B9+1,1),"904")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27">
        <f ca="1">IF(H70=0,0,((H70/B24)^2))</f>
        <v>0</v>
      </c>
    </row>
    <row r="71" spans="7:11" x14ac:dyDescent="0.25">
      <c r="G71" s="231" t="s">
        <v>258</v>
      </c>
      <c r="H71">
        <f ca="1">COUNTIF(OFFSET(Lekeitio_2_7b_raw!A2,0,0,D9-B9+1,1),"905")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27">
        <f ca="1">IF(H71=0,0,((H71/B24)^2))</f>
        <v>0</v>
      </c>
    </row>
    <row r="72" spans="7:11" x14ac:dyDescent="0.25">
      <c r="G72" s="231" t="s">
        <v>259</v>
      </c>
      <c r="H72">
        <f ca="1">COUNTIF(OFFSET(Lekeitio_2_7b_raw!A2,0,0,D9-B9+1,1),"903")</f>
        <v>4</v>
      </c>
      <c r="I72" s="32">
        <f ca="1">(H72/H75)*100</f>
        <v>6.25</v>
      </c>
      <c r="J72" s="32">
        <f ca="1">IF(H72=0,0,-1*((H72/B24)*(LN(H72/B24))))</f>
        <v>0</v>
      </c>
      <c r="K72" s="227">
        <f ca="1">IF(H72=0,0,((H72/B24)^2))</f>
        <v>1</v>
      </c>
    </row>
    <row r="73" spans="7:11" x14ac:dyDescent="0.25">
      <c r="G73" s="232" t="s">
        <v>209</v>
      </c>
      <c r="K73" s="224"/>
    </row>
    <row r="74" spans="7:11" x14ac:dyDescent="0.25">
      <c r="G74" s="231" t="s">
        <v>260</v>
      </c>
      <c r="H74">
        <f ca="1">COUNTIF(OFFSET(Lekeitio_2_7b_raw!A2,0,0,D9-B9+1,1),"1001")</f>
        <v>0</v>
      </c>
      <c r="I74" s="32">
        <f ca="1">(H74/SUM(H15:H74))*100</f>
        <v>0</v>
      </c>
      <c r="J74" s="32"/>
      <c r="K74" s="227">
        <f ca="1">IF(H74=0,0,((H74/B25)^2))</f>
        <v>0</v>
      </c>
    </row>
    <row r="75" spans="7:11" ht="15.75" thickBot="1" x14ac:dyDescent="0.3">
      <c r="G75" s="234" t="s">
        <v>285</v>
      </c>
      <c r="H75" s="51">
        <f ca="1">SUM(H16:H74)</f>
        <v>64</v>
      </c>
      <c r="I75" s="51">
        <f ca="1">SUM(I16:I74)</f>
        <v>100</v>
      </c>
      <c r="J75" s="40"/>
      <c r="K75" s="225"/>
    </row>
    <row r="76" spans="7:11" ht="15.75" thickTop="1" x14ac:dyDescent="0.25"/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58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COUNTA(OFFSET(Lekeitio_2_8a_raw!A2,0,0,D9-B9+1,1))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41" t="s">
        <v>319</v>
      </c>
      <c r="B15" s="33" t="s">
        <v>281</v>
      </c>
      <c r="C15" s="33" t="s">
        <v>282</v>
      </c>
      <c r="D15" s="33" t="s">
        <v>283</v>
      </c>
      <c r="E15" s="238" t="s">
        <v>284</v>
      </c>
      <c r="G15" s="241" t="s">
        <v>280</v>
      </c>
      <c r="H15" s="33" t="s">
        <v>281</v>
      </c>
      <c r="I15" s="33" t="s">
        <v>282</v>
      </c>
      <c r="J15" s="33" t="s">
        <v>283</v>
      </c>
      <c r="K15" s="238" t="s">
        <v>284</v>
      </c>
      <c r="N15">
        <v>16</v>
      </c>
    </row>
    <row r="16" spans="1:14" x14ac:dyDescent="0.25">
      <c r="A16" s="242" t="s">
        <v>320</v>
      </c>
      <c r="B16" s="35">
        <f ca="1">COUNTIF(OFFSET(Lekeitio_2_8a_raw!C2,0,0,D9-B9+1,1), "100")</f>
        <v>5</v>
      </c>
      <c r="C16" s="36">
        <f ca="1">(B16/H75)*100</f>
        <v>7.8125</v>
      </c>
      <c r="D16" s="36">
        <f ca="1">SUM(J17:J34)</f>
        <v>0.50040242353818787</v>
      </c>
      <c r="E16" s="240">
        <f ca="1">1-SUM(K17:K34)</f>
        <v>0.31999999999999984</v>
      </c>
      <c r="G16" s="244" t="s">
        <v>200</v>
      </c>
      <c r="K16" s="236"/>
      <c r="N16">
        <v>75</v>
      </c>
    </row>
    <row r="17" spans="1:14" x14ac:dyDescent="0.25">
      <c r="A17" s="243" t="s">
        <v>321</v>
      </c>
      <c r="B17">
        <f ca="1">COUNTIF(OFFSET(Lekeitio_2_8a_raw!C2,0,0,D9-B9+1,1), "200")</f>
        <v>0</v>
      </c>
      <c r="C17" s="32">
        <f ca="1">(B17/H75)*100</f>
        <v>0</v>
      </c>
      <c r="D17" s="32">
        <f ca="1">SUM(J36:J37)</f>
        <v>0</v>
      </c>
      <c r="E17" s="239">
        <f ca="1">1-SUM(K36:K37)</f>
        <v>1</v>
      </c>
      <c r="G17" s="243" t="s">
        <v>212</v>
      </c>
      <c r="H17">
        <f ca="1">COUNTIF(OFFSET(Lekeitio_2_8a_raw!A2,0,0,D9-B9+1,1),"108")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39">
        <f ca="1">IF(H17=0,0,((H17/B16)^2))</f>
        <v>0</v>
      </c>
      <c r="N17">
        <v>7</v>
      </c>
    </row>
    <row r="18" spans="1:14" x14ac:dyDescent="0.25">
      <c r="A18" s="242" t="s">
        <v>322</v>
      </c>
      <c r="B18" s="35">
        <f ca="1">COUNTIF(OFFSET(Lekeitio_2_8a_raw!C2,0,0,D9-B9+1,1), "300")</f>
        <v>20</v>
      </c>
      <c r="C18" s="36">
        <f ca="1">(B18/H75)*100</f>
        <v>31.25</v>
      </c>
      <c r="D18" s="36">
        <f ca="1">SUM(J39:J44)</f>
        <v>0</v>
      </c>
      <c r="E18" s="240">
        <f ca="1">1-SUM(K39:K44)</f>
        <v>0</v>
      </c>
      <c r="G18" s="243" t="s">
        <v>213</v>
      </c>
      <c r="H18">
        <f ca="1">COUNTIF(OFFSET(Lekeitio_2_8a_raw!A2,0,0,D9-B9+1,1),"105")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39">
        <f ca="1">IF(H18=0,0,((H18/B16)^2))</f>
        <v>0</v>
      </c>
    </row>
    <row r="19" spans="1:14" x14ac:dyDescent="0.25">
      <c r="A19" s="243" t="s">
        <v>323</v>
      </c>
      <c r="B19">
        <f ca="1">COUNTIF(OFFSET(Lekeitio_2_8a_raw!C2,0,0,D9-B9+1,1), "400")</f>
        <v>0</v>
      </c>
      <c r="C19" s="32">
        <f ca="1">(B19/H75)*100</f>
        <v>0</v>
      </c>
      <c r="D19" s="32">
        <f ca="1">SUM(J46:J47)</f>
        <v>0</v>
      </c>
      <c r="E19" s="239">
        <f ca="1">1-SUM(K46:K47)</f>
        <v>1</v>
      </c>
      <c r="G19" s="243" t="s">
        <v>214</v>
      </c>
      <c r="H19">
        <f ca="1">COUNTIF(OFFSET(Lekeitio_2_8a_raw!A2,0,0,D9-B9+1,1),"103")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39">
        <f ca="1">IF(H19=0,0,((H19/B16)^2))</f>
        <v>0</v>
      </c>
    </row>
    <row r="20" spans="1:14" x14ac:dyDescent="0.25">
      <c r="A20" s="242" t="s">
        <v>324</v>
      </c>
      <c r="B20" s="35">
        <f ca="1">COUNTIF(OFFSET(Lekeitio_2_8a_raw!C2,0,0,D9-B9+1,1), "500")</f>
        <v>27</v>
      </c>
      <c r="C20" s="36">
        <f ca="1">(B20/H75)*100</f>
        <v>42.1875</v>
      </c>
      <c r="D20" s="36">
        <f ca="1">SUM(J49:J52)</f>
        <v>0.41948336930618069</v>
      </c>
      <c r="E20" s="240">
        <f ca="1">1-SUM(K49:K52)</f>
        <v>0.25240054869684503</v>
      </c>
      <c r="G20" s="243" t="s">
        <v>215</v>
      </c>
      <c r="H20">
        <f ca="1">COUNTIF(OFFSET(Lekeitio_2_8a_raw!A2,0,0,D9-B9+1,1),"107")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39">
        <f ca="1">IF(H20=0,0,((H20/B16)^2))</f>
        <v>0</v>
      </c>
    </row>
    <row r="21" spans="1:14" x14ac:dyDescent="0.25">
      <c r="A21" s="243" t="s">
        <v>325</v>
      </c>
      <c r="B21">
        <f ca="1">COUNTIF(OFFSET(Lekeitio_2_8a_raw!C2,0,0,D9-B9+1,1), "600")</f>
        <v>7</v>
      </c>
      <c r="C21" s="32">
        <f ca="1">(B21/H75)*100</f>
        <v>10.9375</v>
      </c>
      <c r="D21" s="32">
        <f ca="1">SUM(J54:J57)</f>
        <v>0.410116318288409</v>
      </c>
      <c r="E21" s="239">
        <f ca="1">1-SUM(K54:K57)</f>
        <v>0.24489795918367352</v>
      </c>
      <c r="G21" s="243" t="s">
        <v>216</v>
      </c>
      <c r="H21">
        <f ca="1">COUNTIF(OFFSET(Lekeitio_2_8a_raw!A2,0,0,D9-B9+1,1),"101")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39">
        <f ca="1">IF(H21=0,0,((H21/B16)^2))</f>
        <v>0</v>
      </c>
    </row>
    <row r="22" spans="1:14" x14ac:dyDescent="0.25">
      <c r="A22" s="242" t="s">
        <v>326</v>
      </c>
      <c r="B22" s="35">
        <f ca="1">COUNTIF(OFFSET(Lekeitio_2_8a_raw!C2,0,0,D9-B9+1,1), "700")</f>
        <v>0</v>
      </c>
      <c r="C22" s="36">
        <f ca="1">(B22/H75)*100</f>
        <v>0</v>
      </c>
      <c r="D22" s="36">
        <f ca="1">SUM(J59:J63)</f>
        <v>0</v>
      </c>
      <c r="E22" s="240">
        <f ca="1">1-SUM(K59:K63)</f>
        <v>1</v>
      </c>
      <c r="G22" s="243" t="s">
        <v>217</v>
      </c>
      <c r="H22">
        <f ca="1">COUNTIF(OFFSET(Lekeitio_2_8a_raw!A2,0,0,D9-B9+1,1),"106")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39">
        <f ca="1">IF(H22=0,0,((H22/B16)^2))</f>
        <v>0</v>
      </c>
    </row>
    <row r="23" spans="1:14" x14ac:dyDescent="0.25">
      <c r="A23" s="243" t="s">
        <v>327</v>
      </c>
      <c r="B23">
        <f ca="1">COUNTIF(OFFSET(Lekeitio_2_8a_raw!C2,0,0,D9-B9+1,1), "800")</f>
        <v>0</v>
      </c>
      <c r="C23" s="32">
        <f ca="1">(B23/H75)*100</f>
        <v>0</v>
      </c>
      <c r="D23" s="32">
        <f ca="1">SUM(J65:J66)</f>
        <v>0</v>
      </c>
      <c r="E23" s="239">
        <f ca="1">1-SUM(K65:K66)</f>
        <v>1</v>
      </c>
      <c r="G23" s="243" t="s">
        <v>218</v>
      </c>
      <c r="H23">
        <f ca="1">COUNTIF(OFFSET(Lekeitio_2_8a_raw!A2,0,0,D9-B9+1,1),"102")</f>
        <v>4</v>
      </c>
      <c r="I23" s="32">
        <f ca="1">(H23/H75)*100</f>
        <v>6.25</v>
      </c>
      <c r="J23" s="32">
        <f ca="1">IF(H23=0,0,-1*((H23/B16)*(LN(H23/B16))))</f>
        <v>0.17851484105136778</v>
      </c>
      <c r="K23" s="239">
        <f ca="1">IF(H23=0,0,((H23/B16)^2))</f>
        <v>0.64000000000000012</v>
      </c>
    </row>
    <row r="24" spans="1:14" x14ac:dyDescent="0.25">
      <c r="A24" s="242" t="s">
        <v>328</v>
      </c>
      <c r="B24" s="35">
        <f ca="1">COUNTIF(OFFSET(Lekeitio_2_8a_raw!C2,0,0,D9-B9+1,1), "900")</f>
        <v>5</v>
      </c>
      <c r="C24" s="36">
        <f ca="1">(B24/H75)*100</f>
        <v>7.8125</v>
      </c>
      <c r="D24" s="36">
        <f ca="1">SUM(J68:J72)</f>
        <v>0</v>
      </c>
      <c r="E24" s="240">
        <f ca="1">1-SUM(K68:K72)</f>
        <v>0</v>
      </c>
      <c r="G24" s="243" t="s">
        <v>219</v>
      </c>
      <c r="H24">
        <f ca="1">COUNTIF(OFFSET(Lekeitio_2_8a_raw!A2,0,0,D9-B9+1,1),"104")</f>
        <v>1</v>
      </c>
      <c r="I24" s="32">
        <f ca="1">(H24/H75)*100</f>
        <v>1.5625</v>
      </c>
      <c r="J24" s="32">
        <f ca="1">IF(H24=0,0,-1*((H24/B16)*(LN(H24/B16))))</f>
        <v>0.32188758248682009</v>
      </c>
      <c r="K24" s="239">
        <f ca="1">IF(H24=0,0,((H24/B16)^2))</f>
        <v>4.0000000000000008E-2</v>
      </c>
    </row>
    <row r="25" spans="1:14" x14ac:dyDescent="0.25">
      <c r="A25" s="243" t="s">
        <v>329</v>
      </c>
      <c r="B25">
        <f ca="1">COUNTIF(OFFSET(Lekeitio_2_8a_raw!C2,0,0,D9-B9+1,1), "1000")</f>
        <v>0</v>
      </c>
      <c r="C25" s="32">
        <f ca="1">(B25/H75)*100</f>
        <v>0</v>
      </c>
      <c r="D25" s="32">
        <f>SUM(J74:J74)</f>
        <v>0</v>
      </c>
      <c r="E25" s="239">
        <f ca="1">1-SUM(K74:K74)</f>
        <v>1</v>
      </c>
      <c r="G25" s="243" t="s">
        <v>220</v>
      </c>
      <c r="H25">
        <f ca="1">COUNTIF(OFFSET(Lekeitio_2_8a_raw!A2,0,0,D9-B9+1,1),"111")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39">
        <f ca="1">IF(H25=0,0,((H25/B16)^2))</f>
        <v>0</v>
      </c>
    </row>
    <row r="26" spans="1:14" x14ac:dyDescent="0.25">
      <c r="A26" s="244" t="s">
        <v>330</v>
      </c>
      <c r="B26" s="31">
        <f ca="1">SUM(B16:B25)</f>
        <v>64</v>
      </c>
      <c r="C26" s="37" t="e">
        <f ca="1">SUM(C16:C25)-C0</f>
        <v>#NAME?</v>
      </c>
      <c r="E26" s="236"/>
      <c r="G26" s="243" t="s">
        <v>221</v>
      </c>
      <c r="H26">
        <f ca="1">COUNTIF(OFFSET(Lekeitio_2_8a_raw!A2,0,0,D9-B9+1,1),"112")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39">
        <f ca="1">IF(H26=0,0,((H26/B16)^2))</f>
        <v>0</v>
      </c>
    </row>
    <row r="27" spans="1:14" x14ac:dyDescent="0.25">
      <c r="A27" s="243"/>
      <c r="E27" s="236"/>
      <c r="G27" s="243" t="s">
        <v>222</v>
      </c>
      <c r="H27">
        <f ca="1">COUNTIF(OFFSET(Lekeitio_2_8a_raw!A2,0,0,D9-B9+1,1),"113")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39">
        <f ca="1">IF(H27=0,0,((H27/B16)^2))</f>
        <v>0</v>
      </c>
    </row>
    <row r="28" spans="1:14" x14ac:dyDescent="0.25">
      <c r="A28" s="244" t="s">
        <v>331</v>
      </c>
      <c r="E28" s="236"/>
      <c r="G28" s="243" t="s">
        <v>223</v>
      </c>
      <c r="H28">
        <f ca="1">COUNTIF(OFFSET(Lekeitio_2_8a_raw!A2,0,0,D9-B9+1,1),"114")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39">
        <f ca="1">IF(H28=0,0,((H28/B16)^2))</f>
        <v>0</v>
      </c>
    </row>
    <row r="29" spans="1:14" ht="15.75" thickBot="1" x14ac:dyDescent="0.3">
      <c r="A29" s="245" t="s">
        <v>332</v>
      </c>
      <c r="B29" s="40"/>
      <c r="C29" s="40"/>
      <c r="D29" s="40"/>
      <c r="E29" s="237"/>
      <c r="G29" s="243" t="s">
        <v>224</v>
      </c>
      <c r="H29">
        <f ca="1">COUNTIF(OFFSET(Lekeitio_2_8a_raw!A2,0,0,D9-B9+1,1),"115")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39">
        <f ca="1">IF(H29=0,0,((H29/B16)^2))</f>
        <v>0</v>
      </c>
    </row>
    <row r="30" spans="1:14" ht="15.75" thickTop="1" x14ac:dyDescent="0.25">
      <c r="G30" s="243" t="s">
        <v>225</v>
      </c>
      <c r="H30">
        <f ca="1">COUNTIF(OFFSET(Lekeitio_2_8a_raw!A2,0,0,D9-B9+1,1),"116")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39">
        <f ca="1">IF(H30=0,0,((H30/B16)^2))</f>
        <v>0</v>
      </c>
    </row>
    <row r="31" spans="1:14" x14ac:dyDescent="0.25">
      <c r="G31" s="243" t="s">
        <v>226</v>
      </c>
      <c r="H31">
        <f ca="1">COUNTIF(OFFSET(Lekeitio_2_8a_raw!A2,0,0,D9-B9+1,1),"117")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39">
        <f ca="1">IF(H31=0,0,((H31/B16)^2))</f>
        <v>0</v>
      </c>
    </row>
    <row r="32" spans="1:14" x14ac:dyDescent="0.25">
      <c r="G32" s="243" t="s">
        <v>227</v>
      </c>
      <c r="H32">
        <f ca="1">COUNTIF(OFFSET(Lekeitio_2_8a_raw!A2,0,0,D9-B9+1,1),"118")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39">
        <f ca="1">IF(H32=0,0,((H32/B16)^2))</f>
        <v>0</v>
      </c>
    </row>
    <row r="33" spans="7:11" x14ac:dyDescent="0.25">
      <c r="G33" s="243" t="s">
        <v>228</v>
      </c>
      <c r="H33">
        <f ca="1">COUNTIF(OFFSET(Lekeitio_2_8a_raw!A2,0,0,D9-B9+1,1),"109")</f>
        <v>0</v>
      </c>
      <c r="I33" s="32">
        <f ca="1">(H33/H75)*100</f>
        <v>0</v>
      </c>
      <c r="J33" s="32">
        <f ca="1">IF(H33=0,0,-1*((H33/B16)*(LN(H33/B16))))</f>
        <v>0</v>
      </c>
      <c r="K33" s="239">
        <f ca="1">IF(H33=0,0,((H33/B16)^2))</f>
        <v>0</v>
      </c>
    </row>
    <row r="34" spans="7:11" x14ac:dyDescent="0.25">
      <c r="G34" s="243" t="s">
        <v>229</v>
      </c>
      <c r="H34">
        <f ca="1">COUNTIF(OFFSET(Lekeitio_2_8a_raw!A2,0,0,D9-B9+1,1),"110")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39">
        <f ca="1">IF(H34=0,0,((H34/B16)^2))</f>
        <v>0</v>
      </c>
    </row>
    <row r="35" spans="7:11" x14ac:dyDescent="0.25">
      <c r="G35" s="244" t="s">
        <v>201</v>
      </c>
      <c r="K35" s="236"/>
    </row>
    <row r="36" spans="7:11" x14ac:dyDescent="0.25">
      <c r="G36" s="243" t="s">
        <v>230</v>
      </c>
      <c r="H36">
        <f ca="1">COUNTIF(OFFSET(Lekeitio_2_8a_raw!A2,0,0,D9-B9+1,1),"202")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39">
        <f ca="1">IF(H36=0,0,((H36/B17)^2))</f>
        <v>0</v>
      </c>
    </row>
    <row r="37" spans="7:11" x14ac:dyDescent="0.25">
      <c r="G37" s="243" t="s">
        <v>231</v>
      </c>
      <c r="H37">
        <f ca="1">COUNTIF(OFFSET(Lekeitio_2_8a_raw!A2,0,0,D9-B9+1,1),"201")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39">
        <f ca="1">IF(H37=0,0,((H37/B17)^2))</f>
        <v>0</v>
      </c>
    </row>
    <row r="38" spans="7:11" x14ac:dyDescent="0.25">
      <c r="G38" s="244" t="s">
        <v>202</v>
      </c>
      <c r="K38" s="236"/>
    </row>
    <row r="39" spans="7:11" x14ac:dyDescent="0.25">
      <c r="G39" s="243" t="s">
        <v>232</v>
      </c>
      <c r="H39">
        <f ca="1">COUNTIF(OFFSET(Lekeitio_2_8a_raw!A2,0,0,D9-B9+1,1),"306")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39">
        <f ca="1">IF(H39=0,0,((H39/B18)^2))</f>
        <v>0</v>
      </c>
    </row>
    <row r="40" spans="7:11" x14ac:dyDescent="0.25">
      <c r="G40" s="243" t="s">
        <v>233</v>
      </c>
      <c r="H40">
        <f ca="1">COUNTIF(OFFSET(Lekeitio_2_8a_raw!A2,0,0,D9-B9+1,1),"302")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39">
        <f ca="1">IF(H40=0,0,((H40/B18)^2))</f>
        <v>0</v>
      </c>
    </row>
    <row r="41" spans="7:11" x14ac:dyDescent="0.25">
      <c r="G41" s="243" t="s">
        <v>234</v>
      </c>
      <c r="H41">
        <f ca="1">COUNTIF(OFFSET(Lekeitio_2_8a_raw!A2,0,0,D9-B9+1,1),"307")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39">
        <f ca="1">IF(H41=0,0,((H41/B18)^2))</f>
        <v>0</v>
      </c>
    </row>
    <row r="42" spans="7:11" x14ac:dyDescent="0.25">
      <c r="G42" s="243" t="s">
        <v>235</v>
      </c>
      <c r="H42">
        <f ca="1">COUNTIF(OFFSET(Lekeitio_2_8a_raw!A2,0,0,D9-B9+1,1),"303")</f>
        <v>20</v>
      </c>
      <c r="I42" s="32">
        <f ca="1">(H42/H75)*100</f>
        <v>31.25</v>
      </c>
      <c r="J42" s="32">
        <f ca="1">IF(H42=0,0,-1*((H42/B18)*(LN(H42/B18))))</f>
        <v>0</v>
      </c>
      <c r="K42" s="239">
        <f ca="1">IF(H42=0,0,((H42/B18)^2))</f>
        <v>1</v>
      </c>
    </row>
    <row r="43" spans="7:11" x14ac:dyDescent="0.25">
      <c r="G43" s="243" t="s">
        <v>236</v>
      </c>
      <c r="H43">
        <f ca="1">COUNTIF(OFFSET(Lekeitio_2_8a_raw!A2,0,0,D9-B9+1,1),"304")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39">
        <f ca="1">IF(H43=0,0,((H43/B18)^2))</f>
        <v>0</v>
      </c>
    </row>
    <row r="44" spans="7:11" x14ac:dyDescent="0.25">
      <c r="G44" s="243" t="s">
        <v>237</v>
      </c>
      <c r="H44">
        <f ca="1">COUNTIF(OFFSET(Lekeitio_2_8a_raw!A2,0,0,D9-B9+1,1),"305")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39">
        <f ca="1">IF(H44=0,0,((H44/B18)^2))</f>
        <v>0</v>
      </c>
    </row>
    <row r="45" spans="7:11" x14ac:dyDescent="0.25">
      <c r="G45" s="244" t="s">
        <v>203</v>
      </c>
      <c r="K45" s="236"/>
    </row>
    <row r="46" spans="7:11" x14ac:dyDescent="0.25">
      <c r="G46" s="243" t="s">
        <v>238</v>
      </c>
      <c r="H46">
        <f ca="1">COUNTIF(OFFSET(Lekeitio_2_8a_raw!A2,0,0,D9-B9+1,1),"401")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39">
        <f ca="1">IF(H46=0,0,((H46/B19)^2))</f>
        <v>0</v>
      </c>
    </row>
    <row r="47" spans="7:11" x14ac:dyDescent="0.25">
      <c r="G47" s="243" t="s">
        <v>239</v>
      </c>
      <c r="H47">
        <f ca="1">COUNTIF(OFFSET(Lekeitio_2_8a_raw!A2,0,0,D9-B9+1,1),"402")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39">
        <f ca="1">IF(H47=0,0,((H47/B19)^2))</f>
        <v>0</v>
      </c>
    </row>
    <row r="48" spans="7:11" x14ac:dyDescent="0.25">
      <c r="G48" s="244" t="s">
        <v>204</v>
      </c>
      <c r="K48" s="236"/>
    </row>
    <row r="49" spans="7:11" x14ac:dyDescent="0.25">
      <c r="G49" s="243" t="s">
        <v>240</v>
      </c>
      <c r="H49">
        <f ca="1">COUNTIF(OFFSET(Lekeitio_2_8a_raw!A2,0,0,D9-B9+1,1),"501")</f>
        <v>23</v>
      </c>
      <c r="I49" s="32">
        <f ca="1">(H49/H75)*100</f>
        <v>35.9375</v>
      </c>
      <c r="J49" s="32">
        <f ca="1">IF(H49=0,0,-1*((H49/B20)*(LN(H49/B20))))</f>
        <v>0.13658818339737502</v>
      </c>
      <c r="K49" s="239">
        <f ca="1">IF(H49=0,0,((H49/B20)^2))</f>
        <v>0.72565157750342935</v>
      </c>
    </row>
    <row r="50" spans="7:11" x14ac:dyDescent="0.25">
      <c r="G50" s="243" t="s">
        <v>241</v>
      </c>
      <c r="H50">
        <f ca="1">COUNTIF(OFFSET(Lekeitio_2_8a_raw!A2,0,0,D9-B9+1,1),"502")</f>
        <v>4</v>
      </c>
      <c r="I50" s="32">
        <f ca="1">(H50/H75)*100</f>
        <v>6.25</v>
      </c>
      <c r="J50" s="32">
        <f ca="1">IF(H50=0,0,-1*((H50/B20)*(LN(H50/B20))))</f>
        <v>0.28289518590880569</v>
      </c>
      <c r="K50" s="239">
        <f ca="1">IF(H50=0,0,((H50/B20)^2))</f>
        <v>2.194787379972565E-2</v>
      </c>
    </row>
    <row r="51" spans="7:11" x14ac:dyDescent="0.25">
      <c r="G51" s="243" t="s">
        <v>242</v>
      </c>
      <c r="H51">
        <f ca="1">COUNTIF(OFFSET(Lekeitio_2_8a_raw!A2,0,0,D9-B9+1,1),"503")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239">
        <f ca="1">IF(H51=0,0,((H51/B20)^2))</f>
        <v>0</v>
      </c>
    </row>
    <row r="52" spans="7:11" x14ac:dyDescent="0.25">
      <c r="G52" s="243" t="s">
        <v>243</v>
      </c>
      <c r="H52">
        <f ca="1">COUNTIF(OFFSET(Lekeitio_2_8a_raw!A2,0,0,D9-B9+1,1),"504")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39">
        <f ca="1">IF(H52=0,0,((H52/B20)^2))</f>
        <v>0</v>
      </c>
    </row>
    <row r="53" spans="7:11" x14ac:dyDescent="0.25">
      <c r="G53" s="244" t="s">
        <v>205</v>
      </c>
      <c r="K53" s="236"/>
    </row>
    <row r="54" spans="7:11" x14ac:dyDescent="0.25">
      <c r="G54" s="243" t="s">
        <v>244</v>
      </c>
      <c r="H54">
        <f ca="1">COUNTIF(OFFSET(Lekeitio_2_8a_raw!A2,0,0,D9-B9+1,1),"601")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39">
        <f ca="1">IF(H54=0,0,((H54/B21)^2))</f>
        <v>0</v>
      </c>
    </row>
    <row r="55" spans="7:11" x14ac:dyDescent="0.25">
      <c r="G55" s="243" t="s">
        <v>245</v>
      </c>
      <c r="H55">
        <f ca="1">COUNTIF(OFFSET(Lekeitio_2_8a_raw!A2,0,0,D9-B9+1,1),"602")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39">
        <f ca="1">IF(H55=0,0,((H55/B21)^2))</f>
        <v>0</v>
      </c>
    </row>
    <row r="56" spans="7:11" x14ac:dyDescent="0.25">
      <c r="G56" s="243" t="s">
        <v>246</v>
      </c>
      <c r="H56">
        <f ca="1">COUNTIF(OFFSET(Lekeitio_2_8a_raw!A2,0,0,D9-B9+1,1),"603")</f>
        <v>1</v>
      </c>
      <c r="I56" s="32">
        <f ca="1">(H56/H75)*100</f>
        <v>1.5625</v>
      </c>
      <c r="J56" s="32">
        <f ca="1">IF(H56=0,0,-1*((H56/B21)*(LN(H56/B21))))</f>
        <v>0.27798716415075903</v>
      </c>
      <c r="K56" s="239">
        <f ca="1">IF(H56=0,0,((H56/B21)^2))</f>
        <v>2.0408163265306121E-2</v>
      </c>
    </row>
    <row r="57" spans="7:11" x14ac:dyDescent="0.25">
      <c r="G57" s="243" t="s">
        <v>247</v>
      </c>
      <c r="H57">
        <f ca="1">COUNTIF(OFFSET(Lekeitio_2_8a_raw!A2,0,0,D9-B9+1,1),"604")</f>
        <v>6</v>
      </c>
      <c r="I57" s="32">
        <f ca="1">(H57/H75)*100</f>
        <v>9.375</v>
      </c>
      <c r="J57" s="32">
        <f ca="1">IF(H57=0,0,-1*((H57/B21)*(LN(H57/B21))))</f>
        <v>0.13212915413765</v>
      </c>
      <c r="K57" s="239">
        <f ca="1">IF(H57=0,0,((H57/B21)^2))</f>
        <v>0.73469387755102034</v>
      </c>
    </row>
    <row r="58" spans="7:11" x14ac:dyDescent="0.25">
      <c r="G58" s="244" t="s">
        <v>206</v>
      </c>
      <c r="K58" s="236"/>
    </row>
    <row r="59" spans="7:11" x14ac:dyDescent="0.25">
      <c r="G59" s="243" t="s">
        <v>248</v>
      </c>
      <c r="H59">
        <f ca="1">COUNTIF(OFFSET(Lekeitio_2_8a_raw!A2,0,0,D9-B9+1,1),"701")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39">
        <f ca="1">IF(H59=0,0,((H59/B22)^2))</f>
        <v>0</v>
      </c>
    </row>
    <row r="60" spans="7:11" x14ac:dyDescent="0.25">
      <c r="G60" s="243" t="s">
        <v>249</v>
      </c>
      <c r="H60">
        <f ca="1">COUNTIF(OFFSET(Lekeitio_2_8a_raw!A2,0,0,D9-B9+1,1),"702")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39">
        <f ca="1">IF(H60=0,0,((H60/B22)^2))</f>
        <v>0</v>
      </c>
    </row>
    <row r="61" spans="7:11" x14ac:dyDescent="0.25">
      <c r="G61" s="243" t="s">
        <v>250</v>
      </c>
      <c r="H61">
        <f ca="1">COUNTIF(OFFSET(Lekeitio_2_8a_raw!A2,0,0,D9-B9+1,1),"703")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39">
        <f ca="1">IF(H61=0,0,((H61/B22)^2))</f>
        <v>0</v>
      </c>
    </row>
    <row r="62" spans="7:11" x14ac:dyDescent="0.25">
      <c r="G62" s="243" t="s">
        <v>251</v>
      </c>
      <c r="H62">
        <f ca="1">COUNTIF(OFFSET(Lekeitio_2_8a_raw!A2,0,0,D9-B9+1,1),"705")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39">
        <f ca="1">IF(H62=0,0,((H62/B22)^2))</f>
        <v>0</v>
      </c>
    </row>
    <row r="63" spans="7:11" x14ac:dyDescent="0.25">
      <c r="G63" s="243" t="s">
        <v>252</v>
      </c>
      <c r="H63">
        <f ca="1">COUNTIF(OFFSET(Lekeitio_2_8a_raw!A2,0,0,D9-B9+1,1),"704")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39">
        <f ca="1">IF(H63=0,0,((H63/B22)^2))</f>
        <v>0</v>
      </c>
    </row>
    <row r="64" spans="7:11" x14ac:dyDescent="0.25">
      <c r="G64" s="244" t="s">
        <v>207</v>
      </c>
      <c r="K64" s="236"/>
    </row>
    <row r="65" spans="7:11" x14ac:dyDescent="0.25">
      <c r="G65" s="243" t="s">
        <v>253</v>
      </c>
      <c r="H65">
        <f ca="1">COUNTIF(OFFSET(Lekeitio_2_8a_raw!A2,0,0,D9-B9+1,1),"801")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39">
        <f ca="1">IF(H65=0,0,((H65/B23)^2))</f>
        <v>0</v>
      </c>
    </row>
    <row r="66" spans="7:11" x14ac:dyDescent="0.25">
      <c r="G66" s="243" t="s">
        <v>254</v>
      </c>
      <c r="H66">
        <f ca="1">COUNTIF(OFFSET(Lekeitio_2_8a_raw!A2,0,0,D9-B9+1,1),"802")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39">
        <f ca="1">IF(H66=0,0,((H66/B23)^2))</f>
        <v>0</v>
      </c>
    </row>
    <row r="67" spans="7:11" x14ac:dyDescent="0.25">
      <c r="G67" s="244" t="s">
        <v>208</v>
      </c>
      <c r="K67" s="236"/>
    </row>
    <row r="68" spans="7:11" x14ac:dyDescent="0.25">
      <c r="G68" s="243" t="s">
        <v>255</v>
      </c>
      <c r="H68">
        <f ca="1">COUNTIF(OFFSET(Lekeitio_2_8a_raw!A2,0,0,D9-B9+1,1),"901")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239">
        <f ca="1">IF(H68=0,0,((H68/B24)^2))</f>
        <v>0</v>
      </c>
    </row>
    <row r="69" spans="7:11" x14ac:dyDescent="0.25">
      <c r="G69" s="243" t="s">
        <v>256</v>
      </c>
      <c r="H69">
        <f ca="1">COUNTIF(OFFSET(Lekeitio_2_8a_raw!A2,0,0,D9-B9+1,1),"902")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39">
        <f ca="1">IF(H69=0,0,((H69/B24)^2))</f>
        <v>0</v>
      </c>
    </row>
    <row r="70" spans="7:11" x14ac:dyDescent="0.25">
      <c r="G70" s="243" t="s">
        <v>257</v>
      </c>
      <c r="H70">
        <f ca="1">COUNTIF(OFFSET(Lekeitio_2_8a_raw!A2,0,0,D9-B9+1,1),"904")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39">
        <f ca="1">IF(H70=0,0,((H70/B24)^2))</f>
        <v>0</v>
      </c>
    </row>
    <row r="71" spans="7:11" x14ac:dyDescent="0.25">
      <c r="G71" s="243" t="s">
        <v>258</v>
      </c>
      <c r="H71">
        <f ca="1">COUNTIF(OFFSET(Lekeitio_2_8a_raw!A2,0,0,D9-B9+1,1),"905")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39">
        <f ca="1">IF(H71=0,0,((H71/B24)^2))</f>
        <v>0</v>
      </c>
    </row>
    <row r="72" spans="7:11" x14ac:dyDescent="0.25">
      <c r="G72" s="243" t="s">
        <v>259</v>
      </c>
      <c r="H72">
        <f ca="1">COUNTIF(OFFSET(Lekeitio_2_8a_raw!A2,0,0,D9-B9+1,1),"903")</f>
        <v>5</v>
      </c>
      <c r="I72" s="32">
        <f ca="1">(H72/H75)*100</f>
        <v>7.8125</v>
      </c>
      <c r="J72" s="32">
        <f ca="1">IF(H72=0,0,-1*((H72/B24)*(LN(H72/B24))))</f>
        <v>0</v>
      </c>
      <c r="K72" s="239">
        <f ca="1">IF(H72=0,0,((H72/B24)^2))</f>
        <v>1</v>
      </c>
    </row>
    <row r="73" spans="7:11" x14ac:dyDescent="0.25">
      <c r="G73" s="244" t="s">
        <v>209</v>
      </c>
      <c r="K73" s="236"/>
    </row>
    <row r="74" spans="7:11" x14ac:dyDescent="0.25">
      <c r="G74" s="243" t="s">
        <v>260</v>
      </c>
      <c r="H74">
        <f ca="1">COUNTIF(OFFSET(Lekeitio_2_8a_raw!A2,0,0,D9-B9+1,1),"1001")</f>
        <v>0</v>
      </c>
      <c r="I74" s="32">
        <f ca="1">(H74/SUM(H15:H74))*100</f>
        <v>0</v>
      </c>
      <c r="J74" s="32"/>
      <c r="K74" s="239">
        <f ca="1">IF(H74=0,0,((H74/B25)^2))</f>
        <v>0</v>
      </c>
    </row>
    <row r="75" spans="7:11" ht="15.75" thickBot="1" x14ac:dyDescent="0.3">
      <c r="G75" s="246" t="s">
        <v>285</v>
      </c>
      <c r="H75" s="51">
        <f ca="1">SUM(H16:H74)</f>
        <v>64</v>
      </c>
      <c r="I75" s="51">
        <f ca="1">SUM(I16:I74)</f>
        <v>100</v>
      </c>
      <c r="J75" s="40"/>
      <c r="K75" s="237"/>
    </row>
    <row r="76" spans="7:11" ht="15.75" thickTop="1" x14ac:dyDescent="0.25"/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4" workbookViewId="0">
      <selection activeCell="I76" sqref="I76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COUNTA(OFFSET(Lekeitio_2_8b_raw!A2,0,0,D9-B9+1,1))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53" t="s">
        <v>319</v>
      </c>
      <c r="B15" s="33" t="s">
        <v>281</v>
      </c>
      <c r="C15" s="33" t="s">
        <v>282</v>
      </c>
      <c r="D15" s="33" t="s">
        <v>283</v>
      </c>
      <c r="E15" s="250" t="s">
        <v>284</v>
      </c>
      <c r="G15" s="253" t="s">
        <v>280</v>
      </c>
      <c r="H15" s="33" t="s">
        <v>281</v>
      </c>
      <c r="I15" s="33" t="s">
        <v>282</v>
      </c>
      <c r="J15" s="33" t="s">
        <v>283</v>
      </c>
      <c r="K15" s="250" t="s">
        <v>284</v>
      </c>
      <c r="N15">
        <v>16</v>
      </c>
    </row>
    <row r="16" spans="1:14" x14ac:dyDescent="0.25">
      <c r="A16" s="254" t="s">
        <v>320</v>
      </c>
      <c r="B16" s="35">
        <f ca="1">COUNTIF(OFFSET(Lekeitio_2_8b_raw!C2,0,0,D9-B9+1,1), "100")</f>
        <v>22</v>
      </c>
      <c r="C16" s="36">
        <f ca="1">(B16/H75)*100</f>
        <v>34.375</v>
      </c>
      <c r="D16" s="36">
        <f ca="1">SUM(J17:J34)</f>
        <v>0.95755569637422311</v>
      </c>
      <c r="E16" s="252">
        <f ca="1">1-SUM(K17:K34)</f>
        <v>0.56611570247933884</v>
      </c>
      <c r="G16" s="256" t="s">
        <v>200</v>
      </c>
      <c r="K16" s="248"/>
      <c r="N16">
        <v>75</v>
      </c>
    </row>
    <row r="17" spans="1:14" x14ac:dyDescent="0.25">
      <c r="A17" s="255" t="s">
        <v>321</v>
      </c>
      <c r="B17">
        <f ca="1">COUNTIF(OFFSET(Lekeitio_2_8b_raw!C2,0,0,D9-B9+1,1), "200")</f>
        <v>0</v>
      </c>
      <c r="C17" s="32">
        <f ca="1">(B17/H75)*100</f>
        <v>0</v>
      </c>
      <c r="D17" s="32">
        <f ca="1">SUM(J36:J37)</f>
        <v>0</v>
      </c>
      <c r="E17" s="251">
        <f ca="1">1-SUM(K36:K37)</f>
        <v>1</v>
      </c>
      <c r="G17" s="255" t="s">
        <v>212</v>
      </c>
      <c r="H17">
        <f ca="1">COUNTIF(OFFSET(Lekeitio_2_8b_raw!A2,0,0,D9-B9+1,1),"108")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51">
        <f ca="1">IF(H17=0,0,((H17/B16)^2))</f>
        <v>0</v>
      </c>
      <c r="N17">
        <v>7</v>
      </c>
    </row>
    <row r="18" spans="1:14" x14ac:dyDescent="0.25">
      <c r="A18" s="254" t="s">
        <v>322</v>
      </c>
      <c r="B18" s="35">
        <f ca="1">COUNTIF(OFFSET(Lekeitio_2_8b_raw!C2,0,0,D9-B9+1,1), "300")</f>
        <v>1</v>
      </c>
      <c r="C18" s="36">
        <f ca="1">(B18/H75)*100</f>
        <v>1.5625</v>
      </c>
      <c r="D18" s="36">
        <f ca="1">SUM(J39:J44)</f>
        <v>0</v>
      </c>
      <c r="E18" s="252">
        <f ca="1">1-SUM(K39:K44)</f>
        <v>0</v>
      </c>
      <c r="G18" s="255" t="s">
        <v>213</v>
      </c>
      <c r="H18">
        <f ca="1">COUNTIF(OFFSET(Lekeitio_2_8b_raw!A2,0,0,D9-B9+1,1),"105")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51">
        <f ca="1">IF(H18=0,0,((H18/B16)^2))</f>
        <v>0</v>
      </c>
    </row>
    <row r="19" spans="1:14" x14ac:dyDescent="0.25">
      <c r="A19" s="255" t="s">
        <v>323</v>
      </c>
      <c r="B19">
        <f ca="1">COUNTIF(OFFSET(Lekeitio_2_8b_raw!C2,0,0,D9-B9+1,1), "400")</f>
        <v>0</v>
      </c>
      <c r="C19" s="32">
        <f ca="1">(B19/H75)*100</f>
        <v>0</v>
      </c>
      <c r="D19" s="32">
        <f ca="1">SUM(J46:J47)</f>
        <v>0</v>
      </c>
      <c r="E19" s="251">
        <f ca="1">1-SUM(K46:K47)</f>
        <v>1</v>
      </c>
      <c r="G19" s="255" t="s">
        <v>214</v>
      </c>
      <c r="H19">
        <f ca="1">COUNTIF(OFFSET(Lekeitio_2_8b_raw!A2,0,0,D9-B9+1,1),"103")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51">
        <f ca="1">IF(H19=0,0,((H19/B16)^2))</f>
        <v>0</v>
      </c>
    </row>
    <row r="20" spans="1:14" x14ac:dyDescent="0.25">
      <c r="A20" s="254" t="s">
        <v>324</v>
      </c>
      <c r="B20" s="35">
        <f ca="1">COUNTIF(OFFSET(Lekeitio_2_8b_raw!C2,0,0,D9-B9+1,1), "500")</f>
        <v>24</v>
      </c>
      <c r="C20" s="36">
        <f ca="1">(B20/H75)*100</f>
        <v>37.5</v>
      </c>
      <c r="D20" s="36">
        <f ca="1">SUM(J49:J52)</f>
        <v>0</v>
      </c>
      <c r="E20" s="252">
        <f ca="1">1-SUM(K49:K52)</f>
        <v>0</v>
      </c>
      <c r="G20" s="255" t="s">
        <v>215</v>
      </c>
      <c r="H20">
        <f ca="1">COUNTIF(OFFSET(Lekeitio_2_8b_raw!A2,0,0,D9-B9+1,1),"107")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51">
        <f ca="1">IF(H20=0,0,((H20/B16)^2))</f>
        <v>0</v>
      </c>
    </row>
    <row r="21" spans="1:14" x14ac:dyDescent="0.25">
      <c r="A21" s="255" t="s">
        <v>325</v>
      </c>
      <c r="B21">
        <f ca="1">COUNTIF(OFFSET(Lekeitio_2_8b_raw!C2,0,0,D9-B9+1,1), "600")</f>
        <v>7</v>
      </c>
      <c r="C21" s="32">
        <f ca="1">(B21/H75)*100</f>
        <v>10.9375</v>
      </c>
      <c r="D21" s="32">
        <f ca="1">SUM(J54:J57)</f>
        <v>0.59826958858525725</v>
      </c>
      <c r="E21" s="251">
        <f ca="1">1-SUM(K54:K57)</f>
        <v>0.40816326530612246</v>
      </c>
      <c r="G21" s="255" t="s">
        <v>216</v>
      </c>
      <c r="H21">
        <f ca="1">COUNTIF(OFFSET(Lekeitio_2_8b_raw!A2,0,0,D9-B9+1,1),"101")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51">
        <f ca="1">IF(H21=0,0,((H21/B16)^2))</f>
        <v>0</v>
      </c>
    </row>
    <row r="22" spans="1:14" x14ac:dyDescent="0.25">
      <c r="A22" s="254" t="s">
        <v>326</v>
      </c>
      <c r="B22" s="35">
        <f ca="1">COUNTIF(OFFSET(Lekeitio_2_8b_raw!C2,0,0,D9-B9+1,1), "700")</f>
        <v>0</v>
      </c>
      <c r="C22" s="36">
        <f ca="1">(B22/H75)*100</f>
        <v>0</v>
      </c>
      <c r="D22" s="36">
        <f ca="1">SUM(J59:J63)</f>
        <v>0</v>
      </c>
      <c r="E22" s="252">
        <f ca="1">1-SUM(K59:K63)</f>
        <v>1</v>
      </c>
      <c r="G22" s="255" t="s">
        <v>217</v>
      </c>
      <c r="H22">
        <f ca="1">COUNTIF(OFFSET(Lekeitio_2_8b_raw!A2,0,0,D9-B9+1,1),"106")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51">
        <f ca="1">IF(H22=0,0,((H22/B16)^2))</f>
        <v>0</v>
      </c>
    </row>
    <row r="23" spans="1:14" x14ac:dyDescent="0.25">
      <c r="A23" s="255" t="s">
        <v>327</v>
      </c>
      <c r="B23">
        <f ca="1">COUNTIF(OFFSET(Lekeitio_2_8b_raw!C2,0,0,D9-B9+1,1), "800")</f>
        <v>0</v>
      </c>
      <c r="C23" s="32">
        <f ca="1">(B23/H75)*100</f>
        <v>0</v>
      </c>
      <c r="D23" s="32">
        <f ca="1">SUM(J65:J66)</f>
        <v>0</v>
      </c>
      <c r="E23" s="251">
        <f ca="1">1-SUM(K65:K66)</f>
        <v>1</v>
      </c>
      <c r="G23" s="255" t="s">
        <v>218</v>
      </c>
      <c r="H23">
        <f ca="1">COUNTIF(OFFSET(Lekeitio_2_8b_raw!A2,0,0,D9-B9+1,1),"102")</f>
        <v>5</v>
      </c>
      <c r="I23" s="32">
        <f ca="1">(H23/H75)*100</f>
        <v>7.8125</v>
      </c>
      <c r="J23" s="32">
        <f ca="1">IF(H23=0,0,-1*((H23/B16)*(LN(H23/B16))))</f>
        <v>0.33672830475550353</v>
      </c>
      <c r="K23" s="251">
        <f ca="1">IF(H23=0,0,((H23/B16)^2))</f>
        <v>5.1652892561983466E-2</v>
      </c>
    </row>
    <row r="24" spans="1:14" x14ac:dyDescent="0.25">
      <c r="A24" s="254" t="s">
        <v>328</v>
      </c>
      <c r="B24" s="35">
        <f ca="1">COUNTIF(OFFSET(Lekeitio_2_8b_raw!C2,0,0,D9-B9+1,1), "900")</f>
        <v>10</v>
      </c>
      <c r="C24" s="36">
        <f ca="1">(B24/H75)*100</f>
        <v>15.625</v>
      </c>
      <c r="D24" s="36">
        <f ca="1">SUM(J68:J72)</f>
        <v>0</v>
      </c>
      <c r="E24" s="252">
        <f ca="1">1-SUM(K68:K72)</f>
        <v>0</v>
      </c>
      <c r="G24" s="255" t="s">
        <v>219</v>
      </c>
      <c r="H24">
        <f ca="1">COUNTIF(OFFSET(Lekeitio_2_8b_raw!A2,0,0,D9-B9+1,1),"104")</f>
        <v>4</v>
      </c>
      <c r="I24" s="32">
        <f ca="1">(H24/H75)*100</f>
        <v>6.25</v>
      </c>
      <c r="J24" s="32">
        <f ca="1">IF(H24=0,0,-1*((H24/B16)*(LN(H24/B16))))</f>
        <v>0.30995419858880463</v>
      </c>
      <c r="K24" s="251">
        <f ca="1">IF(H24=0,0,((H24/B16)^2))</f>
        <v>3.3057851239669422E-2</v>
      </c>
    </row>
    <row r="25" spans="1:14" x14ac:dyDescent="0.25">
      <c r="A25" s="255" t="s">
        <v>329</v>
      </c>
      <c r="B25">
        <f ca="1">COUNTIF(OFFSET(Lekeitio_2_8b_raw!C2,0,0,D9-B9+1,1), "1000")</f>
        <v>0</v>
      </c>
      <c r="C25" s="32">
        <f ca="1">(B25/H75)*100</f>
        <v>0</v>
      </c>
      <c r="D25" s="32">
        <f>SUM(J74:J74)</f>
        <v>0</v>
      </c>
      <c r="E25" s="251">
        <f ca="1">1-SUM(K74:K74)</f>
        <v>1</v>
      </c>
      <c r="G25" s="255" t="s">
        <v>220</v>
      </c>
      <c r="H25">
        <f ca="1">COUNTIF(OFFSET(Lekeitio_2_8b_raw!A2,0,0,D9-B9+1,1),"111")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51">
        <f ca="1">IF(H25=0,0,((H25/B16)^2))</f>
        <v>0</v>
      </c>
    </row>
    <row r="26" spans="1:14" x14ac:dyDescent="0.25">
      <c r="A26" s="256" t="s">
        <v>330</v>
      </c>
      <c r="B26" s="31">
        <f ca="1">SUM(B16:B25)</f>
        <v>64</v>
      </c>
      <c r="C26" s="37" t="e">
        <f ca="1">SUM(C16:C25)-C0</f>
        <v>#NAME?</v>
      </c>
      <c r="E26" s="248"/>
      <c r="G26" s="255" t="s">
        <v>221</v>
      </c>
      <c r="H26">
        <f ca="1">COUNTIF(OFFSET(Lekeitio_2_8b_raw!A2,0,0,D9-B9+1,1),"112")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51">
        <f ca="1">IF(H26=0,0,((H26/B16)^2))</f>
        <v>0</v>
      </c>
    </row>
    <row r="27" spans="1:14" x14ac:dyDescent="0.25">
      <c r="A27" s="255"/>
      <c r="E27" s="248"/>
      <c r="G27" s="255" t="s">
        <v>222</v>
      </c>
      <c r="H27">
        <f ca="1">COUNTIF(OFFSET(Lekeitio_2_8b_raw!A2,0,0,D9-B9+1,1),"113")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51">
        <f ca="1">IF(H27=0,0,((H27/B16)^2))</f>
        <v>0</v>
      </c>
    </row>
    <row r="28" spans="1:14" x14ac:dyDescent="0.25">
      <c r="A28" s="256" t="s">
        <v>331</v>
      </c>
      <c r="E28" s="248"/>
      <c r="G28" s="255" t="s">
        <v>223</v>
      </c>
      <c r="H28">
        <f ca="1">COUNTIF(OFFSET(Lekeitio_2_8b_raw!A2,0,0,D9-B9+1,1),"114")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51">
        <f ca="1">IF(H28=0,0,((H28/B16)^2))</f>
        <v>0</v>
      </c>
    </row>
    <row r="29" spans="1:14" ht="15.75" thickBot="1" x14ac:dyDescent="0.3">
      <c r="A29" s="257" t="s">
        <v>332</v>
      </c>
      <c r="B29" s="40"/>
      <c r="C29" s="40"/>
      <c r="D29" s="40"/>
      <c r="E29" s="249"/>
      <c r="G29" s="255" t="s">
        <v>224</v>
      </c>
      <c r="H29">
        <f ca="1">COUNTIF(OFFSET(Lekeitio_2_8b_raw!A2,0,0,D9-B9+1,1),"115")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51">
        <f ca="1">IF(H29=0,0,((H29/B16)^2))</f>
        <v>0</v>
      </c>
    </row>
    <row r="30" spans="1:14" ht="15.75" thickTop="1" x14ac:dyDescent="0.25">
      <c r="G30" s="255" t="s">
        <v>225</v>
      </c>
      <c r="H30">
        <f ca="1">COUNTIF(OFFSET(Lekeitio_2_8b_raw!A2,0,0,D9-B9+1,1),"116")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51">
        <f ca="1">IF(H30=0,0,((H30/B16)^2))</f>
        <v>0</v>
      </c>
    </row>
    <row r="31" spans="1:14" x14ac:dyDescent="0.25">
      <c r="G31" s="255" t="s">
        <v>226</v>
      </c>
      <c r="H31">
        <f ca="1">COUNTIF(OFFSET(Lekeitio_2_8b_raw!A2,0,0,D9-B9+1,1),"117")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51">
        <f ca="1">IF(H31=0,0,((H31/B16)^2))</f>
        <v>0</v>
      </c>
    </row>
    <row r="32" spans="1:14" x14ac:dyDescent="0.25">
      <c r="G32" s="255" t="s">
        <v>227</v>
      </c>
      <c r="H32">
        <f ca="1">COUNTIF(OFFSET(Lekeitio_2_8b_raw!A2,0,0,D9-B9+1,1),"118")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51">
        <f ca="1">IF(H32=0,0,((H32/B16)^2))</f>
        <v>0</v>
      </c>
    </row>
    <row r="33" spans="7:11" x14ac:dyDescent="0.25">
      <c r="G33" s="255" t="s">
        <v>228</v>
      </c>
      <c r="H33">
        <f ca="1">COUNTIF(OFFSET(Lekeitio_2_8b_raw!A2,0,0,D9-B9+1,1),"109")</f>
        <v>13</v>
      </c>
      <c r="I33" s="32">
        <f ca="1">(H33/H75)*100</f>
        <v>20.3125</v>
      </c>
      <c r="J33" s="32">
        <f ca="1">IF(H33=0,0,-1*((H33/B16)*(LN(H33/B16))))</f>
        <v>0.31087319302991495</v>
      </c>
      <c r="K33" s="251">
        <f ca="1">IF(H33=0,0,((H33/B16)^2))</f>
        <v>0.34917355371900832</v>
      </c>
    </row>
    <row r="34" spans="7:11" x14ac:dyDescent="0.25">
      <c r="G34" s="255" t="s">
        <v>229</v>
      </c>
      <c r="H34">
        <f ca="1">COUNTIF(OFFSET(Lekeitio_2_8b_raw!A2,0,0,D9-B9+1,1),"110")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51">
        <f ca="1">IF(H34=0,0,((H34/B16)^2))</f>
        <v>0</v>
      </c>
    </row>
    <row r="35" spans="7:11" x14ac:dyDescent="0.25">
      <c r="G35" s="256" t="s">
        <v>201</v>
      </c>
      <c r="K35" s="248"/>
    </row>
    <row r="36" spans="7:11" x14ac:dyDescent="0.25">
      <c r="G36" s="255" t="s">
        <v>230</v>
      </c>
      <c r="H36">
        <f ca="1">COUNTIF(OFFSET(Lekeitio_2_8b_raw!A2,0,0,D9-B9+1,1),"202")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51">
        <f ca="1">IF(H36=0,0,((H36/B17)^2))</f>
        <v>0</v>
      </c>
    </row>
    <row r="37" spans="7:11" x14ac:dyDescent="0.25">
      <c r="G37" s="255" t="s">
        <v>231</v>
      </c>
      <c r="H37">
        <f ca="1">COUNTIF(OFFSET(Lekeitio_2_8b_raw!A2,0,0,D9-B9+1,1),"201")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51">
        <f ca="1">IF(H37=0,0,((H37/B17)^2))</f>
        <v>0</v>
      </c>
    </row>
    <row r="38" spans="7:11" x14ac:dyDescent="0.25">
      <c r="G38" s="256" t="s">
        <v>202</v>
      </c>
      <c r="K38" s="248"/>
    </row>
    <row r="39" spans="7:11" x14ac:dyDescent="0.25">
      <c r="G39" s="255" t="s">
        <v>232</v>
      </c>
      <c r="H39">
        <f ca="1">COUNTIF(OFFSET(Lekeitio_2_8b_raw!A2,0,0,D9-B9+1,1),"306")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51">
        <f ca="1">IF(H39=0,0,((H39/B18)^2))</f>
        <v>0</v>
      </c>
    </row>
    <row r="40" spans="7:11" x14ac:dyDescent="0.25">
      <c r="G40" s="255" t="s">
        <v>233</v>
      </c>
      <c r="H40">
        <f ca="1">COUNTIF(OFFSET(Lekeitio_2_8b_raw!A2,0,0,D9-B9+1,1),"302")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51">
        <f ca="1">IF(H40=0,0,((H40/B18)^2))</f>
        <v>0</v>
      </c>
    </row>
    <row r="41" spans="7:11" x14ac:dyDescent="0.25">
      <c r="G41" s="255" t="s">
        <v>234</v>
      </c>
      <c r="H41">
        <f ca="1">COUNTIF(OFFSET(Lekeitio_2_8b_raw!A2,0,0,D9-B9+1,1),"307")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51">
        <f ca="1">IF(H41=0,0,((H41/B18)^2))</f>
        <v>0</v>
      </c>
    </row>
    <row r="42" spans="7:11" x14ac:dyDescent="0.25">
      <c r="G42" s="255" t="s">
        <v>235</v>
      </c>
      <c r="H42">
        <f ca="1">COUNTIF(OFFSET(Lekeitio_2_8b_raw!A2,0,0,D9-B9+1,1),"303")</f>
        <v>1</v>
      </c>
      <c r="I42" s="32">
        <f ca="1">(H42/H75)*100</f>
        <v>1.5625</v>
      </c>
      <c r="J42" s="32">
        <f ca="1">IF(H42=0,0,-1*((H42/B18)*(LN(H42/B18))))</f>
        <v>0</v>
      </c>
      <c r="K42" s="251">
        <f ca="1">IF(H42=0,0,((H42/B18)^2))</f>
        <v>1</v>
      </c>
    </row>
    <row r="43" spans="7:11" x14ac:dyDescent="0.25">
      <c r="G43" s="255" t="s">
        <v>236</v>
      </c>
      <c r="H43">
        <f ca="1">COUNTIF(OFFSET(Lekeitio_2_8b_raw!A2,0,0,D9-B9+1,1),"304")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51">
        <f ca="1">IF(H43=0,0,((H43/B18)^2))</f>
        <v>0</v>
      </c>
    </row>
    <row r="44" spans="7:11" x14ac:dyDescent="0.25">
      <c r="G44" s="255" t="s">
        <v>237</v>
      </c>
      <c r="H44">
        <f ca="1">COUNTIF(OFFSET(Lekeitio_2_8b_raw!A2,0,0,D9-B9+1,1),"305")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51">
        <f ca="1">IF(H44=0,0,((H44/B18)^2))</f>
        <v>0</v>
      </c>
    </row>
    <row r="45" spans="7:11" x14ac:dyDescent="0.25">
      <c r="G45" s="256" t="s">
        <v>203</v>
      </c>
      <c r="K45" s="248"/>
    </row>
    <row r="46" spans="7:11" x14ac:dyDescent="0.25">
      <c r="G46" s="255" t="s">
        <v>238</v>
      </c>
      <c r="H46">
        <f ca="1">COUNTIF(OFFSET(Lekeitio_2_8b_raw!A2,0,0,D9-B9+1,1),"401")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51">
        <f ca="1">IF(H46=0,0,((H46/B19)^2))</f>
        <v>0</v>
      </c>
    </row>
    <row r="47" spans="7:11" x14ac:dyDescent="0.25">
      <c r="G47" s="255" t="s">
        <v>239</v>
      </c>
      <c r="H47">
        <f ca="1">COUNTIF(OFFSET(Lekeitio_2_8b_raw!A2,0,0,D9-B9+1,1),"402")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51">
        <f ca="1">IF(H47=0,0,((H47/B19)^2))</f>
        <v>0</v>
      </c>
    </row>
    <row r="48" spans="7:11" x14ac:dyDescent="0.25">
      <c r="G48" s="256" t="s">
        <v>204</v>
      </c>
      <c r="K48" s="248"/>
    </row>
    <row r="49" spans="7:11" x14ac:dyDescent="0.25">
      <c r="G49" s="255" t="s">
        <v>240</v>
      </c>
      <c r="H49">
        <f ca="1">COUNTIF(OFFSET(Lekeitio_2_8b_raw!A2,0,0,D9-B9+1,1),"501")</f>
        <v>24</v>
      </c>
      <c r="I49" s="32">
        <f ca="1">(H49/H75)*100</f>
        <v>37.5</v>
      </c>
      <c r="J49" s="32">
        <f ca="1">IF(H49=0,0,-1*((H49/B20)*(LN(H49/B20))))</f>
        <v>0</v>
      </c>
      <c r="K49" s="251">
        <f ca="1">IF(H49=0,0,((H49/B20)^2))</f>
        <v>1</v>
      </c>
    </row>
    <row r="50" spans="7:11" x14ac:dyDescent="0.25">
      <c r="G50" s="255" t="s">
        <v>241</v>
      </c>
      <c r="H50">
        <f ca="1">COUNTIF(OFFSET(Lekeitio_2_8b_raw!A2,0,0,D9-B9+1,1),"502")</f>
        <v>0</v>
      </c>
      <c r="I50" s="32">
        <f ca="1">(H50/H75)*100</f>
        <v>0</v>
      </c>
      <c r="J50" s="32">
        <f ca="1">IF(H50=0,0,-1*((H50/B20)*(LN(H50/B20))))</f>
        <v>0</v>
      </c>
      <c r="K50" s="251">
        <f ca="1">IF(H50=0,0,((H50/B20)^2))</f>
        <v>0</v>
      </c>
    </row>
    <row r="51" spans="7:11" x14ac:dyDescent="0.25">
      <c r="G51" s="255" t="s">
        <v>242</v>
      </c>
      <c r="H51">
        <f ca="1">COUNTIF(OFFSET(Lekeitio_2_8b_raw!A2,0,0,D9-B9+1,1),"503")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251">
        <f ca="1">IF(H51=0,0,((H51/B20)^2))</f>
        <v>0</v>
      </c>
    </row>
    <row r="52" spans="7:11" x14ac:dyDescent="0.25">
      <c r="G52" s="255" t="s">
        <v>243</v>
      </c>
      <c r="H52">
        <f ca="1">COUNTIF(OFFSET(Lekeitio_2_8b_raw!A2,0,0,D9-B9+1,1),"504")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51">
        <f ca="1">IF(H52=0,0,((H52/B20)^2))</f>
        <v>0</v>
      </c>
    </row>
    <row r="53" spans="7:11" x14ac:dyDescent="0.25">
      <c r="G53" s="256" t="s">
        <v>205</v>
      </c>
      <c r="K53" s="248"/>
    </row>
    <row r="54" spans="7:11" x14ac:dyDescent="0.25">
      <c r="G54" s="255" t="s">
        <v>244</v>
      </c>
      <c r="H54">
        <f ca="1">COUNTIF(OFFSET(Lekeitio_2_8b_raw!A2,0,0,D9-B9+1,1),"601")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51">
        <f ca="1">IF(H54=0,0,((H54/B21)^2))</f>
        <v>0</v>
      </c>
    </row>
    <row r="55" spans="7:11" x14ac:dyDescent="0.25">
      <c r="G55" s="255" t="s">
        <v>245</v>
      </c>
      <c r="H55">
        <f ca="1">COUNTIF(OFFSET(Lekeitio_2_8b_raw!A2,0,0,D9-B9+1,1),"602")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51">
        <f ca="1">IF(H55=0,0,((H55/B21)^2))</f>
        <v>0</v>
      </c>
    </row>
    <row r="56" spans="7:11" x14ac:dyDescent="0.25">
      <c r="G56" s="255" t="s">
        <v>246</v>
      </c>
      <c r="H56">
        <f ca="1">COUNTIF(OFFSET(Lekeitio_2_8b_raw!A2,0,0,D9-B9+1,1),"603")</f>
        <v>5</v>
      </c>
      <c r="I56" s="32">
        <f ca="1">(H56/H75)*100</f>
        <v>7.8125</v>
      </c>
      <c r="J56" s="32">
        <f ca="1">IF(H56=0,0,-1*((H56/B21)*(LN(H56/B21))))</f>
        <v>0.24033731187229493</v>
      </c>
      <c r="K56" s="251">
        <f ca="1">IF(H56=0,0,((H56/B21)^2))</f>
        <v>0.51020408163265307</v>
      </c>
    </row>
    <row r="57" spans="7:11" x14ac:dyDescent="0.25">
      <c r="G57" s="255" t="s">
        <v>247</v>
      </c>
      <c r="H57">
        <f ca="1">COUNTIF(OFFSET(Lekeitio_2_8b_raw!A2,0,0,D9-B9+1,1),"604")</f>
        <v>2</v>
      </c>
      <c r="I57" s="32">
        <f ca="1">(H57/H75)*100</f>
        <v>3.125</v>
      </c>
      <c r="J57" s="32">
        <f ca="1">IF(H57=0,0,-1*((H57/B21)*(LN(H57/B21))))</f>
        <v>0.35793227671296229</v>
      </c>
      <c r="K57" s="251">
        <f ca="1">IF(H57=0,0,((H57/B21)^2))</f>
        <v>8.1632653061224483E-2</v>
      </c>
    </row>
    <row r="58" spans="7:11" x14ac:dyDescent="0.25">
      <c r="G58" s="256" t="s">
        <v>206</v>
      </c>
      <c r="K58" s="248"/>
    </row>
    <row r="59" spans="7:11" x14ac:dyDescent="0.25">
      <c r="G59" s="255" t="s">
        <v>248</v>
      </c>
      <c r="H59">
        <f ca="1">COUNTIF(OFFSET(Lekeitio_2_8b_raw!A2,0,0,D9-B9+1,1),"701")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51">
        <f ca="1">IF(H59=0,0,((H59/B22)^2))</f>
        <v>0</v>
      </c>
    </row>
    <row r="60" spans="7:11" x14ac:dyDescent="0.25">
      <c r="G60" s="255" t="s">
        <v>249</v>
      </c>
      <c r="H60">
        <f ca="1">COUNTIF(OFFSET(Lekeitio_2_8b_raw!A2,0,0,D9-B9+1,1),"702")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51">
        <f ca="1">IF(H60=0,0,((H60/B22)^2))</f>
        <v>0</v>
      </c>
    </row>
    <row r="61" spans="7:11" x14ac:dyDescent="0.25">
      <c r="G61" s="255" t="s">
        <v>250</v>
      </c>
      <c r="H61">
        <f ca="1">COUNTIF(OFFSET(Lekeitio_2_8b_raw!A2,0,0,D9-B9+1,1),"703")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51">
        <f ca="1">IF(H61=0,0,((H61/B22)^2))</f>
        <v>0</v>
      </c>
    </row>
    <row r="62" spans="7:11" x14ac:dyDescent="0.25">
      <c r="G62" s="255" t="s">
        <v>251</v>
      </c>
      <c r="H62">
        <f ca="1">COUNTIF(OFFSET(Lekeitio_2_8b_raw!A2,0,0,D9-B9+1,1),"705")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51">
        <f ca="1">IF(H62=0,0,((H62/B22)^2))</f>
        <v>0</v>
      </c>
    </row>
    <row r="63" spans="7:11" x14ac:dyDescent="0.25">
      <c r="G63" s="255" t="s">
        <v>252</v>
      </c>
      <c r="H63">
        <f ca="1">COUNTIF(OFFSET(Lekeitio_2_8b_raw!A2,0,0,D9-B9+1,1),"704")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51">
        <f ca="1">IF(H63=0,0,((H63/B22)^2))</f>
        <v>0</v>
      </c>
    </row>
    <row r="64" spans="7:11" x14ac:dyDescent="0.25">
      <c r="G64" s="256" t="s">
        <v>207</v>
      </c>
      <c r="K64" s="248"/>
    </row>
    <row r="65" spans="7:11" x14ac:dyDescent="0.25">
      <c r="G65" s="255" t="s">
        <v>253</v>
      </c>
      <c r="H65">
        <f ca="1">COUNTIF(OFFSET(Lekeitio_2_8b_raw!A2,0,0,D9-B9+1,1),"801")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51">
        <f ca="1">IF(H65=0,0,((H65/B23)^2))</f>
        <v>0</v>
      </c>
    </row>
    <row r="66" spans="7:11" x14ac:dyDescent="0.25">
      <c r="G66" s="255" t="s">
        <v>254</v>
      </c>
      <c r="H66">
        <f ca="1">COUNTIF(OFFSET(Lekeitio_2_8b_raw!A2,0,0,D9-B9+1,1),"802")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51">
        <f ca="1">IF(H66=0,0,((H66/B23)^2))</f>
        <v>0</v>
      </c>
    </row>
    <row r="67" spans="7:11" x14ac:dyDescent="0.25">
      <c r="G67" s="256" t="s">
        <v>208</v>
      </c>
      <c r="K67" s="248"/>
    </row>
    <row r="68" spans="7:11" x14ac:dyDescent="0.25">
      <c r="G68" s="255" t="s">
        <v>255</v>
      </c>
      <c r="H68">
        <f ca="1">COUNTIF(OFFSET(Lekeitio_2_8b_raw!A2,0,0,D9-B9+1,1),"901")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251">
        <f ca="1">IF(H68=0,0,((H68/B24)^2))</f>
        <v>0</v>
      </c>
    </row>
    <row r="69" spans="7:11" x14ac:dyDescent="0.25">
      <c r="G69" s="255" t="s">
        <v>256</v>
      </c>
      <c r="H69">
        <f ca="1">COUNTIF(OFFSET(Lekeitio_2_8b_raw!A2,0,0,D9-B9+1,1),"902")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51">
        <f ca="1">IF(H69=0,0,((H69/B24)^2))</f>
        <v>0</v>
      </c>
    </row>
    <row r="70" spans="7:11" x14ac:dyDescent="0.25">
      <c r="G70" s="255" t="s">
        <v>257</v>
      </c>
      <c r="H70">
        <f ca="1">COUNTIF(OFFSET(Lekeitio_2_8b_raw!A2,0,0,D9-B9+1,1),"904")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51">
        <f ca="1">IF(H70=0,0,((H70/B24)^2))</f>
        <v>0</v>
      </c>
    </row>
    <row r="71" spans="7:11" x14ac:dyDescent="0.25">
      <c r="G71" s="255" t="s">
        <v>258</v>
      </c>
      <c r="H71">
        <f ca="1">COUNTIF(OFFSET(Lekeitio_2_8b_raw!A2,0,0,D9-B9+1,1),"905")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51">
        <f ca="1">IF(H71=0,0,((H71/B24)^2))</f>
        <v>0</v>
      </c>
    </row>
    <row r="72" spans="7:11" x14ac:dyDescent="0.25">
      <c r="G72" s="255" t="s">
        <v>259</v>
      </c>
      <c r="H72">
        <f ca="1">COUNTIF(OFFSET(Lekeitio_2_8b_raw!A2,0,0,D9-B9+1,1),"903")</f>
        <v>10</v>
      </c>
      <c r="I72" s="32">
        <f ca="1">(H72/H75)*100</f>
        <v>15.625</v>
      </c>
      <c r="J72" s="32">
        <f ca="1">IF(H72=0,0,-1*((H72/B24)*(LN(H72/B24))))</f>
        <v>0</v>
      </c>
      <c r="K72" s="251">
        <f ca="1">IF(H72=0,0,((H72/B24)^2))</f>
        <v>1</v>
      </c>
    </row>
    <row r="73" spans="7:11" x14ac:dyDescent="0.25">
      <c r="G73" s="256" t="s">
        <v>209</v>
      </c>
      <c r="K73" s="248"/>
    </row>
    <row r="74" spans="7:11" x14ac:dyDescent="0.25">
      <c r="G74" s="255" t="s">
        <v>260</v>
      </c>
      <c r="H74">
        <f ca="1">COUNTIF(OFFSET(Lekeitio_2_8b_raw!A2,0,0,D9-B9+1,1),"1001")</f>
        <v>0</v>
      </c>
      <c r="I74" s="32">
        <f ca="1">(H74/SUM(H15:H74))*100</f>
        <v>0</v>
      </c>
      <c r="J74" s="32"/>
      <c r="K74" s="251">
        <f ca="1">IF(H74=0,0,((H74/B25)^2))</f>
        <v>0</v>
      </c>
    </row>
    <row r="75" spans="7:11" ht="15.75" thickBot="1" x14ac:dyDescent="0.3">
      <c r="G75" s="258" t="s">
        <v>285</v>
      </c>
      <c r="H75" s="51">
        <f ca="1">SUM(H16:H74)</f>
        <v>64</v>
      </c>
      <c r="I75" s="51">
        <f ca="1">SUM(I16:I74)</f>
        <v>100</v>
      </c>
      <c r="J75" s="40"/>
      <c r="K75" s="249"/>
    </row>
    <row r="76" spans="7:11" ht="15.75" thickTop="1" x14ac:dyDescent="0.25"/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topLeftCell="A64" workbookViewId="0">
      <selection activeCell="H83" sqref="H83"/>
    </sheetView>
  </sheetViews>
  <sheetFormatPr baseColWidth="10" defaultRowHeight="15" x14ac:dyDescent="0.25"/>
  <cols>
    <col min="1" max="1" width="31" bestFit="1" customWidth="1"/>
    <col min="2" max="2" width="8" customWidth="1"/>
    <col min="3" max="3" width="8.42578125" customWidth="1"/>
    <col min="4" max="4" width="9.42578125" customWidth="1"/>
    <col min="5" max="5" width="13.42578125" bestFit="1" customWidth="1"/>
    <col min="7" max="7" width="48.7109375" bestFit="1" customWidth="1"/>
    <col min="8" max="8" width="8" customWidth="1"/>
    <col min="9" max="9" width="8.42578125" customWidth="1"/>
    <col min="10" max="10" width="9.42578125" customWidth="1"/>
    <col min="11" max="11" width="13.42578125" bestFit="1" customWidth="1"/>
    <col min="14" max="14" width="0" hidden="1" customWidth="1"/>
  </cols>
  <sheetData>
    <row r="1" spans="1:14" x14ac:dyDescent="0.25">
      <c r="A1" t="s">
        <v>262</v>
      </c>
      <c r="N1">
        <v>9</v>
      </c>
    </row>
    <row r="2" spans="1:14" x14ac:dyDescent="0.25">
      <c r="A2" t="s">
        <v>263</v>
      </c>
      <c r="C2" t="s">
        <v>264</v>
      </c>
      <c r="D2" t="s">
        <v>265</v>
      </c>
      <c r="N2">
        <v>10</v>
      </c>
    </row>
    <row r="3" spans="1:14" x14ac:dyDescent="0.25">
      <c r="A3" t="s">
        <v>266</v>
      </c>
      <c r="N3">
        <v>0</v>
      </c>
    </row>
    <row r="4" spans="1:14" x14ac:dyDescent="0.25">
      <c r="A4" t="s">
        <v>267</v>
      </c>
      <c r="N4">
        <v>0</v>
      </c>
    </row>
    <row r="5" spans="1:14" x14ac:dyDescent="0.25">
      <c r="A5" t="s">
        <v>268</v>
      </c>
      <c r="N5">
        <v>0</v>
      </c>
    </row>
    <row r="6" spans="1:14" x14ac:dyDescent="0.25">
      <c r="A6" t="s">
        <v>269</v>
      </c>
      <c r="N6">
        <v>75</v>
      </c>
    </row>
    <row r="7" spans="1:14" x14ac:dyDescent="0.25">
      <c r="A7" t="s">
        <v>270</v>
      </c>
      <c r="B7">
        <v>64</v>
      </c>
      <c r="D7" s="30" t="s">
        <v>271</v>
      </c>
      <c r="E7" t="s">
        <v>272</v>
      </c>
      <c r="N7">
        <v>16</v>
      </c>
    </row>
    <row r="8" spans="1:14" x14ac:dyDescent="0.25">
      <c r="A8" t="s">
        <v>273</v>
      </c>
      <c r="B8">
        <v>1</v>
      </c>
      <c r="N8">
        <v>25</v>
      </c>
    </row>
    <row r="9" spans="1:14" x14ac:dyDescent="0.25">
      <c r="A9" t="s">
        <v>274</v>
      </c>
      <c r="B9">
        <v>2</v>
      </c>
      <c r="C9" t="s">
        <v>275</v>
      </c>
      <c r="D9">
        <v>65</v>
      </c>
      <c r="N9">
        <v>29</v>
      </c>
    </row>
    <row r="10" spans="1:14" x14ac:dyDescent="0.25">
      <c r="A10" s="31" t="s">
        <v>276</v>
      </c>
      <c r="B10" s="31">
        <f ca="1">COUNTA(OFFSET(Lekeitio_2_9a_raw!A2,0,0,D9-B9+1,1))</f>
        <v>64</v>
      </c>
      <c r="N10">
        <v>30</v>
      </c>
    </row>
    <row r="11" spans="1:14" x14ac:dyDescent="0.25">
      <c r="A11" t="s">
        <v>277</v>
      </c>
      <c r="N11">
        <v>29</v>
      </c>
    </row>
    <row r="12" spans="1:14" x14ac:dyDescent="0.25">
      <c r="A12" t="s">
        <v>278</v>
      </c>
      <c r="N12">
        <v>29</v>
      </c>
    </row>
    <row r="13" spans="1:14" x14ac:dyDescent="0.25">
      <c r="A13" t="s">
        <v>279</v>
      </c>
      <c r="N13">
        <v>28</v>
      </c>
    </row>
    <row r="14" spans="1:14" ht="15.75" thickBot="1" x14ac:dyDescent="0.3">
      <c r="N14">
        <v>8</v>
      </c>
    </row>
    <row r="15" spans="1:14" ht="15.75" thickTop="1" x14ac:dyDescent="0.25">
      <c r="A15" s="265" t="s">
        <v>319</v>
      </c>
      <c r="B15" s="33" t="s">
        <v>281</v>
      </c>
      <c r="C15" s="33" t="s">
        <v>282</v>
      </c>
      <c r="D15" s="33" t="s">
        <v>283</v>
      </c>
      <c r="E15" s="262" t="s">
        <v>284</v>
      </c>
      <c r="G15" s="265" t="s">
        <v>280</v>
      </c>
      <c r="H15" s="33" t="s">
        <v>281</v>
      </c>
      <c r="I15" s="33" t="s">
        <v>282</v>
      </c>
      <c r="J15" s="33" t="s">
        <v>283</v>
      </c>
      <c r="K15" s="262" t="s">
        <v>284</v>
      </c>
      <c r="N15">
        <v>16</v>
      </c>
    </row>
    <row r="16" spans="1:14" x14ac:dyDescent="0.25">
      <c r="A16" s="266" t="s">
        <v>320</v>
      </c>
      <c r="B16" s="35">
        <f ca="1">COUNTIF(OFFSET(Lekeitio_2_9a_raw!C2,0,0,D9-B9+1,1), "100")</f>
        <v>31</v>
      </c>
      <c r="C16" s="36">
        <f ca="1">(B16/H75)*100</f>
        <v>48.4375</v>
      </c>
      <c r="D16" s="36">
        <f ca="1">SUM(J17:J34)</f>
        <v>0.79380748062750206</v>
      </c>
      <c r="E16" s="264">
        <f ca="1">1-SUM(K17:K34)</f>
        <v>0.51196670135275757</v>
      </c>
      <c r="G16" s="268" t="s">
        <v>200</v>
      </c>
      <c r="K16" s="260"/>
      <c r="N16">
        <v>75</v>
      </c>
    </row>
    <row r="17" spans="1:14" x14ac:dyDescent="0.25">
      <c r="A17" s="267" t="s">
        <v>321</v>
      </c>
      <c r="B17">
        <f ca="1">COUNTIF(OFFSET(Lekeitio_2_9a_raw!C2,0,0,D9-B9+1,1), "200")</f>
        <v>0</v>
      </c>
      <c r="C17" s="32">
        <f ca="1">(B17/H75)*100</f>
        <v>0</v>
      </c>
      <c r="D17" s="32">
        <f ca="1">SUM(J36:J37)</f>
        <v>0</v>
      </c>
      <c r="E17" s="263">
        <f ca="1">1-SUM(K36:K37)</f>
        <v>1</v>
      </c>
      <c r="G17" s="267" t="s">
        <v>212</v>
      </c>
      <c r="H17">
        <f ca="1">COUNTIF(OFFSET(Lekeitio_2_9a_raw!A2,0,0,D9-B9+1,1),"108")</f>
        <v>0</v>
      </c>
      <c r="I17" s="32">
        <f ca="1">(H17/H75)*100</f>
        <v>0</v>
      </c>
      <c r="J17" s="32">
        <f ca="1">IF(H17=0,0,-1*((H17/B16)*(LN(H17/B16))))</f>
        <v>0</v>
      </c>
      <c r="K17" s="263">
        <f ca="1">IF(H17=0,0,((H17/B16)^2))</f>
        <v>0</v>
      </c>
      <c r="N17">
        <v>7</v>
      </c>
    </row>
    <row r="18" spans="1:14" x14ac:dyDescent="0.25">
      <c r="A18" s="266" t="s">
        <v>322</v>
      </c>
      <c r="B18" s="35">
        <f ca="1">COUNTIF(OFFSET(Lekeitio_2_9a_raw!C2,0,0,D9-B9+1,1), "300")</f>
        <v>14</v>
      </c>
      <c r="C18" s="36">
        <f ca="1">(B18/H75)*100</f>
        <v>21.875</v>
      </c>
      <c r="D18" s="36">
        <f ca="1">SUM(J39:J44)</f>
        <v>0</v>
      </c>
      <c r="E18" s="264">
        <f ca="1">1-SUM(K39:K44)</f>
        <v>0</v>
      </c>
      <c r="G18" s="267" t="s">
        <v>213</v>
      </c>
      <c r="H18">
        <f ca="1">COUNTIF(OFFSET(Lekeitio_2_9a_raw!A2,0,0,D9-B9+1,1),"105")</f>
        <v>0</v>
      </c>
      <c r="I18" s="32">
        <f ca="1">(H18/H75)*100</f>
        <v>0</v>
      </c>
      <c r="J18" s="32">
        <f ca="1">IF(H18=0,0,-1*((H18/B16)*(LN(H18/B16))))</f>
        <v>0</v>
      </c>
      <c r="K18" s="263">
        <f ca="1">IF(H18=0,0,((H18/B16)^2))</f>
        <v>0</v>
      </c>
    </row>
    <row r="19" spans="1:14" x14ac:dyDescent="0.25">
      <c r="A19" s="267" t="s">
        <v>323</v>
      </c>
      <c r="B19">
        <f ca="1">COUNTIF(OFFSET(Lekeitio_2_9a_raw!C2,0,0,D9-B9+1,1), "400")</f>
        <v>0</v>
      </c>
      <c r="C19" s="32">
        <f ca="1">(B19/H75)*100</f>
        <v>0</v>
      </c>
      <c r="D19" s="32">
        <f ca="1">SUM(J46:J47)</f>
        <v>0</v>
      </c>
      <c r="E19" s="263">
        <f ca="1">1-SUM(K46:K47)</f>
        <v>1</v>
      </c>
      <c r="G19" s="267" t="s">
        <v>214</v>
      </c>
      <c r="H19">
        <f ca="1">COUNTIF(OFFSET(Lekeitio_2_9a_raw!A2,0,0,D9-B9+1,1),"103")</f>
        <v>0</v>
      </c>
      <c r="I19" s="32">
        <f ca="1">(H19/H75)*100</f>
        <v>0</v>
      </c>
      <c r="J19" s="32">
        <f ca="1">IF(H19=0,0,-1*((H19/B16)*(LN(H19/B16))))</f>
        <v>0</v>
      </c>
      <c r="K19" s="263">
        <f ca="1">IF(H19=0,0,((H19/B16)^2))</f>
        <v>0</v>
      </c>
    </row>
    <row r="20" spans="1:14" x14ac:dyDescent="0.25">
      <c r="A20" s="266" t="s">
        <v>324</v>
      </c>
      <c r="B20" s="35">
        <f ca="1">COUNTIF(OFFSET(Lekeitio_2_9a_raw!C2,0,0,D9-B9+1,1), "500")</f>
        <v>16</v>
      </c>
      <c r="C20" s="36">
        <f ca="1">(B20/H75)*100</f>
        <v>25</v>
      </c>
      <c r="D20" s="36">
        <f ca="1">SUM(J49:J52)</f>
        <v>0.48257756517701206</v>
      </c>
      <c r="E20" s="264">
        <f ca="1">1-SUM(K49:K52)</f>
        <v>0.3046875</v>
      </c>
      <c r="G20" s="267" t="s">
        <v>215</v>
      </c>
      <c r="H20">
        <f ca="1">COUNTIF(OFFSET(Lekeitio_2_9a_raw!A2,0,0,D9-B9+1,1),"107")</f>
        <v>0</v>
      </c>
      <c r="I20" s="32">
        <f ca="1">(H20/H75)*100</f>
        <v>0</v>
      </c>
      <c r="J20" s="32">
        <f ca="1">IF(H20=0,0,-1*((H20/B16)*(LN(H20/B16))))</f>
        <v>0</v>
      </c>
      <c r="K20" s="263">
        <f ca="1">IF(H20=0,0,((H20/B16)^2))</f>
        <v>0</v>
      </c>
    </row>
    <row r="21" spans="1:14" x14ac:dyDescent="0.25">
      <c r="A21" s="267" t="s">
        <v>325</v>
      </c>
      <c r="B21">
        <f ca="1">COUNTIF(OFFSET(Lekeitio_2_9a_raw!C2,0,0,D9-B9+1,1), "600")</f>
        <v>0</v>
      </c>
      <c r="C21" s="32">
        <f ca="1">(B21/H75)*100</f>
        <v>0</v>
      </c>
      <c r="D21" s="32">
        <f ca="1">SUM(J54:J57)</f>
        <v>0</v>
      </c>
      <c r="E21" s="263">
        <f ca="1">1-SUM(K54:K57)</f>
        <v>1</v>
      </c>
      <c r="G21" s="267" t="s">
        <v>216</v>
      </c>
      <c r="H21">
        <f ca="1">COUNTIF(OFFSET(Lekeitio_2_9a_raw!A2,0,0,D9-B9+1,1),"101")</f>
        <v>0</v>
      </c>
      <c r="I21" s="32">
        <f ca="1">(H21/H75)*100</f>
        <v>0</v>
      </c>
      <c r="J21" s="32">
        <f ca="1">IF(H21=0,0,-1*((H21/B16)*(LN(H21/B16))))</f>
        <v>0</v>
      </c>
      <c r="K21" s="263">
        <f ca="1">IF(H21=0,0,((H21/B16)^2))</f>
        <v>0</v>
      </c>
    </row>
    <row r="22" spans="1:14" x14ac:dyDescent="0.25">
      <c r="A22" s="266" t="s">
        <v>326</v>
      </c>
      <c r="B22" s="35">
        <f ca="1">COUNTIF(OFFSET(Lekeitio_2_9a_raw!C2,0,0,D9-B9+1,1), "700")</f>
        <v>0</v>
      </c>
      <c r="C22" s="36">
        <f ca="1">(B22/H75)*100</f>
        <v>0</v>
      </c>
      <c r="D22" s="36">
        <f ca="1">SUM(J59:J63)</f>
        <v>0</v>
      </c>
      <c r="E22" s="264">
        <f ca="1">1-SUM(K59:K63)</f>
        <v>1</v>
      </c>
      <c r="G22" s="267" t="s">
        <v>217</v>
      </c>
      <c r="H22">
        <f ca="1">COUNTIF(OFFSET(Lekeitio_2_9a_raw!A2,0,0,D9-B9+1,1),"106")</f>
        <v>0</v>
      </c>
      <c r="I22" s="32">
        <f ca="1">(H22/H75)*100</f>
        <v>0</v>
      </c>
      <c r="J22" s="32">
        <f ca="1">IF(H22=0,0,-1*((H22/B16)*(LN(H22/B16))))</f>
        <v>0</v>
      </c>
      <c r="K22" s="263">
        <f ca="1">IF(H22=0,0,((H22/B16)^2))</f>
        <v>0</v>
      </c>
    </row>
    <row r="23" spans="1:14" x14ac:dyDescent="0.25">
      <c r="A23" s="267" t="s">
        <v>327</v>
      </c>
      <c r="B23">
        <f ca="1">COUNTIF(OFFSET(Lekeitio_2_9a_raw!C2,0,0,D9-B9+1,1), "800")</f>
        <v>0</v>
      </c>
      <c r="C23" s="32">
        <f ca="1">(B23/H75)*100</f>
        <v>0</v>
      </c>
      <c r="D23" s="32">
        <f ca="1">SUM(J65:J66)</f>
        <v>0</v>
      </c>
      <c r="E23" s="263">
        <f ca="1">1-SUM(K65:K66)</f>
        <v>1</v>
      </c>
      <c r="G23" s="267" t="s">
        <v>218</v>
      </c>
      <c r="H23">
        <f ca="1">COUNTIF(OFFSET(Lekeitio_2_9a_raw!A2,0,0,D9-B9+1,1),"102")</f>
        <v>18</v>
      </c>
      <c r="I23" s="32">
        <f ca="1">(H23/H75)*100</f>
        <v>28.125</v>
      </c>
      <c r="J23" s="32">
        <f ca="1">IF(H23=0,0,-1*((H23/B16)*(LN(H23/B16))))</f>
        <v>0.31564767866456994</v>
      </c>
      <c r="K23" s="263">
        <f ca="1">IF(H23=0,0,((H23/B16)^2))</f>
        <v>0.33714880332986474</v>
      </c>
    </row>
    <row r="24" spans="1:14" x14ac:dyDescent="0.25">
      <c r="A24" s="266" t="s">
        <v>328</v>
      </c>
      <c r="B24" s="35">
        <f ca="1">COUNTIF(OFFSET(Lekeitio_2_9a_raw!C2,0,0,D9-B9+1,1), "900")</f>
        <v>3</v>
      </c>
      <c r="C24" s="36">
        <f ca="1">(B24/H75)*100</f>
        <v>4.6875</v>
      </c>
      <c r="D24" s="36">
        <f ca="1">SUM(J68:J72)</f>
        <v>0</v>
      </c>
      <c r="E24" s="264">
        <f ca="1">1-SUM(K68:K72)</f>
        <v>0</v>
      </c>
      <c r="G24" s="267" t="s">
        <v>219</v>
      </c>
      <c r="H24">
        <f ca="1">COUNTIF(OFFSET(Lekeitio_2_9a_raw!A2,0,0,D9-B9+1,1),"104")</f>
        <v>1</v>
      </c>
      <c r="I24" s="32">
        <f ca="1">(H24/H75)*100</f>
        <v>1.5625</v>
      </c>
      <c r="J24" s="32">
        <f ca="1">IF(H24=0,0,-1*((H24/B16)*(LN(H24/B16))))</f>
        <v>0.11077378078984343</v>
      </c>
      <c r="K24" s="263">
        <f ca="1">IF(H24=0,0,((H24/B16)^2))</f>
        <v>1.0405827263267429E-3</v>
      </c>
    </row>
    <row r="25" spans="1:14" x14ac:dyDescent="0.25">
      <c r="A25" s="267" t="s">
        <v>329</v>
      </c>
      <c r="B25">
        <f ca="1">COUNTIF(OFFSET(Lekeitio_2_9a_raw!C2,0,0,D9-B9+1,1), "1000")</f>
        <v>0</v>
      </c>
      <c r="C25" s="32">
        <f ca="1">(B25/H75)*100</f>
        <v>0</v>
      </c>
      <c r="D25" s="32">
        <f>SUM(J74:J74)</f>
        <v>0</v>
      </c>
      <c r="E25" s="263">
        <f ca="1">1-SUM(K74:K74)</f>
        <v>1</v>
      </c>
      <c r="G25" s="267" t="s">
        <v>220</v>
      </c>
      <c r="H25">
        <f ca="1">COUNTIF(OFFSET(Lekeitio_2_9a_raw!A2,0,0,D9-B9+1,1),"111")</f>
        <v>0</v>
      </c>
      <c r="I25" s="32">
        <f ca="1">(H25/H75)*100</f>
        <v>0</v>
      </c>
      <c r="J25" s="32">
        <f ca="1">IF(H25=0,0,-1*((H25/B16)*(LN(H25/B16))))</f>
        <v>0</v>
      </c>
      <c r="K25" s="263">
        <f ca="1">IF(H25=0,0,((H25/B16)^2))</f>
        <v>0</v>
      </c>
    </row>
    <row r="26" spans="1:14" x14ac:dyDescent="0.25">
      <c r="A26" s="268" t="s">
        <v>330</v>
      </c>
      <c r="B26" s="31">
        <f ca="1">SUM(B16:B25)</f>
        <v>64</v>
      </c>
      <c r="C26" s="37" t="e">
        <f ca="1">SUM(C16:C25)-C0</f>
        <v>#NAME?</v>
      </c>
      <c r="E26" s="260"/>
      <c r="G26" s="267" t="s">
        <v>221</v>
      </c>
      <c r="H26">
        <f ca="1">COUNTIF(OFFSET(Lekeitio_2_9a_raw!A2,0,0,D9-B9+1,1),"112")</f>
        <v>0</v>
      </c>
      <c r="I26" s="32">
        <f ca="1">(H26/H75)*100</f>
        <v>0</v>
      </c>
      <c r="J26" s="32">
        <f ca="1">IF(H26=0,0,-1*((H26/B16)*(LN(H26/B16))))</f>
        <v>0</v>
      </c>
      <c r="K26" s="263">
        <f ca="1">IF(H26=0,0,((H26/B16)^2))</f>
        <v>0</v>
      </c>
    </row>
    <row r="27" spans="1:14" x14ac:dyDescent="0.25">
      <c r="A27" s="267"/>
      <c r="E27" s="260"/>
      <c r="G27" s="267" t="s">
        <v>222</v>
      </c>
      <c r="H27">
        <f ca="1">COUNTIF(OFFSET(Lekeitio_2_9a_raw!A2,0,0,D9-B9+1,1),"113")</f>
        <v>0</v>
      </c>
      <c r="I27" s="32">
        <f ca="1">(H27/H75)*100</f>
        <v>0</v>
      </c>
      <c r="J27" s="32">
        <f ca="1">IF(H27=0,0,-1*((H27/B16)*(LN(H27/B16))))</f>
        <v>0</v>
      </c>
      <c r="K27" s="263">
        <f ca="1">IF(H27=0,0,((H27/B16)^2))</f>
        <v>0</v>
      </c>
    </row>
    <row r="28" spans="1:14" x14ac:dyDescent="0.25">
      <c r="A28" s="268" t="s">
        <v>331</v>
      </c>
      <c r="E28" s="260"/>
      <c r="G28" s="267" t="s">
        <v>223</v>
      </c>
      <c r="H28">
        <f ca="1">COUNTIF(OFFSET(Lekeitio_2_9a_raw!A2,0,0,D9-B9+1,1),"114")</f>
        <v>0</v>
      </c>
      <c r="I28" s="32">
        <f ca="1">(H28/H75)*100</f>
        <v>0</v>
      </c>
      <c r="J28" s="32">
        <f ca="1">IF(H28=0,0,-1*((H28/B16)*(LN(H28/B16))))</f>
        <v>0</v>
      </c>
      <c r="K28" s="263">
        <f ca="1">IF(H28=0,0,((H28/B16)^2))</f>
        <v>0</v>
      </c>
    </row>
    <row r="29" spans="1:14" ht="15.75" thickBot="1" x14ac:dyDescent="0.3">
      <c r="A29" s="269" t="s">
        <v>332</v>
      </c>
      <c r="B29" s="40"/>
      <c r="C29" s="40"/>
      <c r="D29" s="40"/>
      <c r="E29" s="261"/>
      <c r="G29" s="267" t="s">
        <v>224</v>
      </c>
      <c r="H29">
        <f ca="1">COUNTIF(OFFSET(Lekeitio_2_9a_raw!A2,0,0,D9-B9+1,1),"115")</f>
        <v>0</v>
      </c>
      <c r="I29" s="32">
        <f ca="1">(H29/H75)*100</f>
        <v>0</v>
      </c>
      <c r="J29" s="32">
        <f ca="1">IF(H29=0,0,-1*((H29/B16)*(LN(H29/B16))))</f>
        <v>0</v>
      </c>
      <c r="K29" s="263">
        <f ca="1">IF(H29=0,0,((H29/B16)^2))</f>
        <v>0</v>
      </c>
    </row>
    <row r="30" spans="1:14" ht="15.75" thickTop="1" x14ac:dyDescent="0.25">
      <c r="G30" s="267" t="s">
        <v>225</v>
      </c>
      <c r="H30">
        <f ca="1">COUNTIF(OFFSET(Lekeitio_2_9a_raw!A2,0,0,D9-B9+1,1),"116")</f>
        <v>0</v>
      </c>
      <c r="I30" s="32">
        <f ca="1">(H30/H75)*100</f>
        <v>0</v>
      </c>
      <c r="J30" s="32">
        <f ca="1">IF(H30=0,0,-1*((H30/B16)*(LN(H30/B16))))</f>
        <v>0</v>
      </c>
      <c r="K30" s="263">
        <f ca="1">IF(H30=0,0,((H30/B16)^2))</f>
        <v>0</v>
      </c>
    </row>
    <row r="31" spans="1:14" x14ac:dyDescent="0.25">
      <c r="G31" s="267" t="s">
        <v>226</v>
      </c>
      <c r="H31">
        <f ca="1">COUNTIF(OFFSET(Lekeitio_2_9a_raw!A2,0,0,D9-B9+1,1),"117")</f>
        <v>0</v>
      </c>
      <c r="I31" s="32">
        <f ca="1">(H31/H75)*100</f>
        <v>0</v>
      </c>
      <c r="J31" s="32">
        <f ca="1">IF(H31=0,0,-1*((H31/B16)*(LN(H31/B16))))</f>
        <v>0</v>
      </c>
      <c r="K31" s="263">
        <f ca="1">IF(H31=0,0,((H31/B16)^2))</f>
        <v>0</v>
      </c>
    </row>
    <row r="32" spans="1:14" x14ac:dyDescent="0.25">
      <c r="G32" s="267" t="s">
        <v>227</v>
      </c>
      <c r="H32">
        <f ca="1">COUNTIF(OFFSET(Lekeitio_2_9a_raw!A2,0,0,D9-B9+1,1),"118")</f>
        <v>0</v>
      </c>
      <c r="I32" s="32">
        <f ca="1">(H32/H75)*100</f>
        <v>0</v>
      </c>
      <c r="J32" s="32">
        <f ca="1">IF(H32=0,0,-1*((H32/B16)*(LN(H32/B16))))</f>
        <v>0</v>
      </c>
      <c r="K32" s="263">
        <f ca="1">IF(H32=0,0,((H32/B16)^2))</f>
        <v>0</v>
      </c>
    </row>
    <row r="33" spans="7:11" x14ac:dyDescent="0.25">
      <c r="G33" s="267" t="s">
        <v>228</v>
      </c>
      <c r="H33">
        <f ca="1">COUNTIF(OFFSET(Lekeitio_2_9a_raw!A2,0,0,D9-B9+1,1),"109")</f>
        <v>12</v>
      </c>
      <c r="I33" s="32">
        <f ca="1">(H33/H75)*100</f>
        <v>18.75</v>
      </c>
      <c r="J33" s="32">
        <f ca="1">IF(H33=0,0,-1*((H33/B16)*(LN(H33/B16))))</f>
        <v>0.36738602117308872</v>
      </c>
      <c r="K33" s="263">
        <f ca="1">IF(H33=0,0,((H33/B16)^2))</f>
        <v>0.14984391259105098</v>
      </c>
    </row>
    <row r="34" spans="7:11" x14ac:dyDescent="0.25">
      <c r="G34" s="267" t="s">
        <v>229</v>
      </c>
      <c r="H34">
        <f ca="1">COUNTIF(OFFSET(Lekeitio_2_9a_raw!A2,0,0,D9-B9+1,1),"110")</f>
        <v>0</v>
      </c>
      <c r="I34" s="32">
        <f ca="1">(H34/H75)*100</f>
        <v>0</v>
      </c>
      <c r="J34" s="32">
        <f ca="1">IF(H34=0,0,-1*((H34/B16)*(LN(H34/B16))))</f>
        <v>0</v>
      </c>
      <c r="K34" s="263">
        <f ca="1">IF(H34=0,0,((H34/B16)^2))</f>
        <v>0</v>
      </c>
    </row>
    <row r="35" spans="7:11" x14ac:dyDescent="0.25">
      <c r="G35" s="268" t="s">
        <v>201</v>
      </c>
      <c r="K35" s="260"/>
    </row>
    <row r="36" spans="7:11" x14ac:dyDescent="0.25">
      <c r="G36" s="267" t="s">
        <v>230</v>
      </c>
      <c r="H36">
        <f ca="1">COUNTIF(OFFSET(Lekeitio_2_9a_raw!A2,0,0,D9-B9+1,1),"202")</f>
        <v>0</v>
      </c>
      <c r="I36" s="32">
        <f ca="1">(H36/H75)*100</f>
        <v>0</v>
      </c>
      <c r="J36" s="32">
        <f ca="1">IF(H36=0,0,-1*((H36/B17)*(LN(H36/B17))))</f>
        <v>0</v>
      </c>
      <c r="K36" s="263">
        <f ca="1">IF(H36=0,0,((H36/B17)^2))</f>
        <v>0</v>
      </c>
    </row>
    <row r="37" spans="7:11" x14ac:dyDescent="0.25">
      <c r="G37" s="267" t="s">
        <v>231</v>
      </c>
      <c r="H37">
        <f ca="1">COUNTIF(OFFSET(Lekeitio_2_9a_raw!A2,0,0,D9-B9+1,1),"201")</f>
        <v>0</v>
      </c>
      <c r="I37" s="32">
        <f ca="1">(H37/H75)*100</f>
        <v>0</v>
      </c>
      <c r="J37" s="32">
        <f ca="1">IF(H37=0,0,-1*((H37/B17)*(LN(H37/B17))))</f>
        <v>0</v>
      </c>
      <c r="K37" s="263">
        <f ca="1">IF(H37=0,0,((H37/B17)^2))</f>
        <v>0</v>
      </c>
    </row>
    <row r="38" spans="7:11" x14ac:dyDescent="0.25">
      <c r="G38" s="268" t="s">
        <v>202</v>
      </c>
      <c r="K38" s="260"/>
    </row>
    <row r="39" spans="7:11" x14ac:dyDescent="0.25">
      <c r="G39" s="267" t="s">
        <v>232</v>
      </c>
      <c r="H39">
        <f ca="1">COUNTIF(OFFSET(Lekeitio_2_9a_raw!A2,0,0,D9-B9+1,1),"306")</f>
        <v>0</v>
      </c>
      <c r="I39" s="32">
        <f ca="1">(H39/H75)*100</f>
        <v>0</v>
      </c>
      <c r="J39" s="32">
        <f ca="1">IF(H39=0,0,-1*((H39/B18)*(LN(H39/B18))))</f>
        <v>0</v>
      </c>
      <c r="K39" s="263">
        <f ca="1">IF(H39=0,0,((H39/B18)^2))</f>
        <v>0</v>
      </c>
    </row>
    <row r="40" spans="7:11" x14ac:dyDescent="0.25">
      <c r="G40" s="267" t="s">
        <v>233</v>
      </c>
      <c r="H40">
        <f ca="1">COUNTIF(OFFSET(Lekeitio_2_9a_raw!A2,0,0,D9-B9+1,1),"302")</f>
        <v>0</v>
      </c>
      <c r="I40" s="32">
        <f ca="1">(H40/H75)*100</f>
        <v>0</v>
      </c>
      <c r="J40" s="32">
        <f ca="1">IF(H40=0,0,-1*((H40/B18)*(LN(H40/B18))))</f>
        <v>0</v>
      </c>
      <c r="K40" s="263">
        <f ca="1">IF(H40=0,0,((H40/B18)^2))</f>
        <v>0</v>
      </c>
    </row>
    <row r="41" spans="7:11" x14ac:dyDescent="0.25">
      <c r="G41" s="267" t="s">
        <v>234</v>
      </c>
      <c r="H41">
        <f ca="1">COUNTIF(OFFSET(Lekeitio_2_9a_raw!A2,0,0,D9-B9+1,1),"307")</f>
        <v>0</v>
      </c>
      <c r="I41" s="32">
        <f ca="1">(H41/H75)*100</f>
        <v>0</v>
      </c>
      <c r="J41" s="32">
        <f ca="1">IF(H41=0,0,-1*((H41/B18)*(LN(H41/B18))))</f>
        <v>0</v>
      </c>
      <c r="K41" s="263">
        <f ca="1">IF(H41=0,0,((H41/B18)^2))</f>
        <v>0</v>
      </c>
    </row>
    <row r="42" spans="7:11" x14ac:dyDescent="0.25">
      <c r="G42" s="267" t="s">
        <v>235</v>
      </c>
      <c r="H42">
        <f ca="1">COUNTIF(OFFSET(Lekeitio_2_9a_raw!A2,0,0,D9-B9+1,1),"303")</f>
        <v>14</v>
      </c>
      <c r="I42" s="32">
        <f ca="1">(H42/H75)*100</f>
        <v>21.875</v>
      </c>
      <c r="J42" s="32">
        <f ca="1">IF(H42=0,0,-1*((H42/B18)*(LN(H42/B18))))</f>
        <v>0</v>
      </c>
      <c r="K42" s="263">
        <f ca="1">IF(H42=0,0,((H42/B18)^2))</f>
        <v>1</v>
      </c>
    </row>
    <row r="43" spans="7:11" x14ac:dyDescent="0.25">
      <c r="G43" s="267" t="s">
        <v>236</v>
      </c>
      <c r="H43">
        <f ca="1">COUNTIF(OFFSET(Lekeitio_2_9a_raw!A2,0,0,D9-B9+1,1),"304")</f>
        <v>0</v>
      </c>
      <c r="I43" s="32">
        <f ca="1">(H43/H75)*100</f>
        <v>0</v>
      </c>
      <c r="J43" s="32">
        <f ca="1">IF(H43=0,0,-1*((H43/B18)*(LN(H43/B18))))</f>
        <v>0</v>
      </c>
      <c r="K43" s="263">
        <f ca="1">IF(H43=0,0,((H43/B18)^2))</f>
        <v>0</v>
      </c>
    </row>
    <row r="44" spans="7:11" x14ac:dyDescent="0.25">
      <c r="G44" s="267" t="s">
        <v>237</v>
      </c>
      <c r="H44">
        <f ca="1">COUNTIF(OFFSET(Lekeitio_2_9a_raw!A2,0,0,D9-B9+1,1),"305")</f>
        <v>0</v>
      </c>
      <c r="I44" s="32">
        <f ca="1">(H44/H75)*100</f>
        <v>0</v>
      </c>
      <c r="J44" s="32">
        <f ca="1">IF(H44=0,0,-1*((H44/B18)*(LN(H44/B18))))</f>
        <v>0</v>
      </c>
      <c r="K44" s="263">
        <f ca="1">IF(H44=0,0,((H44/B18)^2))</f>
        <v>0</v>
      </c>
    </row>
    <row r="45" spans="7:11" x14ac:dyDescent="0.25">
      <c r="G45" s="268" t="s">
        <v>203</v>
      </c>
      <c r="K45" s="260"/>
    </row>
    <row r="46" spans="7:11" x14ac:dyDescent="0.25">
      <c r="G46" s="267" t="s">
        <v>238</v>
      </c>
      <c r="H46">
        <f ca="1">COUNTIF(OFFSET(Lekeitio_2_9a_raw!A2,0,0,D9-B9+1,1),"401")</f>
        <v>0</v>
      </c>
      <c r="I46" s="32">
        <f ca="1">(H46/H75)*100</f>
        <v>0</v>
      </c>
      <c r="J46" s="32">
        <f ca="1">IF(H46=0,0,-1*((H46/B19)*(LN(H46/B19))))</f>
        <v>0</v>
      </c>
      <c r="K46" s="263">
        <f ca="1">IF(H46=0,0,((H46/B19)^2))</f>
        <v>0</v>
      </c>
    </row>
    <row r="47" spans="7:11" x14ac:dyDescent="0.25">
      <c r="G47" s="267" t="s">
        <v>239</v>
      </c>
      <c r="H47">
        <f ca="1">COUNTIF(OFFSET(Lekeitio_2_9a_raw!A2,0,0,D9-B9+1,1),"402")</f>
        <v>0</v>
      </c>
      <c r="I47" s="32">
        <f ca="1">(H47/H75)*100</f>
        <v>0</v>
      </c>
      <c r="J47" s="32">
        <f ca="1">IF(H47=0,0,-1*((H47/B19)*(LN(H47/B19))))</f>
        <v>0</v>
      </c>
      <c r="K47" s="263">
        <f ca="1">IF(H47=0,0,((H47/B19)^2))</f>
        <v>0</v>
      </c>
    </row>
    <row r="48" spans="7:11" x14ac:dyDescent="0.25">
      <c r="G48" s="268" t="s">
        <v>204</v>
      </c>
      <c r="K48" s="260"/>
    </row>
    <row r="49" spans="7:11" x14ac:dyDescent="0.25">
      <c r="G49" s="267" t="s">
        <v>240</v>
      </c>
      <c r="H49">
        <f ca="1">COUNTIF(OFFSET(Lekeitio_2_9a_raw!A2,0,0,D9-B9+1,1),"501")</f>
        <v>13</v>
      </c>
      <c r="I49" s="32">
        <f ca="1">(H49/H75)*100</f>
        <v>20.3125</v>
      </c>
      <c r="J49" s="32">
        <f ca="1">IF(H49=0,0,-1*((H49/B20)*(LN(H49/B20))))</f>
        <v>0.16870698388232364</v>
      </c>
      <c r="K49" s="263">
        <f ca="1">IF(H49=0,0,((H49/B20)^2))</f>
        <v>0.66015625</v>
      </c>
    </row>
    <row r="50" spans="7:11" x14ac:dyDescent="0.25">
      <c r="G50" s="267" t="s">
        <v>241</v>
      </c>
      <c r="H50">
        <f ca="1">COUNTIF(OFFSET(Lekeitio_2_9a_raw!A2,0,0,D9-B9+1,1),"502")</f>
        <v>3</v>
      </c>
      <c r="I50" s="32">
        <f ca="1">(H50/H75)*100</f>
        <v>4.6875</v>
      </c>
      <c r="J50" s="32">
        <f ca="1">IF(H50=0,0,-1*((H50/B20)*(LN(H50/B20))))</f>
        <v>0.31387058129468842</v>
      </c>
      <c r="K50" s="263">
        <f ca="1">IF(H50=0,0,((H50/B20)^2))</f>
        <v>3.515625E-2</v>
      </c>
    </row>
    <row r="51" spans="7:11" x14ac:dyDescent="0.25">
      <c r="G51" s="267" t="s">
        <v>242</v>
      </c>
      <c r="H51">
        <f ca="1">COUNTIF(OFFSET(Lekeitio_2_9a_raw!A2,0,0,D9-B9+1,1),"503")</f>
        <v>0</v>
      </c>
      <c r="I51" s="32">
        <f ca="1">(H51/H75)*100</f>
        <v>0</v>
      </c>
      <c r="J51" s="32">
        <f ca="1">IF(H51=0,0,-1*((H51/B20)*(LN(H51/B20))))</f>
        <v>0</v>
      </c>
      <c r="K51" s="263">
        <f ca="1">IF(H51=0,0,((H51/B20)^2))</f>
        <v>0</v>
      </c>
    </row>
    <row r="52" spans="7:11" x14ac:dyDescent="0.25">
      <c r="G52" s="267" t="s">
        <v>243</v>
      </c>
      <c r="H52">
        <f ca="1">COUNTIF(OFFSET(Lekeitio_2_9a_raw!A2,0,0,D9-B9+1,1),"504")</f>
        <v>0</v>
      </c>
      <c r="I52" s="32">
        <f ca="1">(H52/H75)*100</f>
        <v>0</v>
      </c>
      <c r="J52" s="32">
        <f ca="1">IF(H52=0,0,-1*((H52/B20)*(LN(H52/B20))))</f>
        <v>0</v>
      </c>
      <c r="K52" s="263">
        <f ca="1">IF(H52=0,0,((H52/B20)^2))</f>
        <v>0</v>
      </c>
    </row>
    <row r="53" spans="7:11" x14ac:dyDescent="0.25">
      <c r="G53" s="268" t="s">
        <v>205</v>
      </c>
      <c r="K53" s="260"/>
    </row>
    <row r="54" spans="7:11" x14ac:dyDescent="0.25">
      <c r="G54" s="267" t="s">
        <v>244</v>
      </c>
      <c r="H54">
        <f ca="1">COUNTIF(OFFSET(Lekeitio_2_9a_raw!A2,0,0,D9-B9+1,1),"601")</f>
        <v>0</v>
      </c>
      <c r="I54" s="32">
        <f ca="1">(H54/H75)*100</f>
        <v>0</v>
      </c>
      <c r="J54" s="32">
        <f ca="1">IF(H54=0,0,-1*((H54/B21)*(LN(H54/B21))))</f>
        <v>0</v>
      </c>
      <c r="K54" s="263">
        <f ca="1">IF(H54=0,0,((H54/B21)^2))</f>
        <v>0</v>
      </c>
    </row>
    <row r="55" spans="7:11" x14ac:dyDescent="0.25">
      <c r="G55" s="267" t="s">
        <v>245</v>
      </c>
      <c r="H55">
        <f ca="1">COUNTIF(OFFSET(Lekeitio_2_9a_raw!A2,0,0,D9-B9+1,1),"602")</f>
        <v>0</v>
      </c>
      <c r="I55" s="32">
        <f ca="1">(H55/H75)*100</f>
        <v>0</v>
      </c>
      <c r="J55" s="32">
        <f ca="1">IF(H55=0,0,-1*((H55/B21)*(LN(H55/B21))))</f>
        <v>0</v>
      </c>
      <c r="K55" s="263">
        <f ca="1">IF(H55=0,0,((H55/B21)^2))</f>
        <v>0</v>
      </c>
    </row>
    <row r="56" spans="7:11" x14ac:dyDescent="0.25">
      <c r="G56" s="267" t="s">
        <v>246</v>
      </c>
      <c r="H56">
        <f ca="1">COUNTIF(OFFSET(Lekeitio_2_9a_raw!A2,0,0,D9-B9+1,1),"603")</f>
        <v>0</v>
      </c>
      <c r="I56" s="32">
        <f ca="1">(H56/H75)*100</f>
        <v>0</v>
      </c>
      <c r="J56" s="32">
        <f ca="1">IF(H56=0,0,-1*((H56/B21)*(LN(H56/B21))))</f>
        <v>0</v>
      </c>
      <c r="K56" s="263">
        <f ca="1">IF(H56=0,0,((H56/B21)^2))</f>
        <v>0</v>
      </c>
    </row>
    <row r="57" spans="7:11" x14ac:dyDescent="0.25">
      <c r="G57" s="267" t="s">
        <v>247</v>
      </c>
      <c r="H57">
        <f ca="1">COUNTIF(OFFSET(Lekeitio_2_9a_raw!A2,0,0,D9-B9+1,1),"604")</f>
        <v>0</v>
      </c>
      <c r="I57" s="32">
        <f ca="1">(H57/H75)*100</f>
        <v>0</v>
      </c>
      <c r="J57" s="32">
        <f ca="1">IF(H57=0,0,-1*((H57/B21)*(LN(H57/B21))))</f>
        <v>0</v>
      </c>
      <c r="K57" s="263">
        <f ca="1">IF(H57=0,0,((H57/B21)^2))</f>
        <v>0</v>
      </c>
    </row>
    <row r="58" spans="7:11" x14ac:dyDescent="0.25">
      <c r="G58" s="268" t="s">
        <v>206</v>
      </c>
      <c r="K58" s="260"/>
    </row>
    <row r="59" spans="7:11" x14ac:dyDescent="0.25">
      <c r="G59" s="267" t="s">
        <v>248</v>
      </c>
      <c r="H59">
        <f ca="1">COUNTIF(OFFSET(Lekeitio_2_9a_raw!A2,0,0,D9-B9+1,1),"701")</f>
        <v>0</v>
      </c>
      <c r="I59" s="32">
        <f ca="1">(H59/H75)*100</f>
        <v>0</v>
      </c>
      <c r="J59" s="32">
        <f ca="1">IF(H59=0,0,-1*((H59/B22)*(LN(H59/B22))))</f>
        <v>0</v>
      </c>
      <c r="K59" s="263">
        <f ca="1">IF(H59=0,0,((H59/B22)^2))</f>
        <v>0</v>
      </c>
    </row>
    <row r="60" spans="7:11" x14ac:dyDescent="0.25">
      <c r="G60" s="267" t="s">
        <v>249</v>
      </c>
      <c r="H60">
        <f ca="1">COUNTIF(OFFSET(Lekeitio_2_9a_raw!A2,0,0,D9-B9+1,1),"702")</f>
        <v>0</v>
      </c>
      <c r="I60" s="32">
        <f ca="1">(H60/H75)*100</f>
        <v>0</v>
      </c>
      <c r="J60" s="32">
        <f ca="1">IF(H60=0,0,-1*((H60/B22)*(LN(H60/B22))))</f>
        <v>0</v>
      </c>
      <c r="K60" s="263">
        <f ca="1">IF(H60=0,0,((H60/B22)^2))</f>
        <v>0</v>
      </c>
    </row>
    <row r="61" spans="7:11" x14ac:dyDescent="0.25">
      <c r="G61" s="267" t="s">
        <v>250</v>
      </c>
      <c r="H61">
        <f ca="1">COUNTIF(OFFSET(Lekeitio_2_9a_raw!A2,0,0,D9-B9+1,1),"703")</f>
        <v>0</v>
      </c>
      <c r="I61" s="32">
        <f ca="1">(H61/H75)*100</f>
        <v>0</v>
      </c>
      <c r="J61" s="32">
        <f ca="1">IF(H61=0,0,-1*((H61/B22)*(LN(H61/B22))))</f>
        <v>0</v>
      </c>
      <c r="K61" s="263">
        <f ca="1">IF(H61=0,0,((H61/B22)^2))</f>
        <v>0</v>
      </c>
    </row>
    <row r="62" spans="7:11" x14ac:dyDescent="0.25">
      <c r="G62" s="267" t="s">
        <v>251</v>
      </c>
      <c r="H62">
        <f ca="1">COUNTIF(OFFSET(Lekeitio_2_9a_raw!A2,0,0,D9-B9+1,1),"705")</f>
        <v>0</v>
      </c>
      <c r="I62" s="32">
        <f ca="1">(H62/H75)*100</f>
        <v>0</v>
      </c>
      <c r="J62" s="32">
        <f ca="1">IF(H62=0,0,-1*((H62/B22)*(LN(H62/B22))))</f>
        <v>0</v>
      </c>
      <c r="K62" s="263">
        <f ca="1">IF(H62=0,0,((H62/B22)^2))</f>
        <v>0</v>
      </c>
    </row>
    <row r="63" spans="7:11" x14ac:dyDescent="0.25">
      <c r="G63" s="267" t="s">
        <v>252</v>
      </c>
      <c r="H63">
        <f ca="1">COUNTIF(OFFSET(Lekeitio_2_9a_raw!A2,0,0,D9-B9+1,1),"704")</f>
        <v>0</v>
      </c>
      <c r="I63" s="32">
        <f ca="1">(H63/H75)*100</f>
        <v>0</v>
      </c>
      <c r="J63" s="32">
        <f ca="1">IF(H63=0,0,-1*((H63/B22)*(LN(H63/B22))))</f>
        <v>0</v>
      </c>
      <c r="K63" s="263">
        <f ca="1">IF(H63=0,0,((H63/B22)^2))</f>
        <v>0</v>
      </c>
    </row>
    <row r="64" spans="7:11" x14ac:dyDescent="0.25">
      <c r="G64" s="268" t="s">
        <v>207</v>
      </c>
      <c r="K64" s="260"/>
    </row>
    <row r="65" spans="7:11" x14ac:dyDescent="0.25">
      <c r="G65" s="267" t="s">
        <v>253</v>
      </c>
      <c r="H65">
        <f ca="1">COUNTIF(OFFSET(Lekeitio_2_9a_raw!A2,0,0,D9-B9+1,1),"801")</f>
        <v>0</v>
      </c>
      <c r="I65" s="32">
        <f ca="1">(H65/H75)*100</f>
        <v>0</v>
      </c>
      <c r="J65" s="32">
        <f ca="1">IF(H65=0,0,-1*((H65/B23)*(LN(H65/B23))))</f>
        <v>0</v>
      </c>
      <c r="K65" s="263">
        <f ca="1">IF(H65=0,0,((H65/B23)^2))</f>
        <v>0</v>
      </c>
    </row>
    <row r="66" spans="7:11" x14ac:dyDescent="0.25">
      <c r="G66" s="267" t="s">
        <v>254</v>
      </c>
      <c r="H66">
        <f ca="1">COUNTIF(OFFSET(Lekeitio_2_9a_raw!A2,0,0,D9-B9+1,1),"802")</f>
        <v>0</v>
      </c>
      <c r="I66" s="32">
        <f ca="1">(H66/H75)*100</f>
        <v>0</v>
      </c>
      <c r="J66" s="32">
        <f ca="1">IF(H66=0,0,-1*((H66/B23)*(LN(H66/B23))))</f>
        <v>0</v>
      </c>
      <c r="K66" s="263">
        <f ca="1">IF(H66=0,0,((H66/B23)^2))</f>
        <v>0</v>
      </c>
    </row>
    <row r="67" spans="7:11" x14ac:dyDescent="0.25">
      <c r="G67" s="268" t="s">
        <v>208</v>
      </c>
      <c r="K67" s="260"/>
    </row>
    <row r="68" spans="7:11" x14ac:dyDescent="0.25">
      <c r="G68" s="267" t="s">
        <v>255</v>
      </c>
      <c r="H68">
        <f ca="1">COUNTIF(OFFSET(Lekeitio_2_9a_raw!A2,0,0,D9-B9+1,1),"901")</f>
        <v>0</v>
      </c>
      <c r="I68" s="32">
        <f ca="1">(H68/H75)*100</f>
        <v>0</v>
      </c>
      <c r="J68" s="32">
        <f ca="1">IF(H68=0,0,-1*((H68/B24)*(LN(H68/B24))))</f>
        <v>0</v>
      </c>
      <c r="K68" s="263">
        <f ca="1">IF(H68=0,0,((H68/B24)^2))</f>
        <v>0</v>
      </c>
    </row>
    <row r="69" spans="7:11" x14ac:dyDescent="0.25">
      <c r="G69" s="267" t="s">
        <v>256</v>
      </c>
      <c r="H69">
        <f ca="1">COUNTIF(OFFSET(Lekeitio_2_9a_raw!A2,0,0,D9-B9+1,1),"902")</f>
        <v>0</v>
      </c>
      <c r="I69" s="32">
        <f ca="1">(H69/H75)*100</f>
        <v>0</v>
      </c>
      <c r="J69" s="32">
        <f ca="1">IF(H69=0,0,-1*((H69/B24)*(LN(H69/B24))))</f>
        <v>0</v>
      </c>
      <c r="K69" s="263">
        <f ca="1">IF(H69=0,0,((H69/B24)^2))</f>
        <v>0</v>
      </c>
    </row>
    <row r="70" spans="7:11" x14ac:dyDescent="0.25">
      <c r="G70" s="267" t="s">
        <v>257</v>
      </c>
      <c r="H70">
        <f ca="1">COUNTIF(OFFSET(Lekeitio_2_9a_raw!A2,0,0,D9-B9+1,1),"904")</f>
        <v>0</v>
      </c>
      <c r="I70" s="32">
        <f ca="1">(H70/H75)*100</f>
        <v>0</v>
      </c>
      <c r="J70" s="32">
        <f ca="1">IF(H70=0,0,-1*((H70/B24)*(LN(H70/B24))))</f>
        <v>0</v>
      </c>
      <c r="K70" s="263">
        <f ca="1">IF(H70=0,0,((H70/B24)^2))</f>
        <v>0</v>
      </c>
    </row>
    <row r="71" spans="7:11" x14ac:dyDescent="0.25">
      <c r="G71" s="267" t="s">
        <v>258</v>
      </c>
      <c r="H71">
        <f ca="1">COUNTIF(OFFSET(Lekeitio_2_9a_raw!A2,0,0,D9-B9+1,1),"905")</f>
        <v>0</v>
      </c>
      <c r="I71" s="32">
        <f ca="1">(H71/H75)*100</f>
        <v>0</v>
      </c>
      <c r="J71" s="32">
        <f ca="1">IF(H71=0,0,-1*((H71/B24)*(LN(H71/B24))))</f>
        <v>0</v>
      </c>
      <c r="K71" s="263">
        <f ca="1">IF(H71=0,0,((H71/B24)^2))</f>
        <v>0</v>
      </c>
    </row>
    <row r="72" spans="7:11" x14ac:dyDescent="0.25">
      <c r="G72" s="267" t="s">
        <v>259</v>
      </c>
      <c r="H72">
        <f ca="1">COUNTIF(OFFSET(Lekeitio_2_9a_raw!A2,0,0,D9-B9+1,1),"903")</f>
        <v>3</v>
      </c>
      <c r="I72" s="32">
        <f ca="1">(H72/H75)*100</f>
        <v>4.6875</v>
      </c>
      <c r="J72" s="32">
        <f ca="1">IF(H72=0,0,-1*((H72/B24)*(LN(H72/B24))))</f>
        <v>0</v>
      </c>
      <c r="K72" s="263">
        <f ca="1">IF(H72=0,0,((H72/B24)^2))</f>
        <v>1</v>
      </c>
    </row>
    <row r="73" spans="7:11" x14ac:dyDescent="0.25">
      <c r="G73" s="268" t="s">
        <v>209</v>
      </c>
      <c r="K73" s="260"/>
    </row>
    <row r="74" spans="7:11" x14ac:dyDescent="0.25">
      <c r="G74" s="267" t="s">
        <v>260</v>
      </c>
      <c r="H74">
        <f ca="1">COUNTIF(OFFSET(Lekeitio_2_9a_raw!A2,0,0,D9-B9+1,1),"1001")</f>
        <v>0</v>
      </c>
      <c r="I74" s="32">
        <f ca="1">(H74/SUM(H15:H74))*100</f>
        <v>0</v>
      </c>
      <c r="J74" s="32"/>
      <c r="K74" s="263">
        <f ca="1">IF(H74=0,0,((H74/B25)^2))</f>
        <v>0</v>
      </c>
    </row>
    <row r="75" spans="7:11" ht="15.75" thickBot="1" x14ac:dyDescent="0.3">
      <c r="G75" s="270" t="s">
        <v>285</v>
      </c>
      <c r="H75" s="51">
        <f ca="1">SUM(H16:H74)</f>
        <v>64</v>
      </c>
      <c r="I75" s="51">
        <f ca="1">SUM(I16:I74)</f>
        <v>100</v>
      </c>
      <c r="J75" s="40"/>
      <c r="K75" s="261"/>
    </row>
    <row r="76" spans="7:11" ht="15.75" thickTop="1" x14ac:dyDescent="0.25"/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140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28515625" bestFit="1" customWidth="1"/>
    <col min="30" max="30" width="43.42578125" bestFit="1" customWidth="1"/>
    <col min="32" max="32" width="7.140625" bestFit="1" customWidth="1"/>
    <col min="33" max="33" width="7.7109375" bestFit="1" customWidth="1"/>
    <col min="34" max="34" width="17.140625" bestFit="1" customWidth="1"/>
    <col min="35" max="35" width="7.85546875" bestFit="1" customWidth="1"/>
    <col min="36" max="36" width="11.85546875" bestFit="1" customWidth="1"/>
    <col min="37" max="37" width="14.570312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336</v>
      </c>
      <c r="AC2" t="s">
        <v>338</v>
      </c>
      <c r="AD2" t="s">
        <v>337</v>
      </c>
      <c r="AE2">
        <v>64</v>
      </c>
      <c r="AF2">
        <v>1</v>
      </c>
      <c r="AH2" t="s">
        <v>358</v>
      </c>
      <c r="AJ2">
        <v>1001</v>
      </c>
      <c r="AK2" t="s">
        <v>209</v>
      </c>
      <c r="AM2">
        <v>853</v>
      </c>
      <c r="AN2">
        <v>463</v>
      </c>
    </row>
    <row r="3" spans="1:40" x14ac:dyDescent="0.25">
      <c r="B3" t="s">
        <v>333</v>
      </c>
      <c r="C3" t="s">
        <v>334</v>
      </c>
      <c r="D3" t="s">
        <v>335</v>
      </c>
      <c r="H3" t="s">
        <v>336</v>
      </c>
      <c r="AC3" t="s">
        <v>338</v>
      </c>
      <c r="AD3" t="s">
        <v>337</v>
      </c>
      <c r="AE3">
        <v>64</v>
      </c>
      <c r="AF3">
        <v>2</v>
      </c>
      <c r="AH3" t="s">
        <v>358</v>
      </c>
      <c r="AJ3">
        <v>1001</v>
      </c>
      <c r="AK3" t="s">
        <v>209</v>
      </c>
      <c r="AM3">
        <v>1058</v>
      </c>
      <c r="AN3">
        <v>463</v>
      </c>
    </row>
    <row r="4" spans="1:40" x14ac:dyDescent="0.25">
      <c r="B4" t="s">
        <v>333</v>
      </c>
      <c r="C4" t="s">
        <v>334</v>
      </c>
      <c r="D4" t="s">
        <v>335</v>
      </c>
      <c r="H4" t="s">
        <v>336</v>
      </c>
      <c r="AC4" t="s">
        <v>338</v>
      </c>
      <c r="AD4" t="s">
        <v>337</v>
      </c>
      <c r="AE4">
        <v>64</v>
      </c>
      <c r="AF4">
        <v>3</v>
      </c>
      <c r="AH4" t="s">
        <v>358</v>
      </c>
      <c r="AJ4">
        <v>1001</v>
      </c>
      <c r="AK4" t="s">
        <v>209</v>
      </c>
      <c r="AM4">
        <v>1262</v>
      </c>
      <c r="AN4">
        <v>463</v>
      </c>
    </row>
    <row r="5" spans="1:40" x14ac:dyDescent="0.25">
      <c r="B5" t="s">
        <v>333</v>
      </c>
      <c r="C5" t="s">
        <v>334</v>
      </c>
      <c r="D5" t="s">
        <v>335</v>
      </c>
      <c r="H5" t="s">
        <v>336</v>
      </c>
      <c r="AC5" t="s">
        <v>338</v>
      </c>
      <c r="AD5" t="s">
        <v>337</v>
      </c>
      <c r="AE5">
        <v>64</v>
      </c>
      <c r="AF5">
        <v>4</v>
      </c>
      <c r="AH5" t="s">
        <v>358</v>
      </c>
      <c r="AJ5">
        <v>1001</v>
      </c>
      <c r="AK5" t="s">
        <v>209</v>
      </c>
      <c r="AM5">
        <v>1466</v>
      </c>
      <c r="AN5">
        <v>463</v>
      </c>
    </row>
    <row r="6" spans="1:40" x14ac:dyDescent="0.25">
      <c r="B6" t="s">
        <v>333</v>
      </c>
      <c r="C6" t="s">
        <v>334</v>
      </c>
      <c r="D6" t="s">
        <v>335</v>
      </c>
      <c r="H6" t="s">
        <v>336</v>
      </c>
      <c r="AC6" t="s">
        <v>338</v>
      </c>
      <c r="AD6" t="s">
        <v>337</v>
      </c>
      <c r="AE6">
        <v>64</v>
      </c>
      <c r="AF6">
        <v>5</v>
      </c>
      <c r="AH6" t="s">
        <v>358</v>
      </c>
      <c r="AJ6">
        <v>1001</v>
      </c>
      <c r="AK6" t="s">
        <v>209</v>
      </c>
      <c r="AM6">
        <v>1671</v>
      </c>
      <c r="AN6">
        <v>463</v>
      </c>
    </row>
    <row r="7" spans="1:40" x14ac:dyDescent="0.25">
      <c r="B7" t="s">
        <v>333</v>
      </c>
      <c r="C7" t="s">
        <v>334</v>
      </c>
      <c r="D7" t="s">
        <v>335</v>
      </c>
      <c r="H7" t="s">
        <v>336</v>
      </c>
      <c r="AC7" t="s">
        <v>338</v>
      </c>
      <c r="AD7" t="s">
        <v>337</v>
      </c>
      <c r="AE7">
        <v>64</v>
      </c>
      <c r="AF7">
        <v>6</v>
      </c>
      <c r="AH7" t="s">
        <v>358</v>
      </c>
      <c r="AJ7">
        <v>1001</v>
      </c>
      <c r="AK7" t="s">
        <v>209</v>
      </c>
      <c r="AM7">
        <v>1875</v>
      </c>
      <c r="AN7">
        <v>463</v>
      </c>
    </row>
    <row r="8" spans="1:40" x14ac:dyDescent="0.25">
      <c r="B8" t="s">
        <v>333</v>
      </c>
      <c r="C8" t="s">
        <v>334</v>
      </c>
      <c r="D8" t="s">
        <v>335</v>
      </c>
      <c r="H8" t="s">
        <v>336</v>
      </c>
      <c r="AC8" t="s">
        <v>338</v>
      </c>
      <c r="AD8" t="s">
        <v>337</v>
      </c>
      <c r="AE8">
        <v>64</v>
      </c>
      <c r="AF8">
        <v>7</v>
      </c>
      <c r="AH8" t="s">
        <v>358</v>
      </c>
      <c r="AJ8">
        <v>1001</v>
      </c>
      <c r="AK8" t="s">
        <v>209</v>
      </c>
      <c r="AM8">
        <v>2079</v>
      </c>
      <c r="AN8">
        <v>463</v>
      </c>
    </row>
    <row r="9" spans="1:40" x14ac:dyDescent="0.25">
      <c r="B9" t="s">
        <v>333</v>
      </c>
      <c r="C9" t="s">
        <v>334</v>
      </c>
      <c r="D9" t="s">
        <v>335</v>
      </c>
      <c r="H9" t="s">
        <v>336</v>
      </c>
      <c r="AC9" t="s">
        <v>338</v>
      </c>
      <c r="AD9" t="s">
        <v>337</v>
      </c>
      <c r="AE9">
        <v>64</v>
      </c>
      <c r="AF9">
        <v>8</v>
      </c>
      <c r="AH9" t="s">
        <v>358</v>
      </c>
      <c r="AJ9">
        <v>1001</v>
      </c>
      <c r="AK9" t="s">
        <v>209</v>
      </c>
      <c r="AM9">
        <v>2284</v>
      </c>
      <c r="AN9">
        <v>463</v>
      </c>
    </row>
    <row r="10" spans="1:40" x14ac:dyDescent="0.25">
      <c r="B10" t="s">
        <v>333</v>
      </c>
      <c r="C10" t="s">
        <v>334</v>
      </c>
      <c r="D10" t="s">
        <v>335</v>
      </c>
      <c r="H10" t="s">
        <v>336</v>
      </c>
      <c r="AC10" t="s">
        <v>338</v>
      </c>
      <c r="AD10" t="s">
        <v>337</v>
      </c>
      <c r="AE10">
        <v>64</v>
      </c>
      <c r="AF10">
        <v>9</v>
      </c>
      <c r="AH10" t="s">
        <v>359</v>
      </c>
      <c r="AJ10">
        <v>110</v>
      </c>
      <c r="AK10" t="s">
        <v>200</v>
      </c>
      <c r="AM10">
        <v>853</v>
      </c>
      <c r="AN10">
        <v>667</v>
      </c>
    </row>
    <row r="11" spans="1:40" x14ac:dyDescent="0.25">
      <c r="B11" t="s">
        <v>333</v>
      </c>
      <c r="C11" t="s">
        <v>334</v>
      </c>
      <c r="D11" t="s">
        <v>335</v>
      </c>
      <c r="H11" t="s">
        <v>336</v>
      </c>
      <c r="AC11" t="s">
        <v>338</v>
      </c>
      <c r="AD11" t="s">
        <v>337</v>
      </c>
      <c r="AE11">
        <v>64</v>
      </c>
      <c r="AF11">
        <v>10</v>
      </c>
      <c r="AH11" t="s">
        <v>359</v>
      </c>
      <c r="AJ11">
        <v>110</v>
      </c>
      <c r="AK11" t="s">
        <v>200</v>
      </c>
      <c r="AM11">
        <v>1058</v>
      </c>
      <c r="AN11">
        <v>667</v>
      </c>
    </row>
    <row r="12" spans="1:40" x14ac:dyDescent="0.25">
      <c r="B12" t="s">
        <v>333</v>
      </c>
      <c r="C12" t="s">
        <v>334</v>
      </c>
      <c r="D12" t="s">
        <v>335</v>
      </c>
      <c r="H12" t="s">
        <v>336</v>
      </c>
      <c r="AC12" t="s">
        <v>338</v>
      </c>
      <c r="AD12" t="s">
        <v>337</v>
      </c>
      <c r="AE12">
        <v>64</v>
      </c>
      <c r="AF12">
        <v>11</v>
      </c>
      <c r="AH12" t="s">
        <v>358</v>
      </c>
      <c r="AJ12">
        <v>1001</v>
      </c>
      <c r="AK12" t="s">
        <v>209</v>
      </c>
      <c r="AM12">
        <v>1262</v>
      </c>
      <c r="AN12">
        <v>667</v>
      </c>
    </row>
    <row r="13" spans="1:40" x14ac:dyDescent="0.25">
      <c r="B13" t="s">
        <v>333</v>
      </c>
      <c r="C13" t="s">
        <v>334</v>
      </c>
      <c r="D13" t="s">
        <v>335</v>
      </c>
      <c r="H13" t="s">
        <v>336</v>
      </c>
      <c r="AC13" t="s">
        <v>338</v>
      </c>
      <c r="AD13" t="s">
        <v>337</v>
      </c>
      <c r="AE13">
        <v>64</v>
      </c>
      <c r="AF13">
        <v>12</v>
      </c>
      <c r="AH13" t="s">
        <v>360</v>
      </c>
      <c r="AJ13">
        <v>102</v>
      </c>
      <c r="AK13" t="s">
        <v>200</v>
      </c>
      <c r="AM13">
        <v>1466</v>
      </c>
      <c r="AN13">
        <v>667</v>
      </c>
    </row>
    <row r="14" spans="1:40" x14ac:dyDescent="0.25">
      <c r="B14" t="s">
        <v>333</v>
      </c>
      <c r="C14" t="s">
        <v>334</v>
      </c>
      <c r="D14" t="s">
        <v>335</v>
      </c>
      <c r="H14" t="s">
        <v>336</v>
      </c>
      <c r="AC14" t="s">
        <v>338</v>
      </c>
      <c r="AD14" t="s">
        <v>337</v>
      </c>
      <c r="AE14">
        <v>64</v>
      </c>
      <c r="AF14">
        <v>13</v>
      </c>
      <c r="AH14" t="s">
        <v>358</v>
      </c>
      <c r="AJ14">
        <v>1001</v>
      </c>
      <c r="AK14" t="s">
        <v>209</v>
      </c>
      <c r="AM14">
        <v>1671</v>
      </c>
      <c r="AN14">
        <v>667</v>
      </c>
    </row>
    <row r="15" spans="1:40" x14ac:dyDescent="0.25">
      <c r="B15" t="s">
        <v>333</v>
      </c>
      <c r="C15" t="s">
        <v>334</v>
      </c>
      <c r="D15" t="s">
        <v>335</v>
      </c>
      <c r="H15" t="s">
        <v>336</v>
      </c>
      <c r="AC15" t="s">
        <v>338</v>
      </c>
      <c r="AD15" t="s">
        <v>337</v>
      </c>
      <c r="AE15">
        <v>64</v>
      </c>
      <c r="AF15">
        <v>14</v>
      </c>
      <c r="AH15" t="s">
        <v>358</v>
      </c>
      <c r="AJ15">
        <v>1001</v>
      </c>
      <c r="AK15" t="s">
        <v>209</v>
      </c>
      <c r="AM15">
        <v>1875</v>
      </c>
      <c r="AN15">
        <v>667</v>
      </c>
    </row>
    <row r="16" spans="1:40" x14ac:dyDescent="0.25">
      <c r="B16" t="s">
        <v>333</v>
      </c>
      <c r="C16" t="s">
        <v>334</v>
      </c>
      <c r="D16" t="s">
        <v>335</v>
      </c>
      <c r="H16" t="s">
        <v>336</v>
      </c>
      <c r="AC16" t="s">
        <v>338</v>
      </c>
      <c r="AD16" t="s">
        <v>337</v>
      </c>
      <c r="AE16">
        <v>64</v>
      </c>
      <c r="AF16">
        <v>15</v>
      </c>
      <c r="AH16" t="s">
        <v>358</v>
      </c>
      <c r="AJ16">
        <v>1001</v>
      </c>
      <c r="AK16" t="s">
        <v>209</v>
      </c>
      <c r="AM16">
        <v>2079</v>
      </c>
      <c r="AN16">
        <v>667</v>
      </c>
    </row>
    <row r="17" spans="2:40" x14ac:dyDescent="0.25">
      <c r="B17" t="s">
        <v>333</v>
      </c>
      <c r="C17" t="s">
        <v>334</v>
      </c>
      <c r="D17" t="s">
        <v>335</v>
      </c>
      <c r="H17" t="s">
        <v>336</v>
      </c>
      <c r="AC17" t="s">
        <v>338</v>
      </c>
      <c r="AD17" t="s">
        <v>337</v>
      </c>
      <c r="AE17">
        <v>64</v>
      </c>
      <c r="AF17">
        <v>16</v>
      </c>
      <c r="AH17" t="s">
        <v>361</v>
      </c>
      <c r="AJ17">
        <v>109</v>
      </c>
      <c r="AK17" t="s">
        <v>200</v>
      </c>
      <c r="AM17">
        <v>2284</v>
      </c>
      <c r="AN17">
        <v>667</v>
      </c>
    </row>
    <row r="18" spans="2:40" x14ac:dyDescent="0.25">
      <c r="B18" t="s">
        <v>333</v>
      </c>
      <c r="C18" t="s">
        <v>334</v>
      </c>
      <c r="D18" t="s">
        <v>335</v>
      </c>
      <c r="H18" t="s">
        <v>336</v>
      </c>
      <c r="AC18" t="s">
        <v>338</v>
      </c>
      <c r="AD18" t="s">
        <v>337</v>
      </c>
      <c r="AE18">
        <v>64</v>
      </c>
      <c r="AF18">
        <v>17</v>
      </c>
      <c r="AH18" t="s">
        <v>359</v>
      </c>
      <c r="AJ18">
        <v>110</v>
      </c>
      <c r="AK18" t="s">
        <v>200</v>
      </c>
      <c r="AM18">
        <v>853</v>
      </c>
      <c r="AN18">
        <v>872</v>
      </c>
    </row>
    <row r="19" spans="2:40" x14ac:dyDescent="0.25">
      <c r="B19" t="s">
        <v>333</v>
      </c>
      <c r="C19" t="s">
        <v>334</v>
      </c>
      <c r="D19" t="s">
        <v>335</v>
      </c>
      <c r="H19" t="s">
        <v>336</v>
      </c>
      <c r="AC19" t="s">
        <v>338</v>
      </c>
      <c r="AD19" t="s">
        <v>337</v>
      </c>
      <c r="AE19">
        <v>64</v>
      </c>
      <c r="AF19">
        <v>18</v>
      </c>
      <c r="AH19" t="s">
        <v>359</v>
      </c>
      <c r="AJ19">
        <v>110</v>
      </c>
      <c r="AK19" t="s">
        <v>200</v>
      </c>
      <c r="AM19">
        <v>1058</v>
      </c>
      <c r="AN19">
        <v>872</v>
      </c>
    </row>
    <row r="20" spans="2:40" x14ac:dyDescent="0.25">
      <c r="B20" t="s">
        <v>333</v>
      </c>
      <c r="C20" t="s">
        <v>334</v>
      </c>
      <c r="D20" t="s">
        <v>335</v>
      </c>
      <c r="H20" t="s">
        <v>336</v>
      </c>
      <c r="AC20" t="s">
        <v>338</v>
      </c>
      <c r="AD20" t="s">
        <v>337</v>
      </c>
      <c r="AE20">
        <v>64</v>
      </c>
      <c r="AF20">
        <v>19</v>
      </c>
      <c r="AH20" t="s">
        <v>358</v>
      </c>
      <c r="AJ20">
        <v>1001</v>
      </c>
      <c r="AK20" t="s">
        <v>209</v>
      </c>
      <c r="AM20">
        <v>1262</v>
      </c>
      <c r="AN20">
        <v>872</v>
      </c>
    </row>
    <row r="21" spans="2:40" x14ac:dyDescent="0.25">
      <c r="B21" t="s">
        <v>333</v>
      </c>
      <c r="C21" t="s">
        <v>334</v>
      </c>
      <c r="D21" t="s">
        <v>335</v>
      </c>
      <c r="H21" t="s">
        <v>336</v>
      </c>
      <c r="AC21" t="s">
        <v>338</v>
      </c>
      <c r="AD21" t="s">
        <v>337</v>
      </c>
      <c r="AE21">
        <v>64</v>
      </c>
      <c r="AF21">
        <v>20</v>
      </c>
      <c r="AH21" t="s">
        <v>358</v>
      </c>
      <c r="AJ21">
        <v>1001</v>
      </c>
      <c r="AK21" t="s">
        <v>209</v>
      </c>
      <c r="AM21">
        <v>1466</v>
      </c>
      <c r="AN21">
        <v>872</v>
      </c>
    </row>
    <row r="22" spans="2:40" x14ac:dyDescent="0.25">
      <c r="B22" t="s">
        <v>333</v>
      </c>
      <c r="C22" t="s">
        <v>334</v>
      </c>
      <c r="D22" t="s">
        <v>335</v>
      </c>
      <c r="H22" t="s">
        <v>336</v>
      </c>
      <c r="AC22" t="s">
        <v>338</v>
      </c>
      <c r="AD22" t="s">
        <v>337</v>
      </c>
      <c r="AE22">
        <v>64</v>
      </c>
      <c r="AF22">
        <v>21</v>
      </c>
      <c r="AH22" t="s">
        <v>360</v>
      </c>
      <c r="AJ22">
        <v>102</v>
      </c>
      <c r="AK22" t="s">
        <v>200</v>
      </c>
      <c r="AM22">
        <v>1671</v>
      </c>
      <c r="AN22">
        <v>872</v>
      </c>
    </row>
    <row r="23" spans="2:40" x14ac:dyDescent="0.25">
      <c r="B23" t="s">
        <v>333</v>
      </c>
      <c r="C23" t="s">
        <v>334</v>
      </c>
      <c r="D23" t="s">
        <v>335</v>
      </c>
      <c r="H23" t="s">
        <v>336</v>
      </c>
      <c r="AC23" t="s">
        <v>338</v>
      </c>
      <c r="AD23" t="s">
        <v>337</v>
      </c>
      <c r="AE23">
        <v>64</v>
      </c>
      <c r="AF23">
        <v>22</v>
      </c>
      <c r="AH23" t="s">
        <v>358</v>
      </c>
      <c r="AJ23">
        <v>1001</v>
      </c>
      <c r="AK23" t="s">
        <v>209</v>
      </c>
      <c r="AM23">
        <v>1875</v>
      </c>
      <c r="AN23">
        <v>872</v>
      </c>
    </row>
    <row r="24" spans="2:40" x14ac:dyDescent="0.25">
      <c r="B24" t="s">
        <v>333</v>
      </c>
      <c r="C24" t="s">
        <v>334</v>
      </c>
      <c r="D24" t="s">
        <v>335</v>
      </c>
      <c r="H24" t="s">
        <v>336</v>
      </c>
      <c r="AC24" t="s">
        <v>338</v>
      </c>
      <c r="AD24" t="s">
        <v>337</v>
      </c>
      <c r="AE24">
        <v>64</v>
      </c>
      <c r="AF24">
        <v>23</v>
      </c>
      <c r="AH24" t="s">
        <v>358</v>
      </c>
      <c r="AJ24">
        <v>1001</v>
      </c>
      <c r="AK24" t="s">
        <v>209</v>
      </c>
      <c r="AM24">
        <v>2079</v>
      </c>
      <c r="AN24">
        <v>872</v>
      </c>
    </row>
    <row r="25" spans="2:40" x14ac:dyDescent="0.25">
      <c r="B25" t="s">
        <v>333</v>
      </c>
      <c r="C25" t="s">
        <v>334</v>
      </c>
      <c r="D25" t="s">
        <v>335</v>
      </c>
      <c r="H25" t="s">
        <v>336</v>
      </c>
      <c r="AC25" t="s">
        <v>338</v>
      </c>
      <c r="AD25" t="s">
        <v>337</v>
      </c>
      <c r="AE25">
        <v>64</v>
      </c>
      <c r="AF25">
        <v>24</v>
      </c>
      <c r="AH25" t="s">
        <v>358</v>
      </c>
      <c r="AJ25">
        <v>1001</v>
      </c>
      <c r="AK25" t="s">
        <v>209</v>
      </c>
      <c r="AM25">
        <v>2284</v>
      </c>
      <c r="AN25">
        <v>872</v>
      </c>
    </row>
    <row r="26" spans="2:40" x14ac:dyDescent="0.25">
      <c r="B26" t="s">
        <v>333</v>
      </c>
      <c r="C26" t="s">
        <v>334</v>
      </c>
      <c r="D26" t="s">
        <v>335</v>
      </c>
      <c r="H26" t="s">
        <v>336</v>
      </c>
      <c r="AC26" t="s">
        <v>338</v>
      </c>
      <c r="AD26" t="s">
        <v>337</v>
      </c>
      <c r="AE26">
        <v>64</v>
      </c>
      <c r="AF26">
        <v>25</v>
      </c>
      <c r="AH26" t="s">
        <v>359</v>
      </c>
      <c r="AJ26">
        <v>110</v>
      </c>
      <c r="AK26" t="s">
        <v>200</v>
      </c>
      <c r="AM26">
        <v>853</v>
      </c>
      <c r="AN26">
        <v>1076</v>
      </c>
    </row>
    <row r="27" spans="2:40" x14ac:dyDescent="0.25">
      <c r="B27" t="s">
        <v>333</v>
      </c>
      <c r="C27" t="s">
        <v>334</v>
      </c>
      <c r="D27" t="s">
        <v>335</v>
      </c>
      <c r="H27" t="s">
        <v>336</v>
      </c>
      <c r="AC27" t="s">
        <v>338</v>
      </c>
      <c r="AD27" t="s">
        <v>337</v>
      </c>
      <c r="AE27">
        <v>64</v>
      </c>
      <c r="AF27">
        <v>26</v>
      </c>
      <c r="AH27" t="s">
        <v>360</v>
      </c>
      <c r="AJ27">
        <v>102</v>
      </c>
      <c r="AK27" t="s">
        <v>200</v>
      </c>
      <c r="AM27">
        <v>1058</v>
      </c>
      <c r="AN27">
        <v>1076</v>
      </c>
    </row>
    <row r="28" spans="2:40" x14ac:dyDescent="0.25">
      <c r="B28" t="s">
        <v>333</v>
      </c>
      <c r="C28" t="s">
        <v>334</v>
      </c>
      <c r="D28" t="s">
        <v>335</v>
      </c>
      <c r="H28" t="s">
        <v>336</v>
      </c>
      <c r="AC28" t="s">
        <v>338</v>
      </c>
      <c r="AD28" t="s">
        <v>337</v>
      </c>
      <c r="AE28">
        <v>64</v>
      </c>
      <c r="AF28">
        <v>27</v>
      </c>
      <c r="AH28" t="s">
        <v>358</v>
      </c>
      <c r="AJ28">
        <v>1001</v>
      </c>
      <c r="AK28" t="s">
        <v>209</v>
      </c>
      <c r="AM28">
        <v>1262</v>
      </c>
      <c r="AN28">
        <v>1076</v>
      </c>
    </row>
    <row r="29" spans="2:40" x14ac:dyDescent="0.25">
      <c r="B29" t="s">
        <v>333</v>
      </c>
      <c r="C29" t="s">
        <v>334</v>
      </c>
      <c r="D29" t="s">
        <v>335</v>
      </c>
      <c r="H29" t="s">
        <v>336</v>
      </c>
      <c r="AC29" t="s">
        <v>338</v>
      </c>
      <c r="AD29" t="s">
        <v>337</v>
      </c>
      <c r="AE29">
        <v>64</v>
      </c>
      <c r="AF29">
        <v>28</v>
      </c>
      <c r="AH29" t="s">
        <v>358</v>
      </c>
      <c r="AJ29">
        <v>1001</v>
      </c>
      <c r="AK29" t="s">
        <v>209</v>
      </c>
      <c r="AM29">
        <v>1466</v>
      </c>
      <c r="AN29">
        <v>1076</v>
      </c>
    </row>
    <row r="30" spans="2:40" x14ac:dyDescent="0.25">
      <c r="B30" t="s">
        <v>333</v>
      </c>
      <c r="C30" t="s">
        <v>334</v>
      </c>
      <c r="D30" t="s">
        <v>335</v>
      </c>
      <c r="H30" t="s">
        <v>336</v>
      </c>
      <c r="AC30" t="s">
        <v>338</v>
      </c>
      <c r="AD30" t="s">
        <v>337</v>
      </c>
      <c r="AE30">
        <v>64</v>
      </c>
      <c r="AF30">
        <v>29</v>
      </c>
      <c r="AH30" t="s">
        <v>358</v>
      </c>
      <c r="AJ30">
        <v>1001</v>
      </c>
      <c r="AK30" t="s">
        <v>209</v>
      </c>
      <c r="AM30">
        <v>1671</v>
      </c>
      <c r="AN30">
        <v>1076</v>
      </c>
    </row>
    <row r="31" spans="2:40" x14ac:dyDescent="0.25">
      <c r="B31" t="s">
        <v>333</v>
      </c>
      <c r="C31" t="s">
        <v>334</v>
      </c>
      <c r="D31" t="s">
        <v>335</v>
      </c>
      <c r="H31" t="s">
        <v>336</v>
      </c>
      <c r="AC31" t="s">
        <v>338</v>
      </c>
      <c r="AD31" t="s">
        <v>337</v>
      </c>
      <c r="AE31">
        <v>64</v>
      </c>
      <c r="AF31">
        <v>30</v>
      </c>
      <c r="AH31" t="s">
        <v>359</v>
      </c>
      <c r="AJ31">
        <v>110</v>
      </c>
      <c r="AK31" t="s">
        <v>200</v>
      </c>
      <c r="AM31">
        <v>1875</v>
      </c>
      <c r="AN31">
        <v>1076</v>
      </c>
    </row>
    <row r="32" spans="2:40" x14ac:dyDescent="0.25">
      <c r="B32" t="s">
        <v>333</v>
      </c>
      <c r="C32" t="s">
        <v>334</v>
      </c>
      <c r="D32" t="s">
        <v>335</v>
      </c>
      <c r="H32" t="s">
        <v>336</v>
      </c>
      <c r="AC32" t="s">
        <v>338</v>
      </c>
      <c r="AD32" t="s">
        <v>337</v>
      </c>
      <c r="AE32">
        <v>64</v>
      </c>
      <c r="AF32">
        <v>31</v>
      </c>
      <c r="AH32" t="s">
        <v>359</v>
      </c>
      <c r="AJ32">
        <v>110</v>
      </c>
      <c r="AK32" t="s">
        <v>200</v>
      </c>
      <c r="AM32">
        <v>2079</v>
      </c>
      <c r="AN32">
        <v>1076</v>
      </c>
    </row>
    <row r="33" spans="2:40" x14ac:dyDescent="0.25">
      <c r="B33" t="s">
        <v>333</v>
      </c>
      <c r="C33" t="s">
        <v>334</v>
      </c>
      <c r="D33" t="s">
        <v>335</v>
      </c>
      <c r="H33" t="s">
        <v>336</v>
      </c>
      <c r="AC33" t="s">
        <v>338</v>
      </c>
      <c r="AD33" t="s">
        <v>337</v>
      </c>
      <c r="AE33">
        <v>64</v>
      </c>
      <c r="AF33">
        <v>32</v>
      </c>
      <c r="AH33" t="s">
        <v>358</v>
      </c>
      <c r="AJ33">
        <v>1001</v>
      </c>
      <c r="AK33" t="s">
        <v>209</v>
      </c>
      <c r="AM33">
        <v>2284</v>
      </c>
      <c r="AN33">
        <v>1076</v>
      </c>
    </row>
    <row r="34" spans="2:40" x14ac:dyDescent="0.25">
      <c r="B34" t="s">
        <v>333</v>
      </c>
      <c r="C34" t="s">
        <v>334</v>
      </c>
      <c r="D34" t="s">
        <v>335</v>
      </c>
      <c r="H34" t="s">
        <v>336</v>
      </c>
      <c r="AC34" t="s">
        <v>338</v>
      </c>
      <c r="AD34" t="s">
        <v>337</v>
      </c>
      <c r="AE34">
        <v>64</v>
      </c>
      <c r="AF34">
        <v>33</v>
      </c>
      <c r="AH34" t="s">
        <v>358</v>
      </c>
      <c r="AJ34">
        <v>1001</v>
      </c>
      <c r="AK34" t="s">
        <v>209</v>
      </c>
      <c r="AM34">
        <v>853</v>
      </c>
      <c r="AN34">
        <v>1280</v>
      </c>
    </row>
    <row r="35" spans="2:40" x14ac:dyDescent="0.25">
      <c r="B35" t="s">
        <v>333</v>
      </c>
      <c r="C35" t="s">
        <v>334</v>
      </c>
      <c r="D35" t="s">
        <v>335</v>
      </c>
      <c r="H35" t="s">
        <v>336</v>
      </c>
      <c r="AC35" t="s">
        <v>338</v>
      </c>
      <c r="AD35" t="s">
        <v>337</v>
      </c>
      <c r="AE35">
        <v>64</v>
      </c>
      <c r="AF35">
        <v>34</v>
      </c>
      <c r="AH35" t="s">
        <v>359</v>
      </c>
      <c r="AJ35">
        <v>110</v>
      </c>
      <c r="AK35" t="s">
        <v>200</v>
      </c>
      <c r="AM35">
        <v>1058</v>
      </c>
      <c r="AN35">
        <v>1280</v>
      </c>
    </row>
    <row r="36" spans="2:40" x14ac:dyDescent="0.25">
      <c r="B36" t="s">
        <v>333</v>
      </c>
      <c r="C36" t="s">
        <v>334</v>
      </c>
      <c r="D36" t="s">
        <v>335</v>
      </c>
      <c r="H36" t="s">
        <v>336</v>
      </c>
      <c r="AC36" t="s">
        <v>338</v>
      </c>
      <c r="AD36" t="s">
        <v>337</v>
      </c>
      <c r="AE36">
        <v>64</v>
      </c>
      <c r="AF36">
        <v>35</v>
      </c>
      <c r="AH36" t="s">
        <v>358</v>
      </c>
      <c r="AJ36">
        <v>1001</v>
      </c>
      <c r="AK36" t="s">
        <v>209</v>
      </c>
      <c r="AM36">
        <v>1262</v>
      </c>
      <c r="AN36">
        <v>1280</v>
      </c>
    </row>
    <row r="37" spans="2:40" x14ac:dyDescent="0.25">
      <c r="B37" t="s">
        <v>333</v>
      </c>
      <c r="C37" t="s">
        <v>334</v>
      </c>
      <c r="D37" t="s">
        <v>335</v>
      </c>
      <c r="H37" t="s">
        <v>336</v>
      </c>
      <c r="AC37" t="s">
        <v>338</v>
      </c>
      <c r="AD37" t="s">
        <v>337</v>
      </c>
      <c r="AE37">
        <v>64</v>
      </c>
      <c r="AF37">
        <v>36</v>
      </c>
      <c r="AH37" t="s">
        <v>358</v>
      </c>
      <c r="AJ37">
        <v>1001</v>
      </c>
      <c r="AK37" t="s">
        <v>209</v>
      </c>
      <c r="AM37">
        <v>1466</v>
      </c>
      <c r="AN37">
        <v>1280</v>
      </c>
    </row>
    <row r="38" spans="2:40" x14ac:dyDescent="0.25">
      <c r="B38" t="s">
        <v>333</v>
      </c>
      <c r="C38" t="s">
        <v>334</v>
      </c>
      <c r="D38" t="s">
        <v>335</v>
      </c>
      <c r="H38" t="s">
        <v>336</v>
      </c>
      <c r="AC38" t="s">
        <v>338</v>
      </c>
      <c r="AD38" t="s">
        <v>337</v>
      </c>
      <c r="AE38">
        <v>64</v>
      </c>
      <c r="AF38">
        <v>37</v>
      </c>
      <c r="AH38" t="s">
        <v>358</v>
      </c>
      <c r="AJ38">
        <v>1001</v>
      </c>
      <c r="AK38" t="s">
        <v>209</v>
      </c>
      <c r="AM38">
        <v>1671</v>
      </c>
      <c r="AN38">
        <v>1280</v>
      </c>
    </row>
    <row r="39" spans="2:40" x14ac:dyDescent="0.25">
      <c r="B39" t="s">
        <v>333</v>
      </c>
      <c r="C39" t="s">
        <v>334</v>
      </c>
      <c r="D39" t="s">
        <v>335</v>
      </c>
      <c r="H39" t="s">
        <v>336</v>
      </c>
      <c r="AC39" t="s">
        <v>338</v>
      </c>
      <c r="AD39" t="s">
        <v>337</v>
      </c>
      <c r="AE39">
        <v>64</v>
      </c>
      <c r="AF39">
        <v>38</v>
      </c>
      <c r="AH39" t="s">
        <v>358</v>
      </c>
      <c r="AJ39">
        <v>1001</v>
      </c>
      <c r="AK39" t="s">
        <v>209</v>
      </c>
      <c r="AM39">
        <v>1875</v>
      </c>
      <c r="AN39">
        <v>1280</v>
      </c>
    </row>
    <row r="40" spans="2:40" x14ac:dyDescent="0.25">
      <c r="B40" t="s">
        <v>333</v>
      </c>
      <c r="C40" t="s">
        <v>334</v>
      </c>
      <c r="D40" t="s">
        <v>335</v>
      </c>
      <c r="H40" t="s">
        <v>336</v>
      </c>
      <c r="AC40" t="s">
        <v>338</v>
      </c>
      <c r="AD40" t="s">
        <v>337</v>
      </c>
      <c r="AE40">
        <v>64</v>
      </c>
      <c r="AF40">
        <v>39</v>
      </c>
      <c r="AH40" t="s">
        <v>359</v>
      </c>
      <c r="AJ40">
        <v>110</v>
      </c>
      <c r="AK40" t="s">
        <v>200</v>
      </c>
      <c r="AM40">
        <v>2079</v>
      </c>
      <c r="AN40">
        <v>1280</v>
      </c>
    </row>
    <row r="41" spans="2:40" x14ac:dyDescent="0.25">
      <c r="B41" t="s">
        <v>333</v>
      </c>
      <c r="C41" t="s">
        <v>334</v>
      </c>
      <c r="D41" t="s">
        <v>335</v>
      </c>
      <c r="H41" t="s">
        <v>336</v>
      </c>
      <c r="AC41" t="s">
        <v>338</v>
      </c>
      <c r="AD41" t="s">
        <v>337</v>
      </c>
      <c r="AE41">
        <v>64</v>
      </c>
      <c r="AF41">
        <v>40</v>
      </c>
      <c r="AH41" t="s">
        <v>359</v>
      </c>
      <c r="AJ41">
        <v>110</v>
      </c>
      <c r="AK41" t="s">
        <v>200</v>
      </c>
      <c r="AM41">
        <v>2284</v>
      </c>
      <c r="AN41">
        <v>1280</v>
      </c>
    </row>
    <row r="42" spans="2:40" x14ac:dyDescent="0.25">
      <c r="B42" t="s">
        <v>333</v>
      </c>
      <c r="C42" t="s">
        <v>334</v>
      </c>
      <c r="D42" t="s">
        <v>335</v>
      </c>
      <c r="H42" t="s">
        <v>336</v>
      </c>
      <c r="AC42" t="s">
        <v>338</v>
      </c>
      <c r="AD42" t="s">
        <v>337</v>
      </c>
      <c r="AE42">
        <v>64</v>
      </c>
      <c r="AF42">
        <v>41</v>
      </c>
      <c r="AH42" t="s">
        <v>360</v>
      </c>
      <c r="AJ42">
        <v>102</v>
      </c>
      <c r="AK42" t="s">
        <v>200</v>
      </c>
      <c r="AM42">
        <v>853</v>
      </c>
      <c r="AN42">
        <v>1485</v>
      </c>
    </row>
    <row r="43" spans="2:40" x14ac:dyDescent="0.25">
      <c r="B43" t="s">
        <v>333</v>
      </c>
      <c r="C43" t="s">
        <v>334</v>
      </c>
      <c r="D43" t="s">
        <v>335</v>
      </c>
      <c r="H43" t="s">
        <v>336</v>
      </c>
      <c r="AC43" t="s">
        <v>338</v>
      </c>
      <c r="AD43" t="s">
        <v>337</v>
      </c>
      <c r="AE43">
        <v>64</v>
      </c>
      <c r="AF43">
        <v>42</v>
      </c>
      <c r="AH43" t="s">
        <v>358</v>
      </c>
      <c r="AJ43">
        <v>1001</v>
      </c>
      <c r="AK43" t="s">
        <v>209</v>
      </c>
      <c r="AM43">
        <v>1058</v>
      </c>
      <c r="AN43">
        <v>1485</v>
      </c>
    </row>
    <row r="44" spans="2:40" x14ac:dyDescent="0.25">
      <c r="B44" t="s">
        <v>333</v>
      </c>
      <c r="C44" t="s">
        <v>334</v>
      </c>
      <c r="D44" t="s">
        <v>335</v>
      </c>
      <c r="H44" t="s">
        <v>336</v>
      </c>
      <c r="AC44" t="s">
        <v>338</v>
      </c>
      <c r="AD44" t="s">
        <v>337</v>
      </c>
      <c r="AE44">
        <v>64</v>
      </c>
      <c r="AF44">
        <v>43</v>
      </c>
      <c r="AH44" t="s">
        <v>358</v>
      </c>
      <c r="AJ44">
        <v>1001</v>
      </c>
      <c r="AK44" t="s">
        <v>209</v>
      </c>
      <c r="AM44">
        <v>1262</v>
      </c>
      <c r="AN44">
        <v>1485</v>
      </c>
    </row>
    <row r="45" spans="2:40" x14ac:dyDescent="0.25">
      <c r="B45" t="s">
        <v>333</v>
      </c>
      <c r="C45" t="s">
        <v>334</v>
      </c>
      <c r="D45" t="s">
        <v>335</v>
      </c>
      <c r="H45" t="s">
        <v>336</v>
      </c>
      <c r="AC45" t="s">
        <v>338</v>
      </c>
      <c r="AD45" t="s">
        <v>337</v>
      </c>
      <c r="AE45">
        <v>64</v>
      </c>
      <c r="AF45">
        <v>44</v>
      </c>
      <c r="AH45" t="s">
        <v>358</v>
      </c>
      <c r="AJ45">
        <v>1001</v>
      </c>
      <c r="AK45" t="s">
        <v>209</v>
      </c>
      <c r="AM45">
        <v>1466</v>
      </c>
      <c r="AN45">
        <v>1485</v>
      </c>
    </row>
    <row r="46" spans="2:40" x14ac:dyDescent="0.25">
      <c r="B46" t="s">
        <v>333</v>
      </c>
      <c r="C46" t="s">
        <v>334</v>
      </c>
      <c r="D46" t="s">
        <v>335</v>
      </c>
      <c r="H46" t="s">
        <v>336</v>
      </c>
      <c r="AC46" t="s">
        <v>338</v>
      </c>
      <c r="AD46" t="s">
        <v>337</v>
      </c>
      <c r="AE46">
        <v>64</v>
      </c>
      <c r="AF46">
        <v>45</v>
      </c>
      <c r="AH46" t="s">
        <v>359</v>
      </c>
      <c r="AJ46">
        <v>110</v>
      </c>
      <c r="AK46" t="s">
        <v>200</v>
      </c>
      <c r="AM46">
        <v>1671</v>
      </c>
      <c r="AN46">
        <v>1485</v>
      </c>
    </row>
    <row r="47" spans="2:40" x14ac:dyDescent="0.25">
      <c r="B47" t="s">
        <v>333</v>
      </c>
      <c r="C47" t="s">
        <v>334</v>
      </c>
      <c r="D47" t="s">
        <v>335</v>
      </c>
      <c r="H47" t="s">
        <v>336</v>
      </c>
      <c r="AC47" t="s">
        <v>338</v>
      </c>
      <c r="AD47" t="s">
        <v>337</v>
      </c>
      <c r="AE47">
        <v>64</v>
      </c>
      <c r="AF47">
        <v>46</v>
      </c>
      <c r="AH47" t="s">
        <v>359</v>
      </c>
      <c r="AJ47">
        <v>110</v>
      </c>
      <c r="AK47" t="s">
        <v>200</v>
      </c>
      <c r="AM47">
        <v>1875</v>
      </c>
      <c r="AN47">
        <v>1485</v>
      </c>
    </row>
    <row r="48" spans="2:40" x14ac:dyDescent="0.25">
      <c r="B48" t="s">
        <v>333</v>
      </c>
      <c r="C48" t="s">
        <v>334</v>
      </c>
      <c r="D48" t="s">
        <v>335</v>
      </c>
      <c r="H48" t="s">
        <v>336</v>
      </c>
      <c r="AC48" t="s">
        <v>338</v>
      </c>
      <c r="AD48" t="s">
        <v>337</v>
      </c>
      <c r="AE48">
        <v>64</v>
      </c>
      <c r="AF48">
        <v>47</v>
      </c>
      <c r="AH48" t="s">
        <v>359</v>
      </c>
      <c r="AJ48">
        <v>110</v>
      </c>
      <c r="AK48" t="s">
        <v>200</v>
      </c>
      <c r="AM48">
        <v>2079</v>
      </c>
      <c r="AN48">
        <v>1485</v>
      </c>
    </row>
    <row r="49" spans="2:40" x14ac:dyDescent="0.25">
      <c r="B49" t="s">
        <v>333</v>
      </c>
      <c r="C49" t="s">
        <v>334</v>
      </c>
      <c r="D49" t="s">
        <v>335</v>
      </c>
      <c r="H49" t="s">
        <v>336</v>
      </c>
      <c r="AC49" t="s">
        <v>338</v>
      </c>
      <c r="AD49" t="s">
        <v>337</v>
      </c>
      <c r="AE49">
        <v>64</v>
      </c>
      <c r="AF49">
        <v>48</v>
      </c>
      <c r="AH49" t="s">
        <v>358</v>
      </c>
      <c r="AJ49">
        <v>1001</v>
      </c>
      <c r="AK49" t="s">
        <v>209</v>
      </c>
      <c r="AM49">
        <v>2284</v>
      </c>
      <c r="AN49">
        <v>1485</v>
      </c>
    </row>
    <row r="50" spans="2:40" x14ac:dyDescent="0.25">
      <c r="B50" t="s">
        <v>333</v>
      </c>
      <c r="C50" t="s">
        <v>334</v>
      </c>
      <c r="D50" t="s">
        <v>335</v>
      </c>
      <c r="H50" t="s">
        <v>336</v>
      </c>
      <c r="AC50" t="s">
        <v>338</v>
      </c>
      <c r="AD50" t="s">
        <v>337</v>
      </c>
      <c r="AE50">
        <v>64</v>
      </c>
      <c r="AF50">
        <v>49</v>
      </c>
      <c r="AH50" t="s">
        <v>360</v>
      </c>
      <c r="AJ50">
        <v>102</v>
      </c>
      <c r="AK50" t="s">
        <v>200</v>
      </c>
      <c r="AM50">
        <v>853</v>
      </c>
      <c r="AN50">
        <v>1689</v>
      </c>
    </row>
    <row r="51" spans="2:40" x14ac:dyDescent="0.25">
      <c r="B51" t="s">
        <v>333</v>
      </c>
      <c r="C51" t="s">
        <v>334</v>
      </c>
      <c r="D51" t="s">
        <v>335</v>
      </c>
      <c r="H51" t="s">
        <v>336</v>
      </c>
      <c r="AC51" t="s">
        <v>338</v>
      </c>
      <c r="AD51" t="s">
        <v>337</v>
      </c>
      <c r="AE51">
        <v>64</v>
      </c>
      <c r="AF51">
        <v>50</v>
      </c>
      <c r="AH51" t="s">
        <v>358</v>
      </c>
      <c r="AJ51">
        <v>1001</v>
      </c>
      <c r="AK51" t="s">
        <v>209</v>
      </c>
      <c r="AM51">
        <v>1058</v>
      </c>
      <c r="AN51">
        <v>1689</v>
      </c>
    </row>
    <row r="52" spans="2:40" x14ac:dyDescent="0.25">
      <c r="B52" t="s">
        <v>333</v>
      </c>
      <c r="C52" t="s">
        <v>334</v>
      </c>
      <c r="D52" t="s">
        <v>335</v>
      </c>
      <c r="H52" t="s">
        <v>336</v>
      </c>
      <c r="AC52" t="s">
        <v>338</v>
      </c>
      <c r="AD52" t="s">
        <v>337</v>
      </c>
      <c r="AE52">
        <v>64</v>
      </c>
      <c r="AF52">
        <v>51</v>
      </c>
      <c r="AH52" t="s">
        <v>358</v>
      </c>
      <c r="AJ52">
        <v>1001</v>
      </c>
      <c r="AK52" t="s">
        <v>209</v>
      </c>
      <c r="AM52">
        <v>1262</v>
      </c>
      <c r="AN52">
        <v>1689</v>
      </c>
    </row>
    <row r="53" spans="2:40" x14ac:dyDescent="0.25">
      <c r="B53" t="s">
        <v>333</v>
      </c>
      <c r="C53" t="s">
        <v>334</v>
      </c>
      <c r="D53" t="s">
        <v>335</v>
      </c>
      <c r="H53" t="s">
        <v>336</v>
      </c>
      <c r="AC53" t="s">
        <v>338</v>
      </c>
      <c r="AD53" t="s">
        <v>337</v>
      </c>
      <c r="AE53">
        <v>64</v>
      </c>
      <c r="AF53">
        <v>52</v>
      </c>
      <c r="AH53" t="s">
        <v>358</v>
      </c>
      <c r="AJ53">
        <v>1001</v>
      </c>
      <c r="AK53" t="s">
        <v>209</v>
      </c>
      <c r="AM53">
        <v>1466</v>
      </c>
      <c r="AN53">
        <v>1689</v>
      </c>
    </row>
    <row r="54" spans="2:40" x14ac:dyDescent="0.25">
      <c r="B54" t="s">
        <v>333</v>
      </c>
      <c r="C54" t="s">
        <v>334</v>
      </c>
      <c r="D54" t="s">
        <v>335</v>
      </c>
      <c r="H54" t="s">
        <v>336</v>
      </c>
      <c r="AC54" t="s">
        <v>338</v>
      </c>
      <c r="AD54" t="s">
        <v>337</v>
      </c>
      <c r="AE54">
        <v>64</v>
      </c>
      <c r="AF54">
        <v>53</v>
      </c>
      <c r="AH54" t="s">
        <v>358</v>
      </c>
      <c r="AJ54">
        <v>1001</v>
      </c>
      <c r="AK54" t="s">
        <v>209</v>
      </c>
      <c r="AM54">
        <v>1671</v>
      </c>
      <c r="AN54">
        <v>1689</v>
      </c>
    </row>
    <row r="55" spans="2:40" x14ac:dyDescent="0.25">
      <c r="B55" t="s">
        <v>333</v>
      </c>
      <c r="C55" t="s">
        <v>334</v>
      </c>
      <c r="D55" t="s">
        <v>335</v>
      </c>
      <c r="H55" t="s">
        <v>336</v>
      </c>
      <c r="AC55" t="s">
        <v>338</v>
      </c>
      <c r="AD55" t="s">
        <v>337</v>
      </c>
      <c r="AE55">
        <v>64</v>
      </c>
      <c r="AF55">
        <v>54</v>
      </c>
      <c r="AH55" t="s">
        <v>359</v>
      </c>
      <c r="AJ55">
        <v>110</v>
      </c>
      <c r="AK55" t="s">
        <v>200</v>
      </c>
      <c r="AM55">
        <v>1875</v>
      </c>
      <c r="AN55">
        <v>1689</v>
      </c>
    </row>
    <row r="56" spans="2:40" x14ac:dyDescent="0.25">
      <c r="B56" t="s">
        <v>333</v>
      </c>
      <c r="C56" t="s">
        <v>334</v>
      </c>
      <c r="D56" t="s">
        <v>335</v>
      </c>
      <c r="H56" t="s">
        <v>336</v>
      </c>
      <c r="AC56" t="s">
        <v>338</v>
      </c>
      <c r="AD56" t="s">
        <v>337</v>
      </c>
      <c r="AE56">
        <v>64</v>
      </c>
      <c r="AF56">
        <v>55</v>
      </c>
      <c r="AH56" t="s">
        <v>359</v>
      </c>
      <c r="AJ56">
        <v>110</v>
      </c>
      <c r="AK56" t="s">
        <v>200</v>
      </c>
      <c r="AM56">
        <v>2079</v>
      </c>
      <c r="AN56">
        <v>1689</v>
      </c>
    </row>
    <row r="57" spans="2:40" x14ac:dyDescent="0.25">
      <c r="B57" t="s">
        <v>333</v>
      </c>
      <c r="C57" t="s">
        <v>334</v>
      </c>
      <c r="D57" t="s">
        <v>335</v>
      </c>
      <c r="H57" t="s">
        <v>336</v>
      </c>
      <c r="AC57" t="s">
        <v>338</v>
      </c>
      <c r="AD57" t="s">
        <v>337</v>
      </c>
      <c r="AE57">
        <v>64</v>
      </c>
      <c r="AF57">
        <v>56</v>
      </c>
      <c r="AH57" t="s">
        <v>359</v>
      </c>
      <c r="AJ57">
        <v>110</v>
      </c>
      <c r="AK57" t="s">
        <v>200</v>
      </c>
      <c r="AM57">
        <v>2284</v>
      </c>
      <c r="AN57">
        <v>1689</v>
      </c>
    </row>
    <row r="58" spans="2:40" x14ac:dyDescent="0.25">
      <c r="B58" t="s">
        <v>333</v>
      </c>
      <c r="C58" t="s">
        <v>334</v>
      </c>
      <c r="D58" t="s">
        <v>335</v>
      </c>
      <c r="H58" t="s">
        <v>336</v>
      </c>
      <c r="AC58" t="s">
        <v>338</v>
      </c>
      <c r="AD58" t="s">
        <v>337</v>
      </c>
      <c r="AE58">
        <v>64</v>
      </c>
      <c r="AF58">
        <v>57</v>
      </c>
      <c r="AH58" t="s">
        <v>358</v>
      </c>
      <c r="AJ58">
        <v>1001</v>
      </c>
      <c r="AK58" t="s">
        <v>209</v>
      </c>
      <c r="AM58">
        <v>853</v>
      </c>
      <c r="AN58">
        <v>1893</v>
      </c>
    </row>
    <row r="59" spans="2:40" x14ac:dyDescent="0.25">
      <c r="B59" t="s">
        <v>333</v>
      </c>
      <c r="C59" t="s">
        <v>334</v>
      </c>
      <c r="D59" t="s">
        <v>335</v>
      </c>
      <c r="H59" t="s">
        <v>336</v>
      </c>
      <c r="AC59" t="s">
        <v>338</v>
      </c>
      <c r="AD59" t="s">
        <v>337</v>
      </c>
      <c r="AE59">
        <v>64</v>
      </c>
      <c r="AF59">
        <v>58</v>
      </c>
      <c r="AH59" t="s">
        <v>358</v>
      </c>
      <c r="AJ59">
        <v>1001</v>
      </c>
      <c r="AK59" t="s">
        <v>209</v>
      </c>
      <c r="AM59">
        <v>1058</v>
      </c>
      <c r="AN59">
        <v>1893</v>
      </c>
    </row>
    <row r="60" spans="2:40" x14ac:dyDescent="0.25">
      <c r="B60" t="s">
        <v>333</v>
      </c>
      <c r="C60" t="s">
        <v>334</v>
      </c>
      <c r="D60" t="s">
        <v>335</v>
      </c>
      <c r="H60" t="s">
        <v>336</v>
      </c>
      <c r="AC60" t="s">
        <v>338</v>
      </c>
      <c r="AD60" t="s">
        <v>337</v>
      </c>
      <c r="AE60">
        <v>64</v>
      </c>
      <c r="AF60">
        <v>59</v>
      </c>
      <c r="AH60" t="s">
        <v>358</v>
      </c>
      <c r="AJ60">
        <v>1001</v>
      </c>
      <c r="AK60" t="s">
        <v>209</v>
      </c>
      <c r="AM60">
        <v>1262</v>
      </c>
      <c r="AN60">
        <v>1893</v>
      </c>
    </row>
    <row r="61" spans="2:40" x14ac:dyDescent="0.25">
      <c r="B61" t="s">
        <v>333</v>
      </c>
      <c r="C61" t="s">
        <v>334</v>
      </c>
      <c r="D61" t="s">
        <v>335</v>
      </c>
      <c r="H61" t="s">
        <v>336</v>
      </c>
      <c r="AC61" t="s">
        <v>338</v>
      </c>
      <c r="AD61" t="s">
        <v>337</v>
      </c>
      <c r="AE61">
        <v>64</v>
      </c>
      <c r="AF61">
        <v>60</v>
      </c>
      <c r="AH61" t="s">
        <v>358</v>
      </c>
      <c r="AJ61">
        <v>1001</v>
      </c>
      <c r="AK61" t="s">
        <v>209</v>
      </c>
      <c r="AM61">
        <v>1466</v>
      </c>
      <c r="AN61">
        <v>1893</v>
      </c>
    </row>
    <row r="62" spans="2:40" x14ac:dyDescent="0.25">
      <c r="B62" t="s">
        <v>333</v>
      </c>
      <c r="C62" t="s">
        <v>334</v>
      </c>
      <c r="D62" t="s">
        <v>335</v>
      </c>
      <c r="H62" t="s">
        <v>336</v>
      </c>
      <c r="AC62" t="s">
        <v>338</v>
      </c>
      <c r="AD62" t="s">
        <v>337</v>
      </c>
      <c r="AE62">
        <v>64</v>
      </c>
      <c r="AF62">
        <v>61</v>
      </c>
      <c r="AH62" t="s">
        <v>358</v>
      </c>
      <c r="AJ62">
        <v>1001</v>
      </c>
      <c r="AK62" t="s">
        <v>209</v>
      </c>
      <c r="AM62">
        <v>1671</v>
      </c>
      <c r="AN62">
        <v>1893</v>
      </c>
    </row>
    <row r="63" spans="2:40" x14ac:dyDescent="0.25">
      <c r="B63" t="s">
        <v>333</v>
      </c>
      <c r="C63" t="s">
        <v>334</v>
      </c>
      <c r="D63" t="s">
        <v>335</v>
      </c>
      <c r="H63" t="s">
        <v>336</v>
      </c>
      <c r="AC63" t="s">
        <v>338</v>
      </c>
      <c r="AD63" t="s">
        <v>337</v>
      </c>
      <c r="AE63">
        <v>64</v>
      </c>
      <c r="AF63">
        <v>62</v>
      </c>
      <c r="AH63" t="s">
        <v>360</v>
      </c>
      <c r="AJ63">
        <v>102</v>
      </c>
      <c r="AK63" t="s">
        <v>200</v>
      </c>
      <c r="AM63">
        <v>1875</v>
      </c>
      <c r="AN63">
        <v>1893</v>
      </c>
    </row>
    <row r="64" spans="2:40" x14ac:dyDescent="0.25">
      <c r="B64" t="s">
        <v>333</v>
      </c>
      <c r="C64" t="s">
        <v>334</v>
      </c>
      <c r="D64" t="s">
        <v>335</v>
      </c>
      <c r="H64" t="s">
        <v>336</v>
      </c>
      <c r="AC64" t="s">
        <v>338</v>
      </c>
      <c r="AD64" t="s">
        <v>337</v>
      </c>
      <c r="AE64">
        <v>64</v>
      </c>
      <c r="AF64">
        <v>63</v>
      </c>
      <c r="AH64" t="s">
        <v>358</v>
      </c>
      <c r="AJ64">
        <v>1001</v>
      </c>
      <c r="AK64" t="s">
        <v>209</v>
      </c>
      <c r="AM64">
        <v>2079</v>
      </c>
      <c r="AN64">
        <v>1893</v>
      </c>
    </row>
    <row r="65" spans="2:40" x14ac:dyDescent="0.25">
      <c r="B65" t="s">
        <v>333</v>
      </c>
      <c r="C65" t="s">
        <v>334</v>
      </c>
      <c r="D65" t="s">
        <v>335</v>
      </c>
      <c r="H65" t="s">
        <v>336</v>
      </c>
      <c r="AC65" t="s">
        <v>338</v>
      </c>
      <c r="AD65" t="s">
        <v>337</v>
      </c>
      <c r="AE65">
        <v>64</v>
      </c>
      <c r="AF65">
        <v>64</v>
      </c>
      <c r="AH65" t="s">
        <v>358</v>
      </c>
      <c r="AJ65">
        <v>1001</v>
      </c>
      <c r="AK65" t="s">
        <v>209</v>
      </c>
      <c r="AM65">
        <v>2284</v>
      </c>
      <c r="AN65">
        <v>1893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42578125" bestFit="1" customWidth="1"/>
    <col min="6" max="6" width="43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30">
        <v>303</v>
      </c>
      <c r="B2" s="38"/>
      <c r="C2" s="53">
        <v>300</v>
      </c>
      <c r="D2" s="53" t="s">
        <v>339</v>
      </c>
      <c r="E2" s="53" t="s">
        <v>413</v>
      </c>
      <c r="F2" s="53" t="s">
        <v>414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404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41"/>
    </row>
    <row r="3" spans="1:34" x14ac:dyDescent="0.25">
      <c r="A3" s="133">
        <v>102</v>
      </c>
      <c r="B3" s="31"/>
      <c r="C3">
        <v>100</v>
      </c>
      <c r="E3" t="s">
        <v>413</v>
      </c>
      <c r="F3" t="s">
        <v>414</v>
      </c>
      <c r="H3" t="s">
        <v>333</v>
      </c>
      <c r="I3" t="s">
        <v>334</v>
      </c>
      <c r="J3" t="s">
        <v>335</v>
      </c>
      <c r="N3" t="s">
        <v>404</v>
      </c>
      <c r="AH3" s="138"/>
    </row>
    <row r="4" spans="1:34" x14ac:dyDescent="0.25">
      <c r="A4" s="133">
        <v>303</v>
      </c>
      <c r="B4" s="31"/>
      <c r="C4">
        <v>300</v>
      </c>
      <c r="E4" t="s">
        <v>413</v>
      </c>
      <c r="F4" t="s">
        <v>414</v>
      </c>
      <c r="H4" t="s">
        <v>333</v>
      </c>
      <c r="I4" t="s">
        <v>334</v>
      </c>
      <c r="J4" t="s">
        <v>335</v>
      </c>
      <c r="N4" t="s">
        <v>404</v>
      </c>
      <c r="AH4" s="138"/>
    </row>
    <row r="5" spans="1:34" x14ac:dyDescent="0.25">
      <c r="A5" s="133">
        <v>303</v>
      </c>
      <c r="B5" s="31"/>
      <c r="C5">
        <v>300</v>
      </c>
      <c r="E5" t="s">
        <v>413</v>
      </c>
      <c r="F5" t="s">
        <v>414</v>
      </c>
      <c r="H5" t="s">
        <v>333</v>
      </c>
      <c r="I5" t="s">
        <v>334</v>
      </c>
      <c r="J5" t="s">
        <v>335</v>
      </c>
      <c r="N5" t="s">
        <v>404</v>
      </c>
      <c r="AH5" s="138"/>
    </row>
    <row r="6" spans="1:34" x14ac:dyDescent="0.25">
      <c r="A6" s="133">
        <v>102</v>
      </c>
      <c r="B6" s="31"/>
      <c r="C6">
        <v>100</v>
      </c>
      <c r="E6" t="s">
        <v>413</v>
      </c>
      <c r="F6" t="s">
        <v>414</v>
      </c>
      <c r="H6" t="s">
        <v>333</v>
      </c>
      <c r="I6" t="s">
        <v>334</v>
      </c>
      <c r="J6" t="s">
        <v>335</v>
      </c>
      <c r="N6" t="s">
        <v>404</v>
      </c>
      <c r="AH6" s="138"/>
    </row>
    <row r="7" spans="1:34" x14ac:dyDescent="0.25">
      <c r="A7" s="133">
        <v>303</v>
      </c>
      <c r="B7" s="31"/>
      <c r="C7">
        <v>300</v>
      </c>
      <c r="E7" t="s">
        <v>413</v>
      </c>
      <c r="F7" t="s">
        <v>414</v>
      </c>
      <c r="H7" t="s">
        <v>333</v>
      </c>
      <c r="I7" t="s">
        <v>334</v>
      </c>
      <c r="J7" t="s">
        <v>335</v>
      </c>
      <c r="N7" t="s">
        <v>404</v>
      </c>
      <c r="AH7" s="138"/>
    </row>
    <row r="8" spans="1:34" x14ac:dyDescent="0.25">
      <c r="A8" s="133">
        <v>303</v>
      </c>
      <c r="B8" s="31"/>
      <c r="C8">
        <v>300</v>
      </c>
      <c r="E8" t="s">
        <v>413</v>
      </c>
      <c r="F8" t="s">
        <v>414</v>
      </c>
      <c r="H8" t="s">
        <v>333</v>
      </c>
      <c r="I8" t="s">
        <v>334</v>
      </c>
      <c r="J8" t="s">
        <v>335</v>
      </c>
      <c r="N8" t="s">
        <v>404</v>
      </c>
      <c r="AH8" s="138"/>
    </row>
    <row r="9" spans="1:34" x14ac:dyDescent="0.25">
      <c r="A9" s="133">
        <v>102</v>
      </c>
      <c r="B9" s="31"/>
      <c r="C9">
        <v>100</v>
      </c>
      <c r="E9" t="s">
        <v>413</v>
      </c>
      <c r="F9" t="s">
        <v>414</v>
      </c>
      <c r="H9" t="s">
        <v>333</v>
      </c>
      <c r="I9" t="s">
        <v>334</v>
      </c>
      <c r="J9" t="s">
        <v>335</v>
      </c>
      <c r="N9" t="s">
        <v>404</v>
      </c>
      <c r="AH9" s="138"/>
    </row>
    <row r="10" spans="1:34" x14ac:dyDescent="0.25">
      <c r="A10" s="133">
        <v>102</v>
      </c>
      <c r="B10" s="31"/>
      <c r="C10">
        <v>100</v>
      </c>
      <c r="E10" t="s">
        <v>413</v>
      </c>
      <c r="F10" t="s">
        <v>414</v>
      </c>
      <c r="H10" t="s">
        <v>333</v>
      </c>
      <c r="I10" t="s">
        <v>334</v>
      </c>
      <c r="J10" t="s">
        <v>335</v>
      </c>
      <c r="N10" t="s">
        <v>404</v>
      </c>
      <c r="AH10" s="138"/>
    </row>
    <row r="11" spans="1:34" x14ac:dyDescent="0.25">
      <c r="A11" s="133">
        <v>903</v>
      </c>
      <c r="B11" s="31"/>
      <c r="C11">
        <v>900</v>
      </c>
      <c r="E11" t="s">
        <v>413</v>
      </c>
      <c r="F11" t="s">
        <v>414</v>
      </c>
      <c r="H11" t="s">
        <v>333</v>
      </c>
      <c r="I11" t="s">
        <v>334</v>
      </c>
      <c r="J11" t="s">
        <v>335</v>
      </c>
      <c r="N11" t="s">
        <v>404</v>
      </c>
      <c r="AH11" s="138"/>
    </row>
    <row r="12" spans="1:34" x14ac:dyDescent="0.25">
      <c r="A12" s="133">
        <v>903</v>
      </c>
      <c r="B12" s="31"/>
      <c r="C12">
        <v>900</v>
      </c>
      <c r="E12" t="s">
        <v>413</v>
      </c>
      <c r="F12" t="s">
        <v>414</v>
      </c>
      <c r="H12" t="s">
        <v>333</v>
      </c>
      <c r="I12" t="s">
        <v>334</v>
      </c>
      <c r="J12" t="s">
        <v>335</v>
      </c>
      <c r="N12" t="s">
        <v>404</v>
      </c>
      <c r="AH12" s="138"/>
    </row>
    <row r="13" spans="1:34" x14ac:dyDescent="0.25">
      <c r="A13" s="133">
        <v>501</v>
      </c>
      <c r="B13" s="31"/>
      <c r="C13">
        <v>500</v>
      </c>
      <c r="E13" t="s">
        <v>413</v>
      </c>
      <c r="F13" t="s">
        <v>414</v>
      </c>
      <c r="H13" t="s">
        <v>333</v>
      </c>
      <c r="I13" t="s">
        <v>334</v>
      </c>
      <c r="J13" t="s">
        <v>335</v>
      </c>
      <c r="N13" t="s">
        <v>404</v>
      </c>
      <c r="AH13" s="138"/>
    </row>
    <row r="14" spans="1:34" x14ac:dyDescent="0.25">
      <c r="A14" s="133">
        <v>501</v>
      </c>
      <c r="B14" s="31"/>
      <c r="C14">
        <v>500</v>
      </c>
      <c r="E14" t="s">
        <v>413</v>
      </c>
      <c r="F14" t="s">
        <v>414</v>
      </c>
      <c r="H14" t="s">
        <v>333</v>
      </c>
      <c r="I14" t="s">
        <v>334</v>
      </c>
      <c r="J14" t="s">
        <v>335</v>
      </c>
      <c r="N14" t="s">
        <v>404</v>
      </c>
      <c r="AH14" s="138"/>
    </row>
    <row r="15" spans="1:34" x14ac:dyDescent="0.25">
      <c r="A15" s="133">
        <v>501</v>
      </c>
      <c r="B15" s="31"/>
      <c r="C15">
        <v>500</v>
      </c>
      <c r="E15" t="s">
        <v>413</v>
      </c>
      <c r="F15" t="s">
        <v>414</v>
      </c>
      <c r="H15" t="s">
        <v>333</v>
      </c>
      <c r="I15" t="s">
        <v>334</v>
      </c>
      <c r="J15" t="s">
        <v>335</v>
      </c>
      <c r="N15" t="s">
        <v>404</v>
      </c>
      <c r="AH15" s="138"/>
    </row>
    <row r="16" spans="1:34" x14ac:dyDescent="0.25">
      <c r="A16" s="133">
        <v>501</v>
      </c>
      <c r="B16" s="31"/>
      <c r="C16">
        <v>500</v>
      </c>
      <c r="E16" t="s">
        <v>413</v>
      </c>
      <c r="F16" t="s">
        <v>414</v>
      </c>
      <c r="H16" t="s">
        <v>333</v>
      </c>
      <c r="I16" t="s">
        <v>334</v>
      </c>
      <c r="J16" t="s">
        <v>335</v>
      </c>
      <c r="N16" t="s">
        <v>404</v>
      </c>
      <c r="AH16" s="138"/>
    </row>
    <row r="17" spans="1:34" x14ac:dyDescent="0.25">
      <c r="A17" s="133">
        <v>501</v>
      </c>
      <c r="B17" s="31"/>
      <c r="C17">
        <v>500</v>
      </c>
      <c r="E17" t="s">
        <v>413</v>
      </c>
      <c r="F17" t="s">
        <v>414</v>
      </c>
      <c r="H17" t="s">
        <v>333</v>
      </c>
      <c r="I17" t="s">
        <v>334</v>
      </c>
      <c r="J17" t="s">
        <v>335</v>
      </c>
      <c r="N17" t="s">
        <v>404</v>
      </c>
      <c r="AH17" s="138"/>
    </row>
    <row r="18" spans="1:34" x14ac:dyDescent="0.25">
      <c r="A18" s="133">
        <v>303</v>
      </c>
      <c r="B18" s="31"/>
      <c r="C18">
        <v>300</v>
      </c>
      <c r="E18" t="s">
        <v>413</v>
      </c>
      <c r="F18" t="s">
        <v>414</v>
      </c>
      <c r="H18" t="s">
        <v>333</v>
      </c>
      <c r="I18" t="s">
        <v>334</v>
      </c>
      <c r="J18" t="s">
        <v>335</v>
      </c>
      <c r="N18" t="s">
        <v>404</v>
      </c>
      <c r="AH18" s="138"/>
    </row>
    <row r="19" spans="1:34" x14ac:dyDescent="0.25">
      <c r="A19" s="133">
        <v>501</v>
      </c>
      <c r="B19" s="31"/>
      <c r="C19">
        <v>500</v>
      </c>
      <c r="E19" t="s">
        <v>413</v>
      </c>
      <c r="F19" t="s">
        <v>414</v>
      </c>
      <c r="H19" t="s">
        <v>333</v>
      </c>
      <c r="I19" t="s">
        <v>334</v>
      </c>
      <c r="J19" t="s">
        <v>335</v>
      </c>
      <c r="N19" t="s">
        <v>404</v>
      </c>
      <c r="AH19" s="138"/>
    </row>
    <row r="20" spans="1:34" x14ac:dyDescent="0.25">
      <c r="A20" s="133">
        <v>501</v>
      </c>
      <c r="B20" s="31"/>
      <c r="C20">
        <v>500</v>
      </c>
      <c r="E20" t="s">
        <v>413</v>
      </c>
      <c r="F20" t="s">
        <v>414</v>
      </c>
      <c r="H20" t="s">
        <v>333</v>
      </c>
      <c r="I20" t="s">
        <v>334</v>
      </c>
      <c r="J20" t="s">
        <v>335</v>
      </c>
      <c r="N20" t="s">
        <v>404</v>
      </c>
      <c r="AH20" s="138"/>
    </row>
    <row r="21" spans="1:34" x14ac:dyDescent="0.25">
      <c r="A21" s="133">
        <v>501</v>
      </c>
      <c r="B21" s="31"/>
      <c r="C21">
        <v>500</v>
      </c>
      <c r="E21" t="s">
        <v>413</v>
      </c>
      <c r="F21" t="s">
        <v>414</v>
      </c>
      <c r="H21" t="s">
        <v>333</v>
      </c>
      <c r="I21" t="s">
        <v>334</v>
      </c>
      <c r="J21" t="s">
        <v>335</v>
      </c>
      <c r="N21" t="s">
        <v>404</v>
      </c>
      <c r="AH21" s="138"/>
    </row>
    <row r="22" spans="1:34" x14ac:dyDescent="0.25">
      <c r="A22" s="133">
        <v>903</v>
      </c>
      <c r="B22" s="31"/>
      <c r="C22">
        <v>900</v>
      </c>
      <c r="E22" t="s">
        <v>413</v>
      </c>
      <c r="F22" t="s">
        <v>414</v>
      </c>
      <c r="H22" t="s">
        <v>333</v>
      </c>
      <c r="I22" t="s">
        <v>334</v>
      </c>
      <c r="J22" t="s">
        <v>335</v>
      </c>
      <c r="N22" t="s">
        <v>404</v>
      </c>
      <c r="AH22" s="138"/>
    </row>
    <row r="23" spans="1:34" x14ac:dyDescent="0.25">
      <c r="A23" s="133">
        <v>501</v>
      </c>
      <c r="B23" s="31"/>
      <c r="C23">
        <v>500</v>
      </c>
      <c r="E23" t="s">
        <v>413</v>
      </c>
      <c r="F23" t="s">
        <v>414</v>
      </c>
      <c r="H23" t="s">
        <v>333</v>
      </c>
      <c r="I23" t="s">
        <v>334</v>
      </c>
      <c r="J23" t="s">
        <v>335</v>
      </c>
      <c r="N23" t="s">
        <v>404</v>
      </c>
      <c r="AH23" s="138"/>
    </row>
    <row r="24" spans="1:34" x14ac:dyDescent="0.25">
      <c r="A24" s="133">
        <v>501</v>
      </c>
      <c r="B24" s="31"/>
      <c r="C24">
        <v>500</v>
      </c>
      <c r="E24" t="s">
        <v>413</v>
      </c>
      <c r="F24" t="s">
        <v>414</v>
      </c>
      <c r="H24" t="s">
        <v>333</v>
      </c>
      <c r="I24" t="s">
        <v>334</v>
      </c>
      <c r="J24" t="s">
        <v>335</v>
      </c>
      <c r="N24" t="s">
        <v>404</v>
      </c>
      <c r="AH24" s="138"/>
    </row>
    <row r="25" spans="1:34" x14ac:dyDescent="0.25">
      <c r="A25" s="133">
        <v>501</v>
      </c>
      <c r="B25" s="31"/>
      <c r="C25">
        <v>500</v>
      </c>
      <c r="E25" t="s">
        <v>413</v>
      </c>
      <c r="F25" t="s">
        <v>414</v>
      </c>
      <c r="H25" t="s">
        <v>333</v>
      </c>
      <c r="I25" t="s">
        <v>334</v>
      </c>
      <c r="J25" t="s">
        <v>335</v>
      </c>
      <c r="N25" t="s">
        <v>404</v>
      </c>
      <c r="AH25" s="138"/>
    </row>
    <row r="26" spans="1:34" x14ac:dyDescent="0.25">
      <c r="A26" s="133">
        <v>102</v>
      </c>
      <c r="B26" s="31"/>
      <c r="C26">
        <v>100</v>
      </c>
      <c r="E26" t="s">
        <v>413</v>
      </c>
      <c r="F26" t="s">
        <v>414</v>
      </c>
      <c r="H26" t="s">
        <v>333</v>
      </c>
      <c r="I26" t="s">
        <v>334</v>
      </c>
      <c r="J26" t="s">
        <v>335</v>
      </c>
      <c r="N26" t="s">
        <v>404</v>
      </c>
      <c r="AH26" s="138"/>
    </row>
    <row r="27" spans="1:34" x14ac:dyDescent="0.25">
      <c r="A27" s="133">
        <v>903</v>
      </c>
      <c r="B27" s="31"/>
      <c r="C27">
        <v>900</v>
      </c>
      <c r="E27" t="s">
        <v>413</v>
      </c>
      <c r="F27" t="s">
        <v>414</v>
      </c>
      <c r="H27" t="s">
        <v>333</v>
      </c>
      <c r="I27" t="s">
        <v>334</v>
      </c>
      <c r="J27" t="s">
        <v>335</v>
      </c>
      <c r="N27" t="s">
        <v>404</v>
      </c>
      <c r="AH27" s="138"/>
    </row>
    <row r="28" spans="1:34" x14ac:dyDescent="0.25">
      <c r="A28" s="133">
        <v>604</v>
      </c>
      <c r="B28" s="31"/>
      <c r="C28">
        <v>600</v>
      </c>
      <c r="E28" t="s">
        <v>413</v>
      </c>
      <c r="F28" t="s">
        <v>414</v>
      </c>
      <c r="H28" t="s">
        <v>333</v>
      </c>
      <c r="I28" t="s">
        <v>334</v>
      </c>
      <c r="J28" t="s">
        <v>335</v>
      </c>
      <c r="N28" t="s">
        <v>404</v>
      </c>
      <c r="AH28" s="138"/>
    </row>
    <row r="29" spans="1:34" x14ac:dyDescent="0.25">
      <c r="A29" s="133">
        <v>903</v>
      </c>
      <c r="B29" s="31"/>
      <c r="C29">
        <v>900</v>
      </c>
      <c r="E29" t="s">
        <v>413</v>
      </c>
      <c r="F29" t="s">
        <v>414</v>
      </c>
      <c r="H29" t="s">
        <v>333</v>
      </c>
      <c r="I29" t="s">
        <v>334</v>
      </c>
      <c r="J29" t="s">
        <v>335</v>
      </c>
      <c r="N29" t="s">
        <v>404</v>
      </c>
      <c r="AH29" s="138"/>
    </row>
    <row r="30" spans="1:34" x14ac:dyDescent="0.25">
      <c r="A30" s="133">
        <v>501</v>
      </c>
      <c r="B30" s="31"/>
      <c r="C30">
        <v>500</v>
      </c>
      <c r="E30" t="s">
        <v>413</v>
      </c>
      <c r="F30" t="s">
        <v>414</v>
      </c>
      <c r="H30" t="s">
        <v>333</v>
      </c>
      <c r="I30" t="s">
        <v>334</v>
      </c>
      <c r="J30" t="s">
        <v>335</v>
      </c>
      <c r="N30" t="s">
        <v>404</v>
      </c>
      <c r="AH30" s="138"/>
    </row>
    <row r="31" spans="1:34" x14ac:dyDescent="0.25">
      <c r="A31" s="133">
        <v>501</v>
      </c>
      <c r="B31" s="31"/>
      <c r="C31">
        <v>500</v>
      </c>
      <c r="E31" t="s">
        <v>413</v>
      </c>
      <c r="F31" t="s">
        <v>414</v>
      </c>
      <c r="H31" t="s">
        <v>333</v>
      </c>
      <c r="I31" t="s">
        <v>334</v>
      </c>
      <c r="J31" t="s">
        <v>335</v>
      </c>
      <c r="N31" t="s">
        <v>404</v>
      </c>
      <c r="AH31" s="138"/>
    </row>
    <row r="32" spans="1:34" x14ac:dyDescent="0.25">
      <c r="A32" s="133">
        <v>501</v>
      </c>
      <c r="B32" s="31"/>
      <c r="C32">
        <v>500</v>
      </c>
      <c r="E32" t="s">
        <v>413</v>
      </c>
      <c r="F32" t="s">
        <v>414</v>
      </c>
      <c r="H32" t="s">
        <v>333</v>
      </c>
      <c r="I32" t="s">
        <v>334</v>
      </c>
      <c r="J32" t="s">
        <v>335</v>
      </c>
      <c r="N32" t="s">
        <v>404</v>
      </c>
      <c r="AH32" s="138"/>
    </row>
    <row r="33" spans="1:34" x14ac:dyDescent="0.25">
      <c r="A33" s="133">
        <v>102</v>
      </c>
      <c r="B33" s="31"/>
      <c r="C33">
        <v>100</v>
      </c>
      <c r="E33" t="s">
        <v>413</v>
      </c>
      <c r="F33" t="s">
        <v>414</v>
      </c>
      <c r="H33" t="s">
        <v>333</v>
      </c>
      <c r="I33" t="s">
        <v>334</v>
      </c>
      <c r="J33" t="s">
        <v>335</v>
      </c>
      <c r="N33" t="s">
        <v>404</v>
      </c>
      <c r="AH33" s="138"/>
    </row>
    <row r="34" spans="1:34" x14ac:dyDescent="0.25">
      <c r="A34" s="133">
        <v>303</v>
      </c>
      <c r="B34" s="31"/>
      <c r="C34">
        <v>300</v>
      </c>
      <c r="E34" t="s">
        <v>413</v>
      </c>
      <c r="F34" t="s">
        <v>414</v>
      </c>
      <c r="H34" t="s">
        <v>333</v>
      </c>
      <c r="I34" t="s">
        <v>334</v>
      </c>
      <c r="J34" t="s">
        <v>335</v>
      </c>
      <c r="N34" t="s">
        <v>404</v>
      </c>
      <c r="AH34" s="138"/>
    </row>
    <row r="35" spans="1:34" x14ac:dyDescent="0.25">
      <c r="A35" s="133">
        <v>102</v>
      </c>
      <c r="B35" s="31"/>
      <c r="C35">
        <v>100</v>
      </c>
      <c r="E35" t="s">
        <v>413</v>
      </c>
      <c r="F35" t="s">
        <v>414</v>
      </c>
      <c r="H35" t="s">
        <v>333</v>
      </c>
      <c r="I35" t="s">
        <v>334</v>
      </c>
      <c r="J35" t="s">
        <v>335</v>
      </c>
      <c r="N35" t="s">
        <v>404</v>
      </c>
      <c r="AH35" s="138"/>
    </row>
    <row r="36" spans="1:34" x14ac:dyDescent="0.25">
      <c r="A36" s="133">
        <v>102</v>
      </c>
      <c r="B36" s="31"/>
      <c r="C36">
        <v>100</v>
      </c>
      <c r="E36" t="s">
        <v>413</v>
      </c>
      <c r="F36" t="s">
        <v>414</v>
      </c>
      <c r="H36" t="s">
        <v>333</v>
      </c>
      <c r="I36" t="s">
        <v>334</v>
      </c>
      <c r="J36" t="s">
        <v>335</v>
      </c>
      <c r="N36" t="s">
        <v>404</v>
      </c>
      <c r="AH36" s="138"/>
    </row>
    <row r="37" spans="1:34" x14ac:dyDescent="0.25">
      <c r="A37" s="133">
        <v>102</v>
      </c>
      <c r="B37" s="31"/>
      <c r="C37">
        <v>100</v>
      </c>
      <c r="E37" t="s">
        <v>413</v>
      </c>
      <c r="F37" t="s">
        <v>414</v>
      </c>
      <c r="H37" t="s">
        <v>333</v>
      </c>
      <c r="I37" t="s">
        <v>334</v>
      </c>
      <c r="J37" t="s">
        <v>335</v>
      </c>
      <c r="N37" t="s">
        <v>404</v>
      </c>
      <c r="AH37" s="138"/>
    </row>
    <row r="38" spans="1:34" x14ac:dyDescent="0.25">
      <c r="A38" s="133">
        <v>903</v>
      </c>
      <c r="B38" s="31"/>
      <c r="C38">
        <v>900</v>
      </c>
      <c r="E38" t="s">
        <v>413</v>
      </c>
      <c r="F38" t="s">
        <v>414</v>
      </c>
      <c r="H38" t="s">
        <v>333</v>
      </c>
      <c r="I38" t="s">
        <v>334</v>
      </c>
      <c r="J38" t="s">
        <v>335</v>
      </c>
      <c r="N38" t="s">
        <v>404</v>
      </c>
      <c r="AH38" s="138"/>
    </row>
    <row r="39" spans="1:34" x14ac:dyDescent="0.25">
      <c r="A39" s="133">
        <v>501</v>
      </c>
      <c r="B39" s="31"/>
      <c r="C39">
        <v>500</v>
      </c>
      <c r="E39" t="s">
        <v>413</v>
      </c>
      <c r="F39" t="s">
        <v>414</v>
      </c>
      <c r="H39" t="s">
        <v>333</v>
      </c>
      <c r="I39" t="s">
        <v>334</v>
      </c>
      <c r="J39" t="s">
        <v>335</v>
      </c>
      <c r="N39" t="s">
        <v>404</v>
      </c>
      <c r="AH39" s="138"/>
    </row>
    <row r="40" spans="1:34" x14ac:dyDescent="0.25">
      <c r="A40" s="133">
        <v>501</v>
      </c>
      <c r="B40" s="31"/>
      <c r="C40">
        <v>500</v>
      </c>
      <c r="E40" t="s">
        <v>413</v>
      </c>
      <c r="F40" t="s">
        <v>414</v>
      </c>
      <c r="H40" t="s">
        <v>333</v>
      </c>
      <c r="I40" t="s">
        <v>334</v>
      </c>
      <c r="J40" t="s">
        <v>335</v>
      </c>
      <c r="N40" t="s">
        <v>404</v>
      </c>
      <c r="AH40" s="138"/>
    </row>
    <row r="41" spans="1:34" x14ac:dyDescent="0.25">
      <c r="A41" s="133">
        <v>501</v>
      </c>
      <c r="B41" s="31"/>
      <c r="C41">
        <v>500</v>
      </c>
      <c r="E41" t="s">
        <v>413</v>
      </c>
      <c r="F41" t="s">
        <v>414</v>
      </c>
      <c r="H41" t="s">
        <v>333</v>
      </c>
      <c r="I41" t="s">
        <v>334</v>
      </c>
      <c r="J41" t="s">
        <v>335</v>
      </c>
      <c r="N41" t="s">
        <v>404</v>
      </c>
      <c r="AH41" s="138"/>
    </row>
    <row r="42" spans="1:34" x14ac:dyDescent="0.25">
      <c r="A42" s="133">
        <v>303</v>
      </c>
      <c r="B42" s="31"/>
      <c r="C42">
        <v>300</v>
      </c>
      <c r="E42" t="s">
        <v>413</v>
      </c>
      <c r="F42" t="s">
        <v>414</v>
      </c>
      <c r="H42" t="s">
        <v>333</v>
      </c>
      <c r="I42" t="s">
        <v>334</v>
      </c>
      <c r="J42" t="s">
        <v>335</v>
      </c>
      <c r="N42" t="s">
        <v>404</v>
      </c>
      <c r="AH42" s="138"/>
    </row>
    <row r="43" spans="1:34" x14ac:dyDescent="0.25">
      <c r="A43" s="133">
        <v>501</v>
      </c>
      <c r="B43" s="31"/>
      <c r="C43">
        <v>500</v>
      </c>
      <c r="E43" t="s">
        <v>413</v>
      </c>
      <c r="F43" t="s">
        <v>414</v>
      </c>
      <c r="H43" t="s">
        <v>333</v>
      </c>
      <c r="I43" t="s">
        <v>334</v>
      </c>
      <c r="J43" t="s">
        <v>335</v>
      </c>
      <c r="N43" t="s">
        <v>404</v>
      </c>
      <c r="AH43" s="138"/>
    </row>
    <row r="44" spans="1:34" x14ac:dyDescent="0.25">
      <c r="A44" s="133">
        <v>903</v>
      </c>
      <c r="B44" s="31"/>
      <c r="C44">
        <v>900</v>
      </c>
      <c r="E44" t="s">
        <v>413</v>
      </c>
      <c r="F44" t="s">
        <v>414</v>
      </c>
      <c r="H44" t="s">
        <v>333</v>
      </c>
      <c r="I44" t="s">
        <v>334</v>
      </c>
      <c r="J44" t="s">
        <v>335</v>
      </c>
      <c r="N44" t="s">
        <v>404</v>
      </c>
      <c r="AH44" s="138"/>
    </row>
    <row r="45" spans="1:34" x14ac:dyDescent="0.25">
      <c r="A45" s="133">
        <v>102</v>
      </c>
      <c r="B45" s="31"/>
      <c r="C45">
        <v>100</v>
      </c>
      <c r="E45" t="s">
        <v>413</v>
      </c>
      <c r="F45" t="s">
        <v>414</v>
      </c>
      <c r="H45" t="s">
        <v>333</v>
      </c>
      <c r="I45" t="s">
        <v>334</v>
      </c>
      <c r="J45" t="s">
        <v>335</v>
      </c>
      <c r="N45" t="s">
        <v>404</v>
      </c>
      <c r="AH45" s="138"/>
    </row>
    <row r="46" spans="1:34" x14ac:dyDescent="0.25">
      <c r="A46" s="133">
        <v>501</v>
      </c>
      <c r="B46" s="31"/>
      <c r="C46">
        <v>500</v>
      </c>
      <c r="E46" t="s">
        <v>413</v>
      </c>
      <c r="F46" t="s">
        <v>414</v>
      </c>
      <c r="H46" t="s">
        <v>333</v>
      </c>
      <c r="I46" t="s">
        <v>334</v>
      </c>
      <c r="J46" t="s">
        <v>335</v>
      </c>
      <c r="N46" t="s">
        <v>404</v>
      </c>
      <c r="AH46" s="138"/>
    </row>
    <row r="47" spans="1:34" x14ac:dyDescent="0.25">
      <c r="A47" s="133">
        <v>501</v>
      </c>
      <c r="B47" s="31"/>
      <c r="C47">
        <v>500</v>
      </c>
      <c r="E47" t="s">
        <v>413</v>
      </c>
      <c r="F47" t="s">
        <v>414</v>
      </c>
      <c r="H47" t="s">
        <v>333</v>
      </c>
      <c r="I47" t="s">
        <v>334</v>
      </c>
      <c r="J47" t="s">
        <v>335</v>
      </c>
      <c r="N47" t="s">
        <v>404</v>
      </c>
      <c r="AH47" s="138"/>
    </row>
    <row r="48" spans="1:34" x14ac:dyDescent="0.25">
      <c r="A48" s="133">
        <v>903</v>
      </c>
      <c r="B48" s="31"/>
      <c r="C48">
        <v>900</v>
      </c>
      <c r="E48" t="s">
        <v>413</v>
      </c>
      <c r="F48" t="s">
        <v>414</v>
      </c>
      <c r="H48" t="s">
        <v>333</v>
      </c>
      <c r="I48" t="s">
        <v>334</v>
      </c>
      <c r="J48" t="s">
        <v>335</v>
      </c>
      <c r="N48" t="s">
        <v>404</v>
      </c>
      <c r="AH48" s="138"/>
    </row>
    <row r="49" spans="1:34" x14ac:dyDescent="0.25">
      <c r="A49" s="133">
        <v>501</v>
      </c>
      <c r="B49" s="31"/>
      <c r="C49">
        <v>500</v>
      </c>
      <c r="E49" t="s">
        <v>413</v>
      </c>
      <c r="F49" t="s">
        <v>414</v>
      </c>
      <c r="H49" t="s">
        <v>333</v>
      </c>
      <c r="I49" t="s">
        <v>334</v>
      </c>
      <c r="J49" t="s">
        <v>335</v>
      </c>
      <c r="N49" t="s">
        <v>404</v>
      </c>
      <c r="AH49" s="138"/>
    </row>
    <row r="50" spans="1:34" x14ac:dyDescent="0.25">
      <c r="A50" s="133">
        <v>303</v>
      </c>
      <c r="B50" s="31"/>
      <c r="C50">
        <v>300</v>
      </c>
      <c r="E50" t="s">
        <v>413</v>
      </c>
      <c r="F50" t="s">
        <v>414</v>
      </c>
      <c r="H50" t="s">
        <v>333</v>
      </c>
      <c r="I50" t="s">
        <v>334</v>
      </c>
      <c r="J50" t="s">
        <v>335</v>
      </c>
      <c r="N50" t="s">
        <v>404</v>
      </c>
      <c r="AH50" s="138"/>
    </row>
    <row r="51" spans="1:34" x14ac:dyDescent="0.25">
      <c r="A51" s="133">
        <v>501</v>
      </c>
      <c r="B51" s="31"/>
      <c r="C51">
        <v>500</v>
      </c>
      <c r="E51" t="s">
        <v>413</v>
      </c>
      <c r="F51" t="s">
        <v>414</v>
      </c>
      <c r="H51" t="s">
        <v>333</v>
      </c>
      <c r="I51" t="s">
        <v>334</v>
      </c>
      <c r="J51" t="s">
        <v>335</v>
      </c>
      <c r="N51" t="s">
        <v>404</v>
      </c>
      <c r="AH51" s="138"/>
    </row>
    <row r="52" spans="1:34" x14ac:dyDescent="0.25">
      <c r="A52" s="133">
        <v>501</v>
      </c>
      <c r="B52" s="31"/>
      <c r="C52">
        <v>500</v>
      </c>
      <c r="E52" t="s">
        <v>413</v>
      </c>
      <c r="F52" t="s">
        <v>414</v>
      </c>
      <c r="H52" t="s">
        <v>333</v>
      </c>
      <c r="I52" t="s">
        <v>334</v>
      </c>
      <c r="J52" t="s">
        <v>335</v>
      </c>
      <c r="N52" t="s">
        <v>404</v>
      </c>
      <c r="AH52" s="138"/>
    </row>
    <row r="53" spans="1:34" x14ac:dyDescent="0.25">
      <c r="A53" s="133">
        <v>501</v>
      </c>
      <c r="B53" s="31"/>
      <c r="C53">
        <v>500</v>
      </c>
      <c r="E53" t="s">
        <v>413</v>
      </c>
      <c r="F53" t="s">
        <v>414</v>
      </c>
      <c r="H53" t="s">
        <v>333</v>
      </c>
      <c r="I53" t="s">
        <v>334</v>
      </c>
      <c r="J53" t="s">
        <v>335</v>
      </c>
      <c r="N53" t="s">
        <v>404</v>
      </c>
      <c r="AH53" s="138"/>
    </row>
    <row r="54" spans="1:34" x14ac:dyDescent="0.25">
      <c r="A54" s="133">
        <v>501</v>
      </c>
      <c r="B54" s="31"/>
      <c r="C54">
        <v>500</v>
      </c>
      <c r="E54" t="s">
        <v>413</v>
      </c>
      <c r="F54" t="s">
        <v>414</v>
      </c>
      <c r="H54" t="s">
        <v>333</v>
      </c>
      <c r="I54" t="s">
        <v>334</v>
      </c>
      <c r="J54" t="s">
        <v>335</v>
      </c>
      <c r="N54" t="s">
        <v>404</v>
      </c>
      <c r="AH54" s="138"/>
    </row>
    <row r="55" spans="1:34" x14ac:dyDescent="0.25">
      <c r="A55" s="133">
        <v>903</v>
      </c>
      <c r="B55" s="31"/>
      <c r="C55">
        <v>900</v>
      </c>
      <c r="E55" t="s">
        <v>413</v>
      </c>
      <c r="F55" t="s">
        <v>414</v>
      </c>
      <c r="H55" t="s">
        <v>333</v>
      </c>
      <c r="I55" t="s">
        <v>334</v>
      </c>
      <c r="J55" t="s">
        <v>335</v>
      </c>
      <c r="N55" t="s">
        <v>404</v>
      </c>
      <c r="AH55" s="138"/>
    </row>
    <row r="56" spans="1:34" x14ac:dyDescent="0.25">
      <c r="A56" s="133">
        <v>501</v>
      </c>
      <c r="B56" s="31"/>
      <c r="C56">
        <v>500</v>
      </c>
      <c r="E56" t="s">
        <v>413</v>
      </c>
      <c r="F56" t="s">
        <v>414</v>
      </c>
      <c r="H56" t="s">
        <v>333</v>
      </c>
      <c r="I56" t="s">
        <v>334</v>
      </c>
      <c r="J56" t="s">
        <v>335</v>
      </c>
      <c r="N56" t="s">
        <v>404</v>
      </c>
      <c r="AH56" s="138"/>
    </row>
    <row r="57" spans="1:34" x14ac:dyDescent="0.25">
      <c r="A57" s="133">
        <v>501</v>
      </c>
      <c r="B57" s="31"/>
      <c r="C57">
        <v>500</v>
      </c>
      <c r="E57" t="s">
        <v>413</v>
      </c>
      <c r="F57" t="s">
        <v>414</v>
      </c>
      <c r="H57" t="s">
        <v>333</v>
      </c>
      <c r="I57" t="s">
        <v>334</v>
      </c>
      <c r="J57" t="s">
        <v>335</v>
      </c>
      <c r="N57" t="s">
        <v>404</v>
      </c>
      <c r="AH57" s="138"/>
    </row>
    <row r="58" spans="1:34" x14ac:dyDescent="0.25">
      <c r="A58" s="133">
        <v>303</v>
      </c>
      <c r="B58" s="31"/>
      <c r="C58">
        <v>300</v>
      </c>
      <c r="E58" t="s">
        <v>413</v>
      </c>
      <c r="F58" t="s">
        <v>414</v>
      </c>
      <c r="H58" t="s">
        <v>333</v>
      </c>
      <c r="I58" t="s">
        <v>334</v>
      </c>
      <c r="J58" t="s">
        <v>335</v>
      </c>
      <c r="N58" t="s">
        <v>404</v>
      </c>
      <c r="AH58" s="138"/>
    </row>
    <row r="59" spans="1:34" x14ac:dyDescent="0.25">
      <c r="A59" s="133">
        <v>303</v>
      </c>
      <c r="B59" s="31"/>
      <c r="C59">
        <v>300</v>
      </c>
      <c r="E59" t="s">
        <v>413</v>
      </c>
      <c r="F59" t="s">
        <v>414</v>
      </c>
      <c r="H59" t="s">
        <v>333</v>
      </c>
      <c r="I59" t="s">
        <v>334</v>
      </c>
      <c r="J59" t="s">
        <v>335</v>
      </c>
      <c r="N59" t="s">
        <v>404</v>
      </c>
      <c r="AH59" s="138"/>
    </row>
    <row r="60" spans="1:34" x14ac:dyDescent="0.25">
      <c r="A60" s="133">
        <v>303</v>
      </c>
      <c r="B60" s="31"/>
      <c r="C60">
        <v>300</v>
      </c>
      <c r="E60" t="s">
        <v>413</v>
      </c>
      <c r="F60" t="s">
        <v>414</v>
      </c>
      <c r="H60" t="s">
        <v>333</v>
      </c>
      <c r="I60" t="s">
        <v>334</v>
      </c>
      <c r="J60" t="s">
        <v>335</v>
      </c>
      <c r="N60" t="s">
        <v>404</v>
      </c>
      <c r="AH60" s="138"/>
    </row>
    <row r="61" spans="1:34" x14ac:dyDescent="0.25">
      <c r="A61" s="133">
        <v>303</v>
      </c>
      <c r="B61" s="31"/>
      <c r="C61">
        <v>300</v>
      </c>
      <c r="E61" t="s">
        <v>413</v>
      </c>
      <c r="F61" t="s">
        <v>414</v>
      </c>
      <c r="H61" t="s">
        <v>333</v>
      </c>
      <c r="I61" t="s">
        <v>334</v>
      </c>
      <c r="J61" t="s">
        <v>335</v>
      </c>
      <c r="N61" t="s">
        <v>404</v>
      </c>
      <c r="AH61" s="138"/>
    </row>
    <row r="62" spans="1:34" x14ac:dyDescent="0.25">
      <c r="A62" s="133">
        <v>303</v>
      </c>
      <c r="B62" s="31"/>
      <c r="C62">
        <v>300</v>
      </c>
      <c r="E62" t="s">
        <v>413</v>
      </c>
      <c r="F62" t="s">
        <v>414</v>
      </c>
      <c r="H62" t="s">
        <v>333</v>
      </c>
      <c r="I62" t="s">
        <v>334</v>
      </c>
      <c r="J62" t="s">
        <v>335</v>
      </c>
      <c r="N62" t="s">
        <v>404</v>
      </c>
      <c r="AH62" s="138"/>
    </row>
    <row r="63" spans="1:34" x14ac:dyDescent="0.25">
      <c r="A63" s="133">
        <v>501</v>
      </c>
      <c r="B63" s="31"/>
      <c r="C63">
        <v>500</v>
      </c>
      <c r="E63" t="s">
        <v>413</v>
      </c>
      <c r="F63" t="s">
        <v>414</v>
      </c>
      <c r="H63" t="s">
        <v>333</v>
      </c>
      <c r="I63" t="s">
        <v>334</v>
      </c>
      <c r="J63" t="s">
        <v>335</v>
      </c>
      <c r="N63" t="s">
        <v>404</v>
      </c>
      <c r="AH63" s="138"/>
    </row>
    <row r="64" spans="1:34" x14ac:dyDescent="0.25">
      <c r="A64" s="133">
        <v>303</v>
      </c>
      <c r="B64" s="31"/>
      <c r="C64">
        <v>300</v>
      </c>
      <c r="E64" t="s">
        <v>413</v>
      </c>
      <c r="F64" t="s">
        <v>414</v>
      </c>
      <c r="H64" t="s">
        <v>333</v>
      </c>
      <c r="I64" t="s">
        <v>334</v>
      </c>
      <c r="J64" t="s">
        <v>335</v>
      </c>
      <c r="N64" t="s">
        <v>404</v>
      </c>
      <c r="AH64" s="138"/>
    </row>
    <row r="65" spans="1:34" ht="15.75" thickBot="1" x14ac:dyDescent="0.3">
      <c r="A65" s="134">
        <v>303</v>
      </c>
      <c r="B65" s="39"/>
      <c r="C65" s="40">
        <v>300</v>
      </c>
      <c r="D65" s="40" t="s">
        <v>340</v>
      </c>
      <c r="E65" s="40" t="s">
        <v>413</v>
      </c>
      <c r="F65" s="40" t="s">
        <v>414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404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39"/>
    </row>
    <row r="66" spans="1:34" ht="15.75" thickTop="1" x14ac:dyDescent="0.25"/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28515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42578125" bestFit="1" customWidth="1"/>
    <col min="30" max="30" width="43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385</v>
      </c>
      <c r="AC2" t="s">
        <v>387</v>
      </c>
      <c r="AD2" t="s">
        <v>386</v>
      </c>
      <c r="AE2">
        <v>64</v>
      </c>
      <c r="AF2">
        <v>1</v>
      </c>
      <c r="AH2" t="s">
        <v>358</v>
      </c>
      <c r="AJ2">
        <v>1001</v>
      </c>
      <c r="AK2" t="s">
        <v>209</v>
      </c>
      <c r="AM2">
        <v>744</v>
      </c>
      <c r="AN2">
        <v>287</v>
      </c>
    </row>
    <row r="3" spans="1:40" x14ac:dyDescent="0.25">
      <c r="B3" t="s">
        <v>333</v>
      </c>
      <c r="C3" t="s">
        <v>334</v>
      </c>
      <c r="D3" t="s">
        <v>335</v>
      </c>
      <c r="H3" t="s">
        <v>385</v>
      </c>
      <c r="AC3" t="s">
        <v>387</v>
      </c>
      <c r="AD3" t="s">
        <v>386</v>
      </c>
      <c r="AE3">
        <v>64</v>
      </c>
      <c r="AF3">
        <v>2</v>
      </c>
      <c r="AH3" t="s">
        <v>358</v>
      </c>
      <c r="AJ3">
        <v>1001</v>
      </c>
      <c r="AK3" t="s">
        <v>209</v>
      </c>
      <c r="AM3">
        <v>954</v>
      </c>
      <c r="AN3">
        <v>287</v>
      </c>
    </row>
    <row r="4" spans="1:40" x14ac:dyDescent="0.25">
      <c r="B4" t="s">
        <v>333</v>
      </c>
      <c r="C4" t="s">
        <v>334</v>
      </c>
      <c r="D4" t="s">
        <v>335</v>
      </c>
      <c r="H4" t="s">
        <v>385</v>
      </c>
      <c r="AC4" t="s">
        <v>387</v>
      </c>
      <c r="AD4" t="s">
        <v>386</v>
      </c>
      <c r="AE4">
        <v>64</v>
      </c>
      <c r="AF4">
        <v>3</v>
      </c>
      <c r="AH4" t="s">
        <v>388</v>
      </c>
      <c r="AJ4">
        <v>106</v>
      </c>
      <c r="AK4" t="s">
        <v>200</v>
      </c>
      <c r="AM4">
        <v>1164</v>
      </c>
      <c r="AN4">
        <v>287</v>
      </c>
    </row>
    <row r="5" spans="1:40" x14ac:dyDescent="0.25">
      <c r="B5" t="s">
        <v>333</v>
      </c>
      <c r="C5" t="s">
        <v>334</v>
      </c>
      <c r="D5" t="s">
        <v>335</v>
      </c>
      <c r="H5" t="s">
        <v>385</v>
      </c>
      <c r="AC5" t="s">
        <v>387</v>
      </c>
      <c r="AD5" t="s">
        <v>386</v>
      </c>
      <c r="AE5">
        <v>64</v>
      </c>
      <c r="AF5">
        <v>4</v>
      </c>
      <c r="AH5" t="s">
        <v>388</v>
      </c>
      <c r="AJ5">
        <v>106</v>
      </c>
      <c r="AK5" t="s">
        <v>200</v>
      </c>
      <c r="AM5">
        <v>1374</v>
      </c>
      <c r="AN5">
        <v>287</v>
      </c>
    </row>
    <row r="6" spans="1:40" x14ac:dyDescent="0.25">
      <c r="B6" t="s">
        <v>333</v>
      </c>
      <c r="C6" t="s">
        <v>334</v>
      </c>
      <c r="D6" t="s">
        <v>335</v>
      </c>
      <c r="H6" t="s">
        <v>385</v>
      </c>
      <c r="AC6" t="s">
        <v>387</v>
      </c>
      <c r="AD6" t="s">
        <v>386</v>
      </c>
      <c r="AE6">
        <v>64</v>
      </c>
      <c r="AF6">
        <v>5</v>
      </c>
      <c r="AH6" t="s">
        <v>388</v>
      </c>
      <c r="AJ6">
        <v>106</v>
      </c>
      <c r="AK6" t="s">
        <v>200</v>
      </c>
      <c r="AM6">
        <v>1584</v>
      </c>
      <c r="AN6">
        <v>287</v>
      </c>
    </row>
    <row r="7" spans="1:40" x14ac:dyDescent="0.25">
      <c r="B7" t="s">
        <v>333</v>
      </c>
      <c r="C7" t="s">
        <v>334</v>
      </c>
      <c r="D7" t="s">
        <v>335</v>
      </c>
      <c r="H7" t="s">
        <v>385</v>
      </c>
      <c r="AC7" t="s">
        <v>387</v>
      </c>
      <c r="AD7" t="s">
        <v>386</v>
      </c>
      <c r="AE7">
        <v>64</v>
      </c>
      <c r="AF7">
        <v>6</v>
      </c>
      <c r="AH7" t="s">
        <v>388</v>
      </c>
      <c r="AJ7">
        <v>106</v>
      </c>
      <c r="AK7" t="s">
        <v>200</v>
      </c>
      <c r="AM7">
        <v>1794</v>
      </c>
      <c r="AN7">
        <v>287</v>
      </c>
    </row>
    <row r="8" spans="1:40" x14ac:dyDescent="0.25">
      <c r="B8" t="s">
        <v>333</v>
      </c>
      <c r="C8" t="s">
        <v>334</v>
      </c>
      <c r="D8" t="s">
        <v>335</v>
      </c>
      <c r="H8" t="s">
        <v>385</v>
      </c>
      <c r="AC8" t="s">
        <v>387</v>
      </c>
      <c r="AD8" t="s">
        <v>386</v>
      </c>
      <c r="AE8">
        <v>64</v>
      </c>
      <c r="AF8">
        <v>7</v>
      </c>
      <c r="AH8" t="s">
        <v>360</v>
      </c>
      <c r="AJ8">
        <v>102</v>
      </c>
      <c r="AK8" t="s">
        <v>200</v>
      </c>
      <c r="AM8">
        <v>2004</v>
      </c>
      <c r="AN8">
        <v>287</v>
      </c>
    </row>
    <row r="9" spans="1:40" x14ac:dyDescent="0.25">
      <c r="B9" t="s">
        <v>333</v>
      </c>
      <c r="C9" t="s">
        <v>334</v>
      </c>
      <c r="D9" t="s">
        <v>335</v>
      </c>
      <c r="H9" t="s">
        <v>385</v>
      </c>
      <c r="AC9" t="s">
        <v>387</v>
      </c>
      <c r="AD9" t="s">
        <v>386</v>
      </c>
      <c r="AE9">
        <v>64</v>
      </c>
      <c r="AF9">
        <v>8</v>
      </c>
      <c r="AH9" t="s">
        <v>360</v>
      </c>
      <c r="AJ9">
        <v>102</v>
      </c>
      <c r="AK9" t="s">
        <v>200</v>
      </c>
      <c r="AM9">
        <v>2214</v>
      </c>
      <c r="AN9">
        <v>287</v>
      </c>
    </row>
    <row r="10" spans="1:40" x14ac:dyDescent="0.25">
      <c r="B10" t="s">
        <v>333</v>
      </c>
      <c r="C10" t="s">
        <v>334</v>
      </c>
      <c r="D10" t="s">
        <v>335</v>
      </c>
      <c r="H10" t="s">
        <v>385</v>
      </c>
      <c r="AC10" t="s">
        <v>387</v>
      </c>
      <c r="AD10" t="s">
        <v>386</v>
      </c>
      <c r="AE10">
        <v>64</v>
      </c>
      <c r="AF10">
        <v>9</v>
      </c>
      <c r="AH10" t="s">
        <v>358</v>
      </c>
      <c r="AJ10">
        <v>1001</v>
      </c>
      <c r="AK10" t="s">
        <v>209</v>
      </c>
      <c r="AM10">
        <v>744</v>
      </c>
      <c r="AN10">
        <v>497</v>
      </c>
    </row>
    <row r="11" spans="1:40" x14ac:dyDescent="0.25">
      <c r="B11" t="s">
        <v>333</v>
      </c>
      <c r="C11" t="s">
        <v>334</v>
      </c>
      <c r="D11" t="s">
        <v>335</v>
      </c>
      <c r="H11" t="s">
        <v>385</v>
      </c>
      <c r="AC11" t="s">
        <v>387</v>
      </c>
      <c r="AD11" t="s">
        <v>386</v>
      </c>
      <c r="AE11">
        <v>64</v>
      </c>
      <c r="AF11">
        <v>10</v>
      </c>
      <c r="AH11" t="s">
        <v>389</v>
      </c>
      <c r="AJ11">
        <v>501</v>
      </c>
      <c r="AK11" t="s">
        <v>204</v>
      </c>
      <c r="AM11">
        <v>954</v>
      </c>
      <c r="AN11">
        <v>497</v>
      </c>
    </row>
    <row r="12" spans="1:40" x14ac:dyDescent="0.25">
      <c r="B12" t="s">
        <v>333</v>
      </c>
      <c r="C12" t="s">
        <v>334</v>
      </c>
      <c r="D12" t="s">
        <v>335</v>
      </c>
      <c r="H12" t="s">
        <v>385</v>
      </c>
      <c r="AC12" t="s">
        <v>387</v>
      </c>
      <c r="AD12" t="s">
        <v>386</v>
      </c>
      <c r="AE12">
        <v>64</v>
      </c>
      <c r="AF12">
        <v>11</v>
      </c>
      <c r="AH12" t="s">
        <v>388</v>
      </c>
      <c r="AJ12">
        <v>106</v>
      </c>
      <c r="AK12" t="s">
        <v>200</v>
      </c>
      <c r="AM12">
        <v>1164</v>
      </c>
      <c r="AN12">
        <v>497</v>
      </c>
    </row>
    <row r="13" spans="1:40" x14ac:dyDescent="0.25">
      <c r="B13" t="s">
        <v>333</v>
      </c>
      <c r="C13" t="s">
        <v>334</v>
      </c>
      <c r="D13" t="s">
        <v>335</v>
      </c>
      <c r="H13" t="s">
        <v>385</v>
      </c>
      <c r="AC13" t="s">
        <v>387</v>
      </c>
      <c r="AD13" t="s">
        <v>386</v>
      </c>
      <c r="AE13">
        <v>64</v>
      </c>
      <c r="AF13">
        <v>12</v>
      </c>
      <c r="AH13" t="s">
        <v>388</v>
      </c>
      <c r="AJ13">
        <v>106</v>
      </c>
      <c r="AK13" t="s">
        <v>200</v>
      </c>
      <c r="AM13">
        <v>1374</v>
      </c>
      <c r="AN13">
        <v>497</v>
      </c>
    </row>
    <row r="14" spans="1:40" x14ac:dyDescent="0.25">
      <c r="B14" t="s">
        <v>333</v>
      </c>
      <c r="C14" t="s">
        <v>334</v>
      </c>
      <c r="D14" t="s">
        <v>335</v>
      </c>
      <c r="H14" t="s">
        <v>385</v>
      </c>
      <c r="AC14" t="s">
        <v>387</v>
      </c>
      <c r="AD14" t="s">
        <v>386</v>
      </c>
      <c r="AE14">
        <v>64</v>
      </c>
      <c r="AF14">
        <v>13</v>
      </c>
      <c r="AH14" t="s">
        <v>388</v>
      </c>
      <c r="AJ14">
        <v>106</v>
      </c>
      <c r="AK14" t="s">
        <v>200</v>
      </c>
      <c r="AM14">
        <v>1584</v>
      </c>
      <c r="AN14">
        <v>497</v>
      </c>
    </row>
    <row r="15" spans="1:40" x14ac:dyDescent="0.25">
      <c r="B15" t="s">
        <v>333</v>
      </c>
      <c r="C15" t="s">
        <v>334</v>
      </c>
      <c r="D15" t="s">
        <v>335</v>
      </c>
      <c r="H15" t="s">
        <v>385</v>
      </c>
      <c r="AC15" t="s">
        <v>387</v>
      </c>
      <c r="AD15" t="s">
        <v>386</v>
      </c>
      <c r="AE15">
        <v>64</v>
      </c>
      <c r="AF15">
        <v>14</v>
      </c>
      <c r="AH15" t="s">
        <v>388</v>
      </c>
      <c r="AJ15">
        <v>106</v>
      </c>
      <c r="AK15" t="s">
        <v>200</v>
      </c>
      <c r="AM15">
        <v>1794</v>
      </c>
      <c r="AN15">
        <v>497</v>
      </c>
    </row>
    <row r="16" spans="1:40" x14ac:dyDescent="0.25">
      <c r="B16" t="s">
        <v>333</v>
      </c>
      <c r="C16" t="s">
        <v>334</v>
      </c>
      <c r="D16" t="s">
        <v>335</v>
      </c>
      <c r="H16" t="s">
        <v>385</v>
      </c>
      <c r="AC16" t="s">
        <v>387</v>
      </c>
      <c r="AD16" t="s">
        <v>386</v>
      </c>
      <c r="AE16">
        <v>64</v>
      </c>
      <c r="AF16">
        <v>15</v>
      </c>
      <c r="AH16" t="s">
        <v>390</v>
      </c>
      <c r="AJ16">
        <v>903</v>
      </c>
      <c r="AK16" t="s">
        <v>208</v>
      </c>
      <c r="AM16">
        <v>2004</v>
      </c>
      <c r="AN16">
        <v>497</v>
      </c>
    </row>
    <row r="17" spans="2:40" x14ac:dyDescent="0.25">
      <c r="B17" t="s">
        <v>333</v>
      </c>
      <c r="C17" t="s">
        <v>334</v>
      </c>
      <c r="D17" t="s">
        <v>335</v>
      </c>
      <c r="H17" t="s">
        <v>385</v>
      </c>
      <c r="AC17" t="s">
        <v>387</v>
      </c>
      <c r="AD17" t="s">
        <v>386</v>
      </c>
      <c r="AE17">
        <v>64</v>
      </c>
      <c r="AF17">
        <v>16</v>
      </c>
      <c r="AH17" t="s">
        <v>360</v>
      </c>
      <c r="AJ17">
        <v>102</v>
      </c>
      <c r="AK17" t="s">
        <v>200</v>
      </c>
      <c r="AM17">
        <v>2214</v>
      </c>
      <c r="AN17">
        <v>497</v>
      </c>
    </row>
    <row r="18" spans="2:40" x14ac:dyDescent="0.25">
      <c r="B18" t="s">
        <v>333</v>
      </c>
      <c r="C18" t="s">
        <v>334</v>
      </c>
      <c r="D18" t="s">
        <v>335</v>
      </c>
      <c r="H18" t="s">
        <v>385</v>
      </c>
      <c r="AC18" t="s">
        <v>387</v>
      </c>
      <c r="AD18" t="s">
        <v>386</v>
      </c>
      <c r="AE18">
        <v>64</v>
      </c>
      <c r="AF18">
        <v>17</v>
      </c>
      <c r="AH18" t="s">
        <v>358</v>
      </c>
      <c r="AJ18">
        <v>1001</v>
      </c>
      <c r="AK18" t="s">
        <v>209</v>
      </c>
      <c r="AM18">
        <v>744</v>
      </c>
      <c r="AN18">
        <v>707</v>
      </c>
    </row>
    <row r="19" spans="2:40" x14ac:dyDescent="0.25">
      <c r="B19" t="s">
        <v>333</v>
      </c>
      <c r="C19" t="s">
        <v>334</v>
      </c>
      <c r="D19" t="s">
        <v>335</v>
      </c>
      <c r="H19" t="s">
        <v>385</v>
      </c>
      <c r="AC19" t="s">
        <v>387</v>
      </c>
      <c r="AD19" t="s">
        <v>386</v>
      </c>
      <c r="AE19">
        <v>64</v>
      </c>
      <c r="AF19">
        <v>18</v>
      </c>
      <c r="AH19" t="s">
        <v>389</v>
      </c>
      <c r="AJ19">
        <v>501</v>
      </c>
      <c r="AK19" t="s">
        <v>204</v>
      </c>
      <c r="AM19">
        <v>954</v>
      </c>
      <c r="AN19">
        <v>707</v>
      </c>
    </row>
    <row r="20" spans="2:40" x14ac:dyDescent="0.25">
      <c r="B20" t="s">
        <v>333</v>
      </c>
      <c r="C20" t="s">
        <v>334</v>
      </c>
      <c r="D20" t="s">
        <v>335</v>
      </c>
      <c r="H20" t="s">
        <v>385</v>
      </c>
      <c r="AC20" t="s">
        <v>387</v>
      </c>
      <c r="AD20" t="s">
        <v>386</v>
      </c>
      <c r="AE20">
        <v>64</v>
      </c>
      <c r="AF20">
        <v>19</v>
      </c>
      <c r="AH20" t="s">
        <v>389</v>
      </c>
      <c r="AJ20">
        <v>501</v>
      </c>
      <c r="AK20" t="s">
        <v>204</v>
      </c>
      <c r="AM20">
        <v>1164</v>
      </c>
      <c r="AN20">
        <v>707</v>
      </c>
    </row>
    <row r="21" spans="2:40" x14ac:dyDescent="0.25">
      <c r="B21" t="s">
        <v>333</v>
      </c>
      <c r="C21" t="s">
        <v>334</v>
      </c>
      <c r="D21" t="s">
        <v>335</v>
      </c>
      <c r="H21" t="s">
        <v>385</v>
      </c>
      <c r="AC21" t="s">
        <v>387</v>
      </c>
      <c r="AD21" t="s">
        <v>386</v>
      </c>
      <c r="AE21">
        <v>64</v>
      </c>
      <c r="AF21">
        <v>20</v>
      </c>
      <c r="AH21" t="s">
        <v>360</v>
      </c>
      <c r="AJ21">
        <v>102</v>
      </c>
      <c r="AK21" t="s">
        <v>200</v>
      </c>
      <c r="AM21">
        <v>1374</v>
      </c>
      <c r="AN21">
        <v>707</v>
      </c>
    </row>
    <row r="22" spans="2:40" x14ac:dyDescent="0.25">
      <c r="B22" t="s">
        <v>333</v>
      </c>
      <c r="C22" t="s">
        <v>334</v>
      </c>
      <c r="D22" t="s">
        <v>335</v>
      </c>
      <c r="H22" t="s">
        <v>385</v>
      </c>
      <c r="AC22" t="s">
        <v>387</v>
      </c>
      <c r="AD22" t="s">
        <v>386</v>
      </c>
      <c r="AE22">
        <v>64</v>
      </c>
      <c r="AF22">
        <v>21</v>
      </c>
      <c r="AH22" t="s">
        <v>360</v>
      </c>
      <c r="AJ22">
        <v>102</v>
      </c>
      <c r="AK22" t="s">
        <v>200</v>
      </c>
      <c r="AM22">
        <v>1584</v>
      </c>
      <c r="AN22">
        <v>707</v>
      </c>
    </row>
    <row r="23" spans="2:40" x14ac:dyDescent="0.25">
      <c r="B23" t="s">
        <v>333</v>
      </c>
      <c r="C23" t="s">
        <v>334</v>
      </c>
      <c r="D23" t="s">
        <v>335</v>
      </c>
      <c r="H23" t="s">
        <v>385</v>
      </c>
      <c r="AC23" t="s">
        <v>387</v>
      </c>
      <c r="AD23" t="s">
        <v>386</v>
      </c>
      <c r="AE23">
        <v>64</v>
      </c>
      <c r="AF23">
        <v>22</v>
      </c>
      <c r="AH23" t="s">
        <v>360</v>
      </c>
      <c r="AJ23">
        <v>102</v>
      </c>
      <c r="AK23" t="s">
        <v>200</v>
      </c>
      <c r="AM23">
        <v>1794</v>
      </c>
      <c r="AN23">
        <v>707</v>
      </c>
    </row>
    <row r="24" spans="2:40" x14ac:dyDescent="0.25">
      <c r="B24" t="s">
        <v>333</v>
      </c>
      <c r="C24" t="s">
        <v>334</v>
      </c>
      <c r="D24" t="s">
        <v>335</v>
      </c>
      <c r="H24" t="s">
        <v>385</v>
      </c>
      <c r="AC24" t="s">
        <v>387</v>
      </c>
      <c r="AD24" t="s">
        <v>386</v>
      </c>
      <c r="AE24">
        <v>64</v>
      </c>
      <c r="AF24">
        <v>23</v>
      </c>
      <c r="AH24" t="s">
        <v>360</v>
      </c>
      <c r="AJ24">
        <v>102</v>
      </c>
      <c r="AK24" t="s">
        <v>200</v>
      </c>
      <c r="AM24">
        <v>2004</v>
      </c>
      <c r="AN24">
        <v>707</v>
      </c>
    </row>
    <row r="25" spans="2:40" x14ac:dyDescent="0.25">
      <c r="B25" t="s">
        <v>333</v>
      </c>
      <c r="C25" t="s">
        <v>334</v>
      </c>
      <c r="D25" t="s">
        <v>335</v>
      </c>
      <c r="H25" t="s">
        <v>385</v>
      </c>
      <c r="AC25" t="s">
        <v>387</v>
      </c>
      <c r="AD25" t="s">
        <v>386</v>
      </c>
      <c r="AE25">
        <v>64</v>
      </c>
      <c r="AF25">
        <v>24</v>
      </c>
      <c r="AH25" t="s">
        <v>360</v>
      </c>
      <c r="AJ25">
        <v>102</v>
      </c>
      <c r="AK25" t="s">
        <v>200</v>
      </c>
      <c r="AM25">
        <v>2214</v>
      </c>
      <c r="AN25">
        <v>707</v>
      </c>
    </row>
    <row r="26" spans="2:40" x14ac:dyDescent="0.25">
      <c r="B26" t="s">
        <v>333</v>
      </c>
      <c r="C26" t="s">
        <v>334</v>
      </c>
      <c r="D26" t="s">
        <v>335</v>
      </c>
      <c r="H26" t="s">
        <v>385</v>
      </c>
      <c r="AC26" t="s">
        <v>387</v>
      </c>
      <c r="AD26" t="s">
        <v>386</v>
      </c>
      <c r="AE26">
        <v>64</v>
      </c>
      <c r="AF26">
        <v>25</v>
      </c>
      <c r="AH26" t="s">
        <v>358</v>
      </c>
      <c r="AJ26">
        <v>1001</v>
      </c>
      <c r="AK26" t="s">
        <v>209</v>
      </c>
      <c r="AM26">
        <v>744</v>
      </c>
      <c r="AN26">
        <v>917</v>
      </c>
    </row>
    <row r="27" spans="2:40" x14ac:dyDescent="0.25">
      <c r="B27" t="s">
        <v>333</v>
      </c>
      <c r="C27" t="s">
        <v>334</v>
      </c>
      <c r="D27" t="s">
        <v>335</v>
      </c>
      <c r="H27" t="s">
        <v>385</v>
      </c>
      <c r="AC27" t="s">
        <v>387</v>
      </c>
      <c r="AD27" t="s">
        <v>386</v>
      </c>
      <c r="AE27">
        <v>64</v>
      </c>
      <c r="AF27">
        <v>26</v>
      </c>
      <c r="AH27" t="s">
        <v>389</v>
      </c>
      <c r="AJ27">
        <v>501</v>
      </c>
      <c r="AK27" t="s">
        <v>204</v>
      </c>
      <c r="AM27">
        <v>954</v>
      </c>
      <c r="AN27">
        <v>917</v>
      </c>
    </row>
    <row r="28" spans="2:40" x14ac:dyDescent="0.25">
      <c r="B28" t="s">
        <v>333</v>
      </c>
      <c r="C28" t="s">
        <v>334</v>
      </c>
      <c r="D28" t="s">
        <v>335</v>
      </c>
      <c r="H28" t="s">
        <v>385</v>
      </c>
      <c r="AC28" t="s">
        <v>387</v>
      </c>
      <c r="AD28" t="s">
        <v>386</v>
      </c>
      <c r="AE28">
        <v>64</v>
      </c>
      <c r="AF28">
        <v>27</v>
      </c>
      <c r="AH28" t="s">
        <v>390</v>
      </c>
      <c r="AJ28">
        <v>903</v>
      </c>
      <c r="AK28" t="s">
        <v>208</v>
      </c>
      <c r="AM28">
        <v>1164</v>
      </c>
      <c r="AN28">
        <v>917</v>
      </c>
    </row>
    <row r="29" spans="2:40" x14ac:dyDescent="0.25">
      <c r="B29" t="s">
        <v>333</v>
      </c>
      <c r="C29" t="s">
        <v>334</v>
      </c>
      <c r="D29" t="s">
        <v>335</v>
      </c>
      <c r="H29" t="s">
        <v>385</v>
      </c>
      <c r="AC29" t="s">
        <v>387</v>
      </c>
      <c r="AD29" t="s">
        <v>386</v>
      </c>
      <c r="AE29">
        <v>64</v>
      </c>
      <c r="AF29">
        <v>28</v>
      </c>
      <c r="AH29" t="s">
        <v>389</v>
      </c>
      <c r="AJ29">
        <v>501</v>
      </c>
      <c r="AK29" t="s">
        <v>204</v>
      </c>
      <c r="AM29">
        <v>1374</v>
      </c>
      <c r="AN29">
        <v>917</v>
      </c>
    </row>
    <row r="30" spans="2:40" x14ac:dyDescent="0.25">
      <c r="B30" t="s">
        <v>333</v>
      </c>
      <c r="C30" t="s">
        <v>334</v>
      </c>
      <c r="D30" t="s">
        <v>335</v>
      </c>
      <c r="H30" t="s">
        <v>385</v>
      </c>
      <c r="AC30" t="s">
        <v>387</v>
      </c>
      <c r="AD30" t="s">
        <v>386</v>
      </c>
      <c r="AE30">
        <v>64</v>
      </c>
      <c r="AF30">
        <v>29</v>
      </c>
      <c r="AH30" t="s">
        <v>389</v>
      </c>
      <c r="AJ30">
        <v>501</v>
      </c>
      <c r="AK30" t="s">
        <v>204</v>
      </c>
      <c r="AM30">
        <v>1584</v>
      </c>
      <c r="AN30">
        <v>917</v>
      </c>
    </row>
    <row r="31" spans="2:40" x14ac:dyDescent="0.25">
      <c r="B31" t="s">
        <v>333</v>
      </c>
      <c r="C31" t="s">
        <v>334</v>
      </c>
      <c r="D31" t="s">
        <v>335</v>
      </c>
      <c r="H31" t="s">
        <v>385</v>
      </c>
      <c r="AC31" t="s">
        <v>387</v>
      </c>
      <c r="AD31" t="s">
        <v>386</v>
      </c>
      <c r="AE31">
        <v>64</v>
      </c>
      <c r="AF31">
        <v>30</v>
      </c>
      <c r="AH31" t="s">
        <v>389</v>
      </c>
      <c r="AJ31">
        <v>501</v>
      </c>
      <c r="AK31" t="s">
        <v>204</v>
      </c>
      <c r="AM31">
        <v>1794</v>
      </c>
      <c r="AN31">
        <v>917</v>
      </c>
    </row>
    <row r="32" spans="2:40" x14ac:dyDescent="0.25">
      <c r="B32" t="s">
        <v>333</v>
      </c>
      <c r="C32" t="s">
        <v>334</v>
      </c>
      <c r="D32" t="s">
        <v>335</v>
      </c>
      <c r="H32" t="s">
        <v>385</v>
      </c>
      <c r="AC32" t="s">
        <v>387</v>
      </c>
      <c r="AD32" t="s">
        <v>386</v>
      </c>
      <c r="AE32">
        <v>64</v>
      </c>
      <c r="AF32">
        <v>31</v>
      </c>
      <c r="AH32" t="s">
        <v>360</v>
      </c>
      <c r="AJ32">
        <v>102</v>
      </c>
      <c r="AK32" t="s">
        <v>200</v>
      </c>
      <c r="AM32">
        <v>2004</v>
      </c>
      <c r="AN32">
        <v>917</v>
      </c>
    </row>
    <row r="33" spans="2:40" x14ac:dyDescent="0.25">
      <c r="B33" t="s">
        <v>333</v>
      </c>
      <c r="C33" t="s">
        <v>334</v>
      </c>
      <c r="D33" t="s">
        <v>335</v>
      </c>
      <c r="H33" t="s">
        <v>385</v>
      </c>
      <c r="AC33" t="s">
        <v>387</v>
      </c>
      <c r="AD33" t="s">
        <v>386</v>
      </c>
      <c r="AE33">
        <v>64</v>
      </c>
      <c r="AF33">
        <v>32</v>
      </c>
      <c r="AH33" t="s">
        <v>360</v>
      </c>
      <c r="AJ33">
        <v>102</v>
      </c>
      <c r="AK33" t="s">
        <v>200</v>
      </c>
      <c r="AM33">
        <v>2214</v>
      </c>
      <c r="AN33">
        <v>917</v>
      </c>
    </row>
    <row r="34" spans="2:40" x14ac:dyDescent="0.25">
      <c r="B34" t="s">
        <v>333</v>
      </c>
      <c r="C34" t="s">
        <v>334</v>
      </c>
      <c r="D34" t="s">
        <v>335</v>
      </c>
      <c r="H34" t="s">
        <v>385</v>
      </c>
      <c r="AC34" t="s">
        <v>387</v>
      </c>
      <c r="AD34" t="s">
        <v>386</v>
      </c>
      <c r="AE34">
        <v>64</v>
      </c>
      <c r="AF34">
        <v>33</v>
      </c>
      <c r="AH34" t="s">
        <v>358</v>
      </c>
      <c r="AJ34">
        <v>1001</v>
      </c>
      <c r="AK34" t="s">
        <v>209</v>
      </c>
      <c r="AM34">
        <v>744</v>
      </c>
      <c r="AN34">
        <v>1127</v>
      </c>
    </row>
    <row r="35" spans="2:40" x14ac:dyDescent="0.25">
      <c r="B35" t="s">
        <v>333</v>
      </c>
      <c r="C35" t="s">
        <v>334</v>
      </c>
      <c r="D35" t="s">
        <v>335</v>
      </c>
      <c r="H35" t="s">
        <v>385</v>
      </c>
      <c r="AC35" t="s">
        <v>387</v>
      </c>
      <c r="AD35" t="s">
        <v>386</v>
      </c>
      <c r="AE35">
        <v>64</v>
      </c>
      <c r="AF35">
        <v>34</v>
      </c>
      <c r="AH35" t="s">
        <v>358</v>
      </c>
      <c r="AJ35">
        <v>1001</v>
      </c>
      <c r="AK35" t="s">
        <v>209</v>
      </c>
      <c r="AM35">
        <v>954</v>
      </c>
      <c r="AN35">
        <v>1127</v>
      </c>
    </row>
    <row r="36" spans="2:40" x14ac:dyDescent="0.25">
      <c r="B36" t="s">
        <v>333</v>
      </c>
      <c r="C36" t="s">
        <v>334</v>
      </c>
      <c r="D36" t="s">
        <v>335</v>
      </c>
      <c r="H36" t="s">
        <v>385</v>
      </c>
      <c r="AC36" t="s">
        <v>387</v>
      </c>
      <c r="AD36" t="s">
        <v>386</v>
      </c>
      <c r="AE36">
        <v>64</v>
      </c>
      <c r="AF36">
        <v>35</v>
      </c>
      <c r="AH36" t="s">
        <v>389</v>
      </c>
      <c r="AJ36">
        <v>501</v>
      </c>
      <c r="AK36" t="s">
        <v>204</v>
      </c>
      <c r="AM36">
        <v>1164</v>
      </c>
      <c r="AN36">
        <v>1127</v>
      </c>
    </row>
    <row r="37" spans="2:40" x14ac:dyDescent="0.25">
      <c r="B37" t="s">
        <v>333</v>
      </c>
      <c r="C37" t="s">
        <v>334</v>
      </c>
      <c r="D37" t="s">
        <v>335</v>
      </c>
      <c r="H37" t="s">
        <v>385</v>
      </c>
      <c r="AC37" t="s">
        <v>387</v>
      </c>
      <c r="AD37" t="s">
        <v>386</v>
      </c>
      <c r="AE37">
        <v>64</v>
      </c>
      <c r="AF37">
        <v>36</v>
      </c>
      <c r="AH37" t="s">
        <v>390</v>
      </c>
      <c r="AJ37">
        <v>903</v>
      </c>
      <c r="AK37" t="s">
        <v>208</v>
      </c>
      <c r="AM37">
        <v>1374</v>
      </c>
      <c r="AN37">
        <v>1127</v>
      </c>
    </row>
    <row r="38" spans="2:40" x14ac:dyDescent="0.25">
      <c r="B38" t="s">
        <v>333</v>
      </c>
      <c r="C38" t="s">
        <v>334</v>
      </c>
      <c r="D38" t="s">
        <v>335</v>
      </c>
      <c r="H38" t="s">
        <v>385</v>
      </c>
      <c r="AC38" t="s">
        <v>387</v>
      </c>
      <c r="AD38" t="s">
        <v>386</v>
      </c>
      <c r="AE38">
        <v>64</v>
      </c>
      <c r="AF38">
        <v>37</v>
      </c>
      <c r="AH38" t="s">
        <v>389</v>
      </c>
      <c r="AJ38">
        <v>501</v>
      </c>
      <c r="AK38" t="s">
        <v>204</v>
      </c>
      <c r="AM38">
        <v>1584</v>
      </c>
      <c r="AN38">
        <v>1127</v>
      </c>
    </row>
    <row r="39" spans="2:40" x14ac:dyDescent="0.25">
      <c r="B39" t="s">
        <v>333</v>
      </c>
      <c r="C39" t="s">
        <v>334</v>
      </c>
      <c r="D39" t="s">
        <v>335</v>
      </c>
      <c r="H39" t="s">
        <v>385</v>
      </c>
      <c r="AC39" t="s">
        <v>387</v>
      </c>
      <c r="AD39" t="s">
        <v>386</v>
      </c>
      <c r="AE39">
        <v>64</v>
      </c>
      <c r="AF39">
        <v>38</v>
      </c>
      <c r="AH39" t="s">
        <v>389</v>
      </c>
      <c r="AJ39">
        <v>501</v>
      </c>
      <c r="AK39" t="s">
        <v>204</v>
      </c>
      <c r="AM39">
        <v>1794</v>
      </c>
      <c r="AN39">
        <v>1127</v>
      </c>
    </row>
    <row r="40" spans="2:40" x14ac:dyDescent="0.25">
      <c r="B40" t="s">
        <v>333</v>
      </c>
      <c r="C40" t="s">
        <v>334</v>
      </c>
      <c r="D40" t="s">
        <v>335</v>
      </c>
      <c r="H40" t="s">
        <v>385</v>
      </c>
      <c r="AC40" t="s">
        <v>387</v>
      </c>
      <c r="AD40" t="s">
        <v>386</v>
      </c>
      <c r="AE40">
        <v>64</v>
      </c>
      <c r="AF40">
        <v>39</v>
      </c>
      <c r="AH40" t="s">
        <v>360</v>
      </c>
      <c r="AJ40">
        <v>102</v>
      </c>
      <c r="AK40" t="s">
        <v>200</v>
      </c>
      <c r="AM40">
        <v>2004</v>
      </c>
      <c r="AN40">
        <v>1127</v>
      </c>
    </row>
    <row r="41" spans="2:40" x14ac:dyDescent="0.25">
      <c r="B41" t="s">
        <v>333</v>
      </c>
      <c r="C41" t="s">
        <v>334</v>
      </c>
      <c r="D41" t="s">
        <v>335</v>
      </c>
      <c r="H41" t="s">
        <v>385</v>
      </c>
      <c r="AC41" t="s">
        <v>387</v>
      </c>
      <c r="AD41" t="s">
        <v>386</v>
      </c>
      <c r="AE41">
        <v>64</v>
      </c>
      <c r="AF41">
        <v>40</v>
      </c>
      <c r="AH41" t="s">
        <v>360</v>
      </c>
      <c r="AJ41">
        <v>102</v>
      </c>
      <c r="AK41" t="s">
        <v>200</v>
      </c>
      <c r="AM41">
        <v>2214</v>
      </c>
      <c r="AN41">
        <v>1127</v>
      </c>
    </row>
    <row r="42" spans="2:40" x14ac:dyDescent="0.25">
      <c r="B42" t="s">
        <v>333</v>
      </c>
      <c r="C42" t="s">
        <v>334</v>
      </c>
      <c r="D42" t="s">
        <v>335</v>
      </c>
      <c r="H42" t="s">
        <v>385</v>
      </c>
      <c r="AC42" t="s">
        <v>387</v>
      </c>
      <c r="AD42" t="s">
        <v>386</v>
      </c>
      <c r="AE42">
        <v>64</v>
      </c>
      <c r="AF42">
        <v>41</v>
      </c>
      <c r="AH42" t="s">
        <v>360</v>
      </c>
      <c r="AJ42">
        <v>102</v>
      </c>
      <c r="AK42" t="s">
        <v>200</v>
      </c>
      <c r="AM42">
        <v>744</v>
      </c>
      <c r="AN42">
        <v>1337</v>
      </c>
    </row>
    <row r="43" spans="2:40" x14ac:dyDescent="0.25">
      <c r="B43" t="s">
        <v>333</v>
      </c>
      <c r="C43" t="s">
        <v>334</v>
      </c>
      <c r="D43" t="s">
        <v>335</v>
      </c>
      <c r="H43" t="s">
        <v>385</v>
      </c>
      <c r="AC43" t="s">
        <v>387</v>
      </c>
      <c r="AD43" t="s">
        <v>386</v>
      </c>
      <c r="AE43">
        <v>64</v>
      </c>
      <c r="AF43">
        <v>42</v>
      </c>
      <c r="AH43" t="s">
        <v>391</v>
      </c>
      <c r="AJ43">
        <v>604</v>
      </c>
      <c r="AK43" t="s">
        <v>205</v>
      </c>
      <c r="AM43">
        <v>954</v>
      </c>
      <c r="AN43">
        <v>1337</v>
      </c>
    </row>
    <row r="44" spans="2:40" x14ac:dyDescent="0.25">
      <c r="B44" t="s">
        <v>333</v>
      </c>
      <c r="C44" t="s">
        <v>334</v>
      </c>
      <c r="D44" t="s">
        <v>335</v>
      </c>
      <c r="H44" t="s">
        <v>385</v>
      </c>
      <c r="AC44" t="s">
        <v>387</v>
      </c>
      <c r="AD44" t="s">
        <v>386</v>
      </c>
      <c r="AE44">
        <v>64</v>
      </c>
      <c r="AF44">
        <v>43</v>
      </c>
      <c r="AH44" t="s">
        <v>389</v>
      </c>
      <c r="AJ44">
        <v>501</v>
      </c>
      <c r="AK44" t="s">
        <v>204</v>
      </c>
      <c r="AM44">
        <v>1164</v>
      </c>
      <c r="AN44">
        <v>1337</v>
      </c>
    </row>
    <row r="45" spans="2:40" x14ac:dyDescent="0.25">
      <c r="B45" t="s">
        <v>333</v>
      </c>
      <c r="C45" t="s">
        <v>334</v>
      </c>
      <c r="D45" t="s">
        <v>335</v>
      </c>
      <c r="H45" t="s">
        <v>385</v>
      </c>
      <c r="AC45" t="s">
        <v>387</v>
      </c>
      <c r="AD45" t="s">
        <v>386</v>
      </c>
      <c r="AE45">
        <v>64</v>
      </c>
      <c r="AF45">
        <v>44</v>
      </c>
      <c r="AH45" t="s">
        <v>389</v>
      </c>
      <c r="AJ45">
        <v>501</v>
      </c>
      <c r="AK45" t="s">
        <v>204</v>
      </c>
      <c r="AM45">
        <v>1374</v>
      </c>
      <c r="AN45">
        <v>1337</v>
      </c>
    </row>
    <row r="46" spans="2:40" x14ac:dyDescent="0.25">
      <c r="B46" t="s">
        <v>333</v>
      </c>
      <c r="C46" t="s">
        <v>334</v>
      </c>
      <c r="D46" t="s">
        <v>335</v>
      </c>
      <c r="H46" t="s">
        <v>385</v>
      </c>
      <c r="AC46" t="s">
        <v>387</v>
      </c>
      <c r="AD46" t="s">
        <v>386</v>
      </c>
      <c r="AE46">
        <v>64</v>
      </c>
      <c r="AF46">
        <v>45</v>
      </c>
      <c r="AH46" t="s">
        <v>390</v>
      </c>
      <c r="AJ46">
        <v>903</v>
      </c>
      <c r="AK46" t="s">
        <v>208</v>
      </c>
      <c r="AM46">
        <v>1584</v>
      </c>
      <c r="AN46">
        <v>1337</v>
      </c>
    </row>
    <row r="47" spans="2:40" x14ac:dyDescent="0.25">
      <c r="B47" t="s">
        <v>333</v>
      </c>
      <c r="C47" t="s">
        <v>334</v>
      </c>
      <c r="D47" t="s">
        <v>335</v>
      </c>
      <c r="H47" t="s">
        <v>385</v>
      </c>
      <c r="AC47" t="s">
        <v>387</v>
      </c>
      <c r="AD47" t="s">
        <v>386</v>
      </c>
      <c r="AE47">
        <v>64</v>
      </c>
      <c r="AF47">
        <v>46</v>
      </c>
      <c r="AH47" t="s">
        <v>389</v>
      </c>
      <c r="AJ47">
        <v>501</v>
      </c>
      <c r="AK47" t="s">
        <v>204</v>
      </c>
      <c r="AM47">
        <v>1794</v>
      </c>
      <c r="AN47">
        <v>1337</v>
      </c>
    </row>
    <row r="48" spans="2:40" x14ac:dyDescent="0.25">
      <c r="B48" t="s">
        <v>333</v>
      </c>
      <c r="C48" t="s">
        <v>334</v>
      </c>
      <c r="D48" t="s">
        <v>335</v>
      </c>
      <c r="H48" t="s">
        <v>385</v>
      </c>
      <c r="AC48" t="s">
        <v>387</v>
      </c>
      <c r="AD48" t="s">
        <v>386</v>
      </c>
      <c r="AE48">
        <v>64</v>
      </c>
      <c r="AF48">
        <v>47</v>
      </c>
      <c r="AH48" t="s">
        <v>389</v>
      </c>
      <c r="AJ48">
        <v>501</v>
      </c>
      <c r="AK48" t="s">
        <v>204</v>
      </c>
      <c r="AM48">
        <v>2004</v>
      </c>
      <c r="AN48">
        <v>1337</v>
      </c>
    </row>
    <row r="49" spans="2:40" x14ac:dyDescent="0.25">
      <c r="B49" t="s">
        <v>333</v>
      </c>
      <c r="C49" t="s">
        <v>334</v>
      </c>
      <c r="D49" t="s">
        <v>335</v>
      </c>
      <c r="H49" t="s">
        <v>385</v>
      </c>
      <c r="AC49" t="s">
        <v>387</v>
      </c>
      <c r="AD49" t="s">
        <v>386</v>
      </c>
      <c r="AE49">
        <v>64</v>
      </c>
      <c r="AF49">
        <v>48</v>
      </c>
      <c r="AH49" t="s">
        <v>360</v>
      </c>
      <c r="AJ49">
        <v>102</v>
      </c>
      <c r="AK49" t="s">
        <v>200</v>
      </c>
      <c r="AM49">
        <v>2214</v>
      </c>
      <c r="AN49">
        <v>1337</v>
      </c>
    </row>
    <row r="50" spans="2:40" x14ac:dyDescent="0.25">
      <c r="B50" t="s">
        <v>333</v>
      </c>
      <c r="C50" t="s">
        <v>334</v>
      </c>
      <c r="D50" t="s">
        <v>335</v>
      </c>
      <c r="H50" t="s">
        <v>385</v>
      </c>
      <c r="AC50" t="s">
        <v>387</v>
      </c>
      <c r="AD50" t="s">
        <v>386</v>
      </c>
      <c r="AE50">
        <v>64</v>
      </c>
      <c r="AF50">
        <v>49</v>
      </c>
      <c r="AH50" t="s">
        <v>360</v>
      </c>
      <c r="AJ50">
        <v>102</v>
      </c>
      <c r="AK50" t="s">
        <v>200</v>
      </c>
      <c r="AM50">
        <v>744</v>
      </c>
      <c r="AN50">
        <v>1547</v>
      </c>
    </row>
    <row r="51" spans="2:40" x14ac:dyDescent="0.25">
      <c r="B51" t="s">
        <v>333</v>
      </c>
      <c r="C51" t="s">
        <v>334</v>
      </c>
      <c r="D51" t="s">
        <v>335</v>
      </c>
      <c r="H51" t="s">
        <v>385</v>
      </c>
      <c r="AC51" t="s">
        <v>387</v>
      </c>
      <c r="AD51" t="s">
        <v>386</v>
      </c>
      <c r="AE51">
        <v>64</v>
      </c>
      <c r="AF51">
        <v>50</v>
      </c>
      <c r="AH51" t="s">
        <v>389</v>
      </c>
      <c r="AJ51">
        <v>501</v>
      </c>
      <c r="AK51" t="s">
        <v>204</v>
      </c>
      <c r="AM51">
        <v>954</v>
      </c>
      <c r="AN51">
        <v>1547</v>
      </c>
    </row>
    <row r="52" spans="2:40" x14ac:dyDescent="0.25">
      <c r="B52" t="s">
        <v>333</v>
      </c>
      <c r="C52" t="s">
        <v>334</v>
      </c>
      <c r="D52" t="s">
        <v>335</v>
      </c>
      <c r="H52" t="s">
        <v>385</v>
      </c>
      <c r="AC52" t="s">
        <v>387</v>
      </c>
      <c r="AD52" t="s">
        <v>386</v>
      </c>
      <c r="AE52">
        <v>64</v>
      </c>
      <c r="AF52">
        <v>51</v>
      </c>
      <c r="AH52" t="s">
        <v>389</v>
      </c>
      <c r="AJ52">
        <v>501</v>
      </c>
      <c r="AK52" t="s">
        <v>204</v>
      </c>
      <c r="AM52">
        <v>1164</v>
      </c>
      <c r="AN52">
        <v>1547</v>
      </c>
    </row>
    <row r="53" spans="2:40" x14ac:dyDescent="0.25">
      <c r="B53" t="s">
        <v>333</v>
      </c>
      <c r="C53" t="s">
        <v>334</v>
      </c>
      <c r="D53" t="s">
        <v>335</v>
      </c>
      <c r="H53" t="s">
        <v>385</v>
      </c>
      <c r="AC53" t="s">
        <v>387</v>
      </c>
      <c r="AD53" t="s">
        <v>386</v>
      </c>
      <c r="AE53">
        <v>64</v>
      </c>
      <c r="AF53">
        <v>52</v>
      </c>
      <c r="AH53" t="s">
        <v>358</v>
      </c>
      <c r="AJ53">
        <v>1001</v>
      </c>
      <c r="AK53" t="s">
        <v>209</v>
      </c>
      <c r="AM53">
        <v>1374</v>
      </c>
      <c r="AN53">
        <v>1547</v>
      </c>
    </row>
    <row r="54" spans="2:40" x14ac:dyDescent="0.25">
      <c r="B54" t="s">
        <v>333</v>
      </c>
      <c r="C54" t="s">
        <v>334</v>
      </c>
      <c r="D54" t="s">
        <v>335</v>
      </c>
      <c r="H54" t="s">
        <v>385</v>
      </c>
      <c r="AC54" t="s">
        <v>387</v>
      </c>
      <c r="AD54" t="s">
        <v>386</v>
      </c>
      <c r="AE54">
        <v>64</v>
      </c>
      <c r="AF54">
        <v>53</v>
      </c>
      <c r="AH54" t="s">
        <v>390</v>
      </c>
      <c r="AJ54">
        <v>903</v>
      </c>
      <c r="AK54" t="s">
        <v>208</v>
      </c>
      <c r="AM54">
        <v>1584</v>
      </c>
      <c r="AN54">
        <v>1547</v>
      </c>
    </row>
    <row r="55" spans="2:40" x14ac:dyDescent="0.25">
      <c r="B55" t="s">
        <v>333</v>
      </c>
      <c r="C55" t="s">
        <v>334</v>
      </c>
      <c r="D55" t="s">
        <v>335</v>
      </c>
      <c r="H55" t="s">
        <v>385</v>
      </c>
      <c r="AC55" t="s">
        <v>387</v>
      </c>
      <c r="AD55" t="s">
        <v>386</v>
      </c>
      <c r="AE55">
        <v>64</v>
      </c>
      <c r="AF55">
        <v>54</v>
      </c>
      <c r="AH55" t="s">
        <v>390</v>
      </c>
      <c r="AJ55">
        <v>903</v>
      </c>
      <c r="AK55" t="s">
        <v>208</v>
      </c>
      <c r="AM55">
        <v>1794</v>
      </c>
      <c r="AN55">
        <v>1547</v>
      </c>
    </row>
    <row r="56" spans="2:40" x14ac:dyDescent="0.25">
      <c r="B56" t="s">
        <v>333</v>
      </c>
      <c r="C56" t="s">
        <v>334</v>
      </c>
      <c r="D56" t="s">
        <v>335</v>
      </c>
      <c r="H56" t="s">
        <v>385</v>
      </c>
      <c r="AC56" t="s">
        <v>387</v>
      </c>
      <c r="AD56" t="s">
        <v>386</v>
      </c>
      <c r="AE56">
        <v>64</v>
      </c>
      <c r="AF56">
        <v>55</v>
      </c>
      <c r="AH56" t="s">
        <v>389</v>
      </c>
      <c r="AJ56">
        <v>501</v>
      </c>
      <c r="AK56" t="s">
        <v>204</v>
      </c>
      <c r="AM56">
        <v>2004</v>
      </c>
      <c r="AN56">
        <v>1547</v>
      </c>
    </row>
    <row r="57" spans="2:40" x14ac:dyDescent="0.25">
      <c r="B57" t="s">
        <v>333</v>
      </c>
      <c r="C57" t="s">
        <v>334</v>
      </c>
      <c r="D57" t="s">
        <v>335</v>
      </c>
      <c r="H57" t="s">
        <v>385</v>
      </c>
      <c r="AC57" t="s">
        <v>387</v>
      </c>
      <c r="AD57" t="s">
        <v>386</v>
      </c>
      <c r="AE57">
        <v>64</v>
      </c>
      <c r="AF57">
        <v>56</v>
      </c>
      <c r="AH57" t="s">
        <v>358</v>
      </c>
      <c r="AJ57">
        <v>1001</v>
      </c>
      <c r="AK57" t="s">
        <v>209</v>
      </c>
      <c r="AM57">
        <v>2214</v>
      </c>
      <c r="AN57">
        <v>1547</v>
      </c>
    </row>
    <row r="58" spans="2:40" x14ac:dyDescent="0.25">
      <c r="B58" t="s">
        <v>333</v>
      </c>
      <c r="C58" t="s">
        <v>334</v>
      </c>
      <c r="D58" t="s">
        <v>335</v>
      </c>
      <c r="H58" t="s">
        <v>385</v>
      </c>
      <c r="AC58" t="s">
        <v>387</v>
      </c>
      <c r="AD58" t="s">
        <v>386</v>
      </c>
      <c r="AE58">
        <v>64</v>
      </c>
      <c r="AF58">
        <v>57</v>
      </c>
      <c r="AH58" t="s">
        <v>358</v>
      </c>
      <c r="AJ58">
        <v>1001</v>
      </c>
      <c r="AK58" t="s">
        <v>209</v>
      </c>
      <c r="AM58">
        <v>744</v>
      </c>
      <c r="AN58">
        <v>1757</v>
      </c>
    </row>
    <row r="59" spans="2:40" x14ac:dyDescent="0.25">
      <c r="B59" t="s">
        <v>333</v>
      </c>
      <c r="C59" t="s">
        <v>334</v>
      </c>
      <c r="D59" t="s">
        <v>335</v>
      </c>
      <c r="H59" t="s">
        <v>385</v>
      </c>
      <c r="AC59" t="s">
        <v>387</v>
      </c>
      <c r="AD59" t="s">
        <v>386</v>
      </c>
      <c r="AE59">
        <v>64</v>
      </c>
      <c r="AF59">
        <v>58</v>
      </c>
      <c r="AH59" t="s">
        <v>360</v>
      </c>
      <c r="AJ59">
        <v>102</v>
      </c>
      <c r="AK59" t="s">
        <v>200</v>
      </c>
      <c r="AM59">
        <v>954</v>
      </c>
      <c r="AN59">
        <v>1757</v>
      </c>
    </row>
    <row r="60" spans="2:40" x14ac:dyDescent="0.25">
      <c r="B60" t="s">
        <v>333</v>
      </c>
      <c r="C60" t="s">
        <v>334</v>
      </c>
      <c r="D60" t="s">
        <v>335</v>
      </c>
      <c r="H60" t="s">
        <v>385</v>
      </c>
      <c r="AC60" t="s">
        <v>387</v>
      </c>
      <c r="AD60" t="s">
        <v>386</v>
      </c>
      <c r="AE60">
        <v>64</v>
      </c>
      <c r="AF60">
        <v>59</v>
      </c>
      <c r="AH60" t="s">
        <v>358</v>
      </c>
      <c r="AJ60">
        <v>1001</v>
      </c>
      <c r="AK60" t="s">
        <v>209</v>
      </c>
      <c r="AM60">
        <v>1164</v>
      </c>
      <c r="AN60">
        <v>1757</v>
      </c>
    </row>
    <row r="61" spans="2:40" x14ac:dyDescent="0.25">
      <c r="B61" t="s">
        <v>333</v>
      </c>
      <c r="C61" t="s">
        <v>334</v>
      </c>
      <c r="D61" t="s">
        <v>335</v>
      </c>
      <c r="H61" t="s">
        <v>385</v>
      </c>
      <c r="AC61" t="s">
        <v>387</v>
      </c>
      <c r="AD61" t="s">
        <v>386</v>
      </c>
      <c r="AE61">
        <v>64</v>
      </c>
      <c r="AF61">
        <v>60</v>
      </c>
      <c r="AH61" t="s">
        <v>358</v>
      </c>
      <c r="AJ61">
        <v>1001</v>
      </c>
      <c r="AK61" t="s">
        <v>209</v>
      </c>
      <c r="AM61">
        <v>1374</v>
      </c>
      <c r="AN61">
        <v>1757</v>
      </c>
    </row>
    <row r="62" spans="2:40" x14ac:dyDescent="0.25">
      <c r="B62" t="s">
        <v>333</v>
      </c>
      <c r="C62" t="s">
        <v>334</v>
      </c>
      <c r="D62" t="s">
        <v>335</v>
      </c>
      <c r="H62" t="s">
        <v>385</v>
      </c>
      <c r="AC62" t="s">
        <v>387</v>
      </c>
      <c r="AD62" t="s">
        <v>386</v>
      </c>
      <c r="AE62">
        <v>64</v>
      </c>
      <c r="AF62">
        <v>61</v>
      </c>
      <c r="AH62" t="s">
        <v>358</v>
      </c>
      <c r="AJ62">
        <v>1001</v>
      </c>
      <c r="AK62" t="s">
        <v>209</v>
      </c>
      <c r="AM62">
        <v>1584</v>
      </c>
      <c r="AN62">
        <v>1757</v>
      </c>
    </row>
    <row r="63" spans="2:40" x14ac:dyDescent="0.25">
      <c r="B63" t="s">
        <v>333</v>
      </c>
      <c r="C63" t="s">
        <v>334</v>
      </c>
      <c r="D63" t="s">
        <v>335</v>
      </c>
      <c r="H63" t="s">
        <v>385</v>
      </c>
      <c r="AC63" t="s">
        <v>387</v>
      </c>
      <c r="AD63" t="s">
        <v>386</v>
      </c>
      <c r="AE63">
        <v>64</v>
      </c>
      <c r="AF63">
        <v>62</v>
      </c>
      <c r="AH63" t="s">
        <v>360</v>
      </c>
      <c r="AJ63">
        <v>102</v>
      </c>
      <c r="AK63" t="s">
        <v>200</v>
      </c>
      <c r="AM63">
        <v>1794</v>
      </c>
      <c r="AN63">
        <v>1757</v>
      </c>
    </row>
    <row r="64" spans="2:40" x14ac:dyDescent="0.25">
      <c r="B64" t="s">
        <v>333</v>
      </c>
      <c r="C64" t="s">
        <v>334</v>
      </c>
      <c r="D64" t="s">
        <v>335</v>
      </c>
      <c r="H64" t="s">
        <v>385</v>
      </c>
      <c r="AC64" t="s">
        <v>387</v>
      </c>
      <c r="AD64" t="s">
        <v>386</v>
      </c>
      <c r="AE64">
        <v>64</v>
      </c>
      <c r="AF64">
        <v>63</v>
      </c>
      <c r="AH64" t="s">
        <v>358</v>
      </c>
      <c r="AJ64">
        <v>1001</v>
      </c>
      <c r="AK64" t="s">
        <v>209</v>
      </c>
      <c r="AM64">
        <v>2004</v>
      </c>
      <c r="AN64">
        <v>1757</v>
      </c>
    </row>
    <row r="65" spans="2:40" x14ac:dyDescent="0.25">
      <c r="B65" t="s">
        <v>333</v>
      </c>
      <c r="C65" t="s">
        <v>334</v>
      </c>
      <c r="D65" t="s">
        <v>335</v>
      </c>
      <c r="H65" t="s">
        <v>385</v>
      </c>
      <c r="AC65" t="s">
        <v>387</v>
      </c>
      <c r="AD65" t="s">
        <v>386</v>
      </c>
      <c r="AE65">
        <v>64</v>
      </c>
      <c r="AF65">
        <v>64</v>
      </c>
      <c r="AH65" t="s">
        <v>358</v>
      </c>
      <c r="AJ65">
        <v>1001</v>
      </c>
      <c r="AK65" t="s">
        <v>209</v>
      </c>
      <c r="AM65">
        <v>2214</v>
      </c>
      <c r="AN65">
        <v>1757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140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28515625" bestFit="1" customWidth="1"/>
    <col min="30" max="30" width="43.42578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393</v>
      </c>
      <c r="AC2" t="s">
        <v>395</v>
      </c>
      <c r="AD2" t="s">
        <v>394</v>
      </c>
      <c r="AE2">
        <v>64</v>
      </c>
      <c r="AF2">
        <v>1</v>
      </c>
      <c r="AH2" t="s">
        <v>360</v>
      </c>
      <c r="AJ2">
        <v>102</v>
      </c>
      <c r="AK2" t="s">
        <v>200</v>
      </c>
      <c r="AM2">
        <v>850</v>
      </c>
      <c r="AN2">
        <v>254</v>
      </c>
    </row>
    <row r="3" spans="1:40" x14ac:dyDescent="0.25">
      <c r="B3" t="s">
        <v>333</v>
      </c>
      <c r="C3" t="s">
        <v>334</v>
      </c>
      <c r="D3" t="s">
        <v>335</v>
      </c>
      <c r="H3" t="s">
        <v>393</v>
      </c>
      <c r="AC3" t="s">
        <v>395</v>
      </c>
      <c r="AD3" t="s">
        <v>394</v>
      </c>
      <c r="AE3">
        <v>64</v>
      </c>
      <c r="AF3">
        <v>2</v>
      </c>
      <c r="AH3" t="s">
        <v>360</v>
      </c>
      <c r="AJ3">
        <v>102</v>
      </c>
      <c r="AK3" t="s">
        <v>200</v>
      </c>
      <c r="AM3">
        <v>1057</v>
      </c>
      <c r="AN3">
        <v>254</v>
      </c>
    </row>
    <row r="4" spans="1:40" x14ac:dyDescent="0.25">
      <c r="B4" t="s">
        <v>333</v>
      </c>
      <c r="C4" t="s">
        <v>334</v>
      </c>
      <c r="D4" t="s">
        <v>335</v>
      </c>
      <c r="H4" t="s">
        <v>393</v>
      </c>
      <c r="AC4" t="s">
        <v>395</v>
      </c>
      <c r="AD4" t="s">
        <v>394</v>
      </c>
      <c r="AE4">
        <v>64</v>
      </c>
      <c r="AF4">
        <v>3</v>
      </c>
      <c r="AH4" t="s">
        <v>360</v>
      </c>
      <c r="AJ4">
        <v>102</v>
      </c>
      <c r="AK4" t="s">
        <v>200</v>
      </c>
      <c r="AM4">
        <v>1263</v>
      </c>
      <c r="AN4">
        <v>254</v>
      </c>
    </row>
    <row r="5" spans="1:40" x14ac:dyDescent="0.25">
      <c r="B5" t="s">
        <v>333</v>
      </c>
      <c r="C5" t="s">
        <v>334</v>
      </c>
      <c r="D5" t="s">
        <v>335</v>
      </c>
      <c r="H5" t="s">
        <v>393</v>
      </c>
      <c r="AC5" t="s">
        <v>395</v>
      </c>
      <c r="AD5" t="s">
        <v>394</v>
      </c>
      <c r="AE5">
        <v>64</v>
      </c>
      <c r="AF5">
        <v>4</v>
      </c>
      <c r="AH5" t="s">
        <v>396</v>
      </c>
      <c r="AJ5">
        <v>303</v>
      </c>
      <c r="AK5" t="s">
        <v>202</v>
      </c>
      <c r="AM5">
        <v>1470</v>
      </c>
      <c r="AN5">
        <v>254</v>
      </c>
    </row>
    <row r="6" spans="1:40" x14ac:dyDescent="0.25">
      <c r="B6" t="s">
        <v>333</v>
      </c>
      <c r="C6" t="s">
        <v>334</v>
      </c>
      <c r="D6" t="s">
        <v>335</v>
      </c>
      <c r="H6" t="s">
        <v>393</v>
      </c>
      <c r="AC6" t="s">
        <v>395</v>
      </c>
      <c r="AD6" t="s">
        <v>394</v>
      </c>
      <c r="AE6">
        <v>64</v>
      </c>
      <c r="AF6">
        <v>5</v>
      </c>
      <c r="AH6" t="s">
        <v>396</v>
      </c>
      <c r="AJ6">
        <v>303</v>
      </c>
      <c r="AK6" t="s">
        <v>202</v>
      </c>
      <c r="AM6">
        <v>1676</v>
      </c>
      <c r="AN6">
        <v>254</v>
      </c>
    </row>
    <row r="7" spans="1:40" x14ac:dyDescent="0.25">
      <c r="B7" t="s">
        <v>333</v>
      </c>
      <c r="C7" t="s">
        <v>334</v>
      </c>
      <c r="D7" t="s">
        <v>335</v>
      </c>
      <c r="H7" t="s">
        <v>393</v>
      </c>
      <c r="AC7" t="s">
        <v>395</v>
      </c>
      <c r="AD7" t="s">
        <v>394</v>
      </c>
      <c r="AE7">
        <v>64</v>
      </c>
      <c r="AF7">
        <v>6</v>
      </c>
      <c r="AH7" t="s">
        <v>390</v>
      </c>
      <c r="AJ7">
        <v>903</v>
      </c>
      <c r="AK7" t="s">
        <v>208</v>
      </c>
      <c r="AM7">
        <v>1883</v>
      </c>
      <c r="AN7">
        <v>254</v>
      </c>
    </row>
    <row r="8" spans="1:40" x14ac:dyDescent="0.25">
      <c r="B8" t="s">
        <v>333</v>
      </c>
      <c r="C8" t="s">
        <v>334</v>
      </c>
      <c r="D8" t="s">
        <v>335</v>
      </c>
      <c r="H8" t="s">
        <v>393</v>
      </c>
      <c r="AC8" t="s">
        <v>395</v>
      </c>
      <c r="AD8" t="s">
        <v>394</v>
      </c>
      <c r="AE8">
        <v>64</v>
      </c>
      <c r="AF8">
        <v>7</v>
      </c>
      <c r="AH8" t="s">
        <v>396</v>
      </c>
      <c r="AJ8">
        <v>303</v>
      </c>
      <c r="AK8" t="s">
        <v>202</v>
      </c>
      <c r="AM8">
        <v>2090</v>
      </c>
      <c r="AN8">
        <v>254</v>
      </c>
    </row>
    <row r="9" spans="1:40" x14ac:dyDescent="0.25">
      <c r="B9" t="s">
        <v>333</v>
      </c>
      <c r="C9" t="s">
        <v>334</v>
      </c>
      <c r="D9" t="s">
        <v>335</v>
      </c>
      <c r="H9" t="s">
        <v>393</v>
      </c>
      <c r="AC9" t="s">
        <v>395</v>
      </c>
      <c r="AD9" t="s">
        <v>394</v>
      </c>
      <c r="AE9">
        <v>64</v>
      </c>
      <c r="AF9">
        <v>8</v>
      </c>
      <c r="AH9" t="s">
        <v>360</v>
      </c>
      <c r="AJ9">
        <v>102</v>
      </c>
      <c r="AK9" t="s">
        <v>200</v>
      </c>
      <c r="AM9">
        <v>2296</v>
      </c>
      <c r="AN9">
        <v>254</v>
      </c>
    </row>
    <row r="10" spans="1:40" x14ac:dyDescent="0.25">
      <c r="B10" t="s">
        <v>333</v>
      </c>
      <c r="C10" t="s">
        <v>334</v>
      </c>
      <c r="D10" t="s">
        <v>335</v>
      </c>
      <c r="H10" t="s">
        <v>393</v>
      </c>
      <c r="AC10" t="s">
        <v>395</v>
      </c>
      <c r="AD10" t="s">
        <v>394</v>
      </c>
      <c r="AE10">
        <v>64</v>
      </c>
      <c r="AF10">
        <v>9</v>
      </c>
      <c r="AH10" t="s">
        <v>396</v>
      </c>
      <c r="AJ10">
        <v>303</v>
      </c>
      <c r="AK10" t="s">
        <v>202</v>
      </c>
      <c r="AM10">
        <v>850</v>
      </c>
      <c r="AN10">
        <v>461</v>
      </c>
    </row>
    <row r="11" spans="1:40" x14ac:dyDescent="0.25">
      <c r="B11" t="s">
        <v>333</v>
      </c>
      <c r="C11" t="s">
        <v>334</v>
      </c>
      <c r="D11" t="s">
        <v>335</v>
      </c>
      <c r="H11" t="s">
        <v>393</v>
      </c>
      <c r="AC11" t="s">
        <v>395</v>
      </c>
      <c r="AD11" t="s">
        <v>394</v>
      </c>
      <c r="AE11">
        <v>64</v>
      </c>
      <c r="AF11">
        <v>10</v>
      </c>
      <c r="AH11" t="s">
        <v>391</v>
      </c>
      <c r="AJ11">
        <v>604</v>
      </c>
      <c r="AK11" t="s">
        <v>205</v>
      </c>
      <c r="AM11">
        <v>1057</v>
      </c>
      <c r="AN11">
        <v>461</v>
      </c>
    </row>
    <row r="12" spans="1:40" x14ac:dyDescent="0.25">
      <c r="B12" t="s">
        <v>333</v>
      </c>
      <c r="C12" t="s">
        <v>334</v>
      </c>
      <c r="D12" t="s">
        <v>335</v>
      </c>
      <c r="H12" t="s">
        <v>393</v>
      </c>
      <c r="AC12" t="s">
        <v>395</v>
      </c>
      <c r="AD12" t="s">
        <v>394</v>
      </c>
      <c r="AE12">
        <v>64</v>
      </c>
      <c r="AF12">
        <v>11</v>
      </c>
      <c r="AH12" t="s">
        <v>389</v>
      </c>
      <c r="AJ12">
        <v>501</v>
      </c>
      <c r="AK12" t="s">
        <v>204</v>
      </c>
      <c r="AM12">
        <v>1263</v>
      </c>
      <c r="AN12">
        <v>461</v>
      </c>
    </row>
    <row r="13" spans="1:40" x14ac:dyDescent="0.25">
      <c r="B13" t="s">
        <v>333</v>
      </c>
      <c r="C13" t="s">
        <v>334</v>
      </c>
      <c r="D13" t="s">
        <v>335</v>
      </c>
      <c r="H13" t="s">
        <v>393</v>
      </c>
      <c r="AC13" t="s">
        <v>395</v>
      </c>
      <c r="AD13" t="s">
        <v>394</v>
      </c>
      <c r="AE13">
        <v>64</v>
      </c>
      <c r="AF13">
        <v>12</v>
      </c>
      <c r="AH13" t="s">
        <v>391</v>
      </c>
      <c r="AJ13">
        <v>604</v>
      </c>
      <c r="AK13" t="s">
        <v>205</v>
      </c>
      <c r="AM13">
        <v>1470</v>
      </c>
      <c r="AN13">
        <v>461</v>
      </c>
    </row>
    <row r="14" spans="1:40" x14ac:dyDescent="0.25">
      <c r="B14" t="s">
        <v>333</v>
      </c>
      <c r="C14" t="s">
        <v>334</v>
      </c>
      <c r="D14" t="s">
        <v>335</v>
      </c>
      <c r="H14" t="s">
        <v>393</v>
      </c>
      <c r="AC14" t="s">
        <v>395</v>
      </c>
      <c r="AD14" t="s">
        <v>394</v>
      </c>
      <c r="AE14">
        <v>64</v>
      </c>
      <c r="AF14">
        <v>13</v>
      </c>
      <c r="AH14" t="s">
        <v>390</v>
      </c>
      <c r="AJ14">
        <v>903</v>
      </c>
      <c r="AK14" t="s">
        <v>208</v>
      </c>
      <c r="AM14">
        <v>1676</v>
      </c>
      <c r="AN14">
        <v>461</v>
      </c>
    </row>
    <row r="15" spans="1:40" x14ac:dyDescent="0.25">
      <c r="B15" t="s">
        <v>333</v>
      </c>
      <c r="C15" t="s">
        <v>334</v>
      </c>
      <c r="D15" t="s">
        <v>335</v>
      </c>
      <c r="H15" t="s">
        <v>393</v>
      </c>
      <c r="AC15" t="s">
        <v>395</v>
      </c>
      <c r="AD15" t="s">
        <v>394</v>
      </c>
      <c r="AE15">
        <v>64</v>
      </c>
      <c r="AF15">
        <v>14</v>
      </c>
      <c r="AH15" t="s">
        <v>360</v>
      </c>
      <c r="AJ15">
        <v>102</v>
      </c>
      <c r="AK15" t="s">
        <v>200</v>
      </c>
      <c r="AM15">
        <v>1883</v>
      </c>
      <c r="AN15">
        <v>461</v>
      </c>
    </row>
    <row r="16" spans="1:40" x14ac:dyDescent="0.25">
      <c r="B16" t="s">
        <v>333</v>
      </c>
      <c r="C16" t="s">
        <v>334</v>
      </c>
      <c r="D16" t="s">
        <v>335</v>
      </c>
      <c r="H16" t="s">
        <v>393</v>
      </c>
      <c r="AC16" t="s">
        <v>395</v>
      </c>
      <c r="AD16" t="s">
        <v>394</v>
      </c>
      <c r="AE16">
        <v>64</v>
      </c>
      <c r="AF16">
        <v>15</v>
      </c>
      <c r="AH16" t="s">
        <v>397</v>
      </c>
      <c r="AJ16">
        <v>704</v>
      </c>
      <c r="AK16" t="s">
        <v>206</v>
      </c>
      <c r="AM16">
        <v>2090</v>
      </c>
      <c r="AN16">
        <v>461</v>
      </c>
    </row>
    <row r="17" spans="2:40" x14ac:dyDescent="0.25">
      <c r="B17" t="s">
        <v>333</v>
      </c>
      <c r="C17" t="s">
        <v>334</v>
      </c>
      <c r="D17" t="s">
        <v>335</v>
      </c>
      <c r="H17" t="s">
        <v>393</v>
      </c>
      <c r="AC17" t="s">
        <v>395</v>
      </c>
      <c r="AD17" t="s">
        <v>394</v>
      </c>
      <c r="AE17">
        <v>64</v>
      </c>
      <c r="AF17">
        <v>16</v>
      </c>
      <c r="AH17" t="s">
        <v>396</v>
      </c>
      <c r="AJ17">
        <v>303</v>
      </c>
      <c r="AK17" t="s">
        <v>202</v>
      </c>
      <c r="AM17">
        <v>2296</v>
      </c>
      <c r="AN17">
        <v>461</v>
      </c>
    </row>
    <row r="18" spans="2:40" x14ac:dyDescent="0.25">
      <c r="B18" t="s">
        <v>333</v>
      </c>
      <c r="C18" t="s">
        <v>334</v>
      </c>
      <c r="D18" t="s">
        <v>335</v>
      </c>
      <c r="H18" t="s">
        <v>393</v>
      </c>
      <c r="AC18" t="s">
        <v>395</v>
      </c>
      <c r="AD18" t="s">
        <v>394</v>
      </c>
      <c r="AE18">
        <v>64</v>
      </c>
      <c r="AF18">
        <v>17</v>
      </c>
      <c r="AH18" t="s">
        <v>396</v>
      </c>
      <c r="AJ18">
        <v>303</v>
      </c>
      <c r="AK18" t="s">
        <v>202</v>
      </c>
      <c r="AM18">
        <v>850</v>
      </c>
      <c r="AN18">
        <v>668</v>
      </c>
    </row>
    <row r="19" spans="2:40" x14ac:dyDescent="0.25">
      <c r="B19" t="s">
        <v>333</v>
      </c>
      <c r="C19" t="s">
        <v>334</v>
      </c>
      <c r="D19" t="s">
        <v>335</v>
      </c>
      <c r="H19" t="s">
        <v>393</v>
      </c>
      <c r="AC19" t="s">
        <v>395</v>
      </c>
      <c r="AD19" t="s">
        <v>394</v>
      </c>
      <c r="AE19">
        <v>64</v>
      </c>
      <c r="AF19">
        <v>18</v>
      </c>
      <c r="AH19" t="s">
        <v>389</v>
      </c>
      <c r="AJ19">
        <v>501</v>
      </c>
      <c r="AK19" t="s">
        <v>204</v>
      </c>
      <c r="AM19">
        <v>1057</v>
      </c>
      <c r="AN19">
        <v>668</v>
      </c>
    </row>
    <row r="20" spans="2:40" x14ac:dyDescent="0.25">
      <c r="B20" t="s">
        <v>333</v>
      </c>
      <c r="C20" t="s">
        <v>334</v>
      </c>
      <c r="D20" t="s">
        <v>335</v>
      </c>
      <c r="H20" t="s">
        <v>393</v>
      </c>
      <c r="AC20" t="s">
        <v>395</v>
      </c>
      <c r="AD20" t="s">
        <v>394</v>
      </c>
      <c r="AE20">
        <v>64</v>
      </c>
      <c r="AF20">
        <v>19</v>
      </c>
      <c r="AH20" t="s">
        <v>390</v>
      </c>
      <c r="AJ20">
        <v>903</v>
      </c>
      <c r="AK20" t="s">
        <v>208</v>
      </c>
      <c r="AM20">
        <v>1263</v>
      </c>
      <c r="AN20">
        <v>668</v>
      </c>
    </row>
    <row r="21" spans="2:40" x14ac:dyDescent="0.25">
      <c r="B21" t="s">
        <v>333</v>
      </c>
      <c r="C21" t="s">
        <v>334</v>
      </c>
      <c r="D21" t="s">
        <v>335</v>
      </c>
      <c r="H21" t="s">
        <v>393</v>
      </c>
      <c r="AC21" t="s">
        <v>395</v>
      </c>
      <c r="AD21" t="s">
        <v>394</v>
      </c>
      <c r="AE21">
        <v>64</v>
      </c>
      <c r="AF21">
        <v>20</v>
      </c>
      <c r="AH21" t="s">
        <v>391</v>
      </c>
      <c r="AJ21">
        <v>604</v>
      </c>
      <c r="AK21" t="s">
        <v>205</v>
      </c>
      <c r="AM21">
        <v>1470</v>
      </c>
      <c r="AN21">
        <v>668</v>
      </c>
    </row>
    <row r="22" spans="2:40" x14ac:dyDescent="0.25">
      <c r="B22" t="s">
        <v>333</v>
      </c>
      <c r="C22" t="s">
        <v>334</v>
      </c>
      <c r="D22" t="s">
        <v>335</v>
      </c>
      <c r="H22" t="s">
        <v>393</v>
      </c>
      <c r="AC22" t="s">
        <v>395</v>
      </c>
      <c r="AD22" t="s">
        <v>394</v>
      </c>
      <c r="AE22">
        <v>64</v>
      </c>
      <c r="AF22">
        <v>21</v>
      </c>
      <c r="AH22" t="s">
        <v>389</v>
      </c>
      <c r="AJ22">
        <v>501</v>
      </c>
      <c r="AK22" t="s">
        <v>204</v>
      </c>
      <c r="AM22">
        <v>1676</v>
      </c>
      <c r="AN22">
        <v>668</v>
      </c>
    </row>
    <row r="23" spans="2:40" x14ac:dyDescent="0.25">
      <c r="B23" t="s">
        <v>333</v>
      </c>
      <c r="C23" t="s">
        <v>334</v>
      </c>
      <c r="D23" t="s">
        <v>335</v>
      </c>
      <c r="H23" t="s">
        <v>393</v>
      </c>
      <c r="AC23" t="s">
        <v>395</v>
      </c>
      <c r="AD23" t="s">
        <v>394</v>
      </c>
      <c r="AE23">
        <v>64</v>
      </c>
      <c r="AF23">
        <v>22</v>
      </c>
      <c r="AH23" t="s">
        <v>360</v>
      </c>
      <c r="AJ23">
        <v>102</v>
      </c>
      <c r="AK23" t="s">
        <v>200</v>
      </c>
      <c r="AM23">
        <v>1883</v>
      </c>
      <c r="AN23">
        <v>668</v>
      </c>
    </row>
    <row r="24" spans="2:40" x14ac:dyDescent="0.25">
      <c r="B24" t="s">
        <v>333</v>
      </c>
      <c r="C24" t="s">
        <v>334</v>
      </c>
      <c r="D24" t="s">
        <v>335</v>
      </c>
      <c r="H24" t="s">
        <v>393</v>
      </c>
      <c r="AC24" t="s">
        <v>395</v>
      </c>
      <c r="AD24" t="s">
        <v>394</v>
      </c>
      <c r="AE24">
        <v>64</v>
      </c>
      <c r="AF24">
        <v>23</v>
      </c>
      <c r="AH24" t="s">
        <v>389</v>
      </c>
      <c r="AJ24">
        <v>501</v>
      </c>
      <c r="AK24" t="s">
        <v>204</v>
      </c>
      <c r="AM24">
        <v>2090</v>
      </c>
      <c r="AN24">
        <v>668</v>
      </c>
    </row>
    <row r="25" spans="2:40" x14ac:dyDescent="0.25">
      <c r="B25" t="s">
        <v>333</v>
      </c>
      <c r="C25" t="s">
        <v>334</v>
      </c>
      <c r="D25" t="s">
        <v>335</v>
      </c>
      <c r="H25" t="s">
        <v>393</v>
      </c>
      <c r="AC25" t="s">
        <v>395</v>
      </c>
      <c r="AD25" t="s">
        <v>394</v>
      </c>
      <c r="AE25">
        <v>64</v>
      </c>
      <c r="AF25">
        <v>24</v>
      </c>
      <c r="AH25" t="s">
        <v>396</v>
      </c>
      <c r="AJ25">
        <v>303</v>
      </c>
      <c r="AK25" t="s">
        <v>202</v>
      </c>
      <c r="AM25">
        <v>2296</v>
      </c>
      <c r="AN25">
        <v>668</v>
      </c>
    </row>
    <row r="26" spans="2:40" x14ac:dyDescent="0.25">
      <c r="B26" t="s">
        <v>333</v>
      </c>
      <c r="C26" t="s">
        <v>334</v>
      </c>
      <c r="D26" t="s">
        <v>335</v>
      </c>
      <c r="H26" t="s">
        <v>393</v>
      </c>
      <c r="AC26" t="s">
        <v>395</v>
      </c>
      <c r="AD26" t="s">
        <v>394</v>
      </c>
      <c r="AE26">
        <v>64</v>
      </c>
      <c r="AF26">
        <v>25</v>
      </c>
      <c r="AH26" t="s">
        <v>396</v>
      </c>
      <c r="AJ26">
        <v>303</v>
      </c>
      <c r="AK26" t="s">
        <v>202</v>
      </c>
      <c r="AM26">
        <v>850</v>
      </c>
      <c r="AN26">
        <v>874</v>
      </c>
    </row>
    <row r="27" spans="2:40" x14ac:dyDescent="0.25">
      <c r="B27" t="s">
        <v>333</v>
      </c>
      <c r="C27" t="s">
        <v>334</v>
      </c>
      <c r="D27" t="s">
        <v>335</v>
      </c>
      <c r="H27" t="s">
        <v>393</v>
      </c>
      <c r="AC27" t="s">
        <v>395</v>
      </c>
      <c r="AD27" t="s">
        <v>394</v>
      </c>
      <c r="AE27">
        <v>64</v>
      </c>
      <c r="AF27">
        <v>26</v>
      </c>
      <c r="AH27" t="s">
        <v>389</v>
      </c>
      <c r="AJ27">
        <v>501</v>
      </c>
      <c r="AK27" t="s">
        <v>204</v>
      </c>
      <c r="AM27">
        <v>1057</v>
      </c>
      <c r="AN27">
        <v>874</v>
      </c>
    </row>
    <row r="28" spans="2:40" x14ac:dyDescent="0.25">
      <c r="B28" t="s">
        <v>333</v>
      </c>
      <c r="C28" t="s">
        <v>334</v>
      </c>
      <c r="D28" t="s">
        <v>335</v>
      </c>
      <c r="H28" t="s">
        <v>393</v>
      </c>
      <c r="AC28" t="s">
        <v>395</v>
      </c>
      <c r="AD28" t="s">
        <v>394</v>
      </c>
      <c r="AE28">
        <v>64</v>
      </c>
      <c r="AF28">
        <v>27</v>
      </c>
      <c r="AH28" t="s">
        <v>389</v>
      </c>
      <c r="AJ28">
        <v>501</v>
      </c>
      <c r="AK28" t="s">
        <v>204</v>
      </c>
      <c r="AM28">
        <v>1263</v>
      </c>
      <c r="AN28">
        <v>874</v>
      </c>
    </row>
    <row r="29" spans="2:40" x14ac:dyDescent="0.25">
      <c r="B29" t="s">
        <v>333</v>
      </c>
      <c r="C29" t="s">
        <v>334</v>
      </c>
      <c r="D29" t="s">
        <v>335</v>
      </c>
      <c r="H29" t="s">
        <v>393</v>
      </c>
      <c r="AC29" t="s">
        <v>395</v>
      </c>
      <c r="AD29" t="s">
        <v>394</v>
      </c>
      <c r="AE29">
        <v>64</v>
      </c>
      <c r="AF29">
        <v>28</v>
      </c>
      <c r="AH29" t="s">
        <v>389</v>
      </c>
      <c r="AJ29">
        <v>501</v>
      </c>
      <c r="AK29" t="s">
        <v>204</v>
      </c>
      <c r="AM29">
        <v>1470</v>
      </c>
      <c r="AN29">
        <v>874</v>
      </c>
    </row>
    <row r="30" spans="2:40" x14ac:dyDescent="0.25">
      <c r="B30" t="s">
        <v>333</v>
      </c>
      <c r="C30" t="s">
        <v>334</v>
      </c>
      <c r="D30" t="s">
        <v>335</v>
      </c>
      <c r="H30" t="s">
        <v>393</v>
      </c>
      <c r="AC30" t="s">
        <v>395</v>
      </c>
      <c r="AD30" t="s">
        <v>394</v>
      </c>
      <c r="AE30">
        <v>64</v>
      </c>
      <c r="AF30">
        <v>29</v>
      </c>
      <c r="AH30" t="s">
        <v>390</v>
      </c>
      <c r="AJ30">
        <v>903</v>
      </c>
      <c r="AK30" t="s">
        <v>208</v>
      </c>
      <c r="AM30">
        <v>1676</v>
      </c>
      <c r="AN30">
        <v>874</v>
      </c>
    </row>
    <row r="31" spans="2:40" x14ac:dyDescent="0.25">
      <c r="B31" t="s">
        <v>333</v>
      </c>
      <c r="C31" t="s">
        <v>334</v>
      </c>
      <c r="D31" t="s">
        <v>335</v>
      </c>
      <c r="H31" t="s">
        <v>393</v>
      </c>
      <c r="AC31" t="s">
        <v>395</v>
      </c>
      <c r="AD31" t="s">
        <v>394</v>
      </c>
      <c r="AE31">
        <v>64</v>
      </c>
      <c r="AF31">
        <v>30</v>
      </c>
      <c r="AH31" t="s">
        <v>389</v>
      </c>
      <c r="AJ31">
        <v>501</v>
      </c>
      <c r="AK31" t="s">
        <v>204</v>
      </c>
      <c r="AM31">
        <v>1883</v>
      </c>
      <c r="AN31">
        <v>874</v>
      </c>
    </row>
    <row r="32" spans="2:40" x14ac:dyDescent="0.25">
      <c r="B32" t="s">
        <v>333</v>
      </c>
      <c r="C32" t="s">
        <v>334</v>
      </c>
      <c r="D32" t="s">
        <v>335</v>
      </c>
      <c r="H32" t="s">
        <v>393</v>
      </c>
      <c r="AC32" t="s">
        <v>395</v>
      </c>
      <c r="AD32" t="s">
        <v>394</v>
      </c>
      <c r="AE32">
        <v>64</v>
      </c>
      <c r="AF32">
        <v>31</v>
      </c>
      <c r="AH32" t="s">
        <v>389</v>
      </c>
      <c r="AJ32">
        <v>501</v>
      </c>
      <c r="AK32" t="s">
        <v>204</v>
      </c>
      <c r="AM32">
        <v>2090</v>
      </c>
      <c r="AN32">
        <v>874</v>
      </c>
    </row>
    <row r="33" spans="2:40" x14ac:dyDescent="0.25">
      <c r="B33" t="s">
        <v>333</v>
      </c>
      <c r="C33" t="s">
        <v>334</v>
      </c>
      <c r="D33" t="s">
        <v>335</v>
      </c>
      <c r="H33" t="s">
        <v>393</v>
      </c>
      <c r="AC33" t="s">
        <v>395</v>
      </c>
      <c r="AD33" t="s">
        <v>394</v>
      </c>
      <c r="AE33">
        <v>64</v>
      </c>
      <c r="AF33">
        <v>32</v>
      </c>
      <c r="AH33" t="s">
        <v>396</v>
      </c>
      <c r="AJ33">
        <v>303</v>
      </c>
      <c r="AK33" t="s">
        <v>202</v>
      </c>
      <c r="AM33">
        <v>2296</v>
      </c>
      <c r="AN33">
        <v>874</v>
      </c>
    </row>
    <row r="34" spans="2:40" x14ac:dyDescent="0.25">
      <c r="B34" t="s">
        <v>333</v>
      </c>
      <c r="C34" t="s">
        <v>334</v>
      </c>
      <c r="D34" t="s">
        <v>335</v>
      </c>
      <c r="H34" t="s">
        <v>393</v>
      </c>
      <c r="AC34" t="s">
        <v>395</v>
      </c>
      <c r="AD34" t="s">
        <v>394</v>
      </c>
      <c r="AE34">
        <v>64</v>
      </c>
      <c r="AF34">
        <v>33</v>
      </c>
      <c r="AH34" t="s">
        <v>396</v>
      </c>
      <c r="AJ34">
        <v>303</v>
      </c>
      <c r="AK34" t="s">
        <v>202</v>
      </c>
      <c r="AM34">
        <v>850</v>
      </c>
      <c r="AN34">
        <v>1081</v>
      </c>
    </row>
    <row r="35" spans="2:40" x14ac:dyDescent="0.25">
      <c r="B35" t="s">
        <v>333</v>
      </c>
      <c r="C35" t="s">
        <v>334</v>
      </c>
      <c r="D35" t="s">
        <v>335</v>
      </c>
      <c r="H35" t="s">
        <v>393</v>
      </c>
      <c r="AC35" t="s">
        <v>395</v>
      </c>
      <c r="AD35" t="s">
        <v>394</v>
      </c>
      <c r="AE35">
        <v>64</v>
      </c>
      <c r="AF35">
        <v>34</v>
      </c>
      <c r="AH35" t="s">
        <v>390</v>
      </c>
      <c r="AJ35">
        <v>903</v>
      </c>
      <c r="AK35" t="s">
        <v>208</v>
      </c>
      <c r="AM35">
        <v>1057</v>
      </c>
      <c r="AN35">
        <v>1081</v>
      </c>
    </row>
    <row r="36" spans="2:40" x14ac:dyDescent="0.25">
      <c r="B36" t="s">
        <v>333</v>
      </c>
      <c r="C36" t="s">
        <v>334</v>
      </c>
      <c r="D36" t="s">
        <v>335</v>
      </c>
      <c r="H36" t="s">
        <v>393</v>
      </c>
      <c r="AC36" t="s">
        <v>395</v>
      </c>
      <c r="AD36" t="s">
        <v>394</v>
      </c>
      <c r="AE36">
        <v>64</v>
      </c>
      <c r="AF36">
        <v>35</v>
      </c>
      <c r="AH36" t="s">
        <v>389</v>
      </c>
      <c r="AJ36">
        <v>501</v>
      </c>
      <c r="AK36" t="s">
        <v>204</v>
      </c>
      <c r="AM36">
        <v>1263</v>
      </c>
      <c r="AN36">
        <v>1081</v>
      </c>
    </row>
    <row r="37" spans="2:40" x14ac:dyDescent="0.25">
      <c r="B37" t="s">
        <v>333</v>
      </c>
      <c r="C37" t="s">
        <v>334</v>
      </c>
      <c r="D37" t="s">
        <v>335</v>
      </c>
      <c r="H37" t="s">
        <v>393</v>
      </c>
      <c r="AC37" t="s">
        <v>395</v>
      </c>
      <c r="AD37" t="s">
        <v>394</v>
      </c>
      <c r="AE37">
        <v>64</v>
      </c>
      <c r="AF37">
        <v>36</v>
      </c>
      <c r="AH37" t="s">
        <v>360</v>
      </c>
      <c r="AJ37">
        <v>102</v>
      </c>
      <c r="AK37" t="s">
        <v>200</v>
      </c>
      <c r="AM37">
        <v>1470</v>
      </c>
      <c r="AN37">
        <v>1081</v>
      </c>
    </row>
    <row r="38" spans="2:40" x14ac:dyDescent="0.25">
      <c r="B38" t="s">
        <v>333</v>
      </c>
      <c r="C38" t="s">
        <v>334</v>
      </c>
      <c r="D38" t="s">
        <v>335</v>
      </c>
      <c r="H38" t="s">
        <v>393</v>
      </c>
      <c r="AC38" t="s">
        <v>395</v>
      </c>
      <c r="AD38" t="s">
        <v>394</v>
      </c>
      <c r="AE38">
        <v>64</v>
      </c>
      <c r="AF38">
        <v>37</v>
      </c>
      <c r="AH38" t="s">
        <v>390</v>
      </c>
      <c r="AJ38">
        <v>903</v>
      </c>
      <c r="AK38" t="s">
        <v>208</v>
      </c>
      <c r="AM38">
        <v>1676</v>
      </c>
      <c r="AN38">
        <v>1081</v>
      </c>
    </row>
    <row r="39" spans="2:40" x14ac:dyDescent="0.25">
      <c r="B39" t="s">
        <v>333</v>
      </c>
      <c r="C39" t="s">
        <v>334</v>
      </c>
      <c r="D39" t="s">
        <v>335</v>
      </c>
      <c r="H39" t="s">
        <v>393</v>
      </c>
      <c r="AC39" t="s">
        <v>395</v>
      </c>
      <c r="AD39" t="s">
        <v>394</v>
      </c>
      <c r="AE39">
        <v>64</v>
      </c>
      <c r="AF39">
        <v>38</v>
      </c>
      <c r="AH39" t="s">
        <v>390</v>
      </c>
      <c r="AJ39">
        <v>903</v>
      </c>
      <c r="AK39" t="s">
        <v>208</v>
      </c>
      <c r="AM39">
        <v>1883</v>
      </c>
      <c r="AN39">
        <v>1081</v>
      </c>
    </row>
    <row r="40" spans="2:40" x14ac:dyDescent="0.25">
      <c r="B40" t="s">
        <v>333</v>
      </c>
      <c r="C40" t="s">
        <v>334</v>
      </c>
      <c r="D40" t="s">
        <v>335</v>
      </c>
      <c r="H40" t="s">
        <v>393</v>
      </c>
      <c r="AC40" t="s">
        <v>395</v>
      </c>
      <c r="AD40" t="s">
        <v>394</v>
      </c>
      <c r="AE40">
        <v>64</v>
      </c>
      <c r="AF40">
        <v>39</v>
      </c>
      <c r="AH40" t="s">
        <v>389</v>
      </c>
      <c r="AJ40">
        <v>501</v>
      </c>
      <c r="AK40" t="s">
        <v>204</v>
      </c>
      <c r="AM40">
        <v>2090</v>
      </c>
      <c r="AN40">
        <v>1081</v>
      </c>
    </row>
    <row r="41" spans="2:40" x14ac:dyDescent="0.25">
      <c r="B41" t="s">
        <v>333</v>
      </c>
      <c r="C41" t="s">
        <v>334</v>
      </c>
      <c r="D41" t="s">
        <v>335</v>
      </c>
      <c r="H41" t="s">
        <v>393</v>
      </c>
      <c r="AC41" t="s">
        <v>395</v>
      </c>
      <c r="AD41" t="s">
        <v>394</v>
      </c>
      <c r="AE41">
        <v>64</v>
      </c>
      <c r="AF41">
        <v>40</v>
      </c>
      <c r="AH41" t="s">
        <v>396</v>
      </c>
      <c r="AJ41">
        <v>303</v>
      </c>
      <c r="AK41" t="s">
        <v>202</v>
      </c>
      <c r="AM41">
        <v>2296</v>
      </c>
      <c r="AN41">
        <v>1081</v>
      </c>
    </row>
    <row r="42" spans="2:40" x14ac:dyDescent="0.25">
      <c r="B42" t="s">
        <v>333</v>
      </c>
      <c r="C42" t="s">
        <v>334</v>
      </c>
      <c r="D42" t="s">
        <v>335</v>
      </c>
      <c r="H42" t="s">
        <v>393</v>
      </c>
      <c r="AC42" t="s">
        <v>395</v>
      </c>
      <c r="AD42" t="s">
        <v>394</v>
      </c>
      <c r="AE42">
        <v>64</v>
      </c>
      <c r="AF42">
        <v>41</v>
      </c>
      <c r="AH42" t="s">
        <v>396</v>
      </c>
      <c r="AJ42">
        <v>303</v>
      </c>
      <c r="AK42" t="s">
        <v>202</v>
      </c>
      <c r="AM42">
        <v>850</v>
      </c>
      <c r="AN42">
        <v>1287</v>
      </c>
    </row>
    <row r="43" spans="2:40" x14ac:dyDescent="0.25">
      <c r="B43" t="s">
        <v>333</v>
      </c>
      <c r="C43" t="s">
        <v>334</v>
      </c>
      <c r="D43" t="s">
        <v>335</v>
      </c>
      <c r="H43" t="s">
        <v>393</v>
      </c>
      <c r="AC43" t="s">
        <v>395</v>
      </c>
      <c r="AD43" t="s">
        <v>394</v>
      </c>
      <c r="AE43">
        <v>64</v>
      </c>
      <c r="AF43">
        <v>42</v>
      </c>
      <c r="AH43" t="s">
        <v>389</v>
      </c>
      <c r="AJ43">
        <v>501</v>
      </c>
      <c r="AK43" t="s">
        <v>204</v>
      </c>
      <c r="AM43">
        <v>1057</v>
      </c>
      <c r="AN43">
        <v>1287</v>
      </c>
    </row>
    <row r="44" spans="2:40" x14ac:dyDescent="0.25">
      <c r="B44" t="s">
        <v>333</v>
      </c>
      <c r="C44" t="s">
        <v>334</v>
      </c>
      <c r="D44" t="s">
        <v>335</v>
      </c>
      <c r="H44" t="s">
        <v>393</v>
      </c>
      <c r="AC44" t="s">
        <v>395</v>
      </c>
      <c r="AD44" t="s">
        <v>394</v>
      </c>
      <c r="AE44">
        <v>64</v>
      </c>
      <c r="AF44">
        <v>43</v>
      </c>
      <c r="AH44" t="s">
        <v>390</v>
      </c>
      <c r="AJ44">
        <v>903</v>
      </c>
      <c r="AK44" t="s">
        <v>208</v>
      </c>
      <c r="AM44">
        <v>1263</v>
      </c>
      <c r="AN44">
        <v>1287</v>
      </c>
    </row>
    <row r="45" spans="2:40" x14ac:dyDescent="0.25">
      <c r="B45" t="s">
        <v>333</v>
      </c>
      <c r="C45" t="s">
        <v>334</v>
      </c>
      <c r="D45" t="s">
        <v>335</v>
      </c>
      <c r="H45" t="s">
        <v>393</v>
      </c>
      <c r="AC45" t="s">
        <v>395</v>
      </c>
      <c r="AD45" t="s">
        <v>394</v>
      </c>
      <c r="AE45">
        <v>64</v>
      </c>
      <c r="AF45">
        <v>44</v>
      </c>
      <c r="AH45" t="s">
        <v>390</v>
      </c>
      <c r="AJ45">
        <v>903</v>
      </c>
      <c r="AK45" t="s">
        <v>208</v>
      </c>
      <c r="AM45">
        <v>1470</v>
      </c>
      <c r="AN45">
        <v>1287</v>
      </c>
    </row>
    <row r="46" spans="2:40" x14ac:dyDescent="0.25">
      <c r="B46" t="s">
        <v>333</v>
      </c>
      <c r="C46" t="s">
        <v>334</v>
      </c>
      <c r="D46" t="s">
        <v>335</v>
      </c>
      <c r="H46" t="s">
        <v>393</v>
      </c>
      <c r="AC46" t="s">
        <v>395</v>
      </c>
      <c r="AD46" t="s">
        <v>394</v>
      </c>
      <c r="AE46">
        <v>64</v>
      </c>
      <c r="AF46">
        <v>45</v>
      </c>
      <c r="AH46" t="s">
        <v>391</v>
      </c>
      <c r="AJ46">
        <v>604</v>
      </c>
      <c r="AK46" t="s">
        <v>205</v>
      </c>
      <c r="AM46">
        <v>1676</v>
      </c>
      <c r="AN46">
        <v>1287</v>
      </c>
    </row>
    <row r="47" spans="2:40" x14ac:dyDescent="0.25">
      <c r="B47" t="s">
        <v>333</v>
      </c>
      <c r="C47" t="s">
        <v>334</v>
      </c>
      <c r="D47" t="s">
        <v>335</v>
      </c>
      <c r="H47" t="s">
        <v>393</v>
      </c>
      <c r="AC47" t="s">
        <v>395</v>
      </c>
      <c r="AD47" t="s">
        <v>394</v>
      </c>
      <c r="AE47">
        <v>64</v>
      </c>
      <c r="AF47">
        <v>46</v>
      </c>
      <c r="AH47" t="s">
        <v>391</v>
      </c>
      <c r="AJ47">
        <v>604</v>
      </c>
      <c r="AK47" t="s">
        <v>205</v>
      </c>
      <c r="AM47">
        <v>1883</v>
      </c>
      <c r="AN47">
        <v>1287</v>
      </c>
    </row>
    <row r="48" spans="2:40" x14ac:dyDescent="0.25">
      <c r="B48" t="s">
        <v>333</v>
      </c>
      <c r="C48" t="s">
        <v>334</v>
      </c>
      <c r="D48" t="s">
        <v>335</v>
      </c>
      <c r="H48" t="s">
        <v>393</v>
      </c>
      <c r="AC48" t="s">
        <v>395</v>
      </c>
      <c r="AD48" t="s">
        <v>394</v>
      </c>
      <c r="AE48">
        <v>64</v>
      </c>
      <c r="AF48">
        <v>47</v>
      </c>
      <c r="AH48" t="s">
        <v>390</v>
      </c>
      <c r="AJ48">
        <v>903</v>
      </c>
      <c r="AK48" t="s">
        <v>208</v>
      </c>
      <c r="AM48">
        <v>2090</v>
      </c>
      <c r="AN48">
        <v>1287</v>
      </c>
    </row>
    <row r="49" spans="2:40" x14ac:dyDescent="0.25">
      <c r="B49" t="s">
        <v>333</v>
      </c>
      <c r="C49" t="s">
        <v>334</v>
      </c>
      <c r="D49" t="s">
        <v>335</v>
      </c>
      <c r="H49" t="s">
        <v>393</v>
      </c>
      <c r="AC49" t="s">
        <v>395</v>
      </c>
      <c r="AD49" t="s">
        <v>394</v>
      </c>
      <c r="AE49">
        <v>64</v>
      </c>
      <c r="AF49">
        <v>48</v>
      </c>
      <c r="AH49" t="s">
        <v>396</v>
      </c>
      <c r="AJ49">
        <v>303</v>
      </c>
      <c r="AK49" t="s">
        <v>202</v>
      </c>
      <c r="AM49">
        <v>2296</v>
      </c>
      <c r="AN49">
        <v>1287</v>
      </c>
    </row>
    <row r="50" spans="2:40" x14ac:dyDescent="0.25">
      <c r="B50" t="s">
        <v>333</v>
      </c>
      <c r="C50" t="s">
        <v>334</v>
      </c>
      <c r="D50" t="s">
        <v>335</v>
      </c>
      <c r="H50" t="s">
        <v>393</v>
      </c>
      <c r="AC50" t="s">
        <v>395</v>
      </c>
      <c r="AD50" t="s">
        <v>394</v>
      </c>
      <c r="AE50">
        <v>64</v>
      </c>
      <c r="AF50">
        <v>49</v>
      </c>
      <c r="AH50" t="s">
        <v>360</v>
      </c>
      <c r="AJ50">
        <v>102</v>
      </c>
      <c r="AK50" t="s">
        <v>200</v>
      </c>
      <c r="AM50">
        <v>850</v>
      </c>
      <c r="AN50">
        <v>1494</v>
      </c>
    </row>
    <row r="51" spans="2:40" x14ac:dyDescent="0.25">
      <c r="B51" t="s">
        <v>333</v>
      </c>
      <c r="C51" t="s">
        <v>334</v>
      </c>
      <c r="D51" t="s">
        <v>335</v>
      </c>
      <c r="H51" t="s">
        <v>393</v>
      </c>
      <c r="AC51" t="s">
        <v>395</v>
      </c>
      <c r="AD51" t="s">
        <v>394</v>
      </c>
      <c r="AE51">
        <v>64</v>
      </c>
      <c r="AF51">
        <v>50</v>
      </c>
      <c r="AH51" t="s">
        <v>389</v>
      </c>
      <c r="AJ51">
        <v>501</v>
      </c>
      <c r="AK51" t="s">
        <v>204</v>
      </c>
      <c r="AM51">
        <v>1057</v>
      </c>
      <c r="AN51">
        <v>1494</v>
      </c>
    </row>
    <row r="52" spans="2:40" x14ac:dyDescent="0.25">
      <c r="B52" t="s">
        <v>333</v>
      </c>
      <c r="C52" t="s">
        <v>334</v>
      </c>
      <c r="D52" t="s">
        <v>335</v>
      </c>
      <c r="H52" t="s">
        <v>393</v>
      </c>
      <c r="AC52" t="s">
        <v>395</v>
      </c>
      <c r="AD52" t="s">
        <v>394</v>
      </c>
      <c r="AE52">
        <v>64</v>
      </c>
      <c r="AF52">
        <v>51</v>
      </c>
      <c r="AH52" t="s">
        <v>390</v>
      </c>
      <c r="AJ52">
        <v>903</v>
      </c>
      <c r="AK52" t="s">
        <v>208</v>
      </c>
      <c r="AM52">
        <v>1263</v>
      </c>
      <c r="AN52">
        <v>1494</v>
      </c>
    </row>
    <row r="53" spans="2:40" x14ac:dyDescent="0.25">
      <c r="B53" t="s">
        <v>333</v>
      </c>
      <c r="C53" t="s">
        <v>334</v>
      </c>
      <c r="D53" t="s">
        <v>335</v>
      </c>
      <c r="H53" t="s">
        <v>393</v>
      </c>
      <c r="AC53" t="s">
        <v>395</v>
      </c>
      <c r="AD53" t="s">
        <v>394</v>
      </c>
      <c r="AE53">
        <v>64</v>
      </c>
      <c r="AF53">
        <v>52</v>
      </c>
      <c r="AH53" t="s">
        <v>389</v>
      </c>
      <c r="AJ53">
        <v>501</v>
      </c>
      <c r="AK53" t="s">
        <v>204</v>
      </c>
      <c r="AM53">
        <v>1470</v>
      </c>
      <c r="AN53">
        <v>1494</v>
      </c>
    </row>
    <row r="54" spans="2:40" x14ac:dyDescent="0.25">
      <c r="B54" t="s">
        <v>333</v>
      </c>
      <c r="C54" t="s">
        <v>334</v>
      </c>
      <c r="D54" t="s">
        <v>335</v>
      </c>
      <c r="H54" t="s">
        <v>393</v>
      </c>
      <c r="AC54" t="s">
        <v>395</v>
      </c>
      <c r="AD54" t="s">
        <v>394</v>
      </c>
      <c r="AE54">
        <v>64</v>
      </c>
      <c r="AF54">
        <v>53</v>
      </c>
      <c r="AH54" t="s">
        <v>389</v>
      </c>
      <c r="AJ54">
        <v>501</v>
      </c>
      <c r="AK54" t="s">
        <v>204</v>
      </c>
      <c r="AM54">
        <v>1676</v>
      </c>
      <c r="AN54">
        <v>1494</v>
      </c>
    </row>
    <row r="55" spans="2:40" x14ac:dyDescent="0.25">
      <c r="B55" t="s">
        <v>333</v>
      </c>
      <c r="C55" t="s">
        <v>334</v>
      </c>
      <c r="D55" t="s">
        <v>335</v>
      </c>
      <c r="H55" t="s">
        <v>393</v>
      </c>
      <c r="AC55" t="s">
        <v>395</v>
      </c>
      <c r="AD55" t="s">
        <v>394</v>
      </c>
      <c r="AE55">
        <v>64</v>
      </c>
      <c r="AF55">
        <v>54</v>
      </c>
      <c r="AH55" t="s">
        <v>389</v>
      </c>
      <c r="AJ55">
        <v>501</v>
      </c>
      <c r="AK55" t="s">
        <v>204</v>
      </c>
      <c r="AM55">
        <v>1883</v>
      </c>
      <c r="AN55">
        <v>1494</v>
      </c>
    </row>
    <row r="56" spans="2:40" x14ac:dyDescent="0.25">
      <c r="B56" t="s">
        <v>333</v>
      </c>
      <c r="C56" t="s">
        <v>334</v>
      </c>
      <c r="D56" t="s">
        <v>335</v>
      </c>
      <c r="H56" t="s">
        <v>393</v>
      </c>
      <c r="AC56" t="s">
        <v>395</v>
      </c>
      <c r="AD56" t="s">
        <v>394</v>
      </c>
      <c r="AE56">
        <v>64</v>
      </c>
      <c r="AF56">
        <v>55</v>
      </c>
      <c r="AH56" t="s">
        <v>358</v>
      </c>
      <c r="AJ56">
        <v>1001</v>
      </c>
      <c r="AK56" t="s">
        <v>209</v>
      </c>
      <c r="AM56">
        <v>2090</v>
      </c>
      <c r="AN56">
        <v>1494</v>
      </c>
    </row>
    <row r="57" spans="2:40" x14ac:dyDescent="0.25">
      <c r="B57" t="s">
        <v>333</v>
      </c>
      <c r="C57" t="s">
        <v>334</v>
      </c>
      <c r="D57" t="s">
        <v>335</v>
      </c>
      <c r="H57" t="s">
        <v>393</v>
      </c>
      <c r="AC57" t="s">
        <v>395</v>
      </c>
      <c r="AD57" t="s">
        <v>394</v>
      </c>
      <c r="AE57">
        <v>64</v>
      </c>
      <c r="AF57">
        <v>56</v>
      </c>
      <c r="AH57" t="s">
        <v>358</v>
      </c>
      <c r="AJ57">
        <v>1001</v>
      </c>
      <c r="AK57" t="s">
        <v>209</v>
      </c>
      <c r="AM57">
        <v>2296</v>
      </c>
      <c r="AN57">
        <v>1494</v>
      </c>
    </row>
    <row r="58" spans="2:40" x14ac:dyDescent="0.25">
      <c r="B58" t="s">
        <v>333</v>
      </c>
      <c r="C58" t="s">
        <v>334</v>
      </c>
      <c r="D58" t="s">
        <v>335</v>
      </c>
      <c r="H58" t="s">
        <v>393</v>
      </c>
      <c r="AC58" t="s">
        <v>395</v>
      </c>
      <c r="AD58" t="s">
        <v>394</v>
      </c>
      <c r="AE58">
        <v>64</v>
      </c>
      <c r="AF58">
        <v>57</v>
      </c>
      <c r="AH58" t="s">
        <v>396</v>
      </c>
      <c r="AJ58">
        <v>303</v>
      </c>
      <c r="AK58" t="s">
        <v>202</v>
      </c>
      <c r="AM58">
        <v>850</v>
      </c>
      <c r="AN58">
        <v>1701</v>
      </c>
    </row>
    <row r="59" spans="2:40" x14ac:dyDescent="0.25">
      <c r="B59" t="s">
        <v>333</v>
      </c>
      <c r="C59" t="s">
        <v>334</v>
      </c>
      <c r="D59" t="s">
        <v>335</v>
      </c>
      <c r="H59" t="s">
        <v>393</v>
      </c>
      <c r="AC59" t="s">
        <v>395</v>
      </c>
      <c r="AD59" t="s">
        <v>394</v>
      </c>
      <c r="AE59">
        <v>64</v>
      </c>
      <c r="AF59">
        <v>58</v>
      </c>
      <c r="AH59" t="s">
        <v>360</v>
      </c>
      <c r="AJ59">
        <v>102</v>
      </c>
      <c r="AK59" t="s">
        <v>200</v>
      </c>
      <c r="AM59">
        <v>1057</v>
      </c>
      <c r="AN59">
        <v>1701</v>
      </c>
    </row>
    <row r="60" spans="2:40" x14ac:dyDescent="0.25">
      <c r="B60" t="s">
        <v>333</v>
      </c>
      <c r="C60" t="s">
        <v>334</v>
      </c>
      <c r="D60" t="s">
        <v>335</v>
      </c>
      <c r="H60" t="s">
        <v>393</v>
      </c>
      <c r="AC60" t="s">
        <v>395</v>
      </c>
      <c r="AD60" t="s">
        <v>394</v>
      </c>
      <c r="AE60">
        <v>64</v>
      </c>
      <c r="AF60">
        <v>59</v>
      </c>
      <c r="AH60" t="s">
        <v>358</v>
      </c>
      <c r="AJ60">
        <v>1001</v>
      </c>
      <c r="AK60" t="s">
        <v>209</v>
      </c>
      <c r="AM60">
        <v>1263</v>
      </c>
      <c r="AN60">
        <v>1701</v>
      </c>
    </row>
    <row r="61" spans="2:40" x14ac:dyDescent="0.25">
      <c r="B61" t="s">
        <v>333</v>
      </c>
      <c r="C61" t="s">
        <v>334</v>
      </c>
      <c r="D61" t="s">
        <v>335</v>
      </c>
      <c r="H61" t="s">
        <v>393</v>
      </c>
      <c r="AC61" t="s">
        <v>395</v>
      </c>
      <c r="AD61" t="s">
        <v>394</v>
      </c>
      <c r="AE61">
        <v>64</v>
      </c>
      <c r="AF61">
        <v>60</v>
      </c>
      <c r="AH61" t="s">
        <v>358</v>
      </c>
      <c r="AJ61">
        <v>1001</v>
      </c>
      <c r="AK61" t="s">
        <v>209</v>
      </c>
      <c r="AM61">
        <v>1470</v>
      </c>
      <c r="AN61">
        <v>1701</v>
      </c>
    </row>
    <row r="62" spans="2:40" x14ac:dyDescent="0.25">
      <c r="B62" t="s">
        <v>333</v>
      </c>
      <c r="C62" t="s">
        <v>334</v>
      </c>
      <c r="D62" t="s">
        <v>335</v>
      </c>
      <c r="H62" t="s">
        <v>393</v>
      </c>
      <c r="AC62" t="s">
        <v>395</v>
      </c>
      <c r="AD62" t="s">
        <v>394</v>
      </c>
      <c r="AE62">
        <v>64</v>
      </c>
      <c r="AF62">
        <v>61</v>
      </c>
      <c r="AH62" t="s">
        <v>396</v>
      </c>
      <c r="AJ62">
        <v>303</v>
      </c>
      <c r="AK62" t="s">
        <v>202</v>
      </c>
      <c r="AM62">
        <v>1676</v>
      </c>
      <c r="AN62">
        <v>1701</v>
      </c>
    </row>
    <row r="63" spans="2:40" x14ac:dyDescent="0.25">
      <c r="B63" t="s">
        <v>333</v>
      </c>
      <c r="C63" t="s">
        <v>334</v>
      </c>
      <c r="D63" t="s">
        <v>335</v>
      </c>
      <c r="H63" t="s">
        <v>393</v>
      </c>
      <c r="AC63" t="s">
        <v>395</v>
      </c>
      <c r="AD63" t="s">
        <v>394</v>
      </c>
      <c r="AE63">
        <v>64</v>
      </c>
      <c r="AF63">
        <v>62</v>
      </c>
      <c r="AH63" t="s">
        <v>358</v>
      </c>
      <c r="AJ63">
        <v>1001</v>
      </c>
      <c r="AK63" t="s">
        <v>209</v>
      </c>
      <c r="AM63">
        <v>1883</v>
      </c>
      <c r="AN63">
        <v>1701</v>
      </c>
    </row>
    <row r="64" spans="2:40" x14ac:dyDescent="0.25">
      <c r="B64" t="s">
        <v>333</v>
      </c>
      <c r="C64" t="s">
        <v>334</v>
      </c>
      <c r="D64" t="s">
        <v>335</v>
      </c>
      <c r="H64" t="s">
        <v>393</v>
      </c>
      <c r="AC64" t="s">
        <v>395</v>
      </c>
      <c r="AD64" t="s">
        <v>394</v>
      </c>
      <c r="AE64">
        <v>64</v>
      </c>
      <c r="AF64">
        <v>63</v>
      </c>
      <c r="AH64" t="s">
        <v>360</v>
      </c>
      <c r="AJ64">
        <v>102</v>
      </c>
      <c r="AK64" t="s">
        <v>200</v>
      </c>
      <c r="AM64">
        <v>2090</v>
      </c>
      <c r="AN64">
        <v>1701</v>
      </c>
    </row>
    <row r="65" spans="2:40" x14ac:dyDescent="0.25">
      <c r="B65" t="s">
        <v>333</v>
      </c>
      <c r="C65" t="s">
        <v>334</v>
      </c>
      <c r="D65" t="s">
        <v>335</v>
      </c>
      <c r="H65" t="s">
        <v>393</v>
      </c>
      <c r="AC65" t="s">
        <v>395</v>
      </c>
      <c r="AD65" t="s">
        <v>394</v>
      </c>
      <c r="AE65">
        <v>64</v>
      </c>
      <c r="AF65">
        <v>64</v>
      </c>
      <c r="AH65" t="s">
        <v>358</v>
      </c>
      <c r="AJ65">
        <v>1001</v>
      </c>
      <c r="AK65" t="s">
        <v>209</v>
      </c>
      <c r="AM65">
        <v>2296</v>
      </c>
      <c r="AN65">
        <v>1701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28515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42578125" bestFit="1" customWidth="1"/>
    <col min="30" max="30" width="43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399</v>
      </c>
      <c r="AC2" t="s">
        <v>401</v>
      </c>
      <c r="AD2" t="s">
        <v>400</v>
      </c>
      <c r="AE2">
        <v>64</v>
      </c>
      <c r="AF2">
        <v>1</v>
      </c>
      <c r="AH2" t="s">
        <v>360</v>
      </c>
      <c r="AJ2">
        <v>102</v>
      </c>
      <c r="AK2" t="s">
        <v>200</v>
      </c>
      <c r="AM2">
        <v>806</v>
      </c>
      <c r="AN2">
        <v>243</v>
      </c>
    </row>
    <row r="3" spans="1:40" x14ac:dyDescent="0.25">
      <c r="B3" t="s">
        <v>333</v>
      </c>
      <c r="C3" t="s">
        <v>334</v>
      </c>
      <c r="D3" t="s">
        <v>335</v>
      </c>
      <c r="H3" t="s">
        <v>399</v>
      </c>
      <c r="AC3" t="s">
        <v>401</v>
      </c>
      <c r="AD3" t="s">
        <v>400</v>
      </c>
      <c r="AE3">
        <v>64</v>
      </c>
      <c r="AF3">
        <v>2</v>
      </c>
      <c r="AH3" t="s">
        <v>360</v>
      </c>
      <c r="AJ3">
        <v>102</v>
      </c>
      <c r="AK3" t="s">
        <v>200</v>
      </c>
      <c r="AM3">
        <v>1012</v>
      </c>
      <c r="AN3">
        <v>243</v>
      </c>
    </row>
    <row r="4" spans="1:40" x14ac:dyDescent="0.25">
      <c r="B4" t="s">
        <v>333</v>
      </c>
      <c r="C4" t="s">
        <v>334</v>
      </c>
      <c r="D4" t="s">
        <v>335</v>
      </c>
      <c r="H4" t="s">
        <v>399</v>
      </c>
      <c r="AC4" t="s">
        <v>401</v>
      </c>
      <c r="AD4" t="s">
        <v>400</v>
      </c>
      <c r="AE4">
        <v>64</v>
      </c>
      <c r="AF4">
        <v>3</v>
      </c>
      <c r="AH4" t="s">
        <v>360</v>
      </c>
      <c r="AJ4">
        <v>102</v>
      </c>
      <c r="AK4" t="s">
        <v>200</v>
      </c>
      <c r="AM4">
        <v>1217</v>
      </c>
      <c r="AN4">
        <v>243</v>
      </c>
    </row>
    <row r="5" spans="1:40" x14ac:dyDescent="0.25">
      <c r="B5" t="s">
        <v>333</v>
      </c>
      <c r="C5" t="s">
        <v>334</v>
      </c>
      <c r="D5" t="s">
        <v>335</v>
      </c>
      <c r="H5" t="s">
        <v>399</v>
      </c>
      <c r="AC5" t="s">
        <v>401</v>
      </c>
      <c r="AD5" t="s">
        <v>400</v>
      </c>
      <c r="AE5">
        <v>64</v>
      </c>
      <c r="AF5">
        <v>4</v>
      </c>
      <c r="AH5" t="s">
        <v>391</v>
      </c>
      <c r="AJ5">
        <v>604</v>
      </c>
      <c r="AK5" t="s">
        <v>205</v>
      </c>
      <c r="AM5">
        <v>1423</v>
      </c>
      <c r="AN5">
        <v>243</v>
      </c>
    </row>
    <row r="6" spans="1:40" x14ac:dyDescent="0.25">
      <c r="B6" t="s">
        <v>333</v>
      </c>
      <c r="C6" t="s">
        <v>334</v>
      </c>
      <c r="D6" t="s">
        <v>335</v>
      </c>
      <c r="H6" t="s">
        <v>399</v>
      </c>
      <c r="AC6" t="s">
        <v>401</v>
      </c>
      <c r="AD6" t="s">
        <v>400</v>
      </c>
      <c r="AE6">
        <v>64</v>
      </c>
      <c r="AF6">
        <v>5</v>
      </c>
      <c r="AH6" t="s">
        <v>390</v>
      </c>
      <c r="AJ6">
        <v>903</v>
      </c>
      <c r="AK6" t="s">
        <v>208</v>
      </c>
      <c r="AM6">
        <v>1629</v>
      </c>
      <c r="AN6">
        <v>243</v>
      </c>
    </row>
    <row r="7" spans="1:40" x14ac:dyDescent="0.25">
      <c r="B7" t="s">
        <v>333</v>
      </c>
      <c r="C7" t="s">
        <v>334</v>
      </c>
      <c r="D7" t="s">
        <v>335</v>
      </c>
      <c r="H7" t="s">
        <v>399</v>
      </c>
      <c r="AC7" t="s">
        <v>401</v>
      </c>
      <c r="AD7" t="s">
        <v>400</v>
      </c>
      <c r="AE7">
        <v>64</v>
      </c>
      <c r="AF7">
        <v>6</v>
      </c>
      <c r="AH7" t="s">
        <v>389</v>
      </c>
      <c r="AJ7">
        <v>501</v>
      </c>
      <c r="AK7" t="s">
        <v>204</v>
      </c>
      <c r="AM7">
        <v>1835</v>
      </c>
      <c r="AN7">
        <v>243</v>
      </c>
    </row>
    <row r="8" spans="1:40" x14ac:dyDescent="0.25">
      <c r="B8" t="s">
        <v>333</v>
      </c>
      <c r="C8" t="s">
        <v>334</v>
      </c>
      <c r="D8" t="s">
        <v>335</v>
      </c>
      <c r="H8" t="s">
        <v>399</v>
      </c>
      <c r="AC8" t="s">
        <v>401</v>
      </c>
      <c r="AD8" t="s">
        <v>400</v>
      </c>
      <c r="AE8">
        <v>64</v>
      </c>
      <c r="AF8">
        <v>7</v>
      </c>
      <c r="AH8" t="s">
        <v>390</v>
      </c>
      <c r="AJ8">
        <v>903</v>
      </c>
      <c r="AK8" t="s">
        <v>208</v>
      </c>
      <c r="AM8">
        <v>2040</v>
      </c>
      <c r="AN8">
        <v>243</v>
      </c>
    </row>
    <row r="9" spans="1:40" x14ac:dyDescent="0.25">
      <c r="B9" t="s">
        <v>333</v>
      </c>
      <c r="C9" t="s">
        <v>334</v>
      </c>
      <c r="D9" t="s">
        <v>335</v>
      </c>
      <c r="H9" t="s">
        <v>399</v>
      </c>
      <c r="AC9" t="s">
        <v>401</v>
      </c>
      <c r="AD9" t="s">
        <v>400</v>
      </c>
      <c r="AE9">
        <v>64</v>
      </c>
      <c r="AF9">
        <v>8</v>
      </c>
      <c r="AH9" t="s">
        <v>360</v>
      </c>
      <c r="AJ9">
        <v>102</v>
      </c>
      <c r="AK9" t="s">
        <v>200</v>
      </c>
      <c r="AM9">
        <v>2246</v>
      </c>
      <c r="AN9">
        <v>243</v>
      </c>
    </row>
    <row r="10" spans="1:40" x14ac:dyDescent="0.25">
      <c r="B10" t="s">
        <v>333</v>
      </c>
      <c r="C10" t="s">
        <v>334</v>
      </c>
      <c r="D10" t="s">
        <v>335</v>
      </c>
      <c r="H10" t="s">
        <v>399</v>
      </c>
      <c r="AC10" t="s">
        <v>401</v>
      </c>
      <c r="AD10" t="s">
        <v>400</v>
      </c>
      <c r="AE10">
        <v>64</v>
      </c>
      <c r="AF10">
        <v>9</v>
      </c>
      <c r="AH10" t="s">
        <v>396</v>
      </c>
      <c r="AJ10">
        <v>303</v>
      </c>
      <c r="AK10" t="s">
        <v>202</v>
      </c>
      <c r="AM10">
        <v>806</v>
      </c>
      <c r="AN10">
        <v>448</v>
      </c>
    </row>
    <row r="11" spans="1:40" x14ac:dyDescent="0.25">
      <c r="B11" t="s">
        <v>333</v>
      </c>
      <c r="C11" t="s">
        <v>334</v>
      </c>
      <c r="D11" t="s">
        <v>335</v>
      </c>
      <c r="H11" t="s">
        <v>399</v>
      </c>
      <c r="AC11" t="s">
        <v>401</v>
      </c>
      <c r="AD11" t="s">
        <v>400</v>
      </c>
      <c r="AE11">
        <v>64</v>
      </c>
      <c r="AF11">
        <v>10</v>
      </c>
      <c r="AH11" t="s">
        <v>361</v>
      </c>
      <c r="AJ11">
        <v>109</v>
      </c>
      <c r="AK11" t="s">
        <v>200</v>
      </c>
      <c r="AM11">
        <v>1012</v>
      </c>
      <c r="AN11">
        <v>448</v>
      </c>
    </row>
    <row r="12" spans="1:40" x14ac:dyDescent="0.25">
      <c r="B12" t="s">
        <v>333</v>
      </c>
      <c r="C12" t="s">
        <v>334</v>
      </c>
      <c r="D12" t="s">
        <v>335</v>
      </c>
      <c r="H12" t="s">
        <v>399</v>
      </c>
      <c r="AC12" t="s">
        <v>401</v>
      </c>
      <c r="AD12" t="s">
        <v>400</v>
      </c>
      <c r="AE12">
        <v>64</v>
      </c>
      <c r="AF12">
        <v>11</v>
      </c>
      <c r="AH12" t="s">
        <v>390</v>
      </c>
      <c r="AJ12">
        <v>903</v>
      </c>
      <c r="AK12" t="s">
        <v>208</v>
      </c>
      <c r="AM12">
        <v>1217</v>
      </c>
      <c r="AN12">
        <v>448</v>
      </c>
    </row>
    <row r="13" spans="1:40" x14ac:dyDescent="0.25">
      <c r="B13" t="s">
        <v>333</v>
      </c>
      <c r="C13" t="s">
        <v>334</v>
      </c>
      <c r="D13" t="s">
        <v>335</v>
      </c>
      <c r="H13" t="s">
        <v>399</v>
      </c>
      <c r="AC13" t="s">
        <v>401</v>
      </c>
      <c r="AD13" t="s">
        <v>400</v>
      </c>
      <c r="AE13">
        <v>64</v>
      </c>
      <c r="AF13">
        <v>12</v>
      </c>
      <c r="AH13" t="s">
        <v>402</v>
      </c>
      <c r="AJ13">
        <v>603</v>
      </c>
      <c r="AK13" t="s">
        <v>205</v>
      </c>
      <c r="AM13">
        <v>1423</v>
      </c>
      <c r="AN13">
        <v>448</v>
      </c>
    </row>
    <row r="14" spans="1:40" x14ac:dyDescent="0.25">
      <c r="B14" t="s">
        <v>333</v>
      </c>
      <c r="C14" t="s">
        <v>334</v>
      </c>
      <c r="D14" t="s">
        <v>335</v>
      </c>
      <c r="H14" t="s">
        <v>399</v>
      </c>
      <c r="AC14" t="s">
        <v>401</v>
      </c>
      <c r="AD14" t="s">
        <v>400</v>
      </c>
      <c r="AE14">
        <v>64</v>
      </c>
      <c r="AF14">
        <v>13</v>
      </c>
      <c r="AH14" t="s">
        <v>390</v>
      </c>
      <c r="AJ14">
        <v>903</v>
      </c>
      <c r="AK14" t="s">
        <v>208</v>
      </c>
      <c r="AM14">
        <v>1629</v>
      </c>
      <c r="AN14">
        <v>448</v>
      </c>
    </row>
    <row r="15" spans="1:40" x14ac:dyDescent="0.25">
      <c r="B15" t="s">
        <v>333</v>
      </c>
      <c r="C15" t="s">
        <v>334</v>
      </c>
      <c r="D15" t="s">
        <v>335</v>
      </c>
      <c r="H15" t="s">
        <v>399</v>
      </c>
      <c r="AC15" t="s">
        <v>401</v>
      </c>
      <c r="AD15" t="s">
        <v>400</v>
      </c>
      <c r="AE15">
        <v>64</v>
      </c>
      <c r="AF15">
        <v>14</v>
      </c>
      <c r="AH15" t="s">
        <v>390</v>
      </c>
      <c r="AJ15">
        <v>903</v>
      </c>
      <c r="AK15" t="s">
        <v>208</v>
      </c>
      <c r="AM15">
        <v>1835</v>
      </c>
      <c r="AN15">
        <v>448</v>
      </c>
    </row>
    <row r="16" spans="1:40" x14ac:dyDescent="0.25">
      <c r="B16" t="s">
        <v>333</v>
      </c>
      <c r="C16" t="s">
        <v>334</v>
      </c>
      <c r="D16" t="s">
        <v>335</v>
      </c>
      <c r="H16" t="s">
        <v>399</v>
      </c>
      <c r="AC16" t="s">
        <v>401</v>
      </c>
      <c r="AD16" t="s">
        <v>400</v>
      </c>
      <c r="AE16">
        <v>64</v>
      </c>
      <c r="AF16">
        <v>15</v>
      </c>
      <c r="AH16" t="s">
        <v>361</v>
      </c>
      <c r="AJ16">
        <v>109</v>
      </c>
      <c r="AK16" t="s">
        <v>200</v>
      </c>
      <c r="AM16">
        <v>2040</v>
      </c>
      <c r="AN16">
        <v>448</v>
      </c>
    </row>
    <row r="17" spans="2:40" x14ac:dyDescent="0.25">
      <c r="B17" t="s">
        <v>333</v>
      </c>
      <c r="C17" t="s">
        <v>334</v>
      </c>
      <c r="D17" t="s">
        <v>335</v>
      </c>
      <c r="H17" t="s">
        <v>399</v>
      </c>
      <c r="AC17" t="s">
        <v>401</v>
      </c>
      <c r="AD17" t="s">
        <v>400</v>
      </c>
      <c r="AE17">
        <v>64</v>
      </c>
      <c r="AF17">
        <v>16</v>
      </c>
      <c r="AH17" t="s">
        <v>360</v>
      </c>
      <c r="AJ17">
        <v>102</v>
      </c>
      <c r="AK17" t="s">
        <v>200</v>
      </c>
      <c r="AM17">
        <v>2246</v>
      </c>
      <c r="AN17">
        <v>448</v>
      </c>
    </row>
    <row r="18" spans="2:40" x14ac:dyDescent="0.25">
      <c r="B18" t="s">
        <v>333</v>
      </c>
      <c r="C18" t="s">
        <v>334</v>
      </c>
      <c r="D18" t="s">
        <v>335</v>
      </c>
      <c r="H18" t="s">
        <v>399</v>
      </c>
      <c r="AC18" t="s">
        <v>401</v>
      </c>
      <c r="AD18" t="s">
        <v>400</v>
      </c>
      <c r="AE18">
        <v>64</v>
      </c>
      <c r="AF18">
        <v>17</v>
      </c>
      <c r="AH18" t="s">
        <v>389</v>
      </c>
      <c r="AJ18">
        <v>501</v>
      </c>
      <c r="AK18" t="s">
        <v>204</v>
      </c>
      <c r="AM18">
        <v>806</v>
      </c>
      <c r="AN18">
        <v>654</v>
      </c>
    </row>
    <row r="19" spans="2:40" x14ac:dyDescent="0.25">
      <c r="B19" t="s">
        <v>333</v>
      </c>
      <c r="C19" t="s">
        <v>334</v>
      </c>
      <c r="D19" t="s">
        <v>335</v>
      </c>
      <c r="H19" t="s">
        <v>399</v>
      </c>
      <c r="AC19" t="s">
        <v>401</v>
      </c>
      <c r="AD19" t="s">
        <v>400</v>
      </c>
      <c r="AE19">
        <v>64</v>
      </c>
      <c r="AF19">
        <v>18</v>
      </c>
      <c r="AH19" t="s">
        <v>390</v>
      </c>
      <c r="AJ19">
        <v>903</v>
      </c>
      <c r="AK19" t="s">
        <v>208</v>
      </c>
      <c r="AM19">
        <v>1012</v>
      </c>
      <c r="AN19">
        <v>654</v>
      </c>
    </row>
    <row r="20" spans="2:40" x14ac:dyDescent="0.25">
      <c r="B20" t="s">
        <v>333</v>
      </c>
      <c r="C20" t="s">
        <v>334</v>
      </c>
      <c r="D20" t="s">
        <v>335</v>
      </c>
      <c r="H20" t="s">
        <v>399</v>
      </c>
      <c r="AC20" t="s">
        <v>401</v>
      </c>
      <c r="AD20" t="s">
        <v>400</v>
      </c>
      <c r="AE20">
        <v>64</v>
      </c>
      <c r="AF20">
        <v>19</v>
      </c>
      <c r="AH20" t="s">
        <v>361</v>
      </c>
      <c r="AJ20">
        <v>109</v>
      </c>
      <c r="AK20" t="s">
        <v>200</v>
      </c>
      <c r="AM20">
        <v>1217</v>
      </c>
      <c r="AN20">
        <v>654</v>
      </c>
    </row>
    <row r="21" spans="2:40" x14ac:dyDescent="0.25">
      <c r="B21" t="s">
        <v>333</v>
      </c>
      <c r="C21" t="s">
        <v>334</v>
      </c>
      <c r="D21" t="s">
        <v>335</v>
      </c>
      <c r="H21" t="s">
        <v>399</v>
      </c>
      <c r="AC21" t="s">
        <v>401</v>
      </c>
      <c r="AD21" t="s">
        <v>400</v>
      </c>
      <c r="AE21">
        <v>64</v>
      </c>
      <c r="AF21">
        <v>20</v>
      </c>
      <c r="AH21" t="s">
        <v>390</v>
      </c>
      <c r="AJ21">
        <v>903</v>
      </c>
      <c r="AK21" t="s">
        <v>208</v>
      </c>
      <c r="AM21">
        <v>1423</v>
      </c>
      <c r="AN21">
        <v>654</v>
      </c>
    </row>
    <row r="22" spans="2:40" x14ac:dyDescent="0.25">
      <c r="B22" t="s">
        <v>333</v>
      </c>
      <c r="C22" t="s">
        <v>334</v>
      </c>
      <c r="D22" t="s">
        <v>335</v>
      </c>
      <c r="H22" t="s">
        <v>399</v>
      </c>
      <c r="AC22" t="s">
        <v>401</v>
      </c>
      <c r="AD22" t="s">
        <v>400</v>
      </c>
      <c r="AE22">
        <v>64</v>
      </c>
      <c r="AF22">
        <v>21</v>
      </c>
      <c r="AH22" t="s">
        <v>391</v>
      </c>
      <c r="AJ22">
        <v>604</v>
      </c>
      <c r="AK22" t="s">
        <v>205</v>
      </c>
      <c r="AM22">
        <v>1629</v>
      </c>
      <c r="AN22">
        <v>654</v>
      </c>
    </row>
    <row r="23" spans="2:40" x14ac:dyDescent="0.25">
      <c r="B23" t="s">
        <v>333</v>
      </c>
      <c r="C23" t="s">
        <v>334</v>
      </c>
      <c r="D23" t="s">
        <v>335</v>
      </c>
      <c r="H23" t="s">
        <v>399</v>
      </c>
      <c r="AC23" t="s">
        <v>401</v>
      </c>
      <c r="AD23" t="s">
        <v>400</v>
      </c>
      <c r="AE23">
        <v>64</v>
      </c>
      <c r="AF23">
        <v>22</v>
      </c>
      <c r="AH23" t="s">
        <v>361</v>
      </c>
      <c r="AJ23">
        <v>109</v>
      </c>
      <c r="AK23" t="s">
        <v>200</v>
      </c>
      <c r="AM23">
        <v>1835</v>
      </c>
      <c r="AN23">
        <v>654</v>
      </c>
    </row>
    <row r="24" spans="2:40" x14ac:dyDescent="0.25">
      <c r="B24" t="s">
        <v>333</v>
      </c>
      <c r="C24" t="s">
        <v>334</v>
      </c>
      <c r="D24" t="s">
        <v>335</v>
      </c>
      <c r="H24" t="s">
        <v>399</v>
      </c>
      <c r="AC24" t="s">
        <v>401</v>
      </c>
      <c r="AD24" t="s">
        <v>400</v>
      </c>
      <c r="AE24">
        <v>64</v>
      </c>
      <c r="AF24">
        <v>23</v>
      </c>
      <c r="AH24" t="s">
        <v>389</v>
      </c>
      <c r="AJ24">
        <v>501</v>
      </c>
      <c r="AK24" t="s">
        <v>204</v>
      </c>
      <c r="AM24">
        <v>2040</v>
      </c>
      <c r="AN24">
        <v>654</v>
      </c>
    </row>
    <row r="25" spans="2:40" x14ac:dyDescent="0.25">
      <c r="B25" t="s">
        <v>333</v>
      </c>
      <c r="C25" t="s">
        <v>334</v>
      </c>
      <c r="D25" t="s">
        <v>335</v>
      </c>
      <c r="H25" t="s">
        <v>399</v>
      </c>
      <c r="AC25" t="s">
        <v>401</v>
      </c>
      <c r="AD25" t="s">
        <v>400</v>
      </c>
      <c r="AE25">
        <v>64</v>
      </c>
      <c r="AF25">
        <v>24</v>
      </c>
      <c r="AH25" t="s">
        <v>389</v>
      </c>
      <c r="AJ25">
        <v>501</v>
      </c>
      <c r="AK25" t="s">
        <v>204</v>
      </c>
      <c r="AM25">
        <v>2246</v>
      </c>
      <c r="AN25">
        <v>654</v>
      </c>
    </row>
    <row r="26" spans="2:40" x14ac:dyDescent="0.25">
      <c r="B26" t="s">
        <v>333</v>
      </c>
      <c r="C26" t="s">
        <v>334</v>
      </c>
      <c r="D26" t="s">
        <v>335</v>
      </c>
      <c r="H26" t="s">
        <v>399</v>
      </c>
      <c r="AC26" t="s">
        <v>401</v>
      </c>
      <c r="AD26" t="s">
        <v>400</v>
      </c>
      <c r="AE26">
        <v>64</v>
      </c>
      <c r="AF26">
        <v>25</v>
      </c>
      <c r="AH26" t="s">
        <v>389</v>
      </c>
      <c r="AJ26">
        <v>501</v>
      </c>
      <c r="AK26" t="s">
        <v>204</v>
      </c>
      <c r="AM26">
        <v>806</v>
      </c>
      <c r="AN26">
        <v>860</v>
      </c>
    </row>
    <row r="27" spans="2:40" x14ac:dyDescent="0.25">
      <c r="B27" t="s">
        <v>333</v>
      </c>
      <c r="C27" t="s">
        <v>334</v>
      </c>
      <c r="D27" t="s">
        <v>335</v>
      </c>
      <c r="H27" t="s">
        <v>399</v>
      </c>
      <c r="AC27" t="s">
        <v>401</v>
      </c>
      <c r="AD27" t="s">
        <v>400</v>
      </c>
      <c r="AE27">
        <v>64</v>
      </c>
      <c r="AF27">
        <v>26</v>
      </c>
      <c r="AH27" t="s">
        <v>390</v>
      </c>
      <c r="AJ27">
        <v>903</v>
      </c>
      <c r="AK27" t="s">
        <v>208</v>
      </c>
      <c r="AM27">
        <v>1012</v>
      </c>
      <c r="AN27">
        <v>860</v>
      </c>
    </row>
    <row r="28" spans="2:40" x14ac:dyDescent="0.25">
      <c r="B28" t="s">
        <v>333</v>
      </c>
      <c r="C28" t="s">
        <v>334</v>
      </c>
      <c r="D28" t="s">
        <v>335</v>
      </c>
      <c r="H28" t="s">
        <v>399</v>
      </c>
      <c r="AC28" t="s">
        <v>401</v>
      </c>
      <c r="AD28" t="s">
        <v>400</v>
      </c>
      <c r="AE28">
        <v>64</v>
      </c>
      <c r="AF28">
        <v>27</v>
      </c>
      <c r="AH28" t="s">
        <v>389</v>
      </c>
      <c r="AJ28">
        <v>501</v>
      </c>
      <c r="AK28" t="s">
        <v>204</v>
      </c>
      <c r="AM28">
        <v>1217</v>
      </c>
      <c r="AN28">
        <v>860</v>
      </c>
    </row>
    <row r="29" spans="2:40" x14ac:dyDescent="0.25">
      <c r="B29" t="s">
        <v>333</v>
      </c>
      <c r="C29" t="s">
        <v>334</v>
      </c>
      <c r="D29" t="s">
        <v>335</v>
      </c>
      <c r="H29" t="s">
        <v>399</v>
      </c>
      <c r="AC29" t="s">
        <v>401</v>
      </c>
      <c r="AD29" t="s">
        <v>400</v>
      </c>
      <c r="AE29">
        <v>64</v>
      </c>
      <c r="AF29">
        <v>28</v>
      </c>
      <c r="AH29" t="s">
        <v>361</v>
      </c>
      <c r="AJ29">
        <v>109</v>
      </c>
      <c r="AK29" t="s">
        <v>200</v>
      </c>
      <c r="AM29">
        <v>1423</v>
      </c>
      <c r="AN29">
        <v>860</v>
      </c>
    </row>
    <row r="30" spans="2:40" x14ac:dyDescent="0.25">
      <c r="B30" t="s">
        <v>333</v>
      </c>
      <c r="C30" t="s">
        <v>334</v>
      </c>
      <c r="D30" t="s">
        <v>335</v>
      </c>
      <c r="H30" t="s">
        <v>399</v>
      </c>
      <c r="AC30" t="s">
        <v>401</v>
      </c>
      <c r="AD30" t="s">
        <v>400</v>
      </c>
      <c r="AE30">
        <v>64</v>
      </c>
      <c r="AF30">
        <v>29</v>
      </c>
      <c r="AH30" t="s">
        <v>361</v>
      </c>
      <c r="AJ30">
        <v>109</v>
      </c>
      <c r="AK30" t="s">
        <v>200</v>
      </c>
      <c r="AM30">
        <v>1629</v>
      </c>
      <c r="AN30">
        <v>860</v>
      </c>
    </row>
    <row r="31" spans="2:40" x14ac:dyDescent="0.25">
      <c r="B31" t="s">
        <v>333</v>
      </c>
      <c r="C31" t="s">
        <v>334</v>
      </c>
      <c r="D31" t="s">
        <v>335</v>
      </c>
      <c r="H31" t="s">
        <v>399</v>
      </c>
      <c r="AC31" t="s">
        <v>401</v>
      </c>
      <c r="AD31" t="s">
        <v>400</v>
      </c>
      <c r="AE31">
        <v>64</v>
      </c>
      <c r="AF31">
        <v>30</v>
      </c>
      <c r="AH31" t="s">
        <v>390</v>
      </c>
      <c r="AJ31">
        <v>903</v>
      </c>
      <c r="AK31" t="s">
        <v>208</v>
      </c>
      <c r="AM31">
        <v>1835</v>
      </c>
      <c r="AN31">
        <v>860</v>
      </c>
    </row>
    <row r="32" spans="2:40" x14ac:dyDescent="0.25">
      <c r="B32" t="s">
        <v>333</v>
      </c>
      <c r="C32" t="s">
        <v>334</v>
      </c>
      <c r="D32" t="s">
        <v>335</v>
      </c>
      <c r="H32" t="s">
        <v>399</v>
      </c>
      <c r="AC32" t="s">
        <v>401</v>
      </c>
      <c r="AD32" t="s">
        <v>400</v>
      </c>
      <c r="AE32">
        <v>64</v>
      </c>
      <c r="AF32">
        <v>31</v>
      </c>
      <c r="AH32" t="s">
        <v>390</v>
      </c>
      <c r="AJ32">
        <v>903</v>
      </c>
      <c r="AK32" t="s">
        <v>208</v>
      </c>
      <c r="AM32">
        <v>2040</v>
      </c>
      <c r="AN32">
        <v>860</v>
      </c>
    </row>
    <row r="33" spans="2:40" x14ac:dyDescent="0.25">
      <c r="B33" t="s">
        <v>333</v>
      </c>
      <c r="C33" t="s">
        <v>334</v>
      </c>
      <c r="D33" t="s">
        <v>335</v>
      </c>
      <c r="H33" t="s">
        <v>399</v>
      </c>
      <c r="AC33" t="s">
        <v>401</v>
      </c>
      <c r="AD33" t="s">
        <v>400</v>
      </c>
      <c r="AE33">
        <v>64</v>
      </c>
      <c r="AF33">
        <v>32</v>
      </c>
      <c r="AH33" t="s">
        <v>389</v>
      </c>
      <c r="AJ33">
        <v>501</v>
      </c>
      <c r="AK33" t="s">
        <v>204</v>
      </c>
      <c r="AM33">
        <v>2246</v>
      </c>
      <c r="AN33">
        <v>860</v>
      </c>
    </row>
    <row r="34" spans="2:40" x14ac:dyDescent="0.25">
      <c r="B34" t="s">
        <v>333</v>
      </c>
      <c r="C34" t="s">
        <v>334</v>
      </c>
      <c r="D34" t="s">
        <v>335</v>
      </c>
      <c r="H34" t="s">
        <v>399</v>
      </c>
      <c r="AC34" t="s">
        <v>401</v>
      </c>
      <c r="AD34" t="s">
        <v>400</v>
      </c>
      <c r="AE34">
        <v>64</v>
      </c>
      <c r="AF34">
        <v>33</v>
      </c>
      <c r="AH34" t="s">
        <v>391</v>
      </c>
      <c r="AJ34">
        <v>604</v>
      </c>
      <c r="AK34" t="s">
        <v>205</v>
      </c>
      <c r="AM34">
        <v>806</v>
      </c>
      <c r="AN34">
        <v>1066</v>
      </c>
    </row>
    <row r="35" spans="2:40" x14ac:dyDescent="0.25">
      <c r="B35" t="s">
        <v>333</v>
      </c>
      <c r="C35" t="s">
        <v>334</v>
      </c>
      <c r="D35" t="s">
        <v>335</v>
      </c>
      <c r="H35" t="s">
        <v>399</v>
      </c>
      <c r="AC35" t="s">
        <v>401</v>
      </c>
      <c r="AD35" t="s">
        <v>400</v>
      </c>
      <c r="AE35">
        <v>64</v>
      </c>
      <c r="AF35">
        <v>34</v>
      </c>
      <c r="AH35" t="s">
        <v>390</v>
      </c>
      <c r="AJ35">
        <v>903</v>
      </c>
      <c r="AK35" t="s">
        <v>208</v>
      </c>
      <c r="AM35">
        <v>1012</v>
      </c>
      <c r="AN35">
        <v>1066</v>
      </c>
    </row>
    <row r="36" spans="2:40" x14ac:dyDescent="0.25">
      <c r="B36" t="s">
        <v>333</v>
      </c>
      <c r="C36" t="s">
        <v>334</v>
      </c>
      <c r="D36" t="s">
        <v>335</v>
      </c>
      <c r="H36" t="s">
        <v>399</v>
      </c>
      <c r="AC36" t="s">
        <v>401</v>
      </c>
      <c r="AD36" t="s">
        <v>400</v>
      </c>
      <c r="AE36">
        <v>64</v>
      </c>
      <c r="AF36">
        <v>35</v>
      </c>
      <c r="AH36" t="s">
        <v>390</v>
      </c>
      <c r="AJ36">
        <v>903</v>
      </c>
      <c r="AK36" t="s">
        <v>208</v>
      </c>
      <c r="AM36">
        <v>1217</v>
      </c>
      <c r="AN36">
        <v>1066</v>
      </c>
    </row>
    <row r="37" spans="2:40" x14ac:dyDescent="0.25">
      <c r="B37" t="s">
        <v>333</v>
      </c>
      <c r="C37" t="s">
        <v>334</v>
      </c>
      <c r="D37" t="s">
        <v>335</v>
      </c>
      <c r="H37" t="s">
        <v>399</v>
      </c>
      <c r="AC37" t="s">
        <v>401</v>
      </c>
      <c r="AD37" t="s">
        <v>400</v>
      </c>
      <c r="AE37">
        <v>64</v>
      </c>
      <c r="AF37">
        <v>36</v>
      </c>
      <c r="AH37" t="s">
        <v>361</v>
      </c>
      <c r="AJ37">
        <v>109</v>
      </c>
      <c r="AK37" t="s">
        <v>200</v>
      </c>
      <c r="AM37">
        <v>1423</v>
      </c>
      <c r="AN37">
        <v>1066</v>
      </c>
    </row>
    <row r="38" spans="2:40" x14ac:dyDescent="0.25">
      <c r="B38" t="s">
        <v>333</v>
      </c>
      <c r="C38" t="s">
        <v>334</v>
      </c>
      <c r="D38" t="s">
        <v>335</v>
      </c>
      <c r="H38" t="s">
        <v>399</v>
      </c>
      <c r="AC38" t="s">
        <v>401</v>
      </c>
      <c r="AD38" t="s">
        <v>400</v>
      </c>
      <c r="AE38">
        <v>64</v>
      </c>
      <c r="AF38">
        <v>37</v>
      </c>
      <c r="AH38" t="s">
        <v>361</v>
      </c>
      <c r="AJ38">
        <v>109</v>
      </c>
      <c r="AK38" t="s">
        <v>200</v>
      </c>
      <c r="AM38">
        <v>1629</v>
      </c>
      <c r="AN38">
        <v>1066</v>
      </c>
    </row>
    <row r="39" spans="2:40" x14ac:dyDescent="0.25">
      <c r="B39" t="s">
        <v>333</v>
      </c>
      <c r="C39" t="s">
        <v>334</v>
      </c>
      <c r="D39" t="s">
        <v>335</v>
      </c>
      <c r="H39" t="s">
        <v>399</v>
      </c>
      <c r="AC39" t="s">
        <v>401</v>
      </c>
      <c r="AD39" t="s">
        <v>400</v>
      </c>
      <c r="AE39">
        <v>64</v>
      </c>
      <c r="AF39">
        <v>38</v>
      </c>
      <c r="AH39" t="s">
        <v>390</v>
      </c>
      <c r="AJ39">
        <v>903</v>
      </c>
      <c r="AK39" t="s">
        <v>208</v>
      </c>
      <c r="AM39">
        <v>1835</v>
      </c>
      <c r="AN39">
        <v>1066</v>
      </c>
    </row>
    <row r="40" spans="2:40" x14ac:dyDescent="0.25">
      <c r="B40" t="s">
        <v>333</v>
      </c>
      <c r="C40" t="s">
        <v>334</v>
      </c>
      <c r="D40" t="s">
        <v>335</v>
      </c>
      <c r="H40" t="s">
        <v>399</v>
      </c>
      <c r="AC40" t="s">
        <v>401</v>
      </c>
      <c r="AD40" t="s">
        <v>400</v>
      </c>
      <c r="AE40">
        <v>64</v>
      </c>
      <c r="AF40">
        <v>39</v>
      </c>
      <c r="AH40" t="s">
        <v>390</v>
      </c>
      <c r="AJ40">
        <v>903</v>
      </c>
      <c r="AK40" t="s">
        <v>208</v>
      </c>
      <c r="AM40">
        <v>2040</v>
      </c>
      <c r="AN40">
        <v>1066</v>
      </c>
    </row>
    <row r="41" spans="2:40" x14ac:dyDescent="0.25">
      <c r="B41" t="s">
        <v>333</v>
      </c>
      <c r="C41" t="s">
        <v>334</v>
      </c>
      <c r="D41" t="s">
        <v>335</v>
      </c>
      <c r="H41" t="s">
        <v>399</v>
      </c>
      <c r="AC41" t="s">
        <v>401</v>
      </c>
      <c r="AD41" t="s">
        <v>400</v>
      </c>
      <c r="AE41">
        <v>64</v>
      </c>
      <c r="AF41">
        <v>40</v>
      </c>
      <c r="AH41" t="s">
        <v>389</v>
      </c>
      <c r="AJ41">
        <v>501</v>
      </c>
      <c r="AK41" t="s">
        <v>204</v>
      </c>
      <c r="AM41">
        <v>2246</v>
      </c>
      <c r="AN41">
        <v>1066</v>
      </c>
    </row>
    <row r="42" spans="2:40" x14ac:dyDescent="0.25">
      <c r="B42" t="s">
        <v>333</v>
      </c>
      <c r="C42" t="s">
        <v>334</v>
      </c>
      <c r="D42" t="s">
        <v>335</v>
      </c>
      <c r="H42" t="s">
        <v>399</v>
      </c>
      <c r="AC42" t="s">
        <v>401</v>
      </c>
      <c r="AD42" t="s">
        <v>400</v>
      </c>
      <c r="AE42">
        <v>64</v>
      </c>
      <c r="AF42">
        <v>41</v>
      </c>
      <c r="AH42" t="s">
        <v>389</v>
      </c>
      <c r="AJ42">
        <v>501</v>
      </c>
      <c r="AK42" t="s">
        <v>204</v>
      </c>
      <c r="AM42">
        <v>806</v>
      </c>
      <c r="AN42">
        <v>1271</v>
      </c>
    </row>
    <row r="43" spans="2:40" x14ac:dyDescent="0.25">
      <c r="B43" t="s">
        <v>333</v>
      </c>
      <c r="C43" t="s">
        <v>334</v>
      </c>
      <c r="D43" t="s">
        <v>335</v>
      </c>
      <c r="H43" t="s">
        <v>399</v>
      </c>
      <c r="AC43" t="s">
        <v>401</v>
      </c>
      <c r="AD43" t="s">
        <v>400</v>
      </c>
      <c r="AE43">
        <v>64</v>
      </c>
      <c r="AF43">
        <v>42</v>
      </c>
      <c r="AH43" t="s">
        <v>390</v>
      </c>
      <c r="AJ43">
        <v>903</v>
      </c>
      <c r="AK43" t="s">
        <v>208</v>
      </c>
      <c r="AM43">
        <v>1012</v>
      </c>
      <c r="AN43">
        <v>1271</v>
      </c>
    </row>
    <row r="44" spans="2:40" x14ac:dyDescent="0.25">
      <c r="B44" t="s">
        <v>333</v>
      </c>
      <c r="C44" t="s">
        <v>334</v>
      </c>
      <c r="D44" t="s">
        <v>335</v>
      </c>
      <c r="H44" t="s">
        <v>399</v>
      </c>
      <c r="AC44" t="s">
        <v>401</v>
      </c>
      <c r="AD44" t="s">
        <v>400</v>
      </c>
      <c r="AE44">
        <v>64</v>
      </c>
      <c r="AF44">
        <v>43</v>
      </c>
      <c r="AH44" t="s">
        <v>361</v>
      </c>
      <c r="AJ44">
        <v>109</v>
      </c>
      <c r="AK44" t="s">
        <v>200</v>
      </c>
      <c r="AM44">
        <v>1217</v>
      </c>
      <c r="AN44">
        <v>1271</v>
      </c>
    </row>
    <row r="45" spans="2:40" x14ac:dyDescent="0.25">
      <c r="B45" t="s">
        <v>333</v>
      </c>
      <c r="C45" t="s">
        <v>334</v>
      </c>
      <c r="D45" t="s">
        <v>335</v>
      </c>
      <c r="H45" t="s">
        <v>399</v>
      </c>
      <c r="AC45" t="s">
        <v>401</v>
      </c>
      <c r="AD45" t="s">
        <v>400</v>
      </c>
      <c r="AE45">
        <v>64</v>
      </c>
      <c r="AF45">
        <v>44</v>
      </c>
      <c r="AH45" t="s">
        <v>390</v>
      </c>
      <c r="AJ45">
        <v>903</v>
      </c>
      <c r="AK45" t="s">
        <v>208</v>
      </c>
      <c r="AM45">
        <v>1423</v>
      </c>
      <c r="AN45">
        <v>1271</v>
      </c>
    </row>
    <row r="46" spans="2:40" x14ac:dyDescent="0.25">
      <c r="B46" t="s">
        <v>333</v>
      </c>
      <c r="C46" t="s">
        <v>334</v>
      </c>
      <c r="D46" t="s">
        <v>335</v>
      </c>
      <c r="H46" t="s">
        <v>399</v>
      </c>
      <c r="AC46" t="s">
        <v>401</v>
      </c>
      <c r="AD46" t="s">
        <v>400</v>
      </c>
      <c r="AE46">
        <v>64</v>
      </c>
      <c r="AF46">
        <v>45</v>
      </c>
      <c r="AH46" t="s">
        <v>390</v>
      </c>
      <c r="AJ46">
        <v>903</v>
      </c>
      <c r="AK46" t="s">
        <v>208</v>
      </c>
      <c r="AM46">
        <v>1629</v>
      </c>
      <c r="AN46">
        <v>1271</v>
      </c>
    </row>
    <row r="47" spans="2:40" x14ac:dyDescent="0.25">
      <c r="B47" t="s">
        <v>333</v>
      </c>
      <c r="C47" t="s">
        <v>334</v>
      </c>
      <c r="D47" t="s">
        <v>335</v>
      </c>
      <c r="H47" t="s">
        <v>399</v>
      </c>
      <c r="AC47" t="s">
        <v>401</v>
      </c>
      <c r="AD47" t="s">
        <v>400</v>
      </c>
      <c r="AE47">
        <v>64</v>
      </c>
      <c r="AF47">
        <v>46</v>
      </c>
      <c r="AH47" t="s">
        <v>361</v>
      </c>
      <c r="AJ47">
        <v>109</v>
      </c>
      <c r="AK47" t="s">
        <v>200</v>
      </c>
      <c r="AM47">
        <v>1835</v>
      </c>
      <c r="AN47">
        <v>1271</v>
      </c>
    </row>
    <row r="48" spans="2:40" x14ac:dyDescent="0.25">
      <c r="B48" t="s">
        <v>333</v>
      </c>
      <c r="C48" t="s">
        <v>334</v>
      </c>
      <c r="D48" t="s">
        <v>335</v>
      </c>
      <c r="H48" t="s">
        <v>399</v>
      </c>
      <c r="AC48" t="s">
        <v>401</v>
      </c>
      <c r="AD48" t="s">
        <v>400</v>
      </c>
      <c r="AE48">
        <v>64</v>
      </c>
      <c r="AF48">
        <v>47</v>
      </c>
      <c r="AH48" t="s">
        <v>389</v>
      </c>
      <c r="AJ48">
        <v>501</v>
      </c>
      <c r="AK48" t="s">
        <v>204</v>
      </c>
      <c r="AM48">
        <v>2040</v>
      </c>
      <c r="AN48">
        <v>1271</v>
      </c>
    </row>
    <row r="49" spans="2:40" x14ac:dyDescent="0.25">
      <c r="B49" t="s">
        <v>333</v>
      </c>
      <c r="C49" t="s">
        <v>334</v>
      </c>
      <c r="D49" t="s">
        <v>335</v>
      </c>
      <c r="H49" t="s">
        <v>399</v>
      </c>
      <c r="AC49" t="s">
        <v>401</v>
      </c>
      <c r="AD49" t="s">
        <v>400</v>
      </c>
      <c r="AE49">
        <v>64</v>
      </c>
      <c r="AF49">
        <v>48</v>
      </c>
      <c r="AH49" t="s">
        <v>389</v>
      </c>
      <c r="AJ49">
        <v>501</v>
      </c>
      <c r="AK49" t="s">
        <v>204</v>
      </c>
      <c r="AM49">
        <v>2246</v>
      </c>
      <c r="AN49">
        <v>1271</v>
      </c>
    </row>
    <row r="50" spans="2:40" x14ac:dyDescent="0.25">
      <c r="B50" t="s">
        <v>333</v>
      </c>
      <c r="C50" t="s">
        <v>334</v>
      </c>
      <c r="D50" t="s">
        <v>335</v>
      </c>
      <c r="H50" t="s">
        <v>399</v>
      </c>
      <c r="AC50" t="s">
        <v>401</v>
      </c>
      <c r="AD50" t="s">
        <v>400</v>
      </c>
      <c r="AE50">
        <v>64</v>
      </c>
      <c r="AF50">
        <v>49</v>
      </c>
      <c r="AH50" t="s">
        <v>389</v>
      </c>
      <c r="AJ50">
        <v>501</v>
      </c>
      <c r="AK50" t="s">
        <v>204</v>
      </c>
      <c r="AM50">
        <v>806</v>
      </c>
      <c r="AN50">
        <v>1477</v>
      </c>
    </row>
    <row r="51" spans="2:40" x14ac:dyDescent="0.25">
      <c r="B51" t="s">
        <v>333</v>
      </c>
      <c r="C51" t="s">
        <v>334</v>
      </c>
      <c r="D51" t="s">
        <v>335</v>
      </c>
      <c r="H51" t="s">
        <v>399</v>
      </c>
      <c r="AC51" t="s">
        <v>401</v>
      </c>
      <c r="AD51" t="s">
        <v>400</v>
      </c>
      <c r="AE51">
        <v>64</v>
      </c>
      <c r="AF51">
        <v>50</v>
      </c>
      <c r="AH51" t="s">
        <v>361</v>
      </c>
      <c r="AJ51">
        <v>109</v>
      </c>
      <c r="AK51" t="s">
        <v>200</v>
      </c>
      <c r="AM51">
        <v>1012</v>
      </c>
      <c r="AN51">
        <v>1477</v>
      </c>
    </row>
    <row r="52" spans="2:40" x14ac:dyDescent="0.25">
      <c r="B52" t="s">
        <v>333</v>
      </c>
      <c r="C52" t="s">
        <v>334</v>
      </c>
      <c r="D52" t="s">
        <v>335</v>
      </c>
      <c r="H52" t="s">
        <v>399</v>
      </c>
      <c r="AC52" t="s">
        <v>401</v>
      </c>
      <c r="AD52" t="s">
        <v>400</v>
      </c>
      <c r="AE52">
        <v>64</v>
      </c>
      <c r="AF52">
        <v>51</v>
      </c>
      <c r="AH52" t="s">
        <v>390</v>
      </c>
      <c r="AJ52">
        <v>903</v>
      </c>
      <c r="AK52" t="s">
        <v>208</v>
      </c>
      <c r="AM52">
        <v>1217</v>
      </c>
      <c r="AN52">
        <v>1477</v>
      </c>
    </row>
    <row r="53" spans="2:40" x14ac:dyDescent="0.25">
      <c r="B53" t="s">
        <v>333</v>
      </c>
      <c r="C53" t="s">
        <v>334</v>
      </c>
      <c r="D53" t="s">
        <v>335</v>
      </c>
      <c r="H53" t="s">
        <v>399</v>
      </c>
      <c r="AC53" t="s">
        <v>401</v>
      </c>
      <c r="AD53" t="s">
        <v>400</v>
      </c>
      <c r="AE53">
        <v>64</v>
      </c>
      <c r="AF53">
        <v>52</v>
      </c>
      <c r="AH53" t="s">
        <v>360</v>
      </c>
      <c r="AJ53">
        <v>102</v>
      </c>
      <c r="AK53" t="s">
        <v>200</v>
      </c>
      <c r="AM53">
        <v>1423</v>
      </c>
      <c r="AN53">
        <v>1477</v>
      </c>
    </row>
    <row r="54" spans="2:40" x14ac:dyDescent="0.25">
      <c r="B54" t="s">
        <v>333</v>
      </c>
      <c r="C54" t="s">
        <v>334</v>
      </c>
      <c r="D54" t="s">
        <v>335</v>
      </c>
      <c r="H54" t="s">
        <v>399</v>
      </c>
      <c r="AC54" t="s">
        <v>401</v>
      </c>
      <c r="AD54" t="s">
        <v>400</v>
      </c>
      <c r="AE54">
        <v>64</v>
      </c>
      <c r="AF54">
        <v>53</v>
      </c>
      <c r="AH54" t="s">
        <v>389</v>
      </c>
      <c r="AJ54">
        <v>501</v>
      </c>
      <c r="AK54" t="s">
        <v>204</v>
      </c>
      <c r="AM54">
        <v>1629</v>
      </c>
      <c r="AN54">
        <v>1477</v>
      </c>
    </row>
    <row r="55" spans="2:40" x14ac:dyDescent="0.25">
      <c r="B55" t="s">
        <v>333</v>
      </c>
      <c r="C55" t="s">
        <v>334</v>
      </c>
      <c r="D55" t="s">
        <v>335</v>
      </c>
      <c r="H55" t="s">
        <v>399</v>
      </c>
      <c r="AC55" t="s">
        <v>401</v>
      </c>
      <c r="AD55" t="s">
        <v>400</v>
      </c>
      <c r="AE55">
        <v>64</v>
      </c>
      <c r="AF55">
        <v>54</v>
      </c>
      <c r="AH55" t="s">
        <v>389</v>
      </c>
      <c r="AJ55">
        <v>501</v>
      </c>
      <c r="AK55" t="s">
        <v>204</v>
      </c>
      <c r="AM55">
        <v>1835</v>
      </c>
      <c r="AN55">
        <v>1477</v>
      </c>
    </row>
    <row r="56" spans="2:40" x14ac:dyDescent="0.25">
      <c r="B56" t="s">
        <v>333</v>
      </c>
      <c r="C56" t="s">
        <v>334</v>
      </c>
      <c r="D56" t="s">
        <v>335</v>
      </c>
      <c r="H56" t="s">
        <v>399</v>
      </c>
      <c r="AC56" t="s">
        <v>401</v>
      </c>
      <c r="AD56" t="s">
        <v>400</v>
      </c>
      <c r="AE56">
        <v>64</v>
      </c>
      <c r="AF56">
        <v>55</v>
      </c>
      <c r="AH56" t="s">
        <v>360</v>
      </c>
      <c r="AJ56">
        <v>102</v>
      </c>
      <c r="AK56" t="s">
        <v>200</v>
      </c>
      <c r="AM56">
        <v>2040</v>
      </c>
      <c r="AN56">
        <v>1477</v>
      </c>
    </row>
    <row r="57" spans="2:40" x14ac:dyDescent="0.25">
      <c r="B57" t="s">
        <v>333</v>
      </c>
      <c r="C57" t="s">
        <v>334</v>
      </c>
      <c r="D57" t="s">
        <v>335</v>
      </c>
      <c r="H57" t="s">
        <v>399</v>
      </c>
      <c r="AC57" t="s">
        <v>401</v>
      </c>
      <c r="AD57" t="s">
        <v>400</v>
      </c>
      <c r="AE57">
        <v>64</v>
      </c>
      <c r="AF57">
        <v>56</v>
      </c>
      <c r="AH57" t="s">
        <v>390</v>
      </c>
      <c r="AJ57">
        <v>903</v>
      </c>
      <c r="AK57" t="s">
        <v>208</v>
      </c>
      <c r="AM57">
        <v>2246</v>
      </c>
      <c r="AN57">
        <v>1477</v>
      </c>
    </row>
    <row r="58" spans="2:40" x14ac:dyDescent="0.25">
      <c r="B58" t="s">
        <v>333</v>
      </c>
      <c r="C58" t="s">
        <v>334</v>
      </c>
      <c r="D58" t="s">
        <v>335</v>
      </c>
      <c r="H58" t="s">
        <v>399</v>
      </c>
      <c r="AC58" t="s">
        <v>401</v>
      </c>
      <c r="AD58" t="s">
        <v>400</v>
      </c>
      <c r="AE58">
        <v>64</v>
      </c>
      <c r="AF58">
        <v>57</v>
      </c>
      <c r="AH58" t="s">
        <v>390</v>
      </c>
      <c r="AJ58">
        <v>903</v>
      </c>
      <c r="AK58" t="s">
        <v>208</v>
      </c>
      <c r="AM58">
        <v>806</v>
      </c>
      <c r="AN58">
        <v>1683</v>
      </c>
    </row>
    <row r="59" spans="2:40" x14ac:dyDescent="0.25">
      <c r="B59" t="s">
        <v>333</v>
      </c>
      <c r="C59" t="s">
        <v>334</v>
      </c>
      <c r="D59" t="s">
        <v>335</v>
      </c>
      <c r="H59" t="s">
        <v>399</v>
      </c>
      <c r="AC59" t="s">
        <v>401</v>
      </c>
      <c r="AD59" t="s">
        <v>400</v>
      </c>
      <c r="AE59">
        <v>64</v>
      </c>
      <c r="AF59">
        <v>58</v>
      </c>
      <c r="AH59" t="s">
        <v>360</v>
      </c>
      <c r="AJ59">
        <v>102</v>
      </c>
      <c r="AK59" t="s">
        <v>200</v>
      </c>
      <c r="AM59">
        <v>1012</v>
      </c>
      <c r="AN59">
        <v>1683</v>
      </c>
    </row>
    <row r="60" spans="2:40" x14ac:dyDescent="0.25">
      <c r="B60" t="s">
        <v>333</v>
      </c>
      <c r="C60" t="s">
        <v>334</v>
      </c>
      <c r="D60" t="s">
        <v>335</v>
      </c>
      <c r="H60" t="s">
        <v>399</v>
      </c>
      <c r="AC60" t="s">
        <v>401</v>
      </c>
      <c r="AD60" t="s">
        <v>400</v>
      </c>
      <c r="AE60">
        <v>64</v>
      </c>
      <c r="AF60">
        <v>59</v>
      </c>
      <c r="AH60" t="s">
        <v>389</v>
      </c>
      <c r="AJ60">
        <v>501</v>
      </c>
      <c r="AK60" t="s">
        <v>204</v>
      </c>
      <c r="AM60">
        <v>1217</v>
      </c>
      <c r="AN60">
        <v>1683</v>
      </c>
    </row>
    <row r="61" spans="2:40" x14ac:dyDescent="0.25">
      <c r="B61" t="s">
        <v>333</v>
      </c>
      <c r="C61" t="s">
        <v>334</v>
      </c>
      <c r="D61" t="s">
        <v>335</v>
      </c>
      <c r="H61" t="s">
        <v>399</v>
      </c>
      <c r="AC61" t="s">
        <v>401</v>
      </c>
      <c r="AD61" t="s">
        <v>400</v>
      </c>
      <c r="AE61">
        <v>64</v>
      </c>
      <c r="AF61">
        <v>60</v>
      </c>
      <c r="AH61" t="s">
        <v>389</v>
      </c>
      <c r="AJ61">
        <v>501</v>
      </c>
      <c r="AK61" t="s">
        <v>204</v>
      </c>
      <c r="AM61">
        <v>1423</v>
      </c>
      <c r="AN61">
        <v>1683</v>
      </c>
    </row>
    <row r="62" spans="2:40" x14ac:dyDescent="0.25">
      <c r="B62" t="s">
        <v>333</v>
      </c>
      <c r="C62" t="s">
        <v>334</v>
      </c>
      <c r="D62" t="s">
        <v>335</v>
      </c>
      <c r="H62" t="s">
        <v>399</v>
      </c>
      <c r="AC62" t="s">
        <v>401</v>
      </c>
      <c r="AD62" t="s">
        <v>400</v>
      </c>
      <c r="AE62">
        <v>64</v>
      </c>
      <c r="AF62">
        <v>61</v>
      </c>
      <c r="AH62" t="s">
        <v>389</v>
      </c>
      <c r="AJ62">
        <v>501</v>
      </c>
      <c r="AK62" t="s">
        <v>204</v>
      </c>
      <c r="AM62">
        <v>1629</v>
      </c>
      <c r="AN62">
        <v>1683</v>
      </c>
    </row>
    <row r="63" spans="2:40" x14ac:dyDescent="0.25">
      <c r="B63" t="s">
        <v>333</v>
      </c>
      <c r="C63" t="s">
        <v>334</v>
      </c>
      <c r="D63" t="s">
        <v>335</v>
      </c>
      <c r="H63" t="s">
        <v>399</v>
      </c>
      <c r="AC63" t="s">
        <v>401</v>
      </c>
      <c r="AD63" t="s">
        <v>400</v>
      </c>
      <c r="AE63">
        <v>64</v>
      </c>
      <c r="AF63">
        <v>62</v>
      </c>
      <c r="AH63" t="s">
        <v>360</v>
      </c>
      <c r="AJ63">
        <v>102</v>
      </c>
      <c r="AK63" t="s">
        <v>200</v>
      </c>
      <c r="AM63">
        <v>1835</v>
      </c>
      <c r="AN63">
        <v>1683</v>
      </c>
    </row>
    <row r="64" spans="2:40" x14ac:dyDescent="0.25">
      <c r="B64" t="s">
        <v>333</v>
      </c>
      <c r="C64" t="s">
        <v>334</v>
      </c>
      <c r="D64" t="s">
        <v>335</v>
      </c>
      <c r="H64" t="s">
        <v>399</v>
      </c>
      <c r="AC64" t="s">
        <v>401</v>
      </c>
      <c r="AD64" t="s">
        <v>400</v>
      </c>
      <c r="AE64">
        <v>64</v>
      </c>
      <c r="AF64">
        <v>63</v>
      </c>
      <c r="AH64" t="s">
        <v>389</v>
      </c>
      <c r="AJ64">
        <v>501</v>
      </c>
      <c r="AK64" t="s">
        <v>204</v>
      </c>
      <c r="AM64">
        <v>2040</v>
      </c>
      <c r="AN64">
        <v>1683</v>
      </c>
    </row>
    <row r="65" spans="2:40" x14ac:dyDescent="0.25">
      <c r="B65" t="s">
        <v>333</v>
      </c>
      <c r="C65" t="s">
        <v>334</v>
      </c>
      <c r="D65" t="s">
        <v>335</v>
      </c>
      <c r="H65" t="s">
        <v>399</v>
      </c>
      <c r="AC65" t="s">
        <v>401</v>
      </c>
      <c r="AD65" t="s">
        <v>400</v>
      </c>
      <c r="AE65">
        <v>64</v>
      </c>
      <c r="AF65">
        <v>64</v>
      </c>
      <c r="AH65" t="s">
        <v>390</v>
      </c>
      <c r="AJ65">
        <v>903</v>
      </c>
      <c r="AK65" t="s">
        <v>208</v>
      </c>
      <c r="AM65">
        <v>2246</v>
      </c>
      <c r="AN65">
        <v>1683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140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28515625" bestFit="1" customWidth="1"/>
    <col min="30" max="30" width="43.42578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404</v>
      </c>
      <c r="AC2" t="s">
        <v>406</v>
      </c>
      <c r="AD2" t="s">
        <v>405</v>
      </c>
      <c r="AE2">
        <v>64</v>
      </c>
      <c r="AF2">
        <v>1</v>
      </c>
      <c r="AH2" t="s">
        <v>361</v>
      </c>
      <c r="AJ2">
        <v>109</v>
      </c>
      <c r="AK2" t="s">
        <v>200</v>
      </c>
      <c r="AM2">
        <v>911</v>
      </c>
      <c r="AN2">
        <v>402</v>
      </c>
    </row>
    <row r="3" spans="1:40" x14ac:dyDescent="0.25">
      <c r="B3" t="s">
        <v>333</v>
      </c>
      <c r="C3" t="s">
        <v>334</v>
      </c>
      <c r="D3" t="s">
        <v>335</v>
      </c>
      <c r="H3" t="s">
        <v>404</v>
      </c>
      <c r="AC3" t="s">
        <v>406</v>
      </c>
      <c r="AD3" t="s">
        <v>405</v>
      </c>
      <c r="AE3">
        <v>64</v>
      </c>
      <c r="AF3">
        <v>2</v>
      </c>
      <c r="AH3" t="s">
        <v>360</v>
      </c>
      <c r="AJ3">
        <v>102</v>
      </c>
      <c r="AK3" t="s">
        <v>200</v>
      </c>
      <c r="AM3">
        <v>1119</v>
      </c>
      <c r="AN3">
        <v>402</v>
      </c>
    </row>
    <row r="4" spans="1:40" x14ac:dyDescent="0.25">
      <c r="B4" t="s">
        <v>333</v>
      </c>
      <c r="C4" t="s">
        <v>334</v>
      </c>
      <c r="D4" t="s">
        <v>335</v>
      </c>
      <c r="H4" t="s">
        <v>404</v>
      </c>
      <c r="AC4" t="s">
        <v>406</v>
      </c>
      <c r="AD4" t="s">
        <v>405</v>
      </c>
      <c r="AE4">
        <v>64</v>
      </c>
      <c r="AF4">
        <v>3</v>
      </c>
      <c r="AH4" t="s">
        <v>360</v>
      </c>
      <c r="AJ4">
        <v>102</v>
      </c>
      <c r="AK4" t="s">
        <v>200</v>
      </c>
      <c r="AM4">
        <v>1328</v>
      </c>
      <c r="AN4">
        <v>402</v>
      </c>
    </row>
    <row r="5" spans="1:40" x14ac:dyDescent="0.25">
      <c r="B5" t="s">
        <v>333</v>
      </c>
      <c r="C5" t="s">
        <v>334</v>
      </c>
      <c r="D5" t="s">
        <v>335</v>
      </c>
      <c r="H5" t="s">
        <v>404</v>
      </c>
      <c r="AC5" t="s">
        <v>406</v>
      </c>
      <c r="AD5" t="s">
        <v>405</v>
      </c>
      <c r="AE5">
        <v>64</v>
      </c>
      <c r="AF5">
        <v>4</v>
      </c>
      <c r="AH5" t="s">
        <v>358</v>
      </c>
      <c r="AJ5">
        <v>1001</v>
      </c>
      <c r="AK5" t="s">
        <v>209</v>
      </c>
      <c r="AM5">
        <v>1536</v>
      </c>
      <c r="AN5">
        <v>402</v>
      </c>
    </row>
    <row r="6" spans="1:40" x14ac:dyDescent="0.25">
      <c r="B6" t="s">
        <v>333</v>
      </c>
      <c r="C6" t="s">
        <v>334</v>
      </c>
      <c r="D6" t="s">
        <v>335</v>
      </c>
      <c r="H6" t="s">
        <v>404</v>
      </c>
      <c r="AC6" t="s">
        <v>406</v>
      </c>
      <c r="AD6" t="s">
        <v>405</v>
      </c>
      <c r="AE6">
        <v>64</v>
      </c>
      <c r="AF6">
        <v>5</v>
      </c>
      <c r="AH6" t="s">
        <v>358</v>
      </c>
      <c r="AJ6">
        <v>1001</v>
      </c>
      <c r="AK6" t="s">
        <v>209</v>
      </c>
      <c r="AM6">
        <v>1745</v>
      </c>
      <c r="AN6">
        <v>402</v>
      </c>
    </row>
    <row r="7" spans="1:40" x14ac:dyDescent="0.25">
      <c r="B7" t="s">
        <v>333</v>
      </c>
      <c r="C7" t="s">
        <v>334</v>
      </c>
      <c r="D7" t="s">
        <v>335</v>
      </c>
      <c r="H7" t="s">
        <v>404</v>
      </c>
      <c r="AC7" t="s">
        <v>406</v>
      </c>
      <c r="AD7" t="s">
        <v>405</v>
      </c>
      <c r="AE7">
        <v>64</v>
      </c>
      <c r="AF7">
        <v>6</v>
      </c>
      <c r="AH7" t="s">
        <v>360</v>
      </c>
      <c r="AJ7">
        <v>102</v>
      </c>
      <c r="AK7" t="s">
        <v>200</v>
      </c>
      <c r="AM7">
        <v>1954</v>
      </c>
      <c r="AN7">
        <v>402</v>
      </c>
    </row>
    <row r="8" spans="1:40" x14ac:dyDescent="0.25">
      <c r="B8" t="s">
        <v>333</v>
      </c>
      <c r="C8" t="s">
        <v>334</v>
      </c>
      <c r="D8" t="s">
        <v>335</v>
      </c>
      <c r="H8" t="s">
        <v>404</v>
      </c>
      <c r="AC8" t="s">
        <v>406</v>
      </c>
      <c r="AD8" t="s">
        <v>405</v>
      </c>
      <c r="AE8">
        <v>64</v>
      </c>
      <c r="AF8">
        <v>7</v>
      </c>
      <c r="AH8" t="s">
        <v>360</v>
      </c>
      <c r="AJ8">
        <v>102</v>
      </c>
      <c r="AK8" t="s">
        <v>200</v>
      </c>
      <c r="AM8">
        <v>2162</v>
      </c>
      <c r="AN8">
        <v>402</v>
      </c>
    </row>
    <row r="9" spans="1:40" x14ac:dyDescent="0.25">
      <c r="B9" t="s">
        <v>333</v>
      </c>
      <c r="C9" t="s">
        <v>334</v>
      </c>
      <c r="D9" t="s">
        <v>335</v>
      </c>
      <c r="H9" t="s">
        <v>404</v>
      </c>
      <c r="AC9" t="s">
        <v>406</v>
      </c>
      <c r="AD9" t="s">
        <v>405</v>
      </c>
      <c r="AE9">
        <v>64</v>
      </c>
      <c r="AF9">
        <v>8</v>
      </c>
      <c r="AH9" t="s">
        <v>360</v>
      </c>
      <c r="AJ9">
        <v>102</v>
      </c>
      <c r="AK9" t="s">
        <v>200</v>
      </c>
      <c r="AM9">
        <v>2371</v>
      </c>
      <c r="AN9">
        <v>402</v>
      </c>
    </row>
    <row r="10" spans="1:40" x14ac:dyDescent="0.25">
      <c r="B10" t="s">
        <v>333</v>
      </c>
      <c r="C10" t="s">
        <v>334</v>
      </c>
      <c r="D10" t="s">
        <v>335</v>
      </c>
      <c r="H10" t="s">
        <v>404</v>
      </c>
      <c r="AC10" t="s">
        <v>406</v>
      </c>
      <c r="AD10" t="s">
        <v>405</v>
      </c>
      <c r="AE10">
        <v>64</v>
      </c>
      <c r="AF10">
        <v>9</v>
      </c>
      <c r="AH10" t="s">
        <v>360</v>
      </c>
      <c r="AJ10">
        <v>102</v>
      </c>
      <c r="AK10" t="s">
        <v>200</v>
      </c>
      <c r="AM10">
        <v>911</v>
      </c>
      <c r="AN10">
        <v>611</v>
      </c>
    </row>
    <row r="11" spans="1:40" x14ac:dyDescent="0.25">
      <c r="B11" t="s">
        <v>333</v>
      </c>
      <c r="C11" t="s">
        <v>334</v>
      </c>
      <c r="D11" t="s">
        <v>335</v>
      </c>
      <c r="H11" t="s">
        <v>404</v>
      </c>
      <c r="AC11" t="s">
        <v>406</v>
      </c>
      <c r="AD11" t="s">
        <v>405</v>
      </c>
      <c r="AE11">
        <v>64</v>
      </c>
      <c r="AF11">
        <v>10</v>
      </c>
      <c r="AH11" t="s">
        <v>361</v>
      </c>
      <c r="AJ11">
        <v>109</v>
      </c>
      <c r="AK11" t="s">
        <v>200</v>
      </c>
      <c r="AM11">
        <v>1119</v>
      </c>
      <c r="AN11">
        <v>611</v>
      </c>
    </row>
    <row r="12" spans="1:40" x14ac:dyDescent="0.25">
      <c r="B12" t="s">
        <v>333</v>
      </c>
      <c r="C12" t="s">
        <v>334</v>
      </c>
      <c r="D12" t="s">
        <v>335</v>
      </c>
      <c r="H12" t="s">
        <v>404</v>
      </c>
      <c r="AC12" t="s">
        <v>406</v>
      </c>
      <c r="AD12" t="s">
        <v>405</v>
      </c>
      <c r="AE12">
        <v>64</v>
      </c>
      <c r="AF12">
        <v>11</v>
      </c>
      <c r="AH12" t="s">
        <v>390</v>
      </c>
      <c r="AJ12">
        <v>903</v>
      </c>
      <c r="AK12" t="s">
        <v>208</v>
      </c>
      <c r="AM12">
        <v>1328</v>
      </c>
      <c r="AN12">
        <v>611</v>
      </c>
    </row>
    <row r="13" spans="1:40" x14ac:dyDescent="0.25">
      <c r="B13" t="s">
        <v>333</v>
      </c>
      <c r="C13" t="s">
        <v>334</v>
      </c>
      <c r="D13" t="s">
        <v>335</v>
      </c>
      <c r="H13" t="s">
        <v>404</v>
      </c>
      <c r="AC13" t="s">
        <v>406</v>
      </c>
      <c r="AD13" t="s">
        <v>405</v>
      </c>
      <c r="AE13">
        <v>64</v>
      </c>
      <c r="AF13">
        <v>12</v>
      </c>
      <c r="AH13" t="s">
        <v>389</v>
      </c>
      <c r="AJ13">
        <v>501</v>
      </c>
      <c r="AK13" t="s">
        <v>204</v>
      </c>
      <c r="AM13">
        <v>1536</v>
      </c>
      <c r="AN13">
        <v>611</v>
      </c>
    </row>
    <row r="14" spans="1:40" x14ac:dyDescent="0.25">
      <c r="B14" t="s">
        <v>333</v>
      </c>
      <c r="C14" t="s">
        <v>334</v>
      </c>
      <c r="D14" t="s">
        <v>335</v>
      </c>
      <c r="H14" t="s">
        <v>404</v>
      </c>
      <c r="AC14" t="s">
        <v>406</v>
      </c>
      <c r="AD14" t="s">
        <v>405</v>
      </c>
      <c r="AE14">
        <v>64</v>
      </c>
      <c r="AF14">
        <v>13</v>
      </c>
      <c r="AH14" t="s">
        <v>360</v>
      </c>
      <c r="AJ14">
        <v>102</v>
      </c>
      <c r="AK14" t="s">
        <v>200</v>
      </c>
      <c r="AM14">
        <v>1745</v>
      </c>
      <c r="AN14">
        <v>611</v>
      </c>
    </row>
    <row r="15" spans="1:40" x14ac:dyDescent="0.25">
      <c r="B15" t="s">
        <v>333</v>
      </c>
      <c r="C15" t="s">
        <v>334</v>
      </c>
      <c r="D15" t="s">
        <v>335</v>
      </c>
      <c r="H15" t="s">
        <v>404</v>
      </c>
      <c r="AC15" t="s">
        <v>406</v>
      </c>
      <c r="AD15" t="s">
        <v>405</v>
      </c>
      <c r="AE15">
        <v>64</v>
      </c>
      <c r="AF15">
        <v>14</v>
      </c>
      <c r="AH15" t="s">
        <v>402</v>
      </c>
      <c r="AJ15">
        <v>603</v>
      </c>
      <c r="AK15" t="s">
        <v>205</v>
      </c>
      <c r="AM15">
        <v>1954</v>
      </c>
      <c r="AN15">
        <v>611</v>
      </c>
    </row>
    <row r="16" spans="1:40" x14ac:dyDescent="0.25">
      <c r="B16" t="s">
        <v>333</v>
      </c>
      <c r="C16" t="s">
        <v>334</v>
      </c>
      <c r="D16" t="s">
        <v>335</v>
      </c>
      <c r="H16" t="s">
        <v>404</v>
      </c>
      <c r="AC16" t="s">
        <v>406</v>
      </c>
      <c r="AD16" t="s">
        <v>405</v>
      </c>
      <c r="AE16">
        <v>64</v>
      </c>
      <c r="AF16">
        <v>15</v>
      </c>
      <c r="AH16" t="s">
        <v>361</v>
      </c>
      <c r="AJ16">
        <v>109</v>
      </c>
      <c r="AK16" t="s">
        <v>200</v>
      </c>
      <c r="AM16">
        <v>2162</v>
      </c>
      <c r="AN16">
        <v>611</v>
      </c>
    </row>
    <row r="17" spans="2:40" x14ac:dyDescent="0.25">
      <c r="B17" t="s">
        <v>333</v>
      </c>
      <c r="C17" t="s">
        <v>334</v>
      </c>
      <c r="D17" t="s">
        <v>335</v>
      </c>
      <c r="H17" t="s">
        <v>404</v>
      </c>
      <c r="AC17" t="s">
        <v>406</v>
      </c>
      <c r="AD17" t="s">
        <v>405</v>
      </c>
      <c r="AE17">
        <v>64</v>
      </c>
      <c r="AF17">
        <v>16</v>
      </c>
      <c r="AH17" t="s">
        <v>396</v>
      </c>
      <c r="AJ17">
        <v>303</v>
      </c>
      <c r="AK17" t="s">
        <v>202</v>
      </c>
      <c r="AM17">
        <v>2371</v>
      </c>
      <c r="AN17">
        <v>611</v>
      </c>
    </row>
    <row r="18" spans="2:40" x14ac:dyDescent="0.25">
      <c r="B18" t="s">
        <v>333</v>
      </c>
      <c r="C18" t="s">
        <v>334</v>
      </c>
      <c r="D18" t="s">
        <v>335</v>
      </c>
      <c r="H18" t="s">
        <v>404</v>
      </c>
      <c r="AC18" t="s">
        <v>406</v>
      </c>
      <c r="AD18" t="s">
        <v>405</v>
      </c>
      <c r="AE18">
        <v>64</v>
      </c>
      <c r="AF18">
        <v>17</v>
      </c>
      <c r="AH18" t="s">
        <v>396</v>
      </c>
      <c r="AJ18">
        <v>303</v>
      </c>
      <c r="AK18" t="s">
        <v>202</v>
      </c>
      <c r="AM18">
        <v>911</v>
      </c>
      <c r="AN18">
        <v>820</v>
      </c>
    </row>
    <row r="19" spans="2:40" x14ac:dyDescent="0.25">
      <c r="B19" t="s">
        <v>333</v>
      </c>
      <c r="C19" t="s">
        <v>334</v>
      </c>
      <c r="D19" t="s">
        <v>335</v>
      </c>
      <c r="H19" t="s">
        <v>404</v>
      </c>
      <c r="AC19" t="s">
        <v>406</v>
      </c>
      <c r="AD19" t="s">
        <v>405</v>
      </c>
      <c r="AE19">
        <v>64</v>
      </c>
      <c r="AF19">
        <v>18</v>
      </c>
      <c r="AH19" t="s">
        <v>389</v>
      </c>
      <c r="AJ19">
        <v>501</v>
      </c>
      <c r="AK19" t="s">
        <v>204</v>
      </c>
      <c r="AM19">
        <v>1119</v>
      </c>
      <c r="AN19">
        <v>820</v>
      </c>
    </row>
    <row r="20" spans="2:40" x14ac:dyDescent="0.25">
      <c r="B20" t="s">
        <v>333</v>
      </c>
      <c r="C20" t="s">
        <v>334</v>
      </c>
      <c r="D20" t="s">
        <v>335</v>
      </c>
      <c r="H20" t="s">
        <v>404</v>
      </c>
      <c r="AC20" t="s">
        <v>406</v>
      </c>
      <c r="AD20" t="s">
        <v>405</v>
      </c>
      <c r="AE20">
        <v>64</v>
      </c>
      <c r="AF20">
        <v>19</v>
      </c>
      <c r="AH20" t="s">
        <v>361</v>
      </c>
      <c r="AJ20">
        <v>109</v>
      </c>
      <c r="AK20" t="s">
        <v>200</v>
      </c>
      <c r="AM20">
        <v>1328</v>
      </c>
      <c r="AN20">
        <v>820</v>
      </c>
    </row>
    <row r="21" spans="2:40" x14ac:dyDescent="0.25">
      <c r="B21" t="s">
        <v>333</v>
      </c>
      <c r="C21" t="s">
        <v>334</v>
      </c>
      <c r="D21" t="s">
        <v>335</v>
      </c>
      <c r="H21" t="s">
        <v>404</v>
      </c>
      <c r="AC21" t="s">
        <v>406</v>
      </c>
      <c r="AD21" t="s">
        <v>405</v>
      </c>
      <c r="AE21">
        <v>64</v>
      </c>
      <c r="AF21">
        <v>20</v>
      </c>
      <c r="AH21" t="s">
        <v>360</v>
      </c>
      <c r="AJ21">
        <v>102</v>
      </c>
      <c r="AK21" t="s">
        <v>200</v>
      </c>
      <c r="AM21">
        <v>1536</v>
      </c>
      <c r="AN21">
        <v>820</v>
      </c>
    </row>
    <row r="22" spans="2:40" x14ac:dyDescent="0.25">
      <c r="B22" t="s">
        <v>333</v>
      </c>
      <c r="C22" t="s">
        <v>334</v>
      </c>
      <c r="D22" t="s">
        <v>335</v>
      </c>
      <c r="H22" t="s">
        <v>404</v>
      </c>
      <c r="AC22" t="s">
        <v>406</v>
      </c>
      <c r="AD22" t="s">
        <v>405</v>
      </c>
      <c r="AE22">
        <v>64</v>
      </c>
      <c r="AF22">
        <v>21</v>
      </c>
      <c r="AH22" t="s">
        <v>360</v>
      </c>
      <c r="AJ22">
        <v>102</v>
      </c>
      <c r="AK22" t="s">
        <v>200</v>
      </c>
      <c r="AM22">
        <v>1745</v>
      </c>
      <c r="AN22">
        <v>820</v>
      </c>
    </row>
    <row r="23" spans="2:40" x14ac:dyDescent="0.25">
      <c r="B23" t="s">
        <v>333</v>
      </c>
      <c r="C23" t="s">
        <v>334</v>
      </c>
      <c r="D23" t="s">
        <v>335</v>
      </c>
      <c r="H23" t="s">
        <v>404</v>
      </c>
      <c r="AC23" t="s">
        <v>406</v>
      </c>
      <c r="AD23" t="s">
        <v>405</v>
      </c>
      <c r="AE23">
        <v>64</v>
      </c>
      <c r="AF23">
        <v>22</v>
      </c>
      <c r="AH23" t="s">
        <v>361</v>
      </c>
      <c r="AJ23">
        <v>109</v>
      </c>
      <c r="AK23" t="s">
        <v>200</v>
      </c>
      <c r="AM23">
        <v>1954</v>
      </c>
      <c r="AN23">
        <v>820</v>
      </c>
    </row>
    <row r="24" spans="2:40" x14ac:dyDescent="0.25">
      <c r="B24" t="s">
        <v>333</v>
      </c>
      <c r="C24" t="s">
        <v>334</v>
      </c>
      <c r="D24" t="s">
        <v>335</v>
      </c>
      <c r="H24" t="s">
        <v>404</v>
      </c>
      <c r="AC24" t="s">
        <v>406</v>
      </c>
      <c r="AD24" t="s">
        <v>405</v>
      </c>
      <c r="AE24">
        <v>64</v>
      </c>
      <c r="AF24">
        <v>23</v>
      </c>
      <c r="AH24" t="s">
        <v>360</v>
      </c>
      <c r="AJ24">
        <v>102</v>
      </c>
      <c r="AK24" t="s">
        <v>200</v>
      </c>
      <c r="AM24">
        <v>2162</v>
      </c>
      <c r="AN24">
        <v>820</v>
      </c>
    </row>
    <row r="25" spans="2:40" x14ac:dyDescent="0.25">
      <c r="B25" t="s">
        <v>333</v>
      </c>
      <c r="C25" t="s">
        <v>334</v>
      </c>
      <c r="D25" t="s">
        <v>335</v>
      </c>
      <c r="H25" t="s">
        <v>404</v>
      </c>
      <c r="AC25" t="s">
        <v>406</v>
      </c>
      <c r="AD25" t="s">
        <v>405</v>
      </c>
      <c r="AE25">
        <v>64</v>
      </c>
      <c r="AF25">
        <v>24</v>
      </c>
      <c r="AH25" t="s">
        <v>396</v>
      </c>
      <c r="AJ25">
        <v>303</v>
      </c>
      <c r="AK25" t="s">
        <v>202</v>
      </c>
      <c r="AM25">
        <v>2371</v>
      </c>
      <c r="AN25">
        <v>820</v>
      </c>
    </row>
    <row r="26" spans="2:40" x14ac:dyDescent="0.25">
      <c r="B26" t="s">
        <v>333</v>
      </c>
      <c r="C26" t="s">
        <v>334</v>
      </c>
      <c r="D26" t="s">
        <v>335</v>
      </c>
      <c r="H26" t="s">
        <v>404</v>
      </c>
      <c r="AC26" t="s">
        <v>406</v>
      </c>
      <c r="AD26" t="s">
        <v>405</v>
      </c>
      <c r="AE26">
        <v>64</v>
      </c>
      <c r="AF26">
        <v>25</v>
      </c>
      <c r="AH26" t="s">
        <v>396</v>
      </c>
      <c r="AJ26">
        <v>303</v>
      </c>
      <c r="AK26" t="s">
        <v>202</v>
      </c>
      <c r="AM26">
        <v>911</v>
      </c>
      <c r="AN26">
        <v>1028</v>
      </c>
    </row>
    <row r="27" spans="2:40" x14ac:dyDescent="0.25">
      <c r="B27" t="s">
        <v>333</v>
      </c>
      <c r="C27" t="s">
        <v>334</v>
      </c>
      <c r="D27" t="s">
        <v>335</v>
      </c>
      <c r="H27" t="s">
        <v>404</v>
      </c>
      <c r="AC27" t="s">
        <v>406</v>
      </c>
      <c r="AD27" t="s">
        <v>405</v>
      </c>
      <c r="AE27">
        <v>64</v>
      </c>
      <c r="AF27">
        <v>26</v>
      </c>
      <c r="AH27" t="s">
        <v>360</v>
      </c>
      <c r="AJ27">
        <v>102</v>
      </c>
      <c r="AK27" t="s">
        <v>200</v>
      </c>
      <c r="AM27">
        <v>1119</v>
      </c>
      <c r="AN27">
        <v>1028</v>
      </c>
    </row>
    <row r="28" spans="2:40" x14ac:dyDescent="0.25">
      <c r="B28" t="s">
        <v>333</v>
      </c>
      <c r="C28" t="s">
        <v>334</v>
      </c>
      <c r="D28" t="s">
        <v>335</v>
      </c>
      <c r="H28" t="s">
        <v>404</v>
      </c>
      <c r="AC28" t="s">
        <v>406</v>
      </c>
      <c r="AD28" t="s">
        <v>405</v>
      </c>
      <c r="AE28">
        <v>64</v>
      </c>
      <c r="AF28">
        <v>27</v>
      </c>
      <c r="AH28" t="s">
        <v>389</v>
      </c>
      <c r="AJ28">
        <v>501</v>
      </c>
      <c r="AK28" t="s">
        <v>204</v>
      </c>
      <c r="AM28">
        <v>1328</v>
      </c>
      <c r="AN28">
        <v>1028</v>
      </c>
    </row>
    <row r="29" spans="2:40" x14ac:dyDescent="0.25">
      <c r="B29" t="s">
        <v>333</v>
      </c>
      <c r="C29" t="s">
        <v>334</v>
      </c>
      <c r="D29" t="s">
        <v>335</v>
      </c>
      <c r="H29" t="s">
        <v>404</v>
      </c>
      <c r="AC29" t="s">
        <v>406</v>
      </c>
      <c r="AD29" t="s">
        <v>405</v>
      </c>
      <c r="AE29">
        <v>64</v>
      </c>
      <c r="AF29">
        <v>28</v>
      </c>
      <c r="AH29" t="s">
        <v>361</v>
      </c>
      <c r="AJ29">
        <v>109</v>
      </c>
      <c r="AK29" t="s">
        <v>200</v>
      </c>
      <c r="AM29">
        <v>1536</v>
      </c>
      <c r="AN29">
        <v>1028</v>
      </c>
    </row>
    <row r="30" spans="2:40" x14ac:dyDescent="0.25">
      <c r="B30" t="s">
        <v>333</v>
      </c>
      <c r="C30" t="s">
        <v>334</v>
      </c>
      <c r="D30" t="s">
        <v>335</v>
      </c>
      <c r="H30" t="s">
        <v>404</v>
      </c>
      <c r="AC30" t="s">
        <v>406</v>
      </c>
      <c r="AD30" t="s">
        <v>405</v>
      </c>
      <c r="AE30">
        <v>64</v>
      </c>
      <c r="AF30">
        <v>29</v>
      </c>
      <c r="AH30" t="s">
        <v>361</v>
      </c>
      <c r="AJ30">
        <v>109</v>
      </c>
      <c r="AK30" t="s">
        <v>200</v>
      </c>
      <c r="AM30">
        <v>1745</v>
      </c>
      <c r="AN30">
        <v>1028</v>
      </c>
    </row>
    <row r="31" spans="2:40" x14ac:dyDescent="0.25">
      <c r="B31" t="s">
        <v>333</v>
      </c>
      <c r="C31" t="s">
        <v>334</v>
      </c>
      <c r="D31" t="s">
        <v>335</v>
      </c>
      <c r="H31" t="s">
        <v>404</v>
      </c>
      <c r="AC31" t="s">
        <v>406</v>
      </c>
      <c r="AD31" t="s">
        <v>405</v>
      </c>
      <c r="AE31">
        <v>64</v>
      </c>
      <c r="AF31">
        <v>30</v>
      </c>
      <c r="AH31" t="s">
        <v>390</v>
      </c>
      <c r="AJ31">
        <v>903</v>
      </c>
      <c r="AK31" t="s">
        <v>208</v>
      </c>
      <c r="AM31">
        <v>1954</v>
      </c>
      <c r="AN31">
        <v>1028</v>
      </c>
    </row>
    <row r="32" spans="2:40" x14ac:dyDescent="0.25">
      <c r="B32" t="s">
        <v>333</v>
      </c>
      <c r="C32" t="s">
        <v>334</v>
      </c>
      <c r="D32" t="s">
        <v>335</v>
      </c>
      <c r="H32" t="s">
        <v>404</v>
      </c>
      <c r="AC32" t="s">
        <v>406</v>
      </c>
      <c r="AD32" t="s">
        <v>405</v>
      </c>
      <c r="AE32">
        <v>64</v>
      </c>
      <c r="AF32">
        <v>31</v>
      </c>
      <c r="AH32" t="s">
        <v>389</v>
      </c>
      <c r="AJ32">
        <v>501</v>
      </c>
      <c r="AK32" t="s">
        <v>204</v>
      </c>
      <c r="AM32">
        <v>2162</v>
      </c>
      <c r="AN32">
        <v>1028</v>
      </c>
    </row>
    <row r="33" spans="2:40" x14ac:dyDescent="0.25">
      <c r="B33" t="s">
        <v>333</v>
      </c>
      <c r="C33" t="s">
        <v>334</v>
      </c>
      <c r="D33" t="s">
        <v>335</v>
      </c>
      <c r="H33" t="s">
        <v>404</v>
      </c>
      <c r="AC33" t="s">
        <v>406</v>
      </c>
      <c r="AD33" t="s">
        <v>405</v>
      </c>
      <c r="AE33">
        <v>64</v>
      </c>
      <c r="AF33">
        <v>32</v>
      </c>
      <c r="AH33" t="s">
        <v>396</v>
      </c>
      <c r="AJ33">
        <v>303</v>
      </c>
      <c r="AK33" t="s">
        <v>202</v>
      </c>
      <c r="AM33">
        <v>2371</v>
      </c>
      <c r="AN33">
        <v>1028</v>
      </c>
    </row>
    <row r="34" spans="2:40" x14ac:dyDescent="0.25">
      <c r="B34" t="s">
        <v>333</v>
      </c>
      <c r="C34" t="s">
        <v>334</v>
      </c>
      <c r="D34" t="s">
        <v>335</v>
      </c>
      <c r="H34" t="s">
        <v>404</v>
      </c>
      <c r="AC34" t="s">
        <v>406</v>
      </c>
      <c r="AD34" t="s">
        <v>405</v>
      </c>
      <c r="AE34">
        <v>64</v>
      </c>
      <c r="AF34">
        <v>33</v>
      </c>
      <c r="AH34" t="s">
        <v>396</v>
      </c>
      <c r="AJ34">
        <v>303</v>
      </c>
      <c r="AK34" t="s">
        <v>202</v>
      </c>
      <c r="AM34">
        <v>911</v>
      </c>
      <c r="AN34">
        <v>1237</v>
      </c>
    </row>
    <row r="35" spans="2:40" x14ac:dyDescent="0.25">
      <c r="B35" t="s">
        <v>333</v>
      </c>
      <c r="C35" t="s">
        <v>334</v>
      </c>
      <c r="D35" t="s">
        <v>335</v>
      </c>
      <c r="H35" t="s">
        <v>404</v>
      </c>
      <c r="AC35" t="s">
        <v>406</v>
      </c>
      <c r="AD35" t="s">
        <v>405</v>
      </c>
      <c r="AE35">
        <v>64</v>
      </c>
      <c r="AF35">
        <v>34</v>
      </c>
      <c r="AH35" t="s">
        <v>389</v>
      </c>
      <c r="AJ35">
        <v>501</v>
      </c>
      <c r="AK35" t="s">
        <v>204</v>
      </c>
      <c r="AM35">
        <v>1119</v>
      </c>
      <c r="AN35">
        <v>1237</v>
      </c>
    </row>
    <row r="36" spans="2:40" x14ac:dyDescent="0.25">
      <c r="B36" t="s">
        <v>333</v>
      </c>
      <c r="C36" t="s">
        <v>334</v>
      </c>
      <c r="D36" t="s">
        <v>335</v>
      </c>
      <c r="H36" t="s">
        <v>404</v>
      </c>
      <c r="AC36" t="s">
        <v>406</v>
      </c>
      <c r="AD36" t="s">
        <v>405</v>
      </c>
      <c r="AE36">
        <v>64</v>
      </c>
      <c r="AF36">
        <v>35</v>
      </c>
      <c r="AH36" t="s">
        <v>360</v>
      </c>
      <c r="AJ36">
        <v>102</v>
      </c>
      <c r="AK36" t="s">
        <v>200</v>
      </c>
      <c r="AM36">
        <v>1328</v>
      </c>
      <c r="AN36">
        <v>1237</v>
      </c>
    </row>
    <row r="37" spans="2:40" x14ac:dyDescent="0.25">
      <c r="B37" t="s">
        <v>333</v>
      </c>
      <c r="C37" t="s">
        <v>334</v>
      </c>
      <c r="D37" t="s">
        <v>335</v>
      </c>
      <c r="H37" t="s">
        <v>404</v>
      </c>
      <c r="AC37" t="s">
        <v>406</v>
      </c>
      <c r="AD37" t="s">
        <v>405</v>
      </c>
      <c r="AE37">
        <v>64</v>
      </c>
      <c r="AF37">
        <v>36</v>
      </c>
      <c r="AH37" t="s">
        <v>361</v>
      </c>
      <c r="AJ37">
        <v>109</v>
      </c>
      <c r="AK37" t="s">
        <v>200</v>
      </c>
      <c r="AM37">
        <v>1536</v>
      </c>
      <c r="AN37">
        <v>1237</v>
      </c>
    </row>
    <row r="38" spans="2:40" x14ac:dyDescent="0.25">
      <c r="B38" t="s">
        <v>333</v>
      </c>
      <c r="C38" t="s">
        <v>334</v>
      </c>
      <c r="D38" t="s">
        <v>335</v>
      </c>
      <c r="H38" t="s">
        <v>404</v>
      </c>
      <c r="AC38" t="s">
        <v>406</v>
      </c>
      <c r="AD38" t="s">
        <v>405</v>
      </c>
      <c r="AE38">
        <v>64</v>
      </c>
      <c r="AF38">
        <v>37</v>
      </c>
      <c r="AH38" t="s">
        <v>361</v>
      </c>
      <c r="AJ38">
        <v>109</v>
      </c>
      <c r="AK38" t="s">
        <v>200</v>
      </c>
      <c r="AM38">
        <v>1745</v>
      </c>
      <c r="AN38">
        <v>1237</v>
      </c>
    </row>
    <row r="39" spans="2:40" x14ac:dyDescent="0.25">
      <c r="B39" t="s">
        <v>333</v>
      </c>
      <c r="C39" t="s">
        <v>334</v>
      </c>
      <c r="D39" t="s">
        <v>335</v>
      </c>
      <c r="H39" t="s">
        <v>404</v>
      </c>
      <c r="AC39" t="s">
        <v>406</v>
      </c>
      <c r="AD39" t="s">
        <v>405</v>
      </c>
      <c r="AE39">
        <v>64</v>
      </c>
      <c r="AF39">
        <v>38</v>
      </c>
      <c r="AH39" t="s">
        <v>389</v>
      </c>
      <c r="AJ39">
        <v>501</v>
      </c>
      <c r="AK39" t="s">
        <v>204</v>
      </c>
      <c r="AM39">
        <v>1954</v>
      </c>
      <c r="AN39">
        <v>1237</v>
      </c>
    </row>
    <row r="40" spans="2:40" x14ac:dyDescent="0.25">
      <c r="B40" t="s">
        <v>333</v>
      </c>
      <c r="C40" t="s">
        <v>334</v>
      </c>
      <c r="D40" t="s">
        <v>335</v>
      </c>
      <c r="H40" t="s">
        <v>404</v>
      </c>
      <c r="AC40" t="s">
        <v>406</v>
      </c>
      <c r="AD40" t="s">
        <v>405</v>
      </c>
      <c r="AE40">
        <v>64</v>
      </c>
      <c r="AF40">
        <v>39</v>
      </c>
      <c r="AH40" t="s">
        <v>389</v>
      </c>
      <c r="AJ40">
        <v>501</v>
      </c>
      <c r="AK40" t="s">
        <v>204</v>
      </c>
      <c r="AM40">
        <v>2162</v>
      </c>
      <c r="AN40">
        <v>1237</v>
      </c>
    </row>
    <row r="41" spans="2:40" x14ac:dyDescent="0.25">
      <c r="B41" t="s">
        <v>333</v>
      </c>
      <c r="C41" t="s">
        <v>334</v>
      </c>
      <c r="D41" t="s">
        <v>335</v>
      </c>
      <c r="H41" t="s">
        <v>404</v>
      </c>
      <c r="AC41" t="s">
        <v>406</v>
      </c>
      <c r="AD41" t="s">
        <v>405</v>
      </c>
      <c r="AE41">
        <v>64</v>
      </c>
      <c r="AF41">
        <v>40</v>
      </c>
      <c r="AH41" t="s">
        <v>396</v>
      </c>
      <c r="AJ41">
        <v>303</v>
      </c>
      <c r="AK41" t="s">
        <v>202</v>
      </c>
      <c r="AM41">
        <v>2371</v>
      </c>
      <c r="AN41">
        <v>1237</v>
      </c>
    </row>
    <row r="42" spans="2:40" x14ac:dyDescent="0.25">
      <c r="B42" t="s">
        <v>333</v>
      </c>
      <c r="C42" t="s">
        <v>334</v>
      </c>
      <c r="D42" t="s">
        <v>335</v>
      </c>
      <c r="H42" t="s">
        <v>404</v>
      </c>
      <c r="AC42" t="s">
        <v>406</v>
      </c>
      <c r="AD42" t="s">
        <v>405</v>
      </c>
      <c r="AE42">
        <v>64</v>
      </c>
      <c r="AF42">
        <v>41</v>
      </c>
      <c r="AH42" t="s">
        <v>396</v>
      </c>
      <c r="AJ42">
        <v>303</v>
      </c>
      <c r="AK42" t="s">
        <v>202</v>
      </c>
      <c r="AM42">
        <v>911</v>
      </c>
      <c r="AN42">
        <v>1445</v>
      </c>
    </row>
    <row r="43" spans="2:40" x14ac:dyDescent="0.25">
      <c r="B43" t="s">
        <v>333</v>
      </c>
      <c r="C43" t="s">
        <v>334</v>
      </c>
      <c r="D43" t="s">
        <v>335</v>
      </c>
      <c r="H43" t="s">
        <v>404</v>
      </c>
      <c r="AC43" t="s">
        <v>406</v>
      </c>
      <c r="AD43" t="s">
        <v>405</v>
      </c>
      <c r="AE43">
        <v>64</v>
      </c>
      <c r="AF43">
        <v>42</v>
      </c>
      <c r="AH43" t="s">
        <v>390</v>
      </c>
      <c r="AJ43">
        <v>903</v>
      </c>
      <c r="AK43" t="s">
        <v>208</v>
      </c>
      <c r="AM43">
        <v>1119</v>
      </c>
      <c r="AN43">
        <v>1445</v>
      </c>
    </row>
    <row r="44" spans="2:40" x14ac:dyDescent="0.25">
      <c r="B44" t="s">
        <v>333</v>
      </c>
      <c r="C44" t="s">
        <v>334</v>
      </c>
      <c r="D44" t="s">
        <v>335</v>
      </c>
      <c r="H44" t="s">
        <v>404</v>
      </c>
      <c r="AC44" t="s">
        <v>406</v>
      </c>
      <c r="AD44" t="s">
        <v>405</v>
      </c>
      <c r="AE44">
        <v>64</v>
      </c>
      <c r="AF44">
        <v>43</v>
      </c>
      <c r="AH44" t="s">
        <v>361</v>
      </c>
      <c r="AJ44">
        <v>109</v>
      </c>
      <c r="AK44" t="s">
        <v>200</v>
      </c>
      <c r="AM44">
        <v>1328</v>
      </c>
      <c r="AN44">
        <v>1445</v>
      </c>
    </row>
    <row r="45" spans="2:40" x14ac:dyDescent="0.25">
      <c r="B45" t="s">
        <v>333</v>
      </c>
      <c r="C45" t="s">
        <v>334</v>
      </c>
      <c r="D45" t="s">
        <v>335</v>
      </c>
      <c r="H45" t="s">
        <v>404</v>
      </c>
      <c r="AC45" t="s">
        <v>406</v>
      </c>
      <c r="AD45" t="s">
        <v>405</v>
      </c>
      <c r="AE45">
        <v>64</v>
      </c>
      <c r="AF45">
        <v>44</v>
      </c>
      <c r="AH45" t="s">
        <v>360</v>
      </c>
      <c r="AJ45">
        <v>102</v>
      </c>
      <c r="AK45" t="s">
        <v>200</v>
      </c>
      <c r="AM45">
        <v>1536</v>
      </c>
      <c r="AN45">
        <v>1445</v>
      </c>
    </row>
    <row r="46" spans="2:40" x14ac:dyDescent="0.25">
      <c r="B46" t="s">
        <v>333</v>
      </c>
      <c r="C46" t="s">
        <v>334</v>
      </c>
      <c r="D46" t="s">
        <v>335</v>
      </c>
      <c r="H46" t="s">
        <v>404</v>
      </c>
      <c r="AC46" t="s">
        <v>406</v>
      </c>
      <c r="AD46" t="s">
        <v>405</v>
      </c>
      <c r="AE46">
        <v>64</v>
      </c>
      <c r="AF46">
        <v>45</v>
      </c>
      <c r="AH46" t="s">
        <v>390</v>
      </c>
      <c r="AJ46">
        <v>903</v>
      </c>
      <c r="AK46" t="s">
        <v>208</v>
      </c>
      <c r="AM46">
        <v>1745</v>
      </c>
      <c r="AN46">
        <v>1445</v>
      </c>
    </row>
    <row r="47" spans="2:40" x14ac:dyDescent="0.25">
      <c r="B47" t="s">
        <v>333</v>
      </c>
      <c r="C47" t="s">
        <v>334</v>
      </c>
      <c r="D47" t="s">
        <v>335</v>
      </c>
      <c r="H47" t="s">
        <v>404</v>
      </c>
      <c r="AC47" t="s">
        <v>406</v>
      </c>
      <c r="AD47" t="s">
        <v>405</v>
      </c>
      <c r="AE47">
        <v>64</v>
      </c>
      <c r="AF47">
        <v>46</v>
      </c>
      <c r="AH47" t="s">
        <v>361</v>
      </c>
      <c r="AJ47">
        <v>109</v>
      </c>
      <c r="AK47" t="s">
        <v>200</v>
      </c>
      <c r="AM47">
        <v>1954</v>
      </c>
      <c r="AN47">
        <v>1445</v>
      </c>
    </row>
    <row r="48" spans="2:40" x14ac:dyDescent="0.25">
      <c r="B48" t="s">
        <v>333</v>
      </c>
      <c r="C48" t="s">
        <v>334</v>
      </c>
      <c r="D48" t="s">
        <v>335</v>
      </c>
      <c r="H48" t="s">
        <v>404</v>
      </c>
      <c r="AC48" t="s">
        <v>406</v>
      </c>
      <c r="AD48" t="s">
        <v>405</v>
      </c>
      <c r="AE48">
        <v>64</v>
      </c>
      <c r="AF48">
        <v>47</v>
      </c>
      <c r="AH48" t="s">
        <v>391</v>
      </c>
      <c r="AJ48">
        <v>604</v>
      </c>
      <c r="AK48" t="s">
        <v>205</v>
      </c>
      <c r="AM48">
        <v>2162</v>
      </c>
      <c r="AN48">
        <v>1445</v>
      </c>
    </row>
    <row r="49" spans="2:40" x14ac:dyDescent="0.25">
      <c r="B49" t="s">
        <v>333</v>
      </c>
      <c r="C49" t="s">
        <v>334</v>
      </c>
      <c r="D49" t="s">
        <v>335</v>
      </c>
      <c r="H49" t="s">
        <v>404</v>
      </c>
      <c r="AC49" t="s">
        <v>406</v>
      </c>
      <c r="AD49" t="s">
        <v>405</v>
      </c>
      <c r="AE49">
        <v>64</v>
      </c>
      <c r="AF49">
        <v>48</v>
      </c>
      <c r="AH49" t="s">
        <v>396</v>
      </c>
      <c r="AJ49">
        <v>303</v>
      </c>
      <c r="AK49" t="s">
        <v>202</v>
      </c>
      <c r="AM49">
        <v>2371</v>
      </c>
      <c r="AN49">
        <v>1445</v>
      </c>
    </row>
    <row r="50" spans="2:40" x14ac:dyDescent="0.25">
      <c r="B50" t="s">
        <v>333</v>
      </c>
      <c r="C50" t="s">
        <v>334</v>
      </c>
      <c r="D50" t="s">
        <v>335</v>
      </c>
      <c r="H50" t="s">
        <v>404</v>
      </c>
      <c r="AC50" t="s">
        <v>406</v>
      </c>
      <c r="AD50" t="s">
        <v>405</v>
      </c>
      <c r="AE50">
        <v>64</v>
      </c>
      <c r="AF50">
        <v>49</v>
      </c>
      <c r="AH50" t="s">
        <v>396</v>
      </c>
      <c r="AJ50">
        <v>303</v>
      </c>
      <c r="AK50" t="s">
        <v>202</v>
      </c>
      <c r="AM50">
        <v>911</v>
      </c>
      <c r="AN50">
        <v>1654</v>
      </c>
    </row>
    <row r="51" spans="2:40" x14ac:dyDescent="0.25">
      <c r="B51" t="s">
        <v>333</v>
      </c>
      <c r="C51" t="s">
        <v>334</v>
      </c>
      <c r="D51" t="s">
        <v>335</v>
      </c>
      <c r="H51" t="s">
        <v>404</v>
      </c>
      <c r="AC51" t="s">
        <v>406</v>
      </c>
      <c r="AD51" t="s">
        <v>405</v>
      </c>
      <c r="AE51">
        <v>64</v>
      </c>
      <c r="AF51">
        <v>50</v>
      </c>
      <c r="AH51" t="s">
        <v>361</v>
      </c>
      <c r="AJ51">
        <v>109</v>
      </c>
      <c r="AK51" t="s">
        <v>200</v>
      </c>
      <c r="AM51">
        <v>1119</v>
      </c>
      <c r="AN51">
        <v>1654</v>
      </c>
    </row>
    <row r="52" spans="2:40" x14ac:dyDescent="0.25">
      <c r="B52" t="s">
        <v>333</v>
      </c>
      <c r="C52" t="s">
        <v>334</v>
      </c>
      <c r="D52" t="s">
        <v>335</v>
      </c>
      <c r="H52" t="s">
        <v>404</v>
      </c>
      <c r="AC52" t="s">
        <v>406</v>
      </c>
      <c r="AD52" t="s">
        <v>405</v>
      </c>
      <c r="AE52">
        <v>64</v>
      </c>
      <c r="AF52">
        <v>51</v>
      </c>
      <c r="AH52" t="s">
        <v>389</v>
      </c>
      <c r="AJ52">
        <v>501</v>
      </c>
      <c r="AK52" t="s">
        <v>204</v>
      </c>
      <c r="AM52">
        <v>1328</v>
      </c>
      <c r="AN52">
        <v>1654</v>
      </c>
    </row>
    <row r="53" spans="2:40" x14ac:dyDescent="0.25">
      <c r="B53" t="s">
        <v>333</v>
      </c>
      <c r="C53" t="s">
        <v>334</v>
      </c>
      <c r="D53" t="s">
        <v>335</v>
      </c>
      <c r="H53" t="s">
        <v>404</v>
      </c>
      <c r="AC53" t="s">
        <v>406</v>
      </c>
      <c r="AD53" t="s">
        <v>405</v>
      </c>
      <c r="AE53">
        <v>64</v>
      </c>
      <c r="AF53">
        <v>52</v>
      </c>
      <c r="AH53" t="s">
        <v>390</v>
      </c>
      <c r="AJ53">
        <v>903</v>
      </c>
      <c r="AK53" t="s">
        <v>208</v>
      </c>
      <c r="AM53">
        <v>1536</v>
      </c>
      <c r="AN53">
        <v>1654</v>
      </c>
    </row>
    <row r="54" spans="2:40" x14ac:dyDescent="0.25">
      <c r="B54" t="s">
        <v>333</v>
      </c>
      <c r="C54" t="s">
        <v>334</v>
      </c>
      <c r="D54" t="s">
        <v>335</v>
      </c>
      <c r="H54" t="s">
        <v>404</v>
      </c>
      <c r="AC54" t="s">
        <v>406</v>
      </c>
      <c r="AD54" t="s">
        <v>405</v>
      </c>
      <c r="AE54">
        <v>64</v>
      </c>
      <c r="AF54">
        <v>53</v>
      </c>
      <c r="AH54" t="s">
        <v>389</v>
      </c>
      <c r="AJ54">
        <v>501</v>
      </c>
      <c r="AK54" t="s">
        <v>204</v>
      </c>
      <c r="AM54">
        <v>1745</v>
      </c>
      <c r="AN54">
        <v>1654</v>
      </c>
    </row>
    <row r="55" spans="2:40" x14ac:dyDescent="0.25">
      <c r="B55" t="s">
        <v>333</v>
      </c>
      <c r="C55" t="s">
        <v>334</v>
      </c>
      <c r="D55" t="s">
        <v>335</v>
      </c>
      <c r="H55" t="s">
        <v>404</v>
      </c>
      <c r="AC55" t="s">
        <v>406</v>
      </c>
      <c r="AD55" t="s">
        <v>405</v>
      </c>
      <c r="AE55">
        <v>64</v>
      </c>
      <c r="AF55">
        <v>54</v>
      </c>
      <c r="AH55" t="s">
        <v>389</v>
      </c>
      <c r="AJ55">
        <v>501</v>
      </c>
      <c r="AK55" t="s">
        <v>204</v>
      </c>
      <c r="AM55">
        <v>1954</v>
      </c>
      <c r="AN55">
        <v>1654</v>
      </c>
    </row>
    <row r="56" spans="2:40" x14ac:dyDescent="0.25">
      <c r="B56" t="s">
        <v>333</v>
      </c>
      <c r="C56" t="s">
        <v>334</v>
      </c>
      <c r="D56" t="s">
        <v>335</v>
      </c>
      <c r="H56" t="s">
        <v>404</v>
      </c>
      <c r="AC56" t="s">
        <v>406</v>
      </c>
      <c r="AD56" t="s">
        <v>405</v>
      </c>
      <c r="AE56">
        <v>64</v>
      </c>
      <c r="AF56">
        <v>55</v>
      </c>
      <c r="AH56" t="s">
        <v>361</v>
      </c>
      <c r="AJ56">
        <v>109</v>
      </c>
      <c r="AK56" t="s">
        <v>200</v>
      </c>
      <c r="AM56">
        <v>2162</v>
      </c>
      <c r="AN56">
        <v>1654</v>
      </c>
    </row>
    <row r="57" spans="2:40" x14ac:dyDescent="0.25">
      <c r="B57" t="s">
        <v>333</v>
      </c>
      <c r="C57" t="s">
        <v>334</v>
      </c>
      <c r="D57" t="s">
        <v>335</v>
      </c>
      <c r="H57" t="s">
        <v>404</v>
      </c>
      <c r="AC57" t="s">
        <v>406</v>
      </c>
      <c r="AD57" t="s">
        <v>405</v>
      </c>
      <c r="AE57">
        <v>64</v>
      </c>
      <c r="AF57">
        <v>56</v>
      </c>
      <c r="AH57" t="s">
        <v>396</v>
      </c>
      <c r="AJ57">
        <v>303</v>
      </c>
      <c r="AK57" t="s">
        <v>202</v>
      </c>
      <c r="AM57">
        <v>2371</v>
      </c>
      <c r="AN57">
        <v>1654</v>
      </c>
    </row>
    <row r="58" spans="2:40" x14ac:dyDescent="0.25">
      <c r="B58" t="s">
        <v>333</v>
      </c>
      <c r="C58" t="s">
        <v>334</v>
      </c>
      <c r="D58" t="s">
        <v>335</v>
      </c>
      <c r="H58" t="s">
        <v>404</v>
      </c>
      <c r="AC58" t="s">
        <v>406</v>
      </c>
      <c r="AD58" t="s">
        <v>405</v>
      </c>
      <c r="AE58">
        <v>64</v>
      </c>
      <c r="AF58">
        <v>57</v>
      </c>
      <c r="AH58" t="s">
        <v>396</v>
      </c>
      <c r="AJ58">
        <v>303</v>
      </c>
      <c r="AK58" t="s">
        <v>202</v>
      </c>
      <c r="AM58">
        <v>911</v>
      </c>
      <c r="AN58">
        <v>1862</v>
      </c>
    </row>
    <row r="59" spans="2:40" x14ac:dyDescent="0.25">
      <c r="B59" t="s">
        <v>333</v>
      </c>
      <c r="C59" t="s">
        <v>334</v>
      </c>
      <c r="D59" t="s">
        <v>335</v>
      </c>
      <c r="H59" t="s">
        <v>404</v>
      </c>
      <c r="AC59" t="s">
        <v>406</v>
      </c>
      <c r="AD59" t="s">
        <v>405</v>
      </c>
      <c r="AE59">
        <v>64</v>
      </c>
      <c r="AF59">
        <v>58</v>
      </c>
      <c r="AH59" t="s">
        <v>396</v>
      </c>
      <c r="AJ59">
        <v>303</v>
      </c>
      <c r="AK59" t="s">
        <v>202</v>
      </c>
      <c r="AM59">
        <v>1119</v>
      </c>
      <c r="AN59">
        <v>1862</v>
      </c>
    </row>
    <row r="60" spans="2:40" x14ac:dyDescent="0.25">
      <c r="B60" t="s">
        <v>333</v>
      </c>
      <c r="C60" t="s">
        <v>334</v>
      </c>
      <c r="D60" t="s">
        <v>335</v>
      </c>
      <c r="H60" t="s">
        <v>404</v>
      </c>
      <c r="AC60" t="s">
        <v>406</v>
      </c>
      <c r="AD60" t="s">
        <v>405</v>
      </c>
      <c r="AE60">
        <v>64</v>
      </c>
      <c r="AF60">
        <v>59</v>
      </c>
      <c r="AH60" t="s">
        <v>360</v>
      </c>
      <c r="AJ60">
        <v>102</v>
      </c>
      <c r="AK60" t="s">
        <v>200</v>
      </c>
      <c r="AM60">
        <v>1328</v>
      </c>
      <c r="AN60">
        <v>1862</v>
      </c>
    </row>
    <row r="61" spans="2:40" x14ac:dyDescent="0.25">
      <c r="B61" t="s">
        <v>333</v>
      </c>
      <c r="C61" t="s">
        <v>334</v>
      </c>
      <c r="D61" t="s">
        <v>335</v>
      </c>
      <c r="H61" t="s">
        <v>404</v>
      </c>
      <c r="AC61" t="s">
        <v>406</v>
      </c>
      <c r="AD61" t="s">
        <v>405</v>
      </c>
      <c r="AE61">
        <v>64</v>
      </c>
      <c r="AF61">
        <v>60</v>
      </c>
      <c r="AH61" t="s">
        <v>360</v>
      </c>
      <c r="AJ61">
        <v>102</v>
      </c>
      <c r="AK61" t="s">
        <v>200</v>
      </c>
      <c r="AM61">
        <v>1536</v>
      </c>
      <c r="AN61">
        <v>1862</v>
      </c>
    </row>
    <row r="62" spans="2:40" x14ac:dyDescent="0.25">
      <c r="B62" t="s">
        <v>333</v>
      </c>
      <c r="C62" t="s">
        <v>334</v>
      </c>
      <c r="D62" t="s">
        <v>335</v>
      </c>
      <c r="H62" t="s">
        <v>404</v>
      </c>
      <c r="AC62" t="s">
        <v>406</v>
      </c>
      <c r="AD62" t="s">
        <v>405</v>
      </c>
      <c r="AE62">
        <v>64</v>
      </c>
      <c r="AF62">
        <v>61</v>
      </c>
      <c r="AH62" t="s">
        <v>396</v>
      </c>
      <c r="AJ62">
        <v>303</v>
      </c>
      <c r="AK62" t="s">
        <v>202</v>
      </c>
      <c r="AM62">
        <v>1745</v>
      </c>
      <c r="AN62">
        <v>1862</v>
      </c>
    </row>
    <row r="63" spans="2:40" x14ac:dyDescent="0.25">
      <c r="B63" t="s">
        <v>333</v>
      </c>
      <c r="C63" t="s">
        <v>334</v>
      </c>
      <c r="D63" t="s">
        <v>335</v>
      </c>
      <c r="H63" t="s">
        <v>404</v>
      </c>
      <c r="AC63" t="s">
        <v>406</v>
      </c>
      <c r="AD63" t="s">
        <v>405</v>
      </c>
      <c r="AE63">
        <v>64</v>
      </c>
      <c r="AF63">
        <v>62</v>
      </c>
      <c r="AH63" t="s">
        <v>396</v>
      </c>
      <c r="AJ63">
        <v>303</v>
      </c>
      <c r="AK63" t="s">
        <v>202</v>
      </c>
      <c r="AM63">
        <v>1954</v>
      </c>
      <c r="AN63">
        <v>1862</v>
      </c>
    </row>
    <row r="64" spans="2:40" x14ac:dyDescent="0.25">
      <c r="B64" t="s">
        <v>333</v>
      </c>
      <c r="C64" t="s">
        <v>334</v>
      </c>
      <c r="D64" t="s">
        <v>335</v>
      </c>
      <c r="H64" t="s">
        <v>404</v>
      </c>
      <c r="AC64" t="s">
        <v>406</v>
      </c>
      <c r="AD64" t="s">
        <v>405</v>
      </c>
      <c r="AE64">
        <v>64</v>
      </c>
      <c r="AF64">
        <v>63</v>
      </c>
      <c r="AH64" t="s">
        <v>389</v>
      </c>
      <c r="AJ64">
        <v>501</v>
      </c>
      <c r="AK64" t="s">
        <v>204</v>
      </c>
      <c r="AM64">
        <v>2162</v>
      </c>
      <c r="AN64">
        <v>1862</v>
      </c>
    </row>
    <row r="65" spans="2:40" x14ac:dyDescent="0.25">
      <c r="B65" t="s">
        <v>333</v>
      </c>
      <c r="C65" t="s">
        <v>334</v>
      </c>
      <c r="D65" t="s">
        <v>335</v>
      </c>
      <c r="H65" t="s">
        <v>404</v>
      </c>
      <c r="AC65" t="s">
        <v>406</v>
      </c>
      <c r="AD65" t="s">
        <v>405</v>
      </c>
      <c r="AE65">
        <v>64</v>
      </c>
      <c r="AF65">
        <v>64</v>
      </c>
      <c r="AH65" t="s">
        <v>389</v>
      </c>
      <c r="AJ65">
        <v>501</v>
      </c>
      <c r="AK65" t="s">
        <v>204</v>
      </c>
      <c r="AM65">
        <v>2371</v>
      </c>
      <c r="AN65">
        <v>1862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28515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42578125" bestFit="1" customWidth="1"/>
    <col min="30" max="30" width="43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408</v>
      </c>
      <c r="AC2" t="s">
        <v>410</v>
      </c>
      <c r="AD2" t="s">
        <v>409</v>
      </c>
      <c r="AE2">
        <v>64</v>
      </c>
      <c r="AF2">
        <v>1</v>
      </c>
      <c r="AH2" t="s">
        <v>396</v>
      </c>
      <c r="AJ2">
        <v>303</v>
      </c>
      <c r="AK2" t="s">
        <v>202</v>
      </c>
      <c r="AM2">
        <v>818</v>
      </c>
      <c r="AN2">
        <v>305</v>
      </c>
    </row>
    <row r="3" spans="1:40" x14ac:dyDescent="0.25">
      <c r="B3" t="s">
        <v>333</v>
      </c>
      <c r="C3" t="s">
        <v>334</v>
      </c>
      <c r="D3" t="s">
        <v>335</v>
      </c>
      <c r="H3" t="s">
        <v>408</v>
      </c>
      <c r="AC3" t="s">
        <v>410</v>
      </c>
      <c r="AD3" t="s">
        <v>409</v>
      </c>
      <c r="AE3">
        <v>64</v>
      </c>
      <c r="AF3">
        <v>2</v>
      </c>
      <c r="AH3" t="s">
        <v>360</v>
      </c>
      <c r="AJ3">
        <v>102</v>
      </c>
      <c r="AK3" t="s">
        <v>200</v>
      </c>
      <c r="AM3">
        <v>1027</v>
      </c>
      <c r="AN3">
        <v>305</v>
      </c>
    </row>
    <row r="4" spans="1:40" x14ac:dyDescent="0.25">
      <c r="B4" t="s">
        <v>333</v>
      </c>
      <c r="C4" t="s">
        <v>334</v>
      </c>
      <c r="D4" t="s">
        <v>335</v>
      </c>
      <c r="H4" t="s">
        <v>408</v>
      </c>
      <c r="AC4" t="s">
        <v>410</v>
      </c>
      <c r="AD4" t="s">
        <v>409</v>
      </c>
      <c r="AE4">
        <v>64</v>
      </c>
      <c r="AF4">
        <v>3</v>
      </c>
      <c r="AH4" t="s">
        <v>396</v>
      </c>
      <c r="AJ4">
        <v>303</v>
      </c>
      <c r="AK4" t="s">
        <v>202</v>
      </c>
      <c r="AM4">
        <v>1236</v>
      </c>
      <c r="AN4">
        <v>305</v>
      </c>
    </row>
    <row r="5" spans="1:40" x14ac:dyDescent="0.25">
      <c r="B5" t="s">
        <v>333</v>
      </c>
      <c r="C5" t="s">
        <v>334</v>
      </c>
      <c r="D5" t="s">
        <v>335</v>
      </c>
      <c r="H5" t="s">
        <v>408</v>
      </c>
      <c r="AC5" t="s">
        <v>410</v>
      </c>
      <c r="AD5" t="s">
        <v>409</v>
      </c>
      <c r="AE5">
        <v>64</v>
      </c>
      <c r="AF5">
        <v>4</v>
      </c>
      <c r="AH5" t="s">
        <v>358</v>
      </c>
      <c r="AJ5">
        <v>1001</v>
      </c>
      <c r="AK5" t="s">
        <v>209</v>
      </c>
      <c r="AM5">
        <v>1445</v>
      </c>
      <c r="AN5">
        <v>305</v>
      </c>
    </row>
    <row r="6" spans="1:40" x14ac:dyDescent="0.25">
      <c r="B6" t="s">
        <v>333</v>
      </c>
      <c r="C6" t="s">
        <v>334</v>
      </c>
      <c r="D6" t="s">
        <v>335</v>
      </c>
      <c r="H6" t="s">
        <v>408</v>
      </c>
      <c r="AC6" t="s">
        <v>410</v>
      </c>
      <c r="AD6" t="s">
        <v>409</v>
      </c>
      <c r="AE6">
        <v>64</v>
      </c>
      <c r="AF6">
        <v>5</v>
      </c>
      <c r="AH6" t="s">
        <v>358</v>
      </c>
      <c r="AJ6">
        <v>1001</v>
      </c>
      <c r="AK6" t="s">
        <v>209</v>
      </c>
      <c r="AM6">
        <v>1653</v>
      </c>
      <c r="AN6">
        <v>305</v>
      </c>
    </row>
    <row r="7" spans="1:40" x14ac:dyDescent="0.25">
      <c r="B7" t="s">
        <v>333</v>
      </c>
      <c r="C7" t="s">
        <v>334</v>
      </c>
      <c r="D7" t="s">
        <v>335</v>
      </c>
      <c r="H7" t="s">
        <v>408</v>
      </c>
      <c r="AC7" t="s">
        <v>410</v>
      </c>
      <c r="AD7" t="s">
        <v>409</v>
      </c>
      <c r="AE7">
        <v>64</v>
      </c>
      <c r="AF7">
        <v>6</v>
      </c>
      <c r="AH7" t="s">
        <v>358</v>
      </c>
      <c r="AJ7">
        <v>1001</v>
      </c>
      <c r="AK7" t="s">
        <v>209</v>
      </c>
      <c r="AM7">
        <v>1862</v>
      </c>
      <c r="AN7">
        <v>305</v>
      </c>
    </row>
    <row r="8" spans="1:40" x14ac:dyDescent="0.25">
      <c r="B8" t="s">
        <v>333</v>
      </c>
      <c r="C8" t="s">
        <v>334</v>
      </c>
      <c r="D8" t="s">
        <v>335</v>
      </c>
      <c r="H8" t="s">
        <v>408</v>
      </c>
      <c r="AC8" t="s">
        <v>410</v>
      </c>
      <c r="AD8" t="s">
        <v>409</v>
      </c>
      <c r="AE8">
        <v>64</v>
      </c>
      <c r="AF8">
        <v>7</v>
      </c>
      <c r="AH8" t="s">
        <v>358</v>
      </c>
      <c r="AJ8">
        <v>1001</v>
      </c>
      <c r="AK8" t="s">
        <v>209</v>
      </c>
      <c r="AM8">
        <v>2071</v>
      </c>
      <c r="AN8">
        <v>305</v>
      </c>
    </row>
    <row r="9" spans="1:40" x14ac:dyDescent="0.25">
      <c r="B9" t="s">
        <v>333</v>
      </c>
      <c r="C9" t="s">
        <v>334</v>
      </c>
      <c r="D9" t="s">
        <v>335</v>
      </c>
      <c r="H9" t="s">
        <v>408</v>
      </c>
      <c r="AC9" t="s">
        <v>410</v>
      </c>
      <c r="AD9" t="s">
        <v>409</v>
      </c>
      <c r="AE9">
        <v>64</v>
      </c>
      <c r="AF9">
        <v>8</v>
      </c>
      <c r="AH9" t="s">
        <v>358</v>
      </c>
      <c r="AJ9">
        <v>1001</v>
      </c>
      <c r="AK9" t="s">
        <v>209</v>
      </c>
      <c r="AM9">
        <v>2279</v>
      </c>
      <c r="AN9">
        <v>305</v>
      </c>
    </row>
    <row r="10" spans="1:40" x14ac:dyDescent="0.25">
      <c r="B10" t="s">
        <v>333</v>
      </c>
      <c r="C10" t="s">
        <v>334</v>
      </c>
      <c r="D10" t="s">
        <v>335</v>
      </c>
      <c r="H10" t="s">
        <v>408</v>
      </c>
      <c r="AC10" t="s">
        <v>410</v>
      </c>
      <c r="AD10" t="s">
        <v>409</v>
      </c>
      <c r="AE10">
        <v>64</v>
      </c>
      <c r="AF10">
        <v>9</v>
      </c>
      <c r="AH10" t="s">
        <v>360</v>
      </c>
      <c r="AJ10">
        <v>102</v>
      </c>
      <c r="AK10" t="s">
        <v>200</v>
      </c>
      <c r="AM10">
        <v>818</v>
      </c>
      <c r="AN10">
        <v>514</v>
      </c>
    </row>
    <row r="11" spans="1:40" x14ac:dyDescent="0.25">
      <c r="B11" t="s">
        <v>333</v>
      </c>
      <c r="C11" t="s">
        <v>334</v>
      </c>
      <c r="D11" t="s">
        <v>335</v>
      </c>
      <c r="H11" t="s">
        <v>408</v>
      </c>
      <c r="AC11" t="s">
        <v>410</v>
      </c>
      <c r="AD11" t="s">
        <v>409</v>
      </c>
      <c r="AE11">
        <v>64</v>
      </c>
      <c r="AF11">
        <v>10</v>
      </c>
      <c r="AH11" t="s">
        <v>389</v>
      </c>
      <c r="AJ11">
        <v>501</v>
      </c>
      <c r="AK11" t="s">
        <v>204</v>
      </c>
      <c r="AM11">
        <v>1027</v>
      </c>
      <c r="AN11">
        <v>514</v>
      </c>
    </row>
    <row r="12" spans="1:40" x14ac:dyDescent="0.25">
      <c r="B12" t="s">
        <v>333</v>
      </c>
      <c r="C12" t="s">
        <v>334</v>
      </c>
      <c r="D12" t="s">
        <v>335</v>
      </c>
      <c r="H12" t="s">
        <v>408</v>
      </c>
      <c r="AC12" t="s">
        <v>410</v>
      </c>
      <c r="AD12" t="s">
        <v>409</v>
      </c>
      <c r="AE12">
        <v>64</v>
      </c>
      <c r="AF12">
        <v>11</v>
      </c>
      <c r="AH12" t="s">
        <v>389</v>
      </c>
      <c r="AJ12">
        <v>501</v>
      </c>
      <c r="AK12" t="s">
        <v>204</v>
      </c>
      <c r="AM12">
        <v>1236</v>
      </c>
      <c r="AN12">
        <v>514</v>
      </c>
    </row>
    <row r="13" spans="1:40" x14ac:dyDescent="0.25">
      <c r="B13" t="s">
        <v>333</v>
      </c>
      <c r="C13" t="s">
        <v>334</v>
      </c>
      <c r="D13" t="s">
        <v>335</v>
      </c>
      <c r="H13" t="s">
        <v>408</v>
      </c>
      <c r="AC13" t="s">
        <v>410</v>
      </c>
      <c r="AD13" t="s">
        <v>409</v>
      </c>
      <c r="AE13">
        <v>64</v>
      </c>
      <c r="AF13">
        <v>12</v>
      </c>
      <c r="AH13" t="s">
        <v>358</v>
      </c>
      <c r="AJ13">
        <v>1001</v>
      </c>
      <c r="AK13" t="s">
        <v>209</v>
      </c>
      <c r="AM13">
        <v>1445</v>
      </c>
      <c r="AN13">
        <v>514</v>
      </c>
    </row>
    <row r="14" spans="1:40" x14ac:dyDescent="0.25">
      <c r="B14" t="s">
        <v>333</v>
      </c>
      <c r="C14" t="s">
        <v>334</v>
      </c>
      <c r="D14" t="s">
        <v>335</v>
      </c>
      <c r="H14" t="s">
        <v>408</v>
      </c>
      <c r="AC14" t="s">
        <v>410</v>
      </c>
      <c r="AD14" t="s">
        <v>409</v>
      </c>
      <c r="AE14">
        <v>64</v>
      </c>
      <c r="AF14">
        <v>13</v>
      </c>
      <c r="AH14" t="s">
        <v>358</v>
      </c>
      <c r="AJ14">
        <v>1001</v>
      </c>
      <c r="AK14" t="s">
        <v>209</v>
      </c>
      <c r="AM14">
        <v>1653</v>
      </c>
      <c r="AN14">
        <v>514</v>
      </c>
    </row>
    <row r="15" spans="1:40" x14ac:dyDescent="0.25">
      <c r="B15" t="s">
        <v>333</v>
      </c>
      <c r="C15" t="s">
        <v>334</v>
      </c>
      <c r="D15" t="s">
        <v>335</v>
      </c>
      <c r="H15" t="s">
        <v>408</v>
      </c>
      <c r="AC15" t="s">
        <v>410</v>
      </c>
      <c r="AD15" t="s">
        <v>409</v>
      </c>
      <c r="AE15">
        <v>64</v>
      </c>
      <c r="AF15">
        <v>14</v>
      </c>
      <c r="AH15" t="s">
        <v>358</v>
      </c>
      <c r="AJ15">
        <v>1001</v>
      </c>
      <c r="AK15" t="s">
        <v>209</v>
      </c>
      <c r="AM15">
        <v>1862</v>
      </c>
      <c r="AN15">
        <v>514</v>
      </c>
    </row>
    <row r="16" spans="1:40" x14ac:dyDescent="0.25">
      <c r="B16" t="s">
        <v>333</v>
      </c>
      <c r="C16" t="s">
        <v>334</v>
      </c>
      <c r="D16" t="s">
        <v>335</v>
      </c>
      <c r="H16" t="s">
        <v>408</v>
      </c>
      <c r="AC16" t="s">
        <v>410</v>
      </c>
      <c r="AD16" t="s">
        <v>409</v>
      </c>
      <c r="AE16">
        <v>64</v>
      </c>
      <c r="AF16">
        <v>15</v>
      </c>
      <c r="AH16" t="s">
        <v>358</v>
      </c>
      <c r="AJ16">
        <v>1001</v>
      </c>
      <c r="AK16" t="s">
        <v>209</v>
      </c>
      <c r="AM16">
        <v>2071</v>
      </c>
      <c r="AN16">
        <v>514</v>
      </c>
    </row>
    <row r="17" spans="2:40" x14ac:dyDescent="0.25">
      <c r="B17" t="s">
        <v>333</v>
      </c>
      <c r="C17" t="s">
        <v>334</v>
      </c>
      <c r="D17" t="s">
        <v>335</v>
      </c>
      <c r="H17" t="s">
        <v>408</v>
      </c>
      <c r="AC17" t="s">
        <v>410</v>
      </c>
      <c r="AD17" t="s">
        <v>409</v>
      </c>
      <c r="AE17">
        <v>64</v>
      </c>
      <c r="AF17">
        <v>16</v>
      </c>
      <c r="AH17" t="s">
        <v>360</v>
      </c>
      <c r="AJ17">
        <v>102</v>
      </c>
      <c r="AK17" t="s">
        <v>200</v>
      </c>
      <c r="AM17">
        <v>2279</v>
      </c>
      <c r="AN17">
        <v>514</v>
      </c>
    </row>
    <row r="18" spans="2:40" x14ac:dyDescent="0.25">
      <c r="B18" t="s">
        <v>333</v>
      </c>
      <c r="C18" t="s">
        <v>334</v>
      </c>
      <c r="D18" t="s">
        <v>335</v>
      </c>
      <c r="H18" t="s">
        <v>408</v>
      </c>
      <c r="AC18" t="s">
        <v>410</v>
      </c>
      <c r="AD18" t="s">
        <v>409</v>
      </c>
      <c r="AE18">
        <v>64</v>
      </c>
      <c r="AF18">
        <v>17</v>
      </c>
      <c r="AH18" t="s">
        <v>358</v>
      </c>
      <c r="AJ18">
        <v>1001</v>
      </c>
      <c r="AK18" t="s">
        <v>209</v>
      </c>
      <c r="AM18">
        <v>818</v>
      </c>
      <c r="AN18">
        <v>722</v>
      </c>
    </row>
    <row r="19" spans="2:40" x14ac:dyDescent="0.25">
      <c r="B19" t="s">
        <v>333</v>
      </c>
      <c r="C19" t="s">
        <v>334</v>
      </c>
      <c r="D19" t="s">
        <v>335</v>
      </c>
      <c r="H19" t="s">
        <v>408</v>
      </c>
      <c r="AC19" t="s">
        <v>410</v>
      </c>
      <c r="AD19" t="s">
        <v>409</v>
      </c>
      <c r="AE19">
        <v>64</v>
      </c>
      <c r="AF19">
        <v>18</v>
      </c>
      <c r="AH19" t="s">
        <v>389</v>
      </c>
      <c r="AJ19">
        <v>501</v>
      </c>
      <c r="AK19" t="s">
        <v>204</v>
      </c>
      <c r="AM19">
        <v>1027</v>
      </c>
      <c r="AN19">
        <v>722</v>
      </c>
    </row>
    <row r="20" spans="2:40" x14ac:dyDescent="0.25">
      <c r="B20" t="s">
        <v>333</v>
      </c>
      <c r="C20" t="s">
        <v>334</v>
      </c>
      <c r="D20" t="s">
        <v>335</v>
      </c>
      <c r="H20" t="s">
        <v>408</v>
      </c>
      <c r="AC20" t="s">
        <v>410</v>
      </c>
      <c r="AD20" t="s">
        <v>409</v>
      </c>
      <c r="AE20">
        <v>64</v>
      </c>
      <c r="AF20">
        <v>19</v>
      </c>
      <c r="AH20" t="s">
        <v>411</v>
      </c>
      <c r="AJ20">
        <v>703</v>
      </c>
      <c r="AK20" t="s">
        <v>206</v>
      </c>
      <c r="AM20">
        <v>1236</v>
      </c>
      <c r="AN20">
        <v>722</v>
      </c>
    </row>
    <row r="21" spans="2:40" x14ac:dyDescent="0.25">
      <c r="B21" t="s">
        <v>333</v>
      </c>
      <c r="C21" t="s">
        <v>334</v>
      </c>
      <c r="D21" t="s">
        <v>335</v>
      </c>
      <c r="H21" t="s">
        <v>408</v>
      </c>
      <c r="AC21" t="s">
        <v>410</v>
      </c>
      <c r="AD21" t="s">
        <v>409</v>
      </c>
      <c r="AE21">
        <v>64</v>
      </c>
      <c r="AF21">
        <v>20</v>
      </c>
      <c r="AH21" t="s">
        <v>390</v>
      </c>
      <c r="AJ21">
        <v>903</v>
      </c>
      <c r="AK21" t="s">
        <v>208</v>
      </c>
      <c r="AM21">
        <v>1445</v>
      </c>
      <c r="AN21">
        <v>722</v>
      </c>
    </row>
    <row r="22" spans="2:40" x14ac:dyDescent="0.25">
      <c r="B22" t="s">
        <v>333</v>
      </c>
      <c r="C22" t="s">
        <v>334</v>
      </c>
      <c r="D22" t="s">
        <v>335</v>
      </c>
      <c r="H22" t="s">
        <v>408</v>
      </c>
      <c r="AC22" t="s">
        <v>410</v>
      </c>
      <c r="AD22" t="s">
        <v>409</v>
      </c>
      <c r="AE22">
        <v>64</v>
      </c>
      <c r="AF22">
        <v>21</v>
      </c>
      <c r="AH22" t="s">
        <v>358</v>
      </c>
      <c r="AJ22">
        <v>1001</v>
      </c>
      <c r="AK22" t="s">
        <v>209</v>
      </c>
      <c r="AM22">
        <v>1653</v>
      </c>
      <c r="AN22">
        <v>722</v>
      </c>
    </row>
    <row r="23" spans="2:40" x14ac:dyDescent="0.25">
      <c r="B23" t="s">
        <v>333</v>
      </c>
      <c r="C23" t="s">
        <v>334</v>
      </c>
      <c r="D23" t="s">
        <v>335</v>
      </c>
      <c r="H23" t="s">
        <v>408</v>
      </c>
      <c r="AC23" t="s">
        <v>410</v>
      </c>
      <c r="AD23" t="s">
        <v>409</v>
      </c>
      <c r="AE23">
        <v>64</v>
      </c>
      <c r="AF23">
        <v>22</v>
      </c>
      <c r="AH23" t="s">
        <v>360</v>
      </c>
      <c r="AJ23">
        <v>102</v>
      </c>
      <c r="AK23" t="s">
        <v>200</v>
      </c>
      <c r="AM23">
        <v>1862</v>
      </c>
      <c r="AN23">
        <v>722</v>
      </c>
    </row>
    <row r="24" spans="2:40" x14ac:dyDescent="0.25">
      <c r="B24" t="s">
        <v>333</v>
      </c>
      <c r="C24" t="s">
        <v>334</v>
      </c>
      <c r="D24" t="s">
        <v>335</v>
      </c>
      <c r="H24" t="s">
        <v>408</v>
      </c>
      <c r="AC24" t="s">
        <v>410</v>
      </c>
      <c r="AD24" t="s">
        <v>409</v>
      </c>
      <c r="AE24">
        <v>64</v>
      </c>
      <c r="AF24">
        <v>23</v>
      </c>
      <c r="AH24" t="s">
        <v>360</v>
      </c>
      <c r="AJ24">
        <v>102</v>
      </c>
      <c r="AK24" t="s">
        <v>200</v>
      </c>
      <c r="AM24">
        <v>2071</v>
      </c>
      <c r="AN24">
        <v>722</v>
      </c>
    </row>
    <row r="25" spans="2:40" x14ac:dyDescent="0.25">
      <c r="B25" t="s">
        <v>333</v>
      </c>
      <c r="C25" t="s">
        <v>334</v>
      </c>
      <c r="D25" t="s">
        <v>335</v>
      </c>
      <c r="H25" t="s">
        <v>408</v>
      </c>
      <c r="AC25" t="s">
        <v>410</v>
      </c>
      <c r="AD25" t="s">
        <v>409</v>
      </c>
      <c r="AE25">
        <v>64</v>
      </c>
      <c r="AF25">
        <v>24</v>
      </c>
      <c r="AH25" t="s">
        <v>360</v>
      </c>
      <c r="AJ25">
        <v>102</v>
      </c>
      <c r="AK25" t="s">
        <v>200</v>
      </c>
      <c r="AM25">
        <v>2279</v>
      </c>
      <c r="AN25">
        <v>722</v>
      </c>
    </row>
    <row r="26" spans="2:40" x14ac:dyDescent="0.25">
      <c r="B26" t="s">
        <v>333</v>
      </c>
      <c r="C26" t="s">
        <v>334</v>
      </c>
      <c r="D26" t="s">
        <v>335</v>
      </c>
      <c r="H26" t="s">
        <v>408</v>
      </c>
      <c r="AC26" t="s">
        <v>410</v>
      </c>
      <c r="AD26" t="s">
        <v>409</v>
      </c>
      <c r="AE26">
        <v>64</v>
      </c>
      <c r="AF26">
        <v>25</v>
      </c>
      <c r="AH26" t="s">
        <v>389</v>
      </c>
      <c r="AJ26">
        <v>501</v>
      </c>
      <c r="AK26" t="s">
        <v>204</v>
      </c>
      <c r="AM26">
        <v>818</v>
      </c>
      <c r="AN26">
        <v>931</v>
      </c>
    </row>
    <row r="27" spans="2:40" x14ac:dyDescent="0.25">
      <c r="B27" t="s">
        <v>333</v>
      </c>
      <c r="C27" t="s">
        <v>334</v>
      </c>
      <c r="D27" t="s">
        <v>335</v>
      </c>
      <c r="H27" t="s">
        <v>408</v>
      </c>
      <c r="AC27" t="s">
        <v>410</v>
      </c>
      <c r="AD27" t="s">
        <v>409</v>
      </c>
      <c r="AE27">
        <v>64</v>
      </c>
      <c r="AF27">
        <v>26</v>
      </c>
      <c r="AH27" t="s">
        <v>389</v>
      </c>
      <c r="AJ27">
        <v>501</v>
      </c>
      <c r="AK27" t="s">
        <v>204</v>
      </c>
      <c r="AM27">
        <v>1027</v>
      </c>
      <c r="AN27">
        <v>931</v>
      </c>
    </row>
    <row r="28" spans="2:40" x14ac:dyDescent="0.25">
      <c r="B28" t="s">
        <v>333</v>
      </c>
      <c r="C28" t="s">
        <v>334</v>
      </c>
      <c r="D28" t="s">
        <v>335</v>
      </c>
      <c r="H28" t="s">
        <v>408</v>
      </c>
      <c r="AC28" t="s">
        <v>410</v>
      </c>
      <c r="AD28" t="s">
        <v>409</v>
      </c>
      <c r="AE28">
        <v>64</v>
      </c>
      <c r="AF28">
        <v>27</v>
      </c>
      <c r="AH28" t="s">
        <v>389</v>
      </c>
      <c r="AJ28">
        <v>501</v>
      </c>
      <c r="AK28" t="s">
        <v>204</v>
      </c>
      <c r="AM28">
        <v>1236</v>
      </c>
      <c r="AN28">
        <v>931</v>
      </c>
    </row>
    <row r="29" spans="2:40" x14ac:dyDescent="0.25">
      <c r="B29" t="s">
        <v>333</v>
      </c>
      <c r="C29" t="s">
        <v>334</v>
      </c>
      <c r="D29" t="s">
        <v>335</v>
      </c>
      <c r="H29" t="s">
        <v>408</v>
      </c>
      <c r="AC29" t="s">
        <v>410</v>
      </c>
      <c r="AD29" t="s">
        <v>409</v>
      </c>
      <c r="AE29">
        <v>64</v>
      </c>
      <c r="AF29">
        <v>28</v>
      </c>
      <c r="AH29" t="s">
        <v>389</v>
      </c>
      <c r="AJ29">
        <v>501</v>
      </c>
      <c r="AK29" t="s">
        <v>204</v>
      </c>
      <c r="AM29">
        <v>1445</v>
      </c>
      <c r="AN29">
        <v>931</v>
      </c>
    </row>
    <row r="30" spans="2:40" x14ac:dyDescent="0.25">
      <c r="B30" t="s">
        <v>333</v>
      </c>
      <c r="C30" t="s">
        <v>334</v>
      </c>
      <c r="D30" t="s">
        <v>335</v>
      </c>
      <c r="H30" t="s">
        <v>408</v>
      </c>
      <c r="AC30" t="s">
        <v>410</v>
      </c>
      <c r="AD30" t="s">
        <v>409</v>
      </c>
      <c r="AE30">
        <v>64</v>
      </c>
      <c r="AF30">
        <v>29</v>
      </c>
      <c r="AH30" t="s">
        <v>360</v>
      </c>
      <c r="AJ30">
        <v>102</v>
      </c>
      <c r="AK30" t="s">
        <v>200</v>
      </c>
      <c r="AM30">
        <v>1653</v>
      </c>
      <c r="AN30">
        <v>931</v>
      </c>
    </row>
    <row r="31" spans="2:40" x14ac:dyDescent="0.25">
      <c r="B31" t="s">
        <v>333</v>
      </c>
      <c r="C31" t="s">
        <v>334</v>
      </c>
      <c r="D31" t="s">
        <v>335</v>
      </c>
      <c r="H31" t="s">
        <v>408</v>
      </c>
      <c r="AC31" t="s">
        <v>410</v>
      </c>
      <c r="AD31" t="s">
        <v>409</v>
      </c>
      <c r="AE31">
        <v>64</v>
      </c>
      <c r="AF31">
        <v>30</v>
      </c>
      <c r="AH31" t="s">
        <v>360</v>
      </c>
      <c r="AJ31">
        <v>102</v>
      </c>
      <c r="AK31" t="s">
        <v>200</v>
      </c>
      <c r="AM31">
        <v>1862</v>
      </c>
      <c r="AN31">
        <v>931</v>
      </c>
    </row>
    <row r="32" spans="2:40" x14ac:dyDescent="0.25">
      <c r="B32" t="s">
        <v>333</v>
      </c>
      <c r="C32" t="s">
        <v>334</v>
      </c>
      <c r="D32" t="s">
        <v>335</v>
      </c>
      <c r="H32" t="s">
        <v>408</v>
      </c>
      <c r="AC32" t="s">
        <v>410</v>
      </c>
      <c r="AD32" t="s">
        <v>409</v>
      </c>
      <c r="AE32">
        <v>64</v>
      </c>
      <c r="AF32">
        <v>31</v>
      </c>
      <c r="AH32" t="s">
        <v>389</v>
      </c>
      <c r="AJ32">
        <v>501</v>
      </c>
      <c r="AK32" t="s">
        <v>204</v>
      </c>
      <c r="AM32">
        <v>2071</v>
      </c>
      <c r="AN32">
        <v>931</v>
      </c>
    </row>
    <row r="33" spans="2:40" x14ac:dyDescent="0.25">
      <c r="B33" t="s">
        <v>333</v>
      </c>
      <c r="C33" t="s">
        <v>334</v>
      </c>
      <c r="D33" t="s">
        <v>335</v>
      </c>
      <c r="H33" t="s">
        <v>408</v>
      </c>
      <c r="AC33" t="s">
        <v>410</v>
      </c>
      <c r="AD33" t="s">
        <v>409</v>
      </c>
      <c r="AE33">
        <v>64</v>
      </c>
      <c r="AF33">
        <v>32</v>
      </c>
      <c r="AH33" t="s">
        <v>360</v>
      </c>
      <c r="AJ33">
        <v>102</v>
      </c>
      <c r="AK33" t="s">
        <v>200</v>
      </c>
      <c r="AM33">
        <v>2279</v>
      </c>
      <c r="AN33">
        <v>931</v>
      </c>
    </row>
    <row r="34" spans="2:40" x14ac:dyDescent="0.25">
      <c r="B34" t="s">
        <v>333</v>
      </c>
      <c r="C34" t="s">
        <v>334</v>
      </c>
      <c r="D34" t="s">
        <v>335</v>
      </c>
      <c r="H34" t="s">
        <v>408</v>
      </c>
      <c r="AC34" t="s">
        <v>410</v>
      </c>
      <c r="AD34" t="s">
        <v>409</v>
      </c>
      <c r="AE34">
        <v>64</v>
      </c>
      <c r="AF34">
        <v>33</v>
      </c>
      <c r="AH34" t="s">
        <v>360</v>
      </c>
      <c r="AJ34">
        <v>102</v>
      </c>
      <c r="AK34" t="s">
        <v>200</v>
      </c>
      <c r="AM34">
        <v>818</v>
      </c>
      <c r="AN34">
        <v>1140</v>
      </c>
    </row>
    <row r="35" spans="2:40" x14ac:dyDescent="0.25">
      <c r="B35" t="s">
        <v>333</v>
      </c>
      <c r="C35" t="s">
        <v>334</v>
      </c>
      <c r="D35" t="s">
        <v>335</v>
      </c>
      <c r="H35" t="s">
        <v>408</v>
      </c>
      <c r="AC35" t="s">
        <v>410</v>
      </c>
      <c r="AD35" t="s">
        <v>409</v>
      </c>
      <c r="AE35">
        <v>64</v>
      </c>
      <c r="AF35">
        <v>34</v>
      </c>
      <c r="AH35" t="s">
        <v>389</v>
      </c>
      <c r="AJ35">
        <v>501</v>
      </c>
      <c r="AK35" t="s">
        <v>204</v>
      </c>
      <c r="AM35">
        <v>1027</v>
      </c>
      <c r="AN35">
        <v>1140</v>
      </c>
    </row>
    <row r="36" spans="2:40" x14ac:dyDescent="0.25">
      <c r="B36" t="s">
        <v>333</v>
      </c>
      <c r="C36" t="s">
        <v>334</v>
      </c>
      <c r="D36" t="s">
        <v>335</v>
      </c>
      <c r="H36" t="s">
        <v>408</v>
      </c>
      <c r="AC36" t="s">
        <v>410</v>
      </c>
      <c r="AD36" t="s">
        <v>409</v>
      </c>
      <c r="AE36">
        <v>64</v>
      </c>
      <c r="AF36">
        <v>35</v>
      </c>
      <c r="AH36" t="s">
        <v>390</v>
      </c>
      <c r="AJ36">
        <v>903</v>
      </c>
      <c r="AK36" t="s">
        <v>208</v>
      </c>
      <c r="AM36">
        <v>1236</v>
      </c>
      <c r="AN36">
        <v>1140</v>
      </c>
    </row>
    <row r="37" spans="2:40" x14ac:dyDescent="0.25">
      <c r="B37" t="s">
        <v>333</v>
      </c>
      <c r="C37" t="s">
        <v>334</v>
      </c>
      <c r="D37" t="s">
        <v>335</v>
      </c>
      <c r="H37" t="s">
        <v>408</v>
      </c>
      <c r="AC37" t="s">
        <v>410</v>
      </c>
      <c r="AD37" t="s">
        <v>409</v>
      </c>
      <c r="AE37">
        <v>64</v>
      </c>
      <c r="AF37">
        <v>36</v>
      </c>
      <c r="AH37" t="s">
        <v>389</v>
      </c>
      <c r="AJ37">
        <v>501</v>
      </c>
      <c r="AK37" t="s">
        <v>204</v>
      </c>
      <c r="AM37">
        <v>1445</v>
      </c>
      <c r="AN37">
        <v>1140</v>
      </c>
    </row>
    <row r="38" spans="2:40" x14ac:dyDescent="0.25">
      <c r="B38" t="s">
        <v>333</v>
      </c>
      <c r="C38" t="s">
        <v>334</v>
      </c>
      <c r="D38" t="s">
        <v>335</v>
      </c>
      <c r="H38" t="s">
        <v>408</v>
      </c>
      <c r="AC38" t="s">
        <v>410</v>
      </c>
      <c r="AD38" t="s">
        <v>409</v>
      </c>
      <c r="AE38">
        <v>64</v>
      </c>
      <c r="AF38">
        <v>37</v>
      </c>
      <c r="AH38" t="s">
        <v>389</v>
      </c>
      <c r="AJ38">
        <v>501</v>
      </c>
      <c r="AK38" t="s">
        <v>204</v>
      </c>
      <c r="AM38">
        <v>1653</v>
      </c>
      <c r="AN38">
        <v>1140</v>
      </c>
    </row>
    <row r="39" spans="2:40" x14ac:dyDescent="0.25">
      <c r="B39" t="s">
        <v>333</v>
      </c>
      <c r="C39" t="s">
        <v>334</v>
      </c>
      <c r="D39" t="s">
        <v>335</v>
      </c>
      <c r="H39" t="s">
        <v>408</v>
      </c>
      <c r="AC39" t="s">
        <v>410</v>
      </c>
      <c r="AD39" t="s">
        <v>409</v>
      </c>
      <c r="AE39">
        <v>64</v>
      </c>
      <c r="AF39">
        <v>38</v>
      </c>
      <c r="AH39" t="s">
        <v>389</v>
      </c>
      <c r="AJ39">
        <v>501</v>
      </c>
      <c r="AK39" t="s">
        <v>204</v>
      </c>
      <c r="AM39">
        <v>1862</v>
      </c>
      <c r="AN39">
        <v>1140</v>
      </c>
    </row>
    <row r="40" spans="2:40" x14ac:dyDescent="0.25">
      <c r="B40" t="s">
        <v>333</v>
      </c>
      <c r="C40" t="s">
        <v>334</v>
      </c>
      <c r="D40" t="s">
        <v>335</v>
      </c>
      <c r="H40" t="s">
        <v>408</v>
      </c>
      <c r="AC40" t="s">
        <v>410</v>
      </c>
      <c r="AD40" t="s">
        <v>409</v>
      </c>
      <c r="AE40">
        <v>64</v>
      </c>
      <c r="AF40">
        <v>39</v>
      </c>
      <c r="AH40" t="s">
        <v>389</v>
      </c>
      <c r="AJ40">
        <v>501</v>
      </c>
      <c r="AK40" t="s">
        <v>204</v>
      </c>
      <c r="AM40">
        <v>2071</v>
      </c>
      <c r="AN40">
        <v>1140</v>
      </c>
    </row>
    <row r="41" spans="2:40" x14ac:dyDescent="0.25">
      <c r="B41" t="s">
        <v>333</v>
      </c>
      <c r="C41" t="s">
        <v>334</v>
      </c>
      <c r="D41" t="s">
        <v>335</v>
      </c>
      <c r="H41" t="s">
        <v>408</v>
      </c>
      <c r="AC41" t="s">
        <v>410</v>
      </c>
      <c r="AD41" t="s">
        <v>409</v>
      </c>
      <c r="AE41">
        <v>64</v>
      </c>
      <c r="AF41">
        <v>40</v>
      </c>
      <c r="AH41" t="s">
        <v>360</v>
      </c>
      <c r="AJ41">
        <v>102</v>
      </c>
      <c r="AK41" t="s">
        <v>200</v>
      </c>
      <c r="AM41">
        <v>2279</v>
      </c>
      <c r="AN41">
        <v>1140</v>
      </c>
    </row>
    <row r="42" spans="2:40" x14ac:dyDescent="0.25">
      <c r="B42" t="s">
        <v>333</v>
      </c>
      <c r="C42" t="s">
        <v>334</v>
      </c>
      <c r="D42" t="s">
        <v>335</v>
      </c>
      <c r="H42" t="s">
        <v>408</v>
      </c>
      <c r="AC42" t="s">
        <v>410</v>
      </c>
      <c r="AD42" t="s">
        <v>409</v>
      </c>
      <c r="AE42">
        <v>64</v>
      </c>
      <c r="AF42">
        <v>41</v>
      </c>
      <c r="AH42" t="s">
        <v>389</v>
      </c>
      <c r="AJ42">
        <v>501</v>
      </c>
      <c r="AK42" t="s">
        <v>204</v>
      </c>
      <c r="AM42">
        <v>818</v>
      </c>
      <c r="AN42">
        <v>1349</v>
      </c>
    </row>
    <row r="43" spans="2:40" x14ac:dyDescent="0.25">
      <c r="B43" t="s">
        <v>333</v>
      </c>
      <c r="C43" t="s">
        <v>334</v>
      </c>
      <c r="D43" t="s">
        <v>335</v>
      </c>
      <c r="H43" t="s">
        <v>408</v>
      </c>
      <c r="AC43" t="s">
        <v>410</v>
      </c>
      <c r="AD43" t="s">
        <v>409</v>
      </c>
      <c r="AE43">
        <v>64</v>
      </c>
      <c r="AF43">
        <v>42</v>
      </c>
      <c r="AH43" t="s">
        <v>389</v>
      </c>
      <c r="AJ43">
        <v>501</v>
      </c>
      <c r="AK43" t="s">
        <v>204</v>
      </c>
      <c r="AM43">
        <v>1027</v>
      </c>
      <c r="AN43">
        <v>1349</v>
      </c>
    </row>
    <row r="44" spans="2:40" x14ac:dyDescent="0.25">
      <c r="B44" t="s">
        <v>333</v>
      </c>
      <c r="C44" t="s">
        <v>334</v>
      </c>
      <c r="D44" t="s">
        <v>335</v>
      </c>
      <c r="H44" t="s">
        <v>408</v>
      </c>
      <c r="AC44" t="s">
        <v>410</v>
      </c>
      <c r="AD44" t="s">
        <v>409</v>
      </c>
      <c r="AE44">
        <v>64</v>
      </c>
      <c r="AF44">
        <v>43</v>
      </c>
      <c r="AH44" t="s">
        <v>389</v>
      </c>
      <c r="AJ44">
        <v>501</v>
      </c>
      <c r="AK44" t="s">
        <v>204</v>
      </c>
      <c r="AM44">
        <v>1236</v>
      </c>
      <c r="AN44">
        <v>1349</v>
      </c>
    </row>
    <row r="45" spans="2:40" x14ac:dyDescent="0.25">
      <c r="B45" t="s">
        <v>333</v>
      </c>
      <c r="C45" t="s">
        <v>334</v>
      </c>
      <c r="D45" t="s">
        <v>335</v>
      </c>
      <c r="H45" t="s">
        <v>408</v>
      </c>
      <c r="AC45" t="s">
        <v>410</v>
      </c>
      <c r="AD45" t="s">
        <v>409</v>
      </c>
      <c r="AE45">
        <v>64</v>
      </c>
      <c r="AF45">
        <v>44</v>
      </c>
      <c r="AH45" t="s">
        <v>389</v>
      </c>
      <c r="AJ45">
        <v>501</v>
      </c>
      <c r="AK45" t="s">
        <v>204</v>
      </c>
      <c r="AM45">
        <v>1445</v>
      </c>
      <c r="AN45">
        <v>1349</v>
      </c>
    </row>
    <row r="46" spans="2:40" x14ac:dyDescent="0.25">
      <c r="B46" t="s">
        <v>333</v>
      </c>
      <c r="C46" t="s">
        <v>334</v>
      </c>
      <c r="D46" t="s">
        <v>335</v>
      </c>
      <c r="H46" t="s">
        <v>408</v>
      </c>
      <c r="AC46" t="s">
        <v>410</v>
      </c>
      <c r="AD46" t="s">
        <v>409</v>
      </c>
      <c r="AE46">
        <v>64</v>
      </c>
      <c r="AF46">
        <v>45</v>
      </c>
      <c r="AH46" t="s">
        <v>389</v>
      </c>
      <c r="AJ46">
        <v>501</v>
      </c>
      <c r="AK46" t="s">
        <v>204</v>
      </c>
      <c r="AM46">
        <v>1653</v>
      </c>
      <c r="AN46">
        <v>1349</v>
      </c>
    </row>
    <row r="47" spans="2:40" x14ac:dyDescent="0.25">
      <c r="B47" t="s">
        <v>333</v>
      </c>
      <c r="C47" t="s">
        <v>334</v>
      </c>
      <c r="D47" t="s">
        <v>335</v>
      </c>
      <c r="H47" t="s">
        <v>408</v>
      </c>
      <c r="AC47" t="s">
        <v>410</v>
      </c>
      <c r="AD47" t="s">
        <v>409</v>
      </c>
      <c r="AE47">
        <v>64</v>
      </c>
      <c r="AF47">
        <v>46</v>
      </c>
      <c r="AH47" t="s">
        <v>389</v>
      </c>
      <c r="AJ47">
        <v>501</v>
      </c>
      <c r="AK47" t="s">
        <v>204</v>
      </c>
      <c r="AM47">
        <v>1862</v>
      </c>
      <c r="AN47">
        <v>1349</v>
      </c>
    </row>
    <row r="48" spans="2:40" x14ac:dyDescent="0.25">
      <c r="B48" t="s">
        <v>333</v>
      </c>
      <c r="C48" t="s">
        <v>334</v>
      </c>
      <c r="D48" t="s">
        <v>335</v>
      </c>
      <c r="H48" t="s">
        <v>408</v>
      </c>
      <c r="AC48" t="s">
        <v>410</v>
      </c>
      <c r="AD48" t="s">
        <v>409</v>
      </c>
      <c r="AE48">
        <v>64</v>
      </c>
      <c r="AF48">
        <v>47</v>
      </c>
      <c r="AH48" t="s">
        <v>389</v>
      </c>
      <c r="AJ48">
        <v>501</v>
      </c>
      <c r="AK48" t="s">
        <v>204</v>
      </c>
      <c r="AM48">
        <v>2071</v>
      </c>
      <c r="AN48">
        <v>1349</v>
      </c>
    </row>
    <row r="49" spans="2:40" x14ac:dyDescent="0.25">
      <c r="B49" t="s">
        <v>333</v>
      </c>
      <c r="C49" t="s">
        <v>334</v>
      </c>
      <c r="D49" t="s">
        <v>335</v>
      </c>
      <c r="H49" t="s">
        <v>408</v>
      </c>
      <c r="AC49" t="s">
        <v>410</v>
      </c>
      <c r="AD49" t="s">
        <v>409</v>
      </c>
      <c r="AE49">
        <v>64</v>
      </c>
      <c r="AF49">
        <v>48</v>
      </c>
      <c r="AH49" t="s">
        <v>396</v>
      </c>
      <c r="AJ49">
        <v>303</v>
      </c>
      <c r="AK49" t="s">
        <v>202</v>
      </c>
      <c r="AM49">
        <v>2279</v>
      </c>
      <c r="AN49">
        <v>1349</v>
      </c>
    </row>
    <row r="50" spans="2:40" x14ac:dyDescent="0.25">
      <c r="B50" t="s">
        <v>333</v>
      </c>
      <c r="C50" t="s">
        <v>334</v>
      </c>
      <c r="D50" t="s">
        <v>335</v>
      </c>
      <c r="H50" t="s">
        <v>408</v>
      </c>
      <c r="AC50" t="s">
        <v>410</v>
      </c>
      <c r="AD50" t="s">
        <v>409</v>
      </c>
      <c r="AE50">
        <v>64</v>
      </c>
      <c r="AF50">
        <v>49</v>
      </c>
      <c r="AH50" t="s">
        <v>389</v>
      </c>
      <c r="AJ50">
        <v>501</v>
      </c>
      <c r="AK50" t="s">
        <v>204</v>
      </c>
      <c r="AM50">
        <v>818</v>
      </c>
      <c r="AN50">
        <v>1557</v>
      </c>
    </row>
    <row r="51" spans="2:40" x14ac:dyDescent="0.25">
      <c r="B51" t="s">
        <v>333</v>
      </c>
      <c r="C51" t="s">
        <v>334</v>
      </c>
      <c r="D51" t="s">
        <v>335</v>
      </c>
      <c r="H51" t="s">
        <v>408</v>
      </c>
      <c r="AC51" t="s">
        <v>410</v>
      </c>
      <c r="AD51" t="s">
        <v>409</v>
      </c>
      <c r="AE51">
        <v>64</v>
      </c>
      <c r="AF51">
        <v>50</v>
      </c>
      <c r="AH51" t="s">
        <v>360</v>
      </c>
      <c r="AJ51">
        <v>102</v>
      </c>
      <c r="AK51" t="s">
        <v>200</v>
      </c>
      <c r="AM51">
        <v>1027</v>
      </c>
      <c r="AN51">
        <v>1557</v>
      </c>
    </row>
    <row r="52" spans="2:40" x14ac:dyDescent="0.25">
      <c r="B52" t="s">
        <v>333</v>
      </c>
      <c r="C52" t="s">
        <v>334</v>
      </c>
      <c r="D52" t="s">
        <v>335</v>
      </c>
      <c r="H52" t="s">
        <v>408</v>
      </c>
      <c r="AC52" t="s">
        <v>410</v>
      </c>
      <c r="AD52" t="s">
        <v>409</v>
      </c>
      <c r="AE52">
        <v>64</v>
      </c>
      <c r="AF52">
        <v>51</v>
      </c>
      <c r="AH52" t="s">
        <v>389</v>
      </c>
      <c r="AJ52">
        <v>501</v>
      </c>
      <c r="AK52" t="s">
        <v>204</v>
      </c>
      <c r="AM52">
        <v>1236</v>
      </c>
      <c r="AN52">
        <v>1557</v>
      </c>
    </row>
    <row r="53" spans="2:40" x14ac:dyDescent="0.25">
      <c r="B53" t="s">
        <v>333</v>
      </c>
      <c r="C53" t="s">
        <v>334</v>
      </c>
      <c r="D53" t="s">
        <v>335</v>
      </c>
      <c r="H53" t="s">
        <v>408</v>
      </c>
      <c r="AC53" t="s">
        <v>410</v>
      </c>
      <c r="AD53" t="s">
        <v>409</v>
      </c>
      <c r="AE53">
        <v>64</v>
      </c>
      <c r="AF53">
        <v>52</v>
      </c>
      <c r="AH53" t="s">
        <v>389</v>
      </c>
      <c r="AJ53">
        <v>501</v>
      </c>
      <c r="AK53" t="s">
        <v>204</v>
      </c>
      <c r="AM53">
        <v>1445</v>
      </c>
      <c r="AN53">
        <v>1557</v>
      </c>
    </row>
    <row r="54" spans="2:40" x14ac:dyDescent="0.25">
      <c r="B54" t="s">
        <v>333</v>
      </c>
      <c r="C54" t="s">
        <v>334</v>
      </c>
      <c r="D54" t="s">
        <v>335</v>
      </c>
      <c r="H54" t="s">
        <v>408</v>
      </c>
      <c r="AC54" t="s">
        <v>410</v>
      </c>
      <c r="AD54" t="s">
        <v>409</v>
      </c>
      <c r="AE54">
        <v>64</v>
      </c>
      <c r="AF54">
        <v>53</v>
      </c>
      <c r="AH54" t="s">
        <v>390</v>
      </c>
      <c r="AJ54">
        <v>903</v>
      </c>
      <c r="AK54" t="s">
        <v>208</v>
      </c>
      <c r="AM54">
        <v>1653</v>
      </c>
      <c r="AN54">
        <v>1557</v>
      </c>
    </row>
    <row r="55" spans="2:40" x14ac:dyDescent="0.25">
      <c r="B55" t="s">
        <v>333</v>
      </c>
      <c r="C55" t="s">
        <v>334</v>
      </c>
      <c r="D55" t="s">
        <v>335</v>
      </c>
      <c r="H55" t="s">
        <v>408</v>
      </c>
      <c r="AC55" t="s">
        <v>410</v>
      </c>
      <c r="AD55" t="s">
        <v>409</v>
      </c>
      <c r="AE55">
        <v>64</v>
      </c>
      <c r="AF55">
        <v>54</v>
      </c>
      <c r="AH55" t="s">
        <v>390</v>
      </c>
      <c r="AJ55">
        <v>903</v>
      </c>
      <c r="AK55" t="s">
        <v>208</v>
      </c>
      <c r="AM55">
        <v>1862</v>
      </c>
      <c r="AN55">
        <v>1557</v>
      </c>
    </row>
    <row r="56" spans="2:40" x14ac:dyDescent="0.25">
      <c r="B56" t="s">
        <v>333</v>
      </c>
      <c r="C56" t="s">
        <v>334</v>
      </c>
      <c r="D56" t="s">
        <v>335</v>
      </c>
      <c r="H56" t="s">
        <v>408</v>
      </c>
      <c r="AC56" t="s">
        <v>410</v>
      </c>
      <c r="AD56" t="s">
        <v>409</v>
      </c>
      <c r="AE56">
        <v>64</v>
      </c>
      <c r="AF56">
        <v>55</v>
      </c>
      <c r="AH56" t="s">
        <v>389</v>
      </c>
      <c r="AJ56">
        <v>501</v>
      </c>
      <c r="AK56" t="s">
        <v>204</v>
      </c>
      <c r="AM56">
        <v>2071</v>
      </c>
      <c r="AN56">
        <v>1557</v>
      </c>
    </row>
    <row r="57" spans="2:40" x14ac:dyDescent="0.25">
      <c r="B57" t="s">
        <v>333</v>
      </c>
      <c r="C57" t="s">
        <v>334</v>
      </c>
      <c r="D57" t="s">
        <v>335</v>
      </c>
      <c r="H57" t="s">
        <v>408</v>
      </c>
      <c r="AC57" t="s">
        <v>410</v>
      </c>
      <c r="AD57" t="s">
        <v>409</v>
      </c>
      <c r="AE57">
        <v>64</v>
      </c>
      <c r="AF57">
        <v>56</v>
      </c>
      <c r="AH57" t="s">
        <v>389</v>
      </c>
      <c r="AJ57">
        <v>501</v>
      </c>
      <c r="AK57" t="s">
        <v>204</v>
      </c>
      <c r="AM57">
        <v>2279</v>
      </c>
      <c r="AN57">
        <v>1557</v>
      </c>
    </row>
    <row r="58" spans="2:40" x14ac:dyDescent="0.25">
      <c r="B58" t="s">
        <v>333</v>
      </c>
      <c r="C58" t="s">
        <v>334</v>
      </c>
      <c r="D58" t="s">
        <v>335</v>
      </c>
      <c r="H58" t="s">
        <v>408</v>
      </c>
      <c r="AC58" t="s">
        <v>410</v>
      </c>
      <c r="AD58" t="s">
        <v>409</v>
      </c>
      <c r="AE58">
        <v>64</v>
      </c>
      <c r="AF58">
        <v>57</v>
      </c>
      <c r="AH58" t="s">
        <v>360</v>
      </c>
      <c r="AJ58">
        <v>102</v>
      </c>
      <c r="AK58" t="s">
        <v>200</v>
      </c>
      <c r="AM58">
        <v>818</v>
      </c>
      <c r="AN58">
        <v>1766</v>
      </c>
    </row>
    <row r="59" spans="2:40" x14ac:dyDescent="0.25">
      <c r="B59" t="s">
        <v>333</v>
      </c>
      <c r="C59" t="s">
        <v>334</v>
      </c>
      <c r="D59" t="s">
        <v>335</v>
      </c>
      <c r="H59" t="s">
        <v>408</v>
      </c>
      <c r="AC59" t="s">
        <v>410</v>
      </c>
      <c r="AD59" t="s">
        <v>409</v>
      </c>
      <c r="AE59">
        <v>64</v>
      </c>
      <c r="AF59">
        <v>58</v>
      </c>
      <c r="AH59" t="s">
        <v>390</v>
      </c>
      <c r="AJ59">
        <v>903</v>
      </c>
      <c r="AK59" t="s">
        <v>208</v>
      </c>
      <c r="AM59">
        <v>1027</v>
      </c>
      <c r="AN59">
        <v>1766</v>
      </c>
    </row>
    <row r="60" spans="2:40" x14ac:dyDescent="0.25">
      <c r="B60" t="s">
        <v>333</v>
      </c>
      <c r="C60" t="s">
        <v>334</v>
      </c>
      <c r="D60" t="s">
        <v>335</v>
      </c>
      <c r="H60" t="s">
        <v>408</v>
      </c>
      <c r="AC60" t="s">
        <v>410</v>
      </c>
      <c r="AD60" t="s">
        <v>409</v>
      </c>
      <c r="AE60">
        <v>64</v>
      </c>
      <c r="AF60">
        <v>59</v>
      </c>
      <c r="AH60" t="s">
        <v>389</v>
      </c>
      <c r="AJ60">
        <v>501</v>
      </c>
      <c r="AK60" t="s">
        <v>204</v>
      </c>
      <c r="AM60">
        <v>1236</v>
      </c>
      <c r="AN60">
        <v>1766</v>
      </c>
    </row>
    <row r="61" spans="2:40" x14ac:dyDescent="0.25">
      <c r="B61" t="s">
        <v>333</v>
      </c>
      <c r="C61" t="s">
        <v>334</v>
      </c>
      <c r="D61" t="s">
        <v>335</v>
      </c>
      <c r="H61" t="s">
        <v>408</v>
      </c>
      <c r="AC61" t="s">
        <v>410</v>
      </c>
      <c r="AD61" t="s">
        <v>409</v>
      </c>
      <c r="AE61">
        <v>64</v>
      </c>
      <c r="AF61">
        <v>60</v>
      </c>
      <c r="AH61" t="s">
        <v>389</v>
      </c>
      <c r="AJ61">
        <v>501</v>
      </c>
      <c r="AK61" t="s">
        <v>204</v>
      </c>
      <c r="AM61">
        <v>1445</v>
      </c>
      <c r="AN61">
        <v>1766</v>
      </c>
    </row>
    <row r="62" spans="2:40" x14ac:dyDescent="0.25">
      <c r="B62" t="s">
        <v>333</v>
      </c>
      <c r="C62" t="s">
        <v>334</v>
      </c>
      <c r="D62" t="s">
        <v>335</v>
      </c>
      <c r="H62" t="s">
        <v>408</v>
      </c>
      <c r="AC62" t="s">
        <v>410</v>
      </c>
      <c r="AD62" t="s">
        <v>409</v>
      </c>
      <c r="AE62">
        <v>64</v>
      </c>
      <c r="AF62">
        <v>61</v>
      </c>
      <c r="AH62" t="s">
        <v>389</v>
      </c>
      <c r="AJ62">
        <v>501</v>
      </c>
      <c r="AK62" t="s">
        <v>204</v>
      </c>
      <c r="AM62">
        <v>1653</v>
      </c>
      <c r="AN62">
        <v>1766</v>
      </c>
    </row>
    <row r="63" spans="2:40" x14ac:dyDescent="0.25">
      <c r="B63" t="s">
        <v>333</v>
      </c>
      <c r="C63" t="s">
        <v>334</v>
      </c>
      <c r="D63" t="s">
        <v>335</v>
      </c>
      <c r="H63" t="s">
        <v>408</v>
      </c>
      <c r="AC63" t="s">
        <v>410</v>
      </c>
      <c r="AD63" t="s">
        <v>409</v>
      </c>
      <c r="AE63">
        <v>64</v>
      </c>
      <c r="AF63">
        <v>62</v>
      </c>
      <c r="AH63" t="s">
        <v>389</v>
      </c>
      <c r="AJ63">
        <v>501</v>
      </c>
      <c r="AK63" t="s">
        <v>204</v>
      </c>
      <c r="AM63">
        <v>1862</v>
      </c>
      <c r="AN63">
        <v>1766</v>
      </c>
    </row>
    <row r="64" spans="2:40" x14ac:dyDescent="0.25">
      <c r="B64" t="s">
        <v>333</v>
      </c>
      <c r="C64" t="s">
        <v>334</v>
      </c>
      <c r="D64" t="s">
        <v>335</v>
      </c>
      <c r="H64" t="s">
        <v>408</v>
      </c>
      <c r="AC64" t="s">
        <v>410</v>
      </c>
      <c r="AD64" t="s">
        <v>409</v>
      </c>
      <c r="AE64">
        <v>64</v>
      </c>
      <c r="AF64">
        <v>63</v>
      </c>
      <c r="AH64" t="s">
        <v>389</v>
      </c>
      <c r="AJ64">
        <v>501</v>
      </c>
      <c r="AK64" t="s">
        <v>204</v>
      </c>
      <c r="AM64">
        <v>2071</v>
      </c>
      <c r="AN64">
        <v>1766</v>
      </c>
    </row>
    <row r="65" spans="2:40" x14ac:dyDescent="0.25">
      <c r="B65" t="s">
        <v>333</v>
      </c>
      <c r="C65" t="s">
        <v>334</v>
      </c>
      <c r="D65" t="s">
        <v>335</v>
      </c>
      <c r="H65" t="s">
        <v>408</v>
      </c>
      <c r="AC65" t="s">
        <v>410</v>
      </c>
      <c r="AD65" t="s">
        <v>409</v>
      </c>
      <c r="AE65">
        <v>64</v>
      </c>
      <c r="AF65">
        <v>64</v>
      </c>
      <c r="AH65" t="s">
        <v>360</v>
      </c>
      <c r="AJ65">
        <v>102</v>
      </c>
      <c r="AK65" t="s">
        <v>200</v>
      </c>
      <c r="AM65">
        <v>2279</v>
      </c>
      <c r="AN65">
        <v>1766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140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28515625" bestFit="1" customWidth="1"/>
    <col min="30" max="30" width="43.42578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404</v>
      </c>
      <c r="AC2" t="s">
        <v>414</v>
      </c>
      <c r="AD2" t="s">
        <v>413</v>
      </c>
      <c r="AE2">
        <v>64</v>
      </c>
      <c r="AF2">
        <v>1</v>
      </c>
      <c r="AH2" t="s">
        <v>396</v>
      </c>
      <c r="AJ2">
        <v>303</v>
      </c>
      <c r="AK2" t="s">
        <v>202</v>
      </c>
      <c r="AM2">
        <v>884</v>
      </c>
      <c r="AN2">
        <v>351</v>
      </c>
    </row>
    <row r="3" spans="1:40" x14ac:dyDescent="0.25">
      <c r="B3" t="s">
        <v>333</v>
      </c>
      <c r="C3" t="s">
        <v>334</v>
      </c>
      <c r="D3" t="s">
        <v>335</v>
      </c>
      <c r="H3" t="s">
        <v>404</v>
      </c>
      <c r="AC3" t="s">
        <v>414</v>
      </c>
      <c r="AD3" t="s">
        <v>413</v>
      </c>
      <c r="AE3">
        <v>64</v>
      </c>
      <c r="AF3">
        <v>2</v>
      </c>
      <c r="AH3" t="s">
        <v>360</v>
      </c>
      <c r="AJ3">
        <v>102</v>
      </c>
      <c r="AK3" t="s">
        <v>200</v>
      </c>
      <c r="AM3">
        <v>1091</v>
      </c>
      <c r="AN3">
        <v>351</v>
      </c>
    </row>
    <row r="4" spans="1:40" x14ac:dyDescent="0.25">
      <c r="B4" t="s">
        <v>333</v>
      </c>
      <c r="C4" t="s">
        <v>334</v>
      </c>
      <c r="D4" t="s">
        <v>335</v>
      </c>
      <c r="H4" t="s">
        <v>404</v>
      </c>
      <c r="AC4" t="s">
        <v>414</v>
      </c>
      <c r="AD4" t="s">
        <v>413</v>
      </c>
      <c r="AE4">
        <v>64</v>
      </c>
      <c r="AF4">
        <v>3</v>
      </c>
      <c r="AH4" t="s">
        <v>396</v>
      </c>
      <c r="AJ4">
        <v>303</v>
      </c>
      <c r="AK4" t="s">
        <v>202</v>
      </c>
      <c r="AM4">
        <v>1297</v>
      </c>
      <c r="AN4">
        <v>351</v>
      </c>
    </row>
    <row r="5" spans="1:40" x14ac:dyDescent="0.25">
      <c r="B5" t="s">
        <v>333</v>
      </c>
      <c r="C5" t="s">
        <v>334</v>
      </c>
      <c r="D5" t="s">
        <v>335</v>
      </c>
      <c r="H5" t="s">
        <v>404</v>
      </c>
      <c r="AC5" t="s">
        <v>414</v>
      </c>
      <c r="AD5" t="s">
        <v>413</v>
      </c>
      <c r="AE5">
        <v>64</v>
      </c>
      <c r="AF5">
        <v>4</v>
      </c>
      <c r="AH5" t="s">
        <v>396</v>
      </c>
      <c r="AJ5">
        <v>303</v>
      </c>
      <c r="AK5" t="s">
        <v>202</v>
      </c>
      <c r="AM5">
        <v>1504</v>
      </c>
      <c r="AN5">
        <v>351</v>
      </c>
    </row>
    <row r="6" spans="1:40" x14ac:dyDescent="0.25">
      <c r="B6" t="s">
        <v>333</v>
      </c>
      <c r="C6" t="s">
        <v>334</v>
      </c>
      <c r="D6" t="s">
        <v>335</v>
      </c>
      <c r="H6" t="s">
        <v>404</v>
      </c>
      <c r="AC6" t="s">
        <v>414</v>
      </c>
      <c r="AD6" t="s">
        <v>413</v>
      </c>
      <c r="AE6">
        <v>64</v>
      </c>
      <c r="AF6">
        <v>5</v>
      </c>
      <c r="AH6" t="s">
        <v>360</v>
      </c>
      <c r="AJ6">
        <v>102</v>
      </c>
      <c r="AK6" t="s">
        <v>200</v>
      </c>
      <c r="AM6">
        <v>1711</v>
      </c>
      <c r="AN6">
        <v>351</v>
      </c>
    </row>
    <row r="7" spans="1:40" x14ac:dyDescent="0.25">
      <c r="B7" t="s">
        <v>333</v>
      </c>
      <c r="C7" t="s">
        <v>334</v>
      </c>
      <c r="D7" t="s">
        <v>335</v>
      </c>
      <c r="H7" t="s">
        <v>404</v>
      </c>
      <c r="AC7" t="s">
        <v>414</v>
      </c>
      <c r="AD7" t="s">
        <v>413</v>
      </c>
      <c r="AE7">
        <v>64</v>
      </c>
      <c r="AF7">
        <v>6</v>
      </c>
      <c r="AH7" t="s">
        <v>396</v>
      </c>
      <c r="AJ7">
        <v>303</v>
      </c>
      <c r="AK7" t="s">
        <v>202</v>
      </c>
      <c r="AM7">
        <v>1917</v>
      </c>
      <c r="AN7">
        <v>351</v>
      </c>
    </row>
    <row r="8" spans="1:40" x14ac:dyDescent="0.25">
      <c r="B8" t="s">
        <v>333</v>
      </c>
      <c r="C8" t="s">
        <v>334</v>
      </c>
      <c r="D8" t="s">
        <v>335</v>
      </c>
      <c r="H8" t="s">
        <v>404</v>
      </c>
      <c r="AC8" t="s">
        <v>414</v>
      </c>
      <c r="AD8" t="s">
        <v>413</v>
      </c>
      <c r="AE8">
        <v>64</v>
      </c>
      <c r="AF8">
        <v>7</v>
      </c>
      <c r="AH8" t="s">
        <v>396</v>
      </c>
      <c r="AJ8">
        <v>303</v>
      </c>
      <c r="AK8" t="s">
        <v>202</v>
      </c>
      <c r="AM8">
        <v>2124</v>
      </c>
      <c r="AN8">
        <v>351</v>
      </c>
    </row>
    <row r="9" spans="1:40" x14ac:dyDescent="0.25">
      <c r="B9" t="s">
        <v>333</v>
      </c>
      <c r="C9" t="s">
        <v>334</v>
      </c>
      <c r="D9" t="s">
        <v>335</v>
      </c>
      <c r="H9" t="s">
        <v>404</v>
      </c>
      <c r="AC9" t="s">
        <v>414</v>
      </c>
      <c r="AD9" t="s">
        <v>413</v>
      </c>
      <c r="AE9">
        <v>64</v>
      </c>
      <c r="AF9">
        <v>8</v>
      </c>
      <c r="AH9" t="s">
        <v>360</v>
      </c>
      <c r="AJ9">
        <v>102</v>
      </c>
      <c r="AK9" t="s">
        <v>200</v>
      </c>
      <c r="AM9">
        <v>2331</v>
      </c>
      <c r="AN9">
        <v>351</v>
      </c>
    </row>
    <row r="10" spans="1:40" x14ac:dyDescent="0.25">
      <c r="B10" t="s">
        <v>333</v>
      </c>
      <c r="C10" t="s">
        <v>334</v>
      </c>
      <c r="D10" t="s">
        <v>335</v>
      </c>
      <c r="H10" t="s">
        <v>404</v>
      </c>
      <c r="AC10" t="s">
        <v>414</v>
      </c>
      <c r="AD10" t="s">
        <v>413</v>
      </c>
      <c r="AE10">
        <v>64</v>
      </c>
      <c r="AF10">
        <v>9</v>
      </c>
      <c r="AH10" t="s">
        <v>360</v>
      </c>
      <c r="AJ10">
        <v>102</v>
      </c>
      <c r="AK10" t="s">
        <v>200</v>
      </c>
      <c r="AM10">
        <v>884</v>
      </c>
      <c r="AN10">
        <v>557</v>
      </c>
    </row>
    <row r="11" spans="1:40" x14ac:dyDescent="0.25">
      <c r="B11" t="s">
        <v>333</v>
      </c>
      <c r="C11" t="s">
        <v>334</v>
      </c>
      <c r="D11" t="s">
        <v>335</v>
      </c>
      <c r="H11" t="s">
        <v>404</v>
      </c>
      <c r="AC11" t="s">
        <v>414</v>
      </c>
      <c r="AD11" t="s">
        <v>413</v>
      </c>
      <c r="AE11">
        <v>64</v>
      </c>
      <c r="AF11">
        <v>10</v>
      </c>
      <c r="AH11" t="s">
        <v>390</v>
      </c>
      <c r="AJ11">
        <v>903</v>
      </c>
      <c r="AK11" t="s">
        <v>208</v>
      </c>
      <c r="AM11">
        <v>1091</v>
      </c>
      <c r="AN11">
        <v>557</v>
      </c>
    </row>
    <row r="12" spans="1:40" x14ac:dyDescent="0.25">
      <c r="B12" t="s">
        <v>333</v>
      </c>
      <c r="C12" t="s">
        <v>334</v>
      </c>
      <c r="D12" t="s">
        <v>335</v>
      </c>
      <c r="H12" t="s">
        <v>404</v>
      </c>
      <c r="AC12" t="s">
        <v>414</v>
      </c>
      <c r="AD12" t="s">
        <v>413</v>
      </c>
      <c r="AE12">
        <v>64</v>
      </c>
      <c r="AF12">
        <v>11</v>
      </c>
      <c r="AH12" t="s">
        <v>390</v>
      </c>
      <c r="AJ12">
        <v>903</v>
      </c>
      <c r="AK12" t="s">
        <v>208</v>
      </c>
      <c r="AM12">
        <v>1297</v>
      </c>
      <c r="AN12">
        <v>557</v>
      </c>
    </row>
    <row r="13" spans="1:40" x14ac:dyDescent="0.25">
      <c r="B13" t="s">
        <v>333</v>
      </c>
      <c r="C13" t="s">
        <v>334</v>
      </c>
      <c r="D13" t="s">
        <v>335</v>
      </c>
      <c r="H13" t="s">
        <v>404</v>
      </c>
      <c r="AC13" t="s">
        <v>414</v>
      </c>
      <c r="AD13" t="s">
        <v>413</v>
      </c>
      <c r="AE13">
        <v>64</v>
      </c>
      <c r="AF13">
        <v>12</v>
      </c>
      <c r="AH13" t="s">
        <v>389</v>
      </c>
      <c r="AJ13">
        <v>501</v>
      </c>
      <c r="AK13" t="s">
        <v>204</v>
      </c>
      <c r="AM13">
        <v>1504</v>
      </c>
      <c r="AN13">
        <v>557</v>
      </c>
    </row>
    <row r="14" spans="1:40" x14ac:dyDescent="0.25">
      <c r="B14" t="s">
        <v>333</v>
      </c>
      <c r="C14" t="s">
        <v>334</v>
      </c>
      <c r="D14" t="s">
        <v>335</v>
      </c>
      <c r="H14" t="s">
        <v>404</v>
      </c>
      <c r="AC14" t="s">
        <v>414</v>
      </c>
      <c r="AD14" t="s">
        <v>413</v>
      </c>
      <c r="AE14">
        <v>64</v>
      </c>
      <c r="AF14">
        <v>13</v>
      </c>
      <c r="AH14" t="s">
        <v>389</v>
      </c>
      <c r="AJ14">
        <v>501</v>
      </c>
      <c r="AK14" t="s">
        <v>204</v>
      </c>
      <c r="AM14">
        <v>1711</v>
      </c>
      <c r="AN14">
        <v>557</v>
      </c>
    </row>
    <row r="15" spans="1:40" x14ac:dyDescent="0.25">
      <c r="B15" t="s">
        <v>333</v>
      </c>
      <c r="C15" t="s">
        <v>334</v>
      </c>
      <c r="D15" t="s">
        <v>335</v>
      </c>
      <c r="H15" t="s">
        <v>404</v>
      </c>
      <c r="AC15" t="s">
        <v>414</v>
      </c>
      <c r="AD15" t="s">
        <v>413</v>
      </c>
      <c r="AE15">
        <v>64</v>
      </c>
      <c r="AF15">
        <v>14</v>
      </c>
      <c r="AH15" t="s">
        <v>389</v>
      </c>
      <c r="AJ15">
        <v>501</v>
      </c>
      <c r="AK15" t="s">
        <v>204</v>
      </c>
      <c r="AM15">
        <v>1917</v>
      </c>
      <c r="AN15">
        <v>557</v>
      </c>
    </row>
    <row r="16" spans="1:40" x14ac:dyDescent="0.25">
      <c r="B16" t="s">
        <v>333</v>
      </c>
      <c r="C16" t="s">
        <v>334</v>
      </c>
      <c r="D16" t="s">
        <v>335</v>
      </c>
      <c r="H16" t="s">
        <v>404</v>
      </c>
      <c r="AC16" t="s">
        <v>414</v>
      </c>
      <c r="AD16" t="s">
        <v>413</v>
      </c>
      <c r="AE16">
        <v>64</v>
      </c>
      <c r="AF16">
        <v>15</v>
      </c>
      <c r="AH16" t="s">
        <v>389</v>
      </c>
      <c r="AJ16">
        <v>501</v>
      </c>
      <c r="AK16" t="s">
        <v>204</v>
      </c>
      <c r="AM16">
        <v>2124</v>
      </c>
      <c r="AN16">
        <v>557</v>
      </c>
    </row>
    <row r="17" spans="2:40" x14ac:dyDescent="0.25">
      <c r="B17" t="s">
        <v>333</v>
      </c>
      <c r="C17" t="s">
        <v>334</v>
      </c>
      <c r="D17" t="s">
        <v>335</v>
      </c>
      <c r="H17" t="s">
        <v>404</v>
      </c>
      <c r="AC17" t="s">
        <v>414</v>
      </c>
      <c r="AD17" t="s">
        <v>413</v>
      </c>
      <c r="AE17">
        <v>64</v>
      </c>
      <c r="AF17">
        <v>16</v>
      </c>
      <c r="AH17" t="s">
        <v>389</v>
      </c>
      <c r="AJ17">
        <v>501</v>
      </c>
      <c r="AK17" t="s">
        <v>204</v>
      </c>
      <c r="AM17">
        <v>2331</v>
      </c>
      <c r="AN17">
        <v>557</v>
      </c>
    </row>
    <row r="18" spans="2:40" x14ac:dyDescent="0.25">
      <c r="B18" t="s">
        <v>333</v>
      </c>
      <c r="C18" t="s">
        <v>334</v>
      </c>
      <c r="D18" t="s">
        <v>335</v>
      </c>
      <c r="H18" t="s">
        <v>404</v>
      </c>
      <c r="AC18" t="s">
        <v>414</v>
      </c>
      <c r="AD18" t="s">
        <v>413</v>
      </c>
      <c r="AE18">
        <v>64</v>
      </c>
      <c r="AF18">
        <v>17</v>
      </c>
      <c r="AH18" t="s">
        <v>396</v>
      </c>
      <c r="AJ18">
        <v>303</v>
      </c>
      <c r="AK18" t="s">
        <v>202</v>
      </c>
      <c r="AM18">
        <v>884</v>
      </c>
      <c r="AN18">
        <v>764</v>
      </c>
    </row>
    <row r="19" spans="2:40" x14ac:dyDescent="0.25">
      <c r="B19" t="s">
        <v>333</v>
      </c>
      <c r="C19" t="s">
        <v>334</v>
      </c>
      <c r="D19" t="s">
        <v>335</v>
      </c>
      <c r="H19" t="s">
        <v>404</v>
      </c>
      <c r="AC19" t="s">
        <v>414</v>
      </c>
      <c r="AD19" t="s">
        <v>413</v>
      </c>
      <c r="AE19">
        <v>64</v>
      </c>
      <c r="AF19">
        <v>18</v>
      </c>
      <c r="AH19" t="s">
        <v>389</v>
      </c>
      <c r="AJ19">
        <v>501</v>
      </c>
      <c r="AK19" t="s">
        <v>204</v>
      </c>
      <c r="AM19">
        <v>1091</v>
      </c>
      <c r="AN19">
        <v>764</v>
      </c>
    </row>
    <row r="20" spans="2:40" x14ac:dyDescent="0.25">
      <c r="B20" t="s">
        <v>333</v>
      </c>
      <c r="C20" t="s">
        <v>334</v>
      </c>
      <c r="D20" t="s">
        <v>335</v>
      </c>
      <c r="H20" t="s">
        <v>404</v>
      </c>
      <c r="AC20" t="s">
        <v>414</v>
      </c>
      <c r="AD20" t="s">
        <v>413</v>
      </c>
      <c r="AE20">
        <v>64</v>
      </c>
      <c r="AF20">
        <v>19</v>
      </c>
      <c r="AH20" t="s">
        <v>389</v>
      </c>
      <c r="AJ20">
        <v>501</v>
      </c>
      <c r="AK20" t="s">
        <v>204</v>
      </c>
      <c r="AM20">
        <v>1297</v>
      </c>
      <c r="AN20">
        <v>764</v>
      </c>
    </row>
    <row r="21" spans="2:40" x14ac:dyDescent="0.25">
      <c r="B21" t="s">
        <v>333</v>
      </c>
      <c r="C21" t="s">
        <v>334</v>
      </c>
      <c r="D21" t="s">
        <v>335</v>
      </c>
      <c r="H21" t="s">
        <v>404</v>
      </c>
      <c r="AC21" t="s">
        <v>414</v>
      </c>
      <c r="AD21" t="s">
        <v>413</v>
      </c>
      <c r="AE21">
        <v>64</v>
      </c>
      <c r="AF21">
        <v>20</v>
      </c>
      <c r="AH21" t="s">
        <v>389</v>
      </c>
      <c r="AJ21">
        <v>501</v>
      </c>
      <c r="AK21" t="s">
        <v>204</v>
      </c>
      <c r="AM21">
        <v>1504</v>
      </c>
      <c r="AN21">
        <v>764</v>
      </c>
    </row>
    <row r="22" spans="2:40" x14ac:dyDescent="0.25">
      <c r="B22" t="s">
        <v>333</v>
      </c>
      <c r="C22" t="s">
        <v>334</v>
      </c>
      <c r="D22" t="s">
        <v>335</v>
      </c>
      <c r="H22" t="s">
        <v>404</v>
      </c>
      <c r="AC22" t="s">
        <v>414</v>
      </c>
      <c r="AD22" t="s">
        <v>413</v>
      </c>
      <c r="AE22">
        <v>64</v>
      </c>
      <c r="AF22">
        <v>21</v>
      </c>
      <c r="AH22" t="s">
        <v>390</v>
      </c>
      <c r="AJ22">
        <v>903</v>
      </c>
      <c r="AK22" t="s">
        <v>208</v>
      </c>
      <c r="AM22">
        <v>1711</v>
      </c>
      <c r="AN22">
        <v>764</v>
      </c>
    </row>
    <row r="23" spans="2:40" x14ac:dyDescent="0.25">
      <c r="B23" t="s">
        <v>333</v>
      </c>
      <c r="C23" t="s">
        <v>334</v>
      </c>
      <c r="D23" t="s">
        <v>335</v>
      </c>
      <c r="H23" t="s">
        <v>404</v>
      </c>
      <c r="AC23" t="s">
        <v>414</v>
      </c>
      <c r="AD23" t="s">
        <v>413</v>
      </c>
      <c r="AE23">
        <v>64</v>
      </c>
      <c r="AF23">
        <v>22</v>
      </c>
      <c r="AH23" t="s">
        <v>389</v>
      </c>
      <c r="AJ23">
        <v>501</v>
      </c>
      <c r="AK23" t="s">
        <v>204</v>
      </c>
      <c r="AM23">
        <v>1917</v>
      </c>
      <c r="AN23">
        <v>764</v>
      </c>
    </row>
    <row r="24" spans="2:40" x14ac:dyDescent="0.25">
      <c r="B24" t="s">
        <v>333</v>
      </c>
      <c r="C24" t="s">
        <v>334</v>
      </c>
      <c r="D24" t="s">
        <v>335</v>
      </c>
      <c r="H24" t="s">
        <v>404</v>
      </c>
      <c r="AC24" t="s">
        <v>414</v>
      </c>
      <c r="AD24" t="s">
        <v>413</v>
      </c>
      <c r="AE24">
        <v>64</v>
      </c>
      <c r="AF24">
        <v>23</v>
      </c>
      <c r="AH24" t="s">
        <v>389</v>
      </c>
      <c r="AJ24">
        <v>501</v>
      </c>
      <c r="AK24" t="s">
        <v>204</v>
      </c>
      <c r="AM24">
        <v>2124</v>
      </c>
      <c r="AN24">
        <v>764</v>
      </c>
    </row>
    <row r="25" spans="2:40" x14ac:dyDescent="0.25">
      <c r="B25" t="s">
        <v>333</v>
      </c>
      <c r="C25" t="s">
        <v>334</v>
      </c>
      <c r="D25" t="s">
        <v>335</v>
      </c>
      <c r="H25" t="s">
        <v>404</v>
      </c>
      <c r="AC25" t="s">
        <v>414</v>
      </c>
      <c r="AD25" t="s">
        <v>413</v>
      </c>
      <c r="AE25">
        <v>64</v>
      </c>
      <c r="AF25">
        <v>24</v>
      </c>
      <c r="AH25" t="s">
        <v>389</v>
      </c>
      <c r="AJ25">
        <v>501</v>
      </c>
      <c r="AK25" t="s">
        <v>204</v>
      </c>
      <c r="AM25">
        <v>2331</v>
      </c>
      <c r="AN25">
        <v>764</v>
      </c>
    </row>
    <row r="26" spans="2:40" x14ac:dyDescent="0.25">
      <c r="B26" t="s">
        <v>333</v>
      </c>
      <c r="C26" t="s">
        <v>334</v>
      </c>
      <c r="D26" t="s">
        <v>335</v>
      </c>
      <c r="H26" t="s">
        <v>404</v>
      </c>
      <c r="AC26" t="s">
        <v>414</v>
      </c>
      <c r="AD26" t="s">
        <v>413</v>
      </c>
      <c r="AE26">
        <v>64</v>
      </c>
      <c r="AF26">
        <v>25</v>
      </c>
      <c r="AH26" t="s">
        <v>360</v>
      </c>
      <c r="AJ26">
        <v>102</v>
      </c>
      <c r="AK26" t="s">
        <v>200</v>
      </c>
      <c r="AM26">
        <v>884</v>
      </c>
      <c r="AN26">
        <v>971</v>
      </c>
    </row>
    <row r="27" spans="2:40" x14ac:dyDescent="0.25">
      <c r="B27" t="s">
        <v>333</v>
      </c>
      <c r="C27" t="s">
        <v>334</v>
      </c>
      <c r="D27" t="s">
        <v>335</v>
      </c>
      <c r="H27" t="s">
        <v>404</v>
      </c>
      <c r="AC27" t="s">
        <v>414</v>
      </c>
      <c r="AD27" t="s">
        <v>413</v>
      </c>
      <c r="AE27">
        <v>64</v>
      </c>
      <c r="AF27">
        <v>26</v>
      </c>
      <c r="AH27" t="s">
        <v>390</v>
      </c>
      <c r="AJ27">
        <v>903</v>
      </c>
      <c r="AK27" t="s">
        <v>208</v>
      </c>
      <c r="AM27">
        <v>1091</v>
      </c>
      <c r="AN27">
        <v>971</v>
      </c>
    </row>
    <row r="28" spans="2:40" x14ac:dyDescent="0.25">
      <c r="B28" t="s">
        <v>333</v>
      </c>
      <c r="C28" t="s">
        <v>334</v>
      </c>
      <c r="D28" t="s">
        <v>335</v>
      </c>
      <c r="H28" t="s">
        <v>404</v>
      </c>
      <c r="AC28" t="s">
        <v>414</v>
      </c>
      <c r="AD28" t="s">
        <v>413</v>
      </c>
      <c r="AE28">
        <v>64</v>
      </c>
      <c r="AF28">
        <v>27</v>
      </c>
      <c r="AH28" t="s">
        <v>391</v>
      </c>
      <c r="AJ28">
        <v>604</v>
      </c>
      <c r="AK28" t="s">
        <v>205</v>
      </c>
      <c r="AM28">
        <v>1297</v>
      </c>
      <c r="AN28">
        <v>971</v>
      </c>
    </row>
    <row r="29" spans="2:40" x14ac:dyDescent="0.25">
      <c r="B29" t="s">
        <v>333</v>
      </c>
      <c r="C29" t="s">
        <v>334</v>
      </c>
      <c r="D29" t="s">
        <v>335</v>
      </c>
      <c r="H29" t="s">
        <v>404</v>
      </c>
      <c r="AC29" t="s">
        <v>414</v>
      </c>
      <c r="AD29" t="s">
        <v>413</v>
      </c>
      <c r="AE29">
        <v>64</v>
      </c>
      <c r="AF29">
        <v>28</v>
      </c>
      <c r="AH29" t="s">
        <v>390</v>
      </c>
      <c r="AJ29">
        <v>903</v>
      </c>
      <c r="AK29" t="s">
        <v>208</v>
      </c>
      <c r="AM29">
        <v>1504</v>
      </c>
      <c r="AN29">
        <v>971</v>
      </c>
    </row>
    <row r="30" spans="2:40" x14ac:dyDescent="0.25">
      <c r="B30" t="s">
        <v>333</v>
      </c>
      <c r="C30" t="s">
        <v>334</v>
      </c>
      <c r="D30" t="s">
        <v>335</v>
      </c>
      <c r="H30" t="s">
        <v>404</v>
      </c>
      <c r="AC30" t="s">
        <v>414</v>
      </c>
      <c r="AD30" t="s">
        <v>413</v>
      </c>
      <c r="AE30">
        <v>64</v>
      </c>
      <c r="AF30">
        <v>29</v>
      </c>
      <c r="AH30" t="s">
        <v>389</v>
      </c>
      <c r="AJ30">
        <v>501</v>
      </c>
      <c r="AK30" t="s">
        <v>204</v>
      </c>
      <c r="AM30">
        <v>1711</v>
      </c>
      <c r="AN30">
        <v>971</v>
      </c>
    </row>
    <row r="31" spans="2:40" x14ac:dyDescent="0.25">
      <c r="B31" t="s">
        <v>333</v>
      </c>
      <c r="C31" t="s">
        <v>334</v>
      </c>
      <c r="D31" t="s">
        <v>335</v>
      </c>
      <c r="H31" t="s">
        <v>404</v>
      </c>
      <c r="AC31" t="s">
        <v>414</v>
      </c>
      <c r="AD31" t="s">
        <v>413</v>
      </c>
      <c r="AE31">
        <v>64</v>
      </c>
      <c r="AF31">
        <v>30</v>
      </c>
      <c r="AH31" t="s">
        <v>389</v>
      </c>
      <c r="AJ31">
        <v>501</v>
      </c>
      <c r="AK31" t="s">
        <v>204</v>
      </c>
      <c r="AM31">
        <v>1917</v>
      </c>
      <c r="AN31">
        <v>971</v>
      </c>
    </row>
    <row r="32" spans="2:40" x14ac:dyDescent="0.25">
      <c r="B32" t="s">
        <v>333</v>
      </c>
      <c r="C32" t="s">
        <v>334</v>
      </c>
      <c r="D32" t="s">
        <v>335</v>
      </c>
      <c r="H32" t="s">
        <v>404</v>
      </c>
      <c r="AC32" t="s">
        <v>414</v>
      </c>
      <c r="AD32" t="s">
        <v>413</v>
      </c>
      <c r="AE32">
        <v>64</v>
      </c>
      <c r="AF32">
        <v>31</v>
      </c>
      <c r="AH32" t="s">
        <v>389</v>
      </c>
      <c r="AJ32">
        <v>501</v>
      </c>
      <c r="AK32" t="s">
        <v>204</v>
      </c>
      <c r="AM32">
        <v>2124</v>
      </c>
      <c r="AN32">
        <v>971</v>
      </c>
    </row>
    <row r="33" spans="2:40" x14ac:dyDescent="0.25">
      <c r="B33" t="s">
        <v>333</v>
      </c>
      <c r="C33" t="s">
        <v>334</v>
      </c>
      <c r="D33" t="s">
        <v>335</v>
      </c>
      <c r="H33" t="s">
        <v>404</v>
      </c>
      <c r="AC33" t="s">
        <v>414</v>
      </c>
      <c r="AD33" t="s">
        <v>413</v>
      </c>
      <c r="AE33">
        <v>64</v>
      </c>
      <c r="AF33">
        <v>32</v>
      </c>
      <c r="AH33" t="s">
        <v>360</v>
      </c>
      <c r="AJ33">
        <v>102</v>
      </c>
      <c r="AK33" t="s">
        <v>200</v>
      </c>
      <c r="AM33">
        <v>2331</v>
      </c>
      <c r="AN33">
        <v>971</v>
      </c>
    </row>
    <row r="34" spans="2:40" x14ac:dyDescent="0.25">
      <c r="B34" t="s">
        <v>333</v>
      </c>
      <c r="C34" t="s">
        <v>334</v>
      </c>
      <c r="D34" t="s">
        <v>335</v>
      </c>
      <c r="H34" t="s">
        <v>404</v>
      </c>
      <c r="AC34" t="s">
        <v>414</v>
      </c>
      <c r="AD34" t="s">
        <v>413</v>
      </c>
      <c r="AE34">
        <v>64</v>
      </c>
      <c r="AF34">
        <v>33</v>
      </c>
      <c r="AH34" t="s">
        <v>396</v>
      </c>
      <c r="AJ34">
        <v>303</v>
      </c>
      <c r="AK34" t="s">
        <v>202</v>
      </c>
      <c r="AM34">
        <v>884</v>
      </c>
      <c r="AN34">
        <v>1177</v>
      </c>
    </row>
    <row r="35" spans="2:40" x14ac:dyDescent="0.25">
      <c r="B35" t="s">
        <v>333</v>
      </c>
      <c r="C35" t="s">
        <v>334</v>
      </c>
      <c r="D35" t="s">
        <v>335</v>
      </c>
      <c r="H35" t="s">
        <v>404</v>
      </c>
      <c r="AC35" t="s">
        <v>414</v>
      </c>
      <c r="AD35" t="s">
        <v>413</v>
      </c>
      <c r="AE35">
        <v>64</v>
      </c>
      <c r="AF35">
        <v>34</v>
      </c>
      <c r="AH35" t="s">
        <v>360</v>
      </c>
      <c r="AJ35">
        <v>102</v>
      </c>
      <c r="AK35" t="s">
        <v>200</v>
      </c>
      <c r="AM35">
        <v>1091</v>
      </c>
      <c r="AN35">
        <v>1177</v>
      </c>
    </row>
    <row r="36" spans="2:40" x14ac:dyDescent="0.25">
      <c r="B36" t="s">
        <v>333</v>
      </c>
      <c r="C36" t="s">
        <v>334</v>
      </c>
      <c r="D36" t="s">
        <v>335</v>
      </c>
      <c r="H36" t="s">
        <v>404</v>
      </c>
      <c r="AC36" t="s">
        <v>414</v>
      </c>
      <c r="AD36" t="s">
        <v>413</v>
      </c>
      <c r="AE36">
        <v>64</v>
      </c>
      <c r="AF36">
        <v>35</v>
      </c>
      <c r="AH36" t="s">
        <v>360</v>
      </c>
      <c r="AJ36">
        <v>102</v>
      </c>
      <c r="AK36" t="s">
        <v>200</v>
      </c>
      <c r="AM36">
        <v>1297</v>
      </c>
      <c r="AN36">
        <v>1177</v>
      </c>
    </row>
    <row r="37" spans="2:40" x14ac:dyDescent="0.25">
      <c r="B37" t="s">
        <v>333</v>
      </c>
      <c r="C37" t="s">
        <v>334</v>
      </c>
      <c r="D37" t="s">
        <v>335</v>
      </c>
      <c r="H37" t="s">
        <v>404</v>
      </c>
      <c r="AC37" t="s">
        <v>414</v>
      </c>
      <c r="AD37" t="s">
        <v>413</v>
      </c>
      <c r="AE37">
        <v>64</v>
      </c>
      <c r="AF37">
        <v>36</v>
      </c>
      <c r="AH37" t="s">
        <v>360</v>
      </c>
      <c r="AJ37">
        <v>102</v>
      </c>
      <c r="AK37" t="s">
        <v>200</v>
      </c>
      <c r="AM37">
        <v>1504</v>
      </c>
      <c r="AN37">
        <v>1177</v>
      </c>
    </row>
    <row r="38" spans="2:40" x14ac:dyDescent="0.25">
      <c r="B38" t="s">
        <v>333</v>
      </c>
      <c r="C38" t="s">
        <v>334</v>
      </c>
      <c r="D38" t="s">
        <v>335</v>
      </c>
      <c r="H38" t="s">
        <v>404</v>
      </c>
      <c r="AC38" t="s">
        <v>414</v>
      </c>
      <c r="AD38" t="s">
        <v>413</v>
      </c>
      <c r="AE38">
        <v>64</v>
      </c>
      <c r="AF38">
        <v>37</v>
      </c>
      <c r="AH38" t="s">
        <v>390</v>
      </c>
      <c r="AJ38">
        <v>903</v>
      </c>
      <c r="AK38" t="s">
        <v>208</v>
      </c>
      <c r="AM38">
        <v>1711</v>
      </c>
      <c r="AN38">
        <v>1177</v>
      </c>
    </row>
    <row r="39" spans="2:40" x14ac:dyDescent="0.25">
      <c r="B39" t="s">
        <v>333</v>
      </c>
      <c r="C39" t="s">
        <v>334</v>
      </c>
      <c r="D39" t="s">
        <v>335</v>
      </c>
      <c r="H39" t="s">
        <v>404</v>
      </c>
      <c r="AC39" t="s">
        <v>414</v>
      </c>
      <c r="AD39" t="s">
        <v>413</v>
      </c>
      <c r="AE39">
        <v>64</v>
      </c>
      <c r="AF39">
        <v>38</v>
      </c>
      <c r="AH39" t="s">
        <v>389</v>
      </c>
      <c r="AJ39">
        <v>501</v>
      </c>
      <c r="AK39" t="s">
        <v>204</v>
      </c>
      <c r="AM39">
        <v>1917</v>
      </c>
      <c r="AN39">
        <v>1177</v>
      </c>
    </row>
    <row r="40" spans="2:40" x14ac:dyDescent="0.25">
      <c r="B40" t="s">
        <v>333</v>
      </c>
      <c r="C40" t="s">
        <v>334</v>
      </c>
      <c r="D40" t="s">
        <v>335</v>
      </c>
      <c r="H40" t="s">
        <v>404</v>
      </c>
      <c r="AC40" t="s">
        <v>414</v>
      </c>
      <c r="AD40" t="s">
        <v>413</v>
      </c>
      <c r="AE40">
        <v>64</v>
      </c>
      <c r="AF40">
        <v>39</v>
      </c>
      <c r="AH40" t="s">
        <v>389</v>
      </c>
      <c r="AJ40">
        <v>501</v>
      </c>
      <c r="AK40" t="s">
        <v>204</v>
      </c>
      <c r="AM40">
        <v>2124</v>
      </c>
      <c r="AN40">
        <v>1177</v>
      </c>
    </row>
    <row r="41" spans="2:40" x14ac:dyDescent="0.25">
      <c r="B41" t="s">
        <v>333</v>
      </c>
      <c r="C41" t="s">
        <v>334</v>
      </c>
      <c r="D41" t="s">
        <v>335</v>
      </c>
      <c r="H41" t="s">
        <v>404</v>
      </c>
      <c r="AC41" t="s">
        <v>414</v>
      </c>
      <c r="AD41" t="s">
        <v>413</v>
      </c>
      <c r="AE41">
        <v>64</v>
      </c>
      <c r="AF41">
        <v>40</v>
      </c>
      <c r="AH41" t="s">
        <v>389</v>
      </c>
      <c r="AJ41">
        <v>501</v>
      </c>
      <c r="AK41" t="s">
        <v>204</v>
      </c>
      <c r="AM41">
        <v>2331</v>
      </c>
      <c r="AN41">
        <v>1177</v>
      </c>
    </row>
    <row r="42" spans="2:40" x14ac:dyDescent="0.25">
      <c r="B42" t="s">
        <v>333</v>
      </c>
      <c r="C42" t="s">
        <v>334</v>
      </c>
      <c r="D42" t="s">
        <v>335</v>
      </c>
      <c r="H42" t="s">
        <v>404</v>
      </c>
      <c r="AC42" t="s">
        <v>414</v>
      </c>
      <c r="AD42" t="s">
        <v>413</v>
      </c>
      <c r="AE42">
        <v>64</v>
      </c>
      <c r="AF42">
        <v>41</v>
      </c>
      <c r="AH42" t="s">
        <v>396</v>
      </c>
      <c r="AJ42">
        <v>303</v>
      </c>
      <c r="AK42" t="s">
        <v>202</v>
      </c>
      <c r="AM42">
        <v>884</v>
      </c>
      <c r="AN42">
        <v>1384</v>
      </c>
    </row>
    <row r="43" spans="2:40" x14ac:dyDescent="0.25">
      <c r="B43" t="s">
        <v>333</v>
      </c>
      <c r="C43" t="s">
        <v>334</v>
      </c>
      <c r="D43" t="s">
        <v>335</v>
      </c>
      <c r="H43" t="s">
        <v>404</v>
      </c>
      <c r="AC43" t="s">
        <v>414</v>
      </c>
      <c r="AD43" t="s">
        <v>413</v>
      </c>
      <c r="AE43">
        <v>64</v>
      </c>
      <c r="AF43">
        <v>42</v>
      </c>
      <c r="AH43" t="s">
        <v>389</v>
      </c>
      <c r="AJ43">
        <v>501</v>
      </c>
      <c r="AK43" t="s">
        <v>204</v>
      </c>
      <c r="AM43">
        <v>1091</v>
      </c>
      <c r="AN43">
        <v>1384</v>
      </c>
    </row>
    <row r="44" spans="2:40" x14ac:dyDescent="0.25">
      <c r="B44" t="s">
        <v>333</v>
      </c>
      <c r="C44" t="s">
        <v>334</v>
      </c>
      <c r="D44" t="s">
        <v>335</v>
      </c>
      <c r="H44" t="s">
        <v>404</v>
      </c>
      <c r="AC44" t="s">
        <v>414</v>
      </c>
      <c r="AD44" t="s">
        <v>413</v>
      </c>
      <c r="AE44">
        <v>64</v>
      </c>
      <c r="AF44">
        <v>43</v>
      </c>
      <c r="AH44" t="s">
        <v>390</v>
      </c>
      <c r="AJ44">
        <v>903</v>
      </c>
      <c r="AK44" t="s">
        <v>208</v>
      </c>
      <c r="AM44">
        <v>1297</v>
      </c>
      <c r="AN44">
        <v>1384</v>
      </c>
    </row>
    <row r="45" spans="2:40" x14ac:dyDescent="0.25">
      <c r="B45" t="s">
        <v>333</v>
      </c>
      <c r="C45" t="s">
        <v>334</v>
      </c>
      <c r="D45" t="s">
        <v>335</v>
      </c>
      <c r="H45" t="s">
        <v>404</v>
      </c>
      <c r="AC45" t="s">
        <v>414</v>
      </c>
      <c r="AD45" t="s">
        <v>413</v>
      </c>
      <c r="AE45">
        <v>64</v>
      </c>
      <c r="AF45">
        <v>44</v>
      </c>
      <c r="AH45" t="s">
        <v>360</v>
      </c>
      <c r="AJ45">
        <v>102</v>
      </c>
      <c r="AK45" t="s">
        <v>200</v>
      </c>
      <c r="AM45">
        <v>1504</v>
      </c>
      <c r="AN45">
        <v>1384</v>
      </c>
    </row>
    <row r="46" spans="2:40" x14ac:dyDescent="0.25">
      <c r="B46" t="s">
        <v>333</v>
      </c>
      <c r="C46" t="s">
        <v>334</v>
      </c>
      <c r="D46" t="s">
        <v>335</v>
      </c>
      <c r="H46" t="s">
        <v>404</v>
      </c>
      <c r="AC46" t="s">
        <v>414</v>
      </c>
      <c r="AD46" t="s">
        <v>413</v>
      </c>
      <c r="AE46">
        <v>64</v>
      </c>
      <c r="AF46">
        <v>45</v>
      </c>
      <c r="AH46" t="s">
        <v>389</v>
      </c>
      <c r="AJ46">
        <v>501</v>
      </c>
      <c r="AK46" t="s">
        <v>204</v>
      </c>
      <c r="AM46">
        <v>1711</v>
      </c>
      <c r="AN46">
        <v>1384</v>
      </c>
    </row>
    <row r="47" spans="2:40" x14ac:dyDescent="0.25">
      <c r="B47" t="s">
        <v>333</v>
      </c>
      <c r="C47" t="s">
        <v>334</v>
      </c>
      <c r="D47" t="s">
        <v>335</v>
      </c>
      <c r="H47" t="s">
        <v>404</v>
      </c>
      <c r="AC47" t="s">
        <v>414</v>
      </c>
      <c r="AD47" t="s">
        <v>413</v>
      </c>
      <c r="AE47">
        <v>64</v>
      </c>
      <c r="AF47">
        <v>46</v>
      </c>
      <c r="AH47" t="s">
        <v>389</v>
      </c>
      <c r="AJ47">
        <v>501</v>
      </c>
      <c r="AK47" t="s">
        <v>204</v>
      </c>
      <c r="AM47">
        <v>1917</v>
      </c>
      <c r="AN47">
        <v>1384</v>
      </c>
    </row>
    <row r="48" spans="2:40" x14ac:dyDescent="0.25">
      <c r="B48" t="s">
        <v>333</v>
      </c>
      <c r="C48" t="s">
        <v>334</v>
      </c>
      <c r="D48" t="s">
        <v>335</v>
      </c>
      <c r="H48" t="s">
        <v>404</v>
      </c>
      <c r="AC48" t="s">
        <v>414</v>
      </c>
      <c r="AD48" t="s">
        <v>413</v>
      </c>
      <c r="AE48">
        <v>64</v>
      </c>
      <c r="AF48">
        <v>47</v>
      </c>
      <c r="AH48" t="s">
        <v>390</v>
      </c>
      <c r="AJ48">
        <v>903</v>
      </c>
      <c r="AK48" t="s">
        <v>208</v>
      </c>
      <c r="AM48">
        <v>2124</v>
      </c>
      <c r="AN48">
        <v>1384</v>
      </c>
    </row>
    <row r="49" spans="2:40" x14ac:dyDescent="0.25">
      <c r="B49" t="s">
        <v>333</v>
      </c>
      <c r="C49" t="s">
        <v>334</v>
      </c>
      <c r="D49" t="s">
        <v>335</v>
      </c>
      <c r="H49" t="s">
        <v>404</v>
      </c>
      <c r="AC49" t="s">
        <v>414</v>
      </c>
      <c r="AD49" t="s">
        <v>413</v>
      </c>
      <c r="AE49">
        <v>64</v>
      </c>
      <c r="AF49">
        <v>48</v>
      </c>
      <c r="AH49" t="s">
        <v>389</v>
      </c>
      <c r="AJ49">
        <v>501</v>
      </c>
      <c r="AK49" t="s">
        <v>204</v>
      </c>
      <c r="AM49">
        <v>2331</v>
      </c>
      <c r="AN49">
        <v>1384</v>
      </c>
    </row>
    <row r="50" spans="2:40" x14ac:dyDescent="0.25">
      <c r="B50" t="s">
        <v>333</v>
      </c>
      <c r="C50" t="s">
        <v>334</v>
      </c>
      <c r="D50" t="s">
        <v>335</v>
      </c>
      <c r="H50" t="s">
        <v>404</v>
      </c>
      <c r="AC50" t="s">
        <v>414</v>
      </c>
      <c r="AD50" t="s">
        <v>413</v>
      </c>
      <c r="AE50">
        <v>64</v>
      </c>
      <c r="AF50">
        <v>49</v>
      </c>
      <c r="AH50" t="s">
        <v>396</v>
      </c>
      <c r="AJ50">
        <v>303</v>
      </c>
      <c r="AK50" t="s">
        <v>202</v>
      </c>
      <c r="AM50">
        <v>884</v>
      </c>
      <c r="AN50">
        <v>1591</v>
      </c>
    </row>
    <row r="51" spans="2:40" x14ac:dyDescent="0.25">
      <c r="B51" t="s">
        <v>333</v>
      </c>
      <c r="C51" t="s">
        <v>334</v>
      </c>
      <c r="D51" t="s">
        <v>335</v>
      </c>
      <c r="H51" t="s">
        <v>404</v>
      </c>
      <c r="AC51" t="s">
        <v>414</v>
      </c>
      <c r="AD51" t="s">
        <v>413</v>
      </c>
      <c r="AE51">
        <v>64</v>
      </c>
      <c r="AF51">
        <v>50</v>
      </c>
      <c r="AH51" t="s">
        <v>389</v>
      </c>
      <c r="AJ51">
        <v>501</v>
      </c>
      <c r="AK51" t="s">
        <v>204</v>
      </c>
      <c r="AM51">
        <v>1091</v>
      </c>
      <c r="AN51">
        <v>1591</v>
      </c>
    </row>
    <row r="52" spans="2:40" x14ac:dyDescent="0.25">
      <c r="B52" t="s">
        <v>333</v>
      </c>
      <c r="C52" t="s">
        <v>334</v>
      </c>
      <c r="D52" t="s">
        <v>335</v>
      </c>
      <c r="H52" t="s">
        <v>404</v>
      </c>
      <c r="AC52" t="s">
        <v>414</v>
      </c>
      <c r="AD52" t="s">
        <v>413</v>
      </c>
      <c r="AE52">
        <v>64</v>
      </c>
      <c r="AF52">
        <v>51</v>
      </c>
      <c r="AH52" t="s">
        <v>389</v>
      </c>
      <c r="AJ52">
        <v>501</v>
      </c>
      <c r="AK52" t="s">
        <v>204</v>
      </c>
      <c r="AM52">
        <v>1297</v>
      </c>
      <c r="AN52">
        <v>1591</v>
      </c>
    </row>
    <row r="53" spans="2:40" x14ac:dyDescent="0.25">
      <c r="B53" t="s">
        <v>333</v>
      </c>
      <c r="C53" t="s">
        <v>334</v>
      </c>
      <c r="D53" t="s">
        <v>335</v>
      </c>
      <c r="H53" t="s">
        <v>404</v>
      </c>
      <c r="AC53" t="s">
        <v>414</v>
      </c>
      <c r="AD53" t="s">
        <v>413</v>
      </c>
      <c r="AE53">
        <v>64</v>
      </c>
      <c r="AF53">
        <v>52</v>
      </c>
      <c r="AH53" t="s">
        <v>389</v>
      </c>
      <c r="AJ53">
        <v>501</v>
      </c>
      <c r="AK53" t="s">
        <v>204</v>
      </c>
      <c r="AM53">
        <v>1504</v>
      </c>
      <c r="AN53">
        <v>1591</v>
      </c>
    </row>
    <row r="54" spans="2:40" x14ac:dyDescent="0.25">
      <c r="B54" t="s">
        <v>333</v>
      </c>
      <c r="C54" t="s">
        <v>334</v>
      </c>
      <c r="D54" t="s">
        <v>335</v>
      </c>
      <c r="H54" t="s">
        <v>404</v>
      </c>
      <c r="AC54" t="s">
        <v>414</v>
      </c>
      <c r="AD54" t="s">
        <v>413</v>
      </c>
      <c r="AE54">
        <v>64</v>
      </c>
      <c r="AF54">
        <v>53</v>
      </c>
      <c r="AH54" t="s">
        <v>389</v>
      </c>
      <c r="AJ54">
        <v>501</v>
      </c>
      <c r="AK54" t="s">
        <v>204</v>
      </c>
      <c r="AM54">
        <v>1711</v>
      </c>
      <c r="AN54">
        <v>1591</v>
      </c>
    </row>
    <row r="55" spans="2:40" x14ac:dyDescent="0.25">
      <c r="B55" t="s">
        <v>333</v>
      </c>
      <c r="C55" t="s">
        <v>334</v>
      </c>
      <c r="D55" t="s">
        <v>335</v>
      </c>
      <c r="H55" t="s">
        <v>404</v>
      </c>
      <c r="AC55" t="s">
        <v>414</v>
      </c>
      <c r="AD55" t="s">
        <v>413</v>
      </c>
      <c r="AE55">
        <v>64</v>
      </c>
      <c r="AF55">
        <v>54</v>
      </c>
      <c r="AH55" t="s">
        <v>390</v>
      </c>
      <c r="AJ55">
        <v>903</v>
      </c>
      <c r="AK55" t="s">
        <v>208</v>
      </c>
      <c r="AM55">
        <v>1917</v>
      </c>
      <c r="AN55">
        <v>1591</v>
      </c>
    </row>
    <row r="56" spans="2:40" x14ac:dyDescent="0.25">
      <c r="B56" t="s">
        <v>333</v>
      </c>
      <c r="C56" t="s">
        <v>334</v>
      </c>
      <c r="D56" t="s">
        <v>335</v>
      </c>
      <c r="H56" t="s">
        <v>404</v>
      </c>
      <c r="AC56" t="s">
        <v>414</v>
      </c>
      <c r="AD56" t="s">
        <v>413</v>
      </c>
      <c r="AE56">
        <v>64</v>
      </c>
      <c r="AF56">
        <v>55</v>
      </c>
      <c r="AH56" t="s">
        <v>389</v>
      </c>
      <c r="AJ56">
        <v>501</v>
      </c>
      <c r="AK56" t="s">
        <v>204</v>
      </c>
      <c r="AM56">
        <v>2124</v>
      </c>
      <c r="AN56">
        <v>1591</v>
      </c>
    </row>
    <row r="57" spans="2:40" x14ac:dyDescent="0.25">
      <c r="B57" t="s">
        <v>333</v>
      </c>
      <c r="C57" t="s">
        <v>334</v>
      </c>
      <c r="D57" t="s">
        <v>335</v>
      </c>
      <c r="H57" t="s">
        <v>404</v>
      </c>
      <c r="AC57" t="s">
        <v>414</v>
      </c>
      <c r="AD57" t="s">
        <v>413</v>
      </c>
      <c r="AE57">
        <v>64</v>
      </c>
      <c r="AF57">
        <v>56</v>
      </c>
      <c r="AH57" t="s">
        <v>389</v>
      </c>
      <c r="AJ57">
        <v>501</v>
      </c>
      <c r="AK57" t="s">
        <v>204</v>
      </c>
      <c r="AM57">
        <v>2331</v>
      </c>
      <c r="AN57">
        <v>1591</v>
      </c>
    </row>
    <row r="58" spans="2:40" x14ac:dyDescent="0.25">
      <c r="B58" t="s">
        <v>333</v>
      </c>
      <c r="C58" t="s">
        <v>334</v>
      </c>
      <c r="D58" t="s">
        <v>335</v>
      </c>
      <c r="H58" t="s">
        <v>404</v>
      </c>
      <c r="AC58" t="s">
        <v>414</v>
      </c>
      <c r="AD58" t="s">
        <v>413</v>
      </c>
      <c r="AE58">
        <v>64</v>
      </c>
      <c r="AF58">
        <v>57</v>
      </c>
      <c r="AH58" t="s">
        <v>396</v>
      </c>
      <c r="AJ58">
        <v>303</v>
      </c>
      <c r="AK58" t="s">
        <v>202</v>
      </c>
      <c r="AM58">
        <v>884</v>
      </c>
      <c r="AN58">
        <v>1797</v>
      </c>
    </row>
    <row r="59" spans="2:40" x14ac:dyDescent="0.25">
      <c r="B59" t="s">
        <v>333</v>
      </c>
      <c r="C59" t="s">
        <v>334</v>
      </c>
      <c r="D59" t="s">
        <v>335</v>
      </c>
      <c r="H59" t="s">
        <v>404</v>
      </c>
      <c r="AC59" t="s">
        <v>414</v>
      </c>
      <c r="AD59" t="s">
        <v>413</v>
      </c>
      <c r="AE59">
        <v>64</v>
      </c>
      <c r="AF59">
        <v>58</v>
      </c>
      <c r="AH59" t="s">
        <v>396</v>
      </c>
      <c r="AJ59">
        <v>303</v>
      </c>
      <c r="AK59" t="s">
        <v>202</v>
      </c>
      <c r="AM59">
        <v>1091</v>
      </c>
      <c r="AN59">
        <v>1797</v>
      </c>
    </row>
    <row r="60" spans="2:40" x14ac:dyDescent="0.25">
      <c r="B60" t="s">
        <v>333</v>
      </c>
      <c r="C60" t="s">
        <v>334</v>
      </c>
      <c r="D60" t="s">
        <v>335</v>
      </c>
      <c r="H60" t="s">
        <v>404</v>
      </c>
      <c r="AC60" t="s">
        <v>414</v>
      </c>
      <c r="AD60" t="s">
        <v>413</v>
      </c>
      <c r="AE60">
        <v>64</v>
      </c>
      <c r="AF60">
        <v>59</v>
      </c>
      <c r="AH60" t="s">
        <v>396</v>
      </c>
      <c r="AJ60">
        <v>303</v>
      </c>
      <c r="AK60" t="s">
        <v>202</v>
      </c>
      <c r="AM60">
        <v>1297</v>
      </c>
      <c r="AN60">
        <v>1797</v>
      </c>
    </row>
    <row r="61" spans="2:40" x14ac:dyDescent="0.25">
      <c r="B61" t="s">
        <v>333</v>
      </c>
      <c r="C61" t="s">
        <v>334</v>
      </c>
      <c r="D61" t="s">
        <v>335</v>
      </c>
      <c r="H61" t="s">
        <v>404</v>
      </c>
      <c r="AC61" t="s">
        <v>414</v>
      </c>
      <c r="AD61" t="s">
        <v>413</v>
      </c>
      <c r="AE61">
        <v>64</v>
      </c>
      <c r="AF61">
        <v>60</v>
      </c>
      <c r="AH61" t="s">
        <v>396</v>
      </c>
      <c r="AJ61">
        <v>303</v>
      </c>
      <c r="AK61" t="s">
        <v>202</v>
      </c>
      <c r="AM61">
        <v>1504</v>
      </c>
      <c r="AN61">
        <v>1797</v>
      </c>
    </row>
    <row r="62" spans="2:40" x14ac:dyDescent="0.25">
      <c r="B62" t="s">
        <v>333</v>
      </c>
      <c r="C62" t="s">
        <v>334</v>
      </c>
      <c r="D62" t="s">
        <v>335</v>
      </c>
      <c r="H62" t="s">
        <v>404</v>
      </c>
      <c r="AC62" t="s">
        <v>414</v>
      </c>
      <c r="AD62" t="s">
        <v>413</v>
      </c>
      <c r="AE62">
        <v>64</v>
      </c>
      <c r="AF62">
        <v>61</v>
      </c>
      <c r="AH62" t="s">
        <v>396</v>
      </c>
      <c r="AJ62">
        <v>303</v>
      </c>
      <c r="AK62" t="s">
        <v>202</v>
      </c>
      <c r="AM62">
        <v>1711</v>
      </c>
      <c r="AN62">
        <v>1797</v>
      </c>
    </row>
    <row r="63" spans="2:40" x14ac:dyDescent="0.25">
      <c r="B63" t="s">
        <v>333</v>
      </c>
      <c r="C63" t="s">
        <v>334</v>
      </c>
      <c r="D63" t="s">
        <v>335</v>
      </c>
      <c r="H63" t="s">
        <v>404</v>
      </c>
      <c r="AC63" t="s">
        <v>414</v>
      </c>
      <c r="AD63" t="s">
        <v>413</v>
      </c>
      <c r="AE63">
        <v>64</v>
      </c>
      <c r="AF63">
        <v>62</v>
      </c>
      <c r="AH63" t="s">
        <v>389</v>
      </c>
      <c r="AJ63">
        <v>501</v>
      </c>
      <c r="AK63" t="s">
        <v>204</v>
      </c>
      <c r="AM63">
        <v>1917</v>
      </c>
      <c r="AN63">
        <v>1797</v>
      </c>
    </row>
    <row r="64" spans="2:40" x14ac:dyDescent="0.25">
      <c r="B64" t="s">
        <v>333</v>
      </c>
      <c r="C64" t="s">
        <v>334</v>
      </c>
      <c r="D64" t="s">
        <v>335</v>
      </c>
      <c r="H64" t="s">
        <v>404</v>
      </c>
      <c r="AC64" t="s">
        <v>414</v>
      </c>
      <c r="AD64" t="s">
        <v>413</v>
      </c>
      <c r="AE64">
        <v>64</v>
      </c>
      <c r="AF64">
        <v>63</v>
      </c>
      <c r="AH64" t="s">
        <v>396</v>
      </c>
      <c r="AJ64">
        <v>303</v>
      </c>
      <c r="AK64" t="s">
        <v>202</v>
      </c>
      <c r="AM64">
        <v>2124</v>
      </c>
      <c r="AN64">
        <v>1797</v>
      </c>
    </row>
    <row r="65" spans="2:40" x14ac:dyDescent="0.25">
      <c r="B65" t="s">
        <v>333</v>
      </c>
      <c r="C65" t="s">
        <v>334</v>
      </c>
      <c r="D65" t="s">
        <v>335</v>
      </c>
      <c r="H65" t="s">
        <v>404</v>
      </c>
      <c r="AC65" t="s">
        <v>414</v>
      </c>
      <c r="AD65" t="s">
        <v>413</v>
      </c>
      <c r="AE65">
        <v>64</v>
      </c>
      <c r="AF65">
        <v>64</v>
      </c>
      <c r="AH65" t="s">
        <v>396</v>
      </c>
      <c r="AJ65">
        <v>303</v>
      </c>
      <c r="AK65" t="s">
        <v>202</v>
      </c>
      <c r="AM65">
        <v>2331</v>
      </c>
      <c r="AN65">
        <v>1797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28515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42578125" bestFit="1" customWidth="1"/>
    <col min="30" max="30" width="43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417</v>
      </c>
      <c r="AC2" t="s">
        <v>419</v>
      </c>
      <c r="AD2" t="s">
        <v>418</v>
      </c>
      <c r="AE2">
        <v>64</v>
      </c>
      <c r="AF2">
        <v>1</v>
      </c>
      <c r="AH2" t="s">
        <v>361</v>
      </c>
      <c r="AJ2">
        <v>109</v>
      </c>
      <c r="AK2" t="s">
        <v>200</v>
      </c>
      <c r="AM2">
        <v>765</v>
      </c>
      <c r="AN2">
        <v>330</v>
      </c>
    </row>
    <row r="3" spans="1:40" x14ac:dyDescent="0.25">
      <c r="B3" t="s">
        <v>333</v>
      </c>
      <c r="C3" t="s">
        <v>334</v>
      </c>
      <c r="D3" t="s">
        <v>335</v>
      </c>
      <c r="H3" t="s">
        <v>417</v>
      </c>
      <c r="AC3" t="s">
        <v>419</v>
      </c>
      <c r="AD3" t="s">
        <v>418</v>
      </c>
      <c r="AE3">
        <v>64</v>
      </c>
      <c r="AF3">
        <v>2</v>
      </c>
      <c r="AH3" t="s">
        <v>360</v>
      </c>
      <c r="AJ3">
        <v>102</v>
      </c>
      <c r="AK3" t="s">
        <v>200</v>
      </c>
      <c r="AM3">
        <v>972</v>
      </c>
      <c r="AN3">
        <v>330</v>
      </c>
    </row>
    <row r="4" spans="1:40" x14ac:dyDescent="0.25">
      <c r="B4" t="s">
        <v>333</v>
      </c>
      <c r="C4" t="s">
        <v>334</v>
      </c>
      <c r="D4" t="s">
        <v>335</v>
      </c>
      <c r="H4" t="s">
        <v>417</v>
      </c>
      <c r="AC4" t="s">
        <v>419</v>
      </c>
      <c r="AD4" t="s">
        <v>418</v>
      </c>
      <c r="AE4">
        <v>64</v>
      </c>
      <c r="AF4">
        <v>3</v>
      </c>
      <c r="AH4" t="s">
        <v>360</v>
      </c>
      <c r="AJ4">
        <v>102</v>
      </c>
      <c r="AK4" t="s">
        <v>200</v>
      </c>
      <c r="AM4">
        <v>1180</v>
      </c>
      <c r="AN4">
        <v>330</v>
      </c>
    </row>
    <row r="5" spans="1:40" x14ac:dyDescent="0.25">
      <c r="B5" t="s">
        <v>333</v>
      </c>
      <c r="C5" t="s">
        <v>334</v>
      </c>
      <c r="D5" t="s">
        <v>335</v>
      </c>
      <c r="H5" t="s">
        <v>417</v>
      </c>
      <c r="AC5" t="s">
        <v>419</v>
      </c>
      <c r="AD5" t="s">
        <v>418</v>
      </c>
      <c r="AE5">
        <v>64</v>
      </c>
      <c r="AF5">
        <v>4</v>
      </c>
      <c r="AH5" t="s">
        <v>389</v>
      </c>
      <c r="AJ5">
        <v>501</v>
      </c>
      <c r="AK5" t="s">
        <v>204</v>
      </c>
      <c r="AM5">
        <v>1387</v>
      </c>
      <c r="AN5">
        <v>330</v>
      </c>
    </row>
    <row r="6" spans="1:40" x14ac:dyDescent="0.25">
      <c r="B6" t="s">
        <v>333</v>
      </c>
      <c r="C6" t="s">
        <v>334</v>
      </c>
      <c r="D6" t="s">
        <v>335</v>
      </c>
      <c r="H6" t="s">
        <v>417</v>
      </c>
      <c r="AC6" t="s">
        <v>419</v>
      </c>
      <c r="AD6" t="s">
        <v>418</v>
      </c>
      <c r="AE6">
        <v>64</v>
      </c>
      <c r="AF6">
        <v>5</v>
      </c>
      <c r="AH6" t="s">
        <v>358</v>
      </c>
      <c r="AJ6">
        <v>1001</v>
      </c>
      <c r="AK6" t="s">
        <v>209</v>
      </c>
      <c r="AM6">
        <v>1595</v>
      </c>
      <c r="AN6">
        <v>330</v>
      </c>
    </row>
    <row r="7" spans="1:40" x14ac:dyDescent="0.25">
      <c r="B7" t="s">
        <v>333</v>
      </c>
      <c r="C7" t="s">
        <v>334</v>
      </c>
      <c r="D7" t="s">
        <v>335</v>
      </c>
      <c r="H7" t="s">
        <v>417</v>
      </c>
      <c r="AC7" t="s">
        <v>419</v>
      </c>
      <c r="AD7" t="s">
        <v>418</v>
      </c>
      <c r="AE7">
        <v>64</v>
      </c>
      <c r="AF7">
        <v>6</v>
      </c>
      <c r="AH7" t="s">
        <v>389</v>
      </c>
      <c r="AJ7">
        <v>501</v>
      </c>
      <c r="AK7" t="s">
        <v>204</v>
      </c>
      <c r="AM7">
        <v>1802</v>
      </c>
      <c r="AN7">
        <v>330</v>
      </c>
    </row>
    <row r="8" spans="1:40" x14ac:dyDescent="0.25">
      <c r="B8" t="s">
        <v>333</v>
      </c>
      <c r="C8" t="s">
        <v>334</v>
      </c>
      <c r="D8" t="s">
        <v>335</v>
      </c>
      <c r="H8" t="s">
        <v>417</v>
      </c>
      <c r="AC8" t="s">
        <v>419</v>
      </c>
      <c r="AD8" t="s">
        <v>418</v>
      </c>
      <c r="AE8">
        <v>64</v>
      </c>
      <c r="AF8">
        <v>7</v>
      </c>
      <c r="AH8" t="s">
        <v>361</v>
      </c>
      <c r="AJ8">
        <v>109</v>
      </c>
      <c r="AK8" t="s">
        <v>200</v>
      </c>
      <c r="AM8">
        <v>2010</v>
      </c>
      <c r="AN8">
        <v>330</v>
      </c>
    </row>
    <row r="9" spans="1:40" x14ac:dyDescent="0.25">
      <c r="B9" t="s">
        <v>333</v>
      </c>
      <c r="C9" t="s">
        <v>334</v>
      </c>
      <c r="D9" t="s">
        <v>335</v>
      </c>
      <c r="H9" t="s">
        <v>417</v>
      </c>
      <c r="AC9" t="s">
        <v>419</v>
      </c>
      <c r="AD9" t="s">
        <v>418</v>
      </c>
      <c r="AE9">
        <v>64</v>
      </c>
      <c r="AF9">
        <v>8</v>
      </c>
      <c r="AH9" t="s">
        <v>361</v>
      </c>
      <c r="AJ9">
        <v>109</v>
      </c>
      <c r="AK9" t="s">
        <v>200</v>
      </c>
      <c r="AM9">
        <v>2217</v>
      </c>
      <c r="AN9">
        <v>330</v>
      </c>
    </row>
    <row r="10" spans="1:40" x14ac:dyDescent="0.25">
      <c r="B10" t="s">
        <v>333</v>
      </c>
      <c r="C10" t="s">
        <v>334</v>
      </c>
      <c r="D10" t="s">
        <v>335</v>
      </c>
      <c r="H10" t="s">
        <v>417</v>
      </c>
      <c r="AC10" t="s">
        <v>419</v>
      </c>
      <c r="AD10" t="s">
        <v>418</v>
      </c>
      <c r="AE10">
        <v>64</v>
      </c>
      <c r="AF10">
        <v>9</v>
      </c>
      <c r="AH10" t="s">
        <v>361</v>
      </c>
      <c r="AJ10">
        <v>109</v>
      </c>
      <c r="AK10" t="s">
        <v>200</v>
      </c>
      <c r="AM10">
        <v>765</v>
      </c>
      <c r="AN10">
        <v>538</v>
      </c>
    </row>
    <row r="11" spans="1:40" x14ac:dyDescent="0.25">
      <c r="B11" t="s">
        <v>333</v>
      </c>
      <c r="C11" t="s">
        <v>334</v>
      </c>
      <c r="D11" t="s">
        <v>335</v>
      </c>
      <c r="H11" t="s">
        <v>417</v>
      </c>
      <c r="AC11" t="s">
        <v>419</v>
      </c>
      <c r="AD11" t="s">
        <v>418</v>
      </c>
      <c r="AE11">
        <v>64</v>
      </c>
      <c r="AF11">
        <v>10</v>
      </c>
      <c r="AH11" t="s">
        <v>361</v>
      </c>
      <c r="AJ11">
        <v>109</v>
      </c>
      <c r="AK11" t="s">
        <v>200</v>
      </c>
      <c r="AM11">
        <v>972</v>
      </c>
      <c r="AN11">
        <v>538</v>
      </c>
    </row>
    <row r="12" spans="1:40" x14ac:dyDescent="0.25">
      <c r="B12" t="s">
        <v>333</v>
      </c>
      <c r="C12" t="s">
        <v>334</v>
      </c>
      <c r="D12" t="s">
        <v>335</v>
      </c>
      <c r="H12" t="s">
        <v>417</v>
      </c>
      <c r="AC12" t="s">
        <v>419</v>
      </c>
      <c r="AD12" t="s">
        <v>418</v>
      </c>
      <c r="AE12">
        <v>64</v>
      </c>
      <c r="AF12">
        <v>11</v>
      </c>
      <c r="AH12" t="s">
        <v>389</v>
      </c>
      <c r="AJ12">
        <v>501</v>
      </c>
      <c r="AK12" t="s">
        <v>204</v>
      </c>
      <c r="AM12">
        <v>1180</v>
      </c>
      <c r="AN12">
        <v>538</v>
      </c>
    </row>
    <row r="13" spans="1:40" x14ac:dyDescent="0.25">
      <c r="B13" t="s">
        <v>333</v>
      </c>
      <c r="C13" t="s">
        <v>334</v>
      </c>
      <c r="D13" t="s">
        <v>335</v>
      </c>
      <c r="H13" t="s">
        <v>417</v>
      </c>
      <c r="AC13" t="s">
        <v>419</v>
      </c>
      <c r="AD13" t="s">
        <v>418</v>
      </c>
      <c r="AE13">
        <v>64</v>
      </c>
      <c r="AF13">
        <v>12</v>
      </c>
      <c r="AH13" t="s">
        <v>389</v>
      </c>
      <c r="AJ13">
        <v>501</v>
      </c>
      <c r="AK13" t="s">
        <v>204</v>
      </c>
      <c r="AM13">
        <v>1387</v>
      </c>
      <c r="AN13">
        <v>538</v>
      </c>
    </row>
    <row r="14" spans="1:40" x14ac:dyDescent="0.25">
      <c r="B14" t="s">
        <v>333</v>
      </c>
      <c r="C14" t="s">
        <v>334</v>
      </c>
      <c r="D14" t="s">
        <v>335</v>
      </c>
      <c r="H14" t="s">
        <v>417</v>
      </c>
      <c r="AC14" t="s">
        <v>419</v>
      </c>
      <c r="AD14" t="s">
        <v>418</v>
      </c>
      <c r="AE14">
        <v>64</v>
      </c>
      <c r="AF14">
        <v>13</v>
      </c>
      <c r="AH14" t="s">
        <v>389</v>
      </c>
      <c r="AJ14">
        <v>501</v>
      </c>
      <c r="AK14" t="s">
        <v>204</v>
      </c>
      <c r="AM14">
        <v>1595</v>
      </c>
      <c r="AN14">
        <v>538</v>
      </c>
    </row>
    <row r="15" spans="1:40" x14ac:dyDescent="0.25">
      <c r="B15" t="s">
        <v>333</v>
      </c>
      <c r="C15" t="s">
        <v>334</v>
      </c>
      <c r="D15" t="s">
        <v>335</v>
      </c>
      <c r="H15" t="s">
        <v>417</v>
      </c>
      <c r="AC15" t="s">
        <v>419</v>
      </c>
      <c r="AD15" t="s">
        <v>418</v>
      </c>
      <c r="AE15">
        <v>64</v>
      </c>
      <c r="AF15">
        <v>14</v>
      </c>
      <c r="AH15" t="s">
        <v>390</v>
      </c>
      <c r="AJ15">
        <v>903</v>
      </c>
      <c r="AK15" t="s">
        <v>208</v>
      </c>
      <c r="AM15">
        <v>1802</v>
      </c>
      <c r="AN15">
        <v>538</v>
      </c>
    </row>
    <row r="16" spans="1:40" x14ac:dyDescent="0.25">
      <c r="B16" t="s">
        <v>333</v>
      </c>
      <c r="C16" t="s">
        <v>334</v>
      </c>
      <c r="D16" t="s">
        <v>335</v>
      </c>
      <c r="H16" t="s">
        <v>417</v>
      </c>
      <c r="AC16" t="s">
        <v>419</v>
      </c>
      <c r="AD16" t="s">
        <v>418</v>
      </c>
      <c r="AE16">
        <v>64</v>
      </c>
      <c r="AF16">
        <v>15</v>
      </c>
      <c r="AH16" t="s">
        <v>361</v>
      </c>
      <c r="AJ16">
        <v>109</v>
      </c>
      <c r="AK16" t="s">
        <v>200</v>
      </c>
      <c r="AM16">
        <v>2010</v>
      </c>
      <c r="AN16">
        <v>538</v>
      </c>
    </row>
    <row r="17" spans="2:40" x14ac:dyDescent="0.25">
      <c r="B17" t="s">
        <v>333</v>
      </c>
      <c r="C17" t="s">
        <v>334</v>
      </c>
      <c r="D17" t="s">
        <v>335</v>
      </c>
      <c r="H17" t="s">
        <v>417</v>
      </c>
      <c r="AC17" t="s">
        <v>419</v>
      </c>
      <c r="AD17" t="s">
        <v>418</v>
      </c>
      <c r="AE17">
        <v>64</v>
      </c>
      <c r="AF17">
        <v>16</v>
      </c>
      <c r="AH17" t="s">
        <v>389</v>
      </c>
      <c r="AJ17">
        <v>501</v>
      </c>
      <c r="AK17" t="s">
        <v>204</v>
      </c>
      <c r="AM17">
        <v>2217</v>
      </c>
      <c r="AN17">
        <v>538</v>
      </c>
    </row>
    <row r="18" spans="2:40" x14ac:dyDescent="0.25">
      <c r="B18" t="s">
        <v>333</v>
      </c>
      <c r="C18" t="s">
        <v>334</v>
      </c>
      <c r="D18" t="s">
        <v>335</v>
      </c>
      <c r="H18" t="s">
        <v>417</v>
      </c>
      <c r="AC18" t="s">
        <v>419</v>
      </c>
      <c r="AD18" t="s">
        <v>418</v>
      </c>
      <c r="AE18">
        <v>64</v>
      </c>
      <c r="AF18">
        <v>17</v>
      </c>
      <c r="AH18" t="s">
        <v>361</v>
      </c>
      <c r="AJ18">
        <v>109</v>
      </c>
      <c r="AK18" t="s">
        <v>200</v>
      </c>
      <c r="AM18">
        <v>765</v>
      </c>
      <c r="AN18">
        <v>745</v>
      </c>
    </row>
    <row r="19" spans="2:40" x14ac:dyDescent="0.25">
      <c r="B19" t="s">
        <v>333</v>
      </c>
      <c r="C19" t="s">
        <v>334</v>
      </c>
      <c r="D19" t="s">
        <v>335</v>
      </c>
      <c r="H19" t="s">
        <v>417</v>
      </c>
      <c r="AC19" t="s">
        <v>419</v>
      </c>
      <c r="AD19" t="s">
        <v>418</v>
      </c>
      <c r="AE19">
        <v>64</v>
      </c>
      <c r="AF19">
        <v>18</v>
      </c>
      <c r="AH19" t="s">
        <v>389</v>
      </c>
      <c r="AJ19">
        <v>501</v>
      </c>
      <c r="AK19" t="s">
        <v>204</v>
      </c>
      <c r="AM19">
        <v>972</v>
      </c>
      <c r="AN19">
        <v>745</v>
      </c>
    </row>
    <row r="20" spans="2:40" x14ac:dyDescent="0.25">
      <c r="B20" t="s">
        <v>333</v>
      </c>
      <c r="C20" t="s">
        <v>334</v>
      </c>
      <c r="D20" t="s">
        <v>335</v>
      </c>
      <c r="H20" t="s">
        <v>417</v>
      </c>
      <c r="AC20" t="s">
        <v>419</v>
      </c>
      <c r="AD20" t="s">
        <v>418</v>
      </c>
      <c r="AE20">
        <v>64</v>
      </c>
      <c r="AF20">
        <v>19</v>
      </c>
      <c r="AH20" t="s">
        <v>361</v>
      </c>
      <c r="AJ20">
        <v>109</v>
      </c>
      <c r="AK20" t="s">
        <v>200</v>
      </c>
      <c r="AM20">
        <v>1180</v>
      </c>
      <c r="AN20">
        <v>745</v>
      </c>
    </row>
    <row r="21" spans="2:40" x14ac:dyDescent="0.25">
      <c r="B21" t="s">
        <v>333</v>
      </c>
      <c r="C21" t="s">
        <v>334</v>
      </c>
      <c r="D21" t="s">
        <v>335</v>
      </c>
      <c r="H21" t="s">
        <v>417</v>
      </c>
      <c r="AC21" t="s">
        <v>419</v>
      </c>
      <c r="AD21" t="s">
        <v>418</v>
      </c>
      <c r="AE21">
        <v>64</v>
      </c>
      <c r="AF21">
        <v>20</v>
      </c>
      <c r="AH21" t="s">
        <v>411</v>
      </c>
      <c r="AJ21">
        <v>703</v>
      </c>
      <c r="AK21" t="s">
        <v>206</v>
      </c>
      <c r="AM21">
        <v>1387</v>
      </c>
      <c r="AN21">
        <v>745</v>
      </c>
    </row>
    <row r="22" spans="2:40" x14ac:dyDescent="0.25">
      <c r="B22" t="s">
        <v>333</v>
      </c>
      <c r="C22" t="s">
        <v>334</v>
      </c>
      <c r="D22" t="s">
        <v>335</v>
      </c>
      <c r="H22" t="s">
        <v>417</v>
      </c>
      <c r="AC22" t="s">
        <v>419</v>
      </c>
      <c r="AD22" t="s">
        <v>418</v>
      </c>
      <c r="AE22">
        <v>64</v>
      </c>
      <c r="AF22">
        <v>21</v>
      </c>
      <c r="AH22" t="s">
        <v>389</v>
      </c>
      <c r="AJ22">
        <v>501</v>
      </c>
      <c r="AK22" t="s">
        <v>204</v>
      </c>
      <c r="AM22">
        <v>1595</v>
      </c>
      <c r="AN22">
        <v>745</v>
      </c>
    </row>
    <row r="23" spans="2:40" x14ac:dyDescent="0.25">
      <c r="B23" t="s">
        <v>333</v>
      </c>
      <c r="C23" t="s">
        <v>334</v>
      </c>
      <c r="D23" t="s">
        <v>335</v>
      </c>
      <c r="H23" t="s">
        <v>417</v>
      </c>
      <c r="AC23" t="s">
        <v>419</v>
      </c>
      <c r="AD23" t="s">
        <v>418</v>
      </c>
      <c r="AE23">
        <v>64</v>
      </c>
      <c r="AF23">
        <v>22</v>
      </c>
      <c r="AH23" t="s">
        <v>361</v>
      </c>
      <c r="AJ23">
        <v>109</v>
      </c>
      <c r="AK23" t="s">
        <v>200</v>
      </c>
      <c r="AM23">
        <v>1802</v>
      </c>
      <c r="AN23">
        <v>745</v>
      </c>
    </row>
    <row r="24" spans="2:40" x14ac:dyDescent="0.25">
      <c r="B24" t="s">
        <v>333</v>
      </c>
      <c r="C24" t="s">
        <v>334</v>
      </c>
      <c r="D24" t="s">
        <v>335</v>
      </c>
      <c r="H24" t="s">
        <v>417</v>
      </c>
      <c r="AC24" t="s">
        <v>419</v>
      </c>
      <c r="AD24" t="s">
        <v>418</v>
      </c>
      <c r="AE24">
        <v>64</v>
      </c>
      <c r="AF24">
        <v>23</v>
      </c>
      <c r="AH24" t="s">
        <v>389</v>
      </c>
      <c r="AJ24">
        <v>501</v>
      </c>
      <c r="AK24" t="s">
        <v>204</v>
      </c>
      <c r="AM24">
        <v>2010</v>
      </c>
      <c r="AN24">
        <v>745</v>
      </c>
    </row>
    <row r="25" spans="2:40" x14ac:dyDescent="0.25">
      <c r="B25" t="s">
        <v>333</v>
      </c>
      <c r="C25" t="s">
        <v>334</v>
      </c>
      <c r="D25" t="s">
        <v>335</v>
      </c>
      <c r="H25" t="s">
        <v>417</v>
      </c>
      <c r="AC25" t="s">
        <v>419</v>
      </c>
      <c r="AD25" t="s">
        <v>418</v>
      </c>
      <c r="AE25">
        <v>64</v>
      </c>
      <c r="AF25">
        <v>24</v>
      </c>
      <c r="AH25" t="s">
        <v>389</v>
      </c>
      <c r="AJ25">
        <v>501</v>
      </c>
      <c r="AK25" t="s">
        <v>204</v>
      </c>
      <c r="AM25">
        <v>2217</v>
      </c>
      <c r="AN25">
        <v>745</v>
      </c>
    </row>
    <row r="26" spans="2:40" x14ac:dyDescent="0.25">
      <c r="B26" t="s">
        <v>333</v>
      </c>
      <c r="C26" t="s">
        <v>334</v>
      </c>
      <c r="D26" t="s">
        <v>335</v>
      </c>
      <c r="H26" t="s">
        <v>417</v>
      </c>
      <c r="AC26" t="s">
        <v>419</v>
      </c>
      <c r="AD26" t="s">
        <v>418</v>
      </c>
      <c r="AE26">
        <v>64</v>
      </c>
      <c r="AF26">
        <v>25</v>
      </c>
      <c r="AH26" t="s">
        <v>389</v>
      </c>
      <c r="AJ26">
        <v>501</v>
      </c>
      <c r="AK26" t="s">
        <v>204</v>
      </c>
      <c r="AM26">
        <v>765</v>
      </c>
      <c r="AN26">
        <v>953</v>
      </c>
    </row>
    <row r="27" spans="2:40" x14ac:dyDescent="0.25">
      <c r="B27" t="s">
        <v>333</v>
      </c>
      <c r="C27" t="s">
        <v>334</v>
      </c>
      <c r="D27" t="s">
        <v>335</v>
      </c>
      <c r="H27" t="s">
        <v>417</v>
      </c>
      <c r="AC27" t="s">
        <v>419</v>
      </c>
      <c r="AD27" t="s">
        <v>418</v>
      </c>
      <c r="AE27">
        <v>64</v>
      </c>
      <c r="AF27">
        <v>26</v>
      </c>
      <c r="AH27" t="s">
        <v>389</v>
      </c>
      <c r="AJ27">
        <v>501</v>
      </c>
      <c r="AK27" t="s">
        <v>204</v>
      </c>
      <c r="AM27">
        <v>972</v>
      </c>
      <c r="AN27">
        <v>953</v>
      </c>
    </row>
    <row r="28" spans="2:40" x14ac:dyDescent="0.25">
      <c r="B28" t="s">
        <v>333</v>
      </c>
      <c r="C28" t="s">
        <v>334</v>
      </c>
      <c r="D28" t="s">
        <v>335</v>
      </c>
      <c r="H28" t="s">
        <v>417</v>
      </c>
      <c r="AC28" t="s">
        <v>419</v>
      </c>
      <c r="AD28" t="s">
        <v>418</v>
      </c>
      <c r="AE28">
        <v>64</v>
      </c>
      <c r="AF28">
        <v>27</v>
      </c>
      <c r="AH28" t="s">
        <v>390</v>
      </c>
      <c r="AJ28">
        <v>903</v>
      </c>
      <c r="AK28" t="s">
        <v>208</v>
      </c>
      <c r="AM28">
        <v>1180</v>
      </c>
      <c r="AN28">
        <v>953</v>
      </c>
    </row>
    <row r="29" spans="2:40" x14ac:dyDescent="0.25">
      <c r="B29" t="s">
        <v>333</v>
      </c>
      <c r="C29" t="s">
        <v>334</v>
      </c>
      <c r="D29" t="s">
        <v>335</v>
      </c>
      <c r="H29" t="s">
        <v>417</v>
      </c>
      <c r="AC29" t="s">
        <v>419</v>
      </c>
      <c r="AD29" t="s">
        <v>418</v>
      </c>
      <c r="AE29">
        <v>64</v>
      </c>
      <c r="AF29">
        <v>28</v>
      </c>
      <c r="AH29" t="s">
        <v>361</v>
      </c>
      <c r="AJ29">
        <v>109</v>
      </c>
      <c r="AK29" t="s">
        <v>200</v>
      </c>
      <c r="AM29">
        <v>1387</v>
      </c>
      <c r="AN29">
        <v>953</v>
      </c>
    </row>
    <row r="30" spans="2:40" x14ac:dyDescent="0.25">
      <c r="B30" t="s">
        <v>333</v>
      </c>
      <c r="C30" t="s">
        <v>334</v>
      </c>
      <c r="D30" t="s">
        <v>335</v>
      </c>
      <c r="H30" t="s">
        <v>417</v>
      </c>
      <c r="AC30" t="s">
        <v>419</v>
      </c>
      <c r="AD30" t="s">
        <v>418</v>
      </c>
      <c r="AE30">
        <v>64</v>
      </c>
      <c r="AF30">
        <v>29</v>
      </c>
      <c r="AH30" t="s">
        <v>361</v>
      </c>
      <c r="AJ30">
        <v>109</v>
      </c>
      <c r="AK30" t="s">
        <v>200</v>
      </c>
      <c r="AM30">
        <v>1595</v>
      </c>
      <c r="AN30">
        <v>953</v>
      </c>
    </row>
    <row r="31" spans="2:40" x14ac:dyDescent="0.25">
      <c r="B31" t="s">
        <v>333</v>
      </c>
      <c r="C31" t="s">
        <v>334</v>
      </c>
      <c r="D31" t="s">
        <v>335</v>
      </c>
      <c r="H31" t="s">
        <v>417</v>
      </c>
      <c r="AC31" t="s">
        <v>419</v>
      </c>
      <c r="AD31" t="s">
        <v>418</v>
      </c>
      <c r="AE31">
        <v>64</v>
      </c>
      <c r="AF31">
        <v>30</v>
      </c>
      <c r="AH31" t="s">
        <v>402</v>
      </c>
      <c r="AJ31">
        <v>603</v>
      </c>
      <c r="AK31" t="s">
        <v>205</v>
      </c>
      <c r="AM31">
        <v>1802</v>
      </c>
      <c r="AN31">
        <v>953</v>
      </c>
    </row>
    <row r="32" spans="2:40" x14ac:dyDescent="0.25">
      <c r="B32" t="s">
        <v>333</v>
      </c>
      <c r="C32" t="s">
        <v>334</v>
      </c>
      <c r="D32" t="s">
        <v>335</v>
      </c>
      <c r="H32" t="s">
        <v>417</v>
      </c>
      <c r="AC32" t="s">
        <v>419</v>
      </c>
      <c r="AD32" t="s">
        <v>418</v>
      </c>
      <c r="AE32">
        <v>64</v>
      </c>
      <c r="AF32">
        <v>31</v>
      </c>
      <c r="AH32" t="s">
        <v>389</v>
      </c>
      <c r="AJ32">
        <v>501</v>
      </c>
      <c r="AK32" t="s">
        <v>204</v>
      </c>
      <c r="AM32">
        <v>2010</v>
      </c>
      <c r="AN32">
        <v>953</v>
      </c>
    </row>
    <row r="33" spans="2:40" x14ac:dyDescent="0.25">
      <c r="B33" t="s">
        <v>333</v>
      </c>
      <c r="C33" t="s">
        <v>334</v>
      </c>
      <c r="D33" t="s">
        <v>335</v>
      </c>
      <c r="H33" t="s">
        <v>417</v>
      </c>
      <c r="AC33" t="s">
        <v>419</v>
      </c>
      <c r="AD33" t="s">
        <v>418</v>
      </c>
      <c r="AE33">
        <v>64</v>
      </c>
      <c r="AF33">
        <v>32</v>
      </c>
      <c r="AH33" t="s">
        <v>389</v>
      </c>
      <c r="AJ33">
        <v>501</v>
      </c>
      <c r="AK33" t="s">
        <v>204</v>
      </c>
      <c r="AM33">
        <v>2217</v>
      </c>
      <c r="AN33">
        <v>953</v>
      </c>
    </row>
    <row r="34" spans="2:40" x14ac:dyDescent="0.25">
      <c r="B34" t="s">
        <v>333</v>
      </c>
      <c r="C34" t="s">
        <v>334</v>
      </c>
      <c r="D34" t="s">
        <v>335</v>
      </c>
      <c r="H34" t="s">
        <v>417</v>
      </c>
      <c r="AC34" t="s">
        <v>419</v>
      </c>
      <c r="AD34" t="s">
        <v>418</v>
      </c>
      <c r="AE34">
        <v>64</v>
      </c>
      <c r="AF34">
        <v>33</v>
      </c>
      <c r="AH34" t="s">
        <v>389</v>
      </c>
      <c r="AJ34">
        <v>501</v>
      </c>
      <c r="AK34" t="s">
        <v>204</v>
      </c>
      <c r="AM34">
        <v>765</v>
      </c>
      <c r="AN34">
        <v>1160</v>
      </c>
    </row>
    <row r="35" spans="2:40" x14ac:dyDescent="0.25">
      <c r="B35" t="s">
        <v>333</v>
      </c>
      <c r="C35" t="s">
        <v>334</v>
      </c>
      <c r="D35" t="s">
        <v>335</v>
      </c>
      <c r="H35" t="s">
        <v>417</v>
      </c>
      <c r="AC35" t="s">
        <v>419</v>
      </c>
      <c r="AD35" t="s">
        <v>418</v>
      </c>
      <c r="AE35">
        <v>64</v>
      </c>
      <c r="AF35">
        <v>34</v>
      </c>
      <c r="AH35" t="s">
        <v>390</v>
      </c>
      <c r="AJ35">
        <v>903</v>
      </c>
      <c r="AK35" t="s">
        <v>208</v>
      </c>
      <c r="AM35">
        <v>972</v>
      </c>
      <c r="AN35">
        <v>1160</v>
      </c>
    </row>
    <row r="36" spans="2:40" x14ac:dyDescent="0.25">
      <c r="B36" t="s">
        <v>333</v>
      </c>
      <c r="C36" t="s">
        <v>334</v>
      </c>
      <c r="D36" t="s">
        <v>335</v>
      </c>
      <c r="H36" t="s">
        <v>417</v>
      </c>
      <c r="AC36" t="s">
        <v>419</v>
      </c>
      <c r="AD36" t="s">
        <v>418</v>
      </c>
      <c r="AE36">
        <v>64</v>
      </c>
      <c r="AF36">
        <v>35</v>
      </c>
      <c r="AH36" t="s">
        <v>389</v>
      </c>
      <c r="AJ36">
        <v>501</v>
      </c>
      <c r="AK36" t="s">
        <v>204</v>
      </c>
      <c r="AM36">
        <v>1180</v>
      </c>
      <c r="AN36">
        <v>1160</v>
      </c>
    </row>
    <row r="37" spans="2:40" x14ac:dyDescent="0.25">
      <c r="B37" t="s">
        <v>333</v>
      </c>
      <c r="C37" t="s">
        <v>334</v>
      </c>
      <c r="D37" t="s">
        <v>335</v>
      </c>
      <c r="H37" t="s">
        <v>417</v>
      </c>
      <c r="AC37" t="s">
        <v>419</v>
      </c>
      <c r="AD37" t="s">
        <v>418</v>
      </c>
      <c r="AE37">
        <v>64</v>
      </c>
      <c r="AF37">
        <v>36</v>
      </c>
      <c r="AH37" t="s">
        <v>361</v>
      </c>
      <c r="AJ37">
        <v>109</v>
      </c>
      <c r="AK37" t="s">
        <v>200</v>
      </c>
      <c r="AM37">
        <v>1387</v>
      </c>
      <c r="AN37">
        <v>1160</v>
      </c>
    </row>
    <row r="38" spans="2:40" x14ac:dyDescent="0.25">
      <c r="B38" t="s">
        <v>333</v>
      </c>
      <c r="C38" t="s">
        <v>334</v>
      </c>
      <c r="D38" t="s">
        <v>335</v>
      </c>
      <c r="H38" t="s">
        <v>417</v>
      </c>
      <c r="AC38" t="s">
        <v>419</v>
      </c>
      <c r="AD38" t="s">
        <v>418</v>
      </c>
      <c r="AE38">
        <v>64</v>
      </c>
      <c r="AF38">
        <v>37</v>
      </c>
      <c r="AH38" t="s">
        <v>361</v>
      </c>
      <c r="AJ38">
        <v>109</v>
      </c>
      <c r="AK38" t="s">
        <v>200</v>
      </c>
      <c r="AM38">
        <v>1595</v>
      </c>
      <c r="AN38">
        <v>1160</v>
      </c>
    </row>
    <row r="39" spans="2:40" x14ac:dyDescent="0.25">
      <c r="B39" t="s">
        <v>333</v>
      </c>
      <c r="C39" t="s">
        <v>334</v>
      </c>
      <c r="D39" t="s">
        <v>335</v>
      </c>
      <c r="H39" t="s">
        <v>417</v>
      </c>
      <c r="AC39" t="s">
        <v>419</v>
      </c>
      <c r="AD39" t="s">
        <v>418</v>
      </c>
      <c r="AE39">
        <v>64</v>
      </c>
      <c r="AF39">
        <v>38</v>
      </c>
      <c r="AH39" t="s">
        <v>389</v>
      </c>
      <c r="AJ39">
        <v>501</v>
      </c>
      <c r="AK39" t="s">
        <v>204</v>
      </c>
      <c r="AM39">
        <v>1802</v>
      </c>
      <c r="AN39">
        <v>1160</v>
      </c>
    </row>
    <row r="40" spans="2:40" x14ac:dyDescent="0.25">
      <c r="B40" t="s">
        <v>333</v>
      </c>
      <c r="C40" t="s">
        <v>334</v>
      </c>
      <c r="D40" t="s">
        <v>335</v>
      </c>
      <c r="H40" t="s">
        <v>417</v>
      </c>
      <c r="AC40" t="s">
        <v>419</v>
      </c>
      <c r="AD40" t="s">
        <v>418</v>
      </c>
      <c r="AE40">
        <v>64</v>
      </c>
      <c r="AF40">
        <v>39</v>
      </c>
      <c r="AH40" t="s">
        <v>389</v>
      </c>
      <c r="AJ40">
        <v>501</v>
      </c>
      <c r="AK40" t="s">
        <v>204</v>
      </c>
      <c r="AM40">
        <v>2010</v>
      </c>
      <c r="AN40">
        <v>1160</v>
      </c>
    </row>
    <row r="41" spans="2:40" x14ac:dyDescent="0.25">
      <c r="B41" t="s">
        <v>333</v>
      </c>
      <c r="C41" t="s">
        <v>334</v>
      </c>
      <c r="D41" t="s">
        <v>335</v>
      </c>
      <c r="H41" t="s">
        <v>417</v>
      </c>
      <c r="AC41" t="s">
        <v>419</v>
      </c>
      <c r="AD41" t="s">
        <v>418</v>
      </c>
      <c r="AE41">
        <v>64</v>
      </c>
      <c r="AF41">
        <v>40</v>
      </c>
      <c r="AH41" t="s">
        <v>389</v>
      </c>
      <c r="AJ41">
        <v>501</v>
      </c>
      <c r="AK41" t="s">
        <v>204</v>
      </c>
      <c r="AM41">
        <v>2217</v>
      </c>
      <c r="AN41">
        <v>1160</v>
      </c>
    </row>
    <row r="42" spans="2:40" x14ac:dyDescent="0.25">
      <c r="B42" t="s">
        <v>333</v>
      </c>
      <c r="C42" t="s">
        <v>334</v>
      </c>
      <c r="D42" t="s">
        <v>335</v>
      </c>
      <c r="H42" t="s">
        <v>417</v>
      </c>
      <c r="AC42" t="s">
        <v>419</v>
      </c>
      <c r="AD42" t="s">
        <v>418</v>
      </c>
      <c r="AE42">
        <v>64</v>
      </c>
      <c r="AF42">
        <v>41</v>
      </c>
      <c r="AH42" t="s">
        <v>389</v>
      </c>
      <c r="AJ42">
        <v>501</v>
      </c>
      <c r="AK42" t="s">
        <v>204</v>
      </c>
      <c r="AM42">
        <v>765</v>
      </c>
      <c r="AN42">
        <v>1368</v>
      </c>
    </row>
    <row r="43" spans="2:40" x14ac:dyDescent="0.25">
      <c r="B43" t="s">
        <v>333</v>
      </c>
      <c r="C43" t="s">
        <v>334</v>
      </c>
      <c r="D43" t="s">
        <v>335</v>
      </c>
      <c r="H43" t="s">
        <v>417</v>
      </c>
      <c r="AC43" t="s">
        <v>419</v>
      </c>
      <c r="AD43" t="s">
        <v>418</v>
      </c>
      <c r="AE43">
        <v>64</v>
      </c>
      <c r="AF43">
        <v>42</v>
      </c>
      <c r="AH43" t="s">
        <v>390</v>
      </c>
      <c r="AJ43">
        <v>903</v>
      </c>
      <c r="AK43" t="s">
        <v>208</v>
      </c>
      <c r="AM43">
        <v>972</v>
      </c>
      <c r="AN43">
        <v>1368</v>
      </c>
    </row>
    <row r="44" spans="2:40" x14ac:dyDescent="0.25">
      <c r="B44" t="s">
        <v>333</v>
      </c>
      <c r="C44" t="s">
        <v>334</v>
      </c>
      <c r="D44" t="s">
        <v>335</v>
      </c>
      <c r="H44" t="s">
        <v>417</v>
      </c>
      <c r="AC44" t="s">
        <v>419</v>
      </c>
      <c r="AD44" t="s">
        <v>418</v>
      </c>
      <c r="AE44">
        <v>64</v>
      </c>
      <c r="AF44">
        <v>43</v>
      </c>
      <c r="AH44" t="s">
        <v>361</v>
      </c>
      <c r="AJ44">
        <v>109</v>
      </c>
      <c r="AK44" t="s">
        <v>200</v>
      </c>
      <c r="AM44">
        <v>1180</v>
      </c>
      <c r="AN44">
        <v>1368</v>
      </c>
    </row>
    <row r="45" spans="2:40" x14ac:dyDescent="0.25">
      <c r="B45" t="s">
        <v>333</v>
      </c>
      <c r="C45" t="s">
        <v>334</v>
      </c>
      <c r="D45" t="s">
        <v>335</v>
      </c>
      <c r="H45" t="s">
        <v>417</v>
      </c>
      <c r="AC45" t="s">
        <v>419</v>
      </c>
      <c r="AD45" t="s">
        <v>418</v>
      </c>
      <c r="AE45">
        <v>64</v>
      </c>
      <c r="AF45">
        <v>44</v>
      </c>
      <c r="AH45" t="s">
        <v>389</v>
      </c>
      <c r="AJ45">
        <v>501</v>
      </c>
      <c r="AK45" t="s">
        <v>204</v>
      </c>
      <c r="AM45">
        <v>1387</v>
      </c>
      <c r="AN45">
        <v>1368</v>
      </c>
    </row>
    <row r="46" spans="2:40" x14ac:dyDescent="0.25">
      <c r="B46" t="s">
        <v>333</v>
      </c>
      <c r="C46" t="s">
        <v>334</v>
      </c>
      <c r="D46" t="s">
        <v>335</v>
      </c>
      <c r="H46" t="s">
        <v>417</v>
      </c>
      <c r="AC46" t="s">
        <v>419</v>
      </c>
      <c r="AD46" t="s">
        <v>418</v>
      </c>
      <c r="AE46">
        <v>64</v>
      </c>
      <c r="AF46">
        <v>45</v>
      </c>
      <c r="AH46" t="s">
        <v>389</v>
      </c>
      <c r="AJ46">
        <v>501</v>
      </c>
      <c r="AK46" t="s">
        <v>204</v>
      </c>
      <c r="AM46">
        <v>1595</v>
      </c>
      <c r="AN46">
        <v>1368</v>
      </c>
    </row>
    <row r="47" spans="2:40" x14ac:dyDescent="0.25">
      <c r="B47" t="s">
        <v>333</v>
      </c>
      <c r="C47" t="s">
        <v>334</v>
      </c>
      <c r="D47" t="s">
        <v>335</v>
      </c>
      <c r="H47" t="s">
        <v>417</v>
      </c>
      <c r="AC47" t="s">
        <v>419</v>
      </c>
      <c r="AD47" t="s">
        <v>418</v>
      </c>
      <c r="AE47">
        <v>64</v>
      </c>
      <c r="AF47">
        <v>46</v>
      </c>
      <c r="AH47" t="s">
        <v>361</v>
      </c>
      <c r="AJ47">
        <v>109</v>
      </c>
      <c r="AK47" t="s">
        <v>200</v>
      </c>
      <c r="AM47">
        <v>1802</v>
      </c>
      <c r="AN47">
        <v>1368</v>
      </c>
    </row>
    <row r="48" spans="2:40" x14ac:dyDescent="0.25">
      <c r="B48" t="s">
        <v>333</v>
      </c>
      <c r="C48" t="s">
        <v>334</v>
      </c>
      <c r="D48" t="s">
        <v>335</v>
      </c>
      <c r="H48" t="s">
        <v>417</v>
      </c>
      <c r="AC48" t="s">
        <v>419</v>
      </c>
      <c r="AD48" t="s">
        <v>418</v>
      </c>
      <c r="AE48">
        <v>64</v>
      </c>
      <c r="AF48">
        <v>47</v>
      </c>
      <c r="AH48" t="s">
        <v>390</v>
      </c>
      <c r="AJ48">
        <v>903</v>
      </c>
      <c r="AK48" t="s">
        <v>208</v>
      </c>
      <c r="AM48">
        <v>2010</v>
      </c>
      <c r="AN48">
        <v>1368</v>
      </c>
    </row>
    <row r="49" spans="2:40" x14ac:dyDescent="0.25">
      <c r="B49" t="s">
        <v>333</v>
      </c>
      <c r="C49" t="s">
        <v>334</v>
      </c>
      <c r="D49" t="s">
        <v>335</v>
      </c>
      <c r="H49" t="s">
        <v>417</v>
      </c>
      <c r="AC49" t="s">
        <v>419</v>
      </c>
      <c r="AD49" t="s">
        <v>418</v>
      </c>
      <c r="AE49">
        <v>64</v>
      </c>
      <c r="AF49">
        <v>48</v>
      </c>
      <c r="AH49" t="s">
        <v>358</v>
      </c>
      <c r="AJ49">
        <v>1001</v>
      </c>
      <c r="AK49" t="s">
        <v>209</v>
      </c>
      <c r="AM49">
        <v>2217</v>
      </c>
      <c r="AN49">
        <v>1368</v>
      </c>
    </row>
    <row r="50" spans="2:40" x14ac:dyDescent="0.25">
      <c r="B50" t="s">
        <v>333</v>
      </c>
      <c r="C50" t="s">
        <v>334</v>
      </c>
      <c r="D50" t="s">
        <v>335</v>
      </c>
      <c r="H50" t="s">
        <v>417</v>
      </c>
      <c r="AC50" t="s">
        <v>419</v>
      </c>
      <c r="AD50" t="s">
        <v>418</v>
      </c>
      <c r="AE50">
        <v>64</v>
      </c>
      <c r="AF50">
        <v>49</v>
      </c>
      <c r="AH50" t="s">
        <v>389</v>
      </c>
      <c r="AJ50">
        <v>501</v>
      </c>
      <c r="AK50" t="s">
        <v>204</v>
      </c>
      <c r="AM50">
        <v>765</v>
      </c>
      <c r="AN50">
        <v>1575</v>
      </c>
    </row>
    <row r="51" spans="2:40" x14ac:dyDescent="0.25">
      <c r="B51" t="s">
        <v>333</v>
      </c>
      <c r="C51" t="s">
        <v>334</v>
      </c>
      <c r="D51" t="s">
        <v>335</v>
      </c>
      <c r="H51" t="s">
        <v>417</v>
      </c>
      <c r="AC51" t="s">
        <v>419</v>
      </c>
      <c r="AD51" t="s">
        <v>418</v>
      </c>
      <c r="AE51">
        <v>64</v>
      </c>
      <c r="AF51">
        <v>50</v>
      </c>
      <c r="AH51" t="s">
        <v>361</v>
      </c>
      <c r="AJ51">
        <v>109</v>
      </c>
      <c r="AK51" t="s">
        <v>200</v>
      </c>
      <c r="AM51">
        <v>972</v>
      </c>
      <c r="AN51">
        <v>1575</v>
      </c>
    </row>
    <row r="52" spans="2:40" x14ac:dyDescent="0.25">
      <c r="B52" t="s">
        <v>333</v>
      </c>
      <c r="C52" t="s">
        <v>334</v>
      </c>
      <c r="D52" t="s">
        <v>335</v>
      </c>
      <c r="H52" t="s">
        <v>417</v>
      </c>
      <c r="AC52" t="s">
        <v>419</v>
      </c>
      <c r="AD52" t="s">
        <v>418</v>
      </c>
      <c r="AE52">
        <v>64</v>
      </c>
      <c r="AF52">
        <v>51</v>
      </c>
      <c r="AH52" t="s">
        <v>389</v>
      </c>
      <c r="AJ52">
        <v>501</v>
      </c>
      <c r="AK52" t="s">
        <v>204</v>
      </c>
      <c r="AM52">
        <v>1180</v>
      </c>
      <c r="AN52">
        <v>1575</v>
      </c>
    </row>
    <row r="53" spans="2:40" x14ac:dyDescent="0.25">
      <c r="B53" t="s">
        <v>333</v>
      </c>
      <c r="C53" t="s">
        <v>334</v>
      </c>
      <c r="D53" t="s">
        <v>335</v>
      </c>
      <c r="H53" t="s">
        <v>417</v>
      </c>
      <c r="AC53" t="s">
        <v>419</v>
      </c>
      <c r="AD53" t="s">
        <v>418</v>
      </c>
      <c r="AE53">
        <v>64</v>
      </c>
      <c r="AF53">
        <v>52</v>
      </c>
      <c r="AH53" t="s">
        <v>390</v>
      </c>
      <c r="AJ53">
        <v>903</v>
      </c>
      <c r="AK53" t="s">
        <v>208</v>
      </c>
      <c r="AM53">
        <v>1387</v>
      </c>
      <c r="AN53">
        <v>1575</v>
      </c>
    </row>
    <row r="54" spans="2:40" x14ac:dyDescent="0.25">
      <c r="B54" t="s">
        <v>333</v>
      </c>
      <c r="C54" t="s">
        <v>334</v>
      </c>
      <c r="D54" t="s">
        <v>335</v>
      </c>
      <c r="H54" t="s">
        <v>417</v>
      </c>
      <c r="AC54" t="s">
        <v>419</v>
      </c>
      <c r="AD54" t="s">
        <v>418</v>
      </c>
      <c r="AE54">
        <v>64</v>
      </c>
      <c r="AF54">
        <v>53</v>
      </c>
      <c r="AH54" t="s">
        <v>389</v>
      </c>
      <c r="AJ54">
        <v>501</v>
      </c>
      <c r="AK54" t="s">
        <v>204</v>
      </c>
      <c r="AM54">
        <v>1595</v>
      </c>
      <c r="AN54">
        <v>1575</v>
      </c>
    </row>
    <row r="55" spans="2:40" x14ac:dyDescent="0.25">
      <c r="B55" t="s">
        <v>333</v>
      </c>
      <c r="C55" t="s">
        <v>334</v>
      </c>
      <c r="D55" t="s">
        <v>335</v>
      </c>
      <c r="H55" t="s">
        <v>417</v>
      </c>
      <c r="AC55" t="s">
        <v>419</v>
      </c>
      <c r="AD55" t="s">
        <v>418</v>
      </c>
      <c r="AE55">
        <v>64</v>
      </c>
      <c r="AF55">
        <v>54</v>
      </c>
      <c r="AH55" t="s">
        <v>389</v>
      </c>
      <c r="AJ55">
        <v>501</v>
      </c>
      <c r="AK55" t="s">
        <v>204</v>
      </c>
      <c r="AM55">
        <v>1802</v>
      </c>
      <c r="AN55">
        <v>1575</v>
      </c>
    </row>
    <row r="56" spans="2:40" x14ac:dyDescent="0.25">
      <c r="B56" t="s">
        <v>333</v>
      </c>
      <c r="C56" t="s">
        <v>334</v>
      </c>
      <c r="D56" t="s">
        <v>335</v>
      </c>
      <c r="H56" t="s">
        <v>417</v>
      </c>
      <c r="AC56" t="s">
        <v>419</v>
      </c>
      <c r="AD56" t="s">
        <v>418</v>
      </c>
      <c r="AE56">
        <v>64</v>
      </c>
      <c r="AF56">
        <v>55</v>
      </c>
      <c r="AH56" t="s">
        <v>361</v>
      </c>
      <c r="AJ56">
        <v>109</v>
      </c>
      <c r="AK56" t="s">
        <v>200</v>
      </c>
      <c r="AM56">
        <v>2010</v>
      </c>
      <c r="AN56">
        <v>1575</v>
      </c>
    </row>
    <row r="57" spans="2:40" x14ac:dyDescent="0.25">
      <c r="B57" t="s">
        <v>333</v>
      </c>
      <c r="C57" t="s">
        <v>334</v>
      </c>
      <c r="D57" t="s">
        <v>335</v>
      </c>
      <c r="H57" t="s">
        <v>417</v>
      </c>
      <c r="AC57" t="s">
        <v>419</v>
      </c>
      <c r="AD57" t="s">
        <v>418</v>
      </c>
      <c r="AE57">
        <v>64</v>
      </c>
      <c r="AF57">
        <v>56</v>
      </c>
      <c r="AH57" t="s">
        <v>360</v>
      </c>
      <c r="AJ57">
        <v>102</v>
      </c>
      <c r="AK57" t="s">
        <v>200</v>
      </c>
      <c r="AM57">
        <v>2217</v>
      </c>
      <c r="AN57">
        <v>1575</v>
      </c>
    </row>
    <row r="58" spans="2:40" x14ac:dyDescent="0.25">
      <c r="B58" t="s">
        <v>333</v>
      </c>
      <c r="C58" t="s">
        <v>334</v>
      </c>
      <c r="D58" t="s">
        <v>335</v>
      </c>
      <c r="H58" t="s">
        <v>417</v>
      </c>
      <c r="AC58" t="s">
        <v>419</v>
      </c>
      <c r="AD58" t="s">
        <v>418</v>
      </c>
      <c r="AE58">
        <v>64</v>
      </c>
      <c r="AF58">
        <v>57</v>
      </c>
      <c r="AH58" t="s">
        <v>420</v>
      </c>
      <c r="AJ58">
        <v>104</v>
      </c>
      <c r="AK58" t="s">
        <v>200</v>
      </c>
      <c r="AM58">
        <v>765</v>
      </c>
      <c r="AN58">
        <v>1783</v>
      </c>
    </row>
    <row r="59" spans="2:40" x14ac:dyDescent="0.25">
      <c r="B59" t="s">
        <v>333</v>
      </c>
      <c r="C59" t="s">
        <v>334</v>
      </c>
      <c r="D59" t="s">
        <v>335</v>
      </c>
      <c r="H59" t="s">
        <v>417</v>
      </c>
      <c r="AC59" t="s">
        <v>419</v>
      </c>
      <c r="AD59" t="s">
        <v>418</v>
      </c>
      <c r="AE59">
        <v>64</v>
      </c>
      <c r="AF59">
        <v>58</v>
      </c>
      <c r="AH59" t="s">
        <v>360</v>
      </c>
      <c r="AJ59">
        <v>102</v>
      </c>
      <c r="AK59" t="s">
        <v>200</v>
      </c>
      <c r="AM59">
        <v>972</v>
      </c>
      <c r="AN59">
        <v>1783</v>
      </c>
    </row>
    <row r="60" spans="2:40" x14ac:dyDescent="0.25">
      <c r="B60" t="s">
        <v>333</v>
      </c>
      <c r="C60" t="s">
        <v>334</v>
      </c>
      <c r="D60" t="s">
        <v>335</v>
      </c>
      <c r="H60" t="s">
        <v>417</v>
      </c>
      <c r="AC60" t="s">
        <v>419</v>
      </c>
      <c r="AD60" t="s">
        <v>418</v>
      </c>
      <c r="AE60">
        <v>64</v>
      </c>
      <c r="AF60">
        <v>59</v>
      </c>
      <c r="AH60" t="s">
        <v>389</v>
      </c>
      <c r="AJ60">
        <v>501</v>
      </c>
      <c r="AK60" t="s">
        <v>204</v>
      </c>
      <c r="AM60">
        <v>1180</v>
      </c>
      <c r="AN60">
        <v>1783</v>
      </c>
    </row>
    <row r="61" spans="2:40" x14ac:dyDescent="0.25">
      <c r="B61" t="s">
        <v>333</v>
      </c>
      <c r="C61" t="s">
        <v>334</v>
      </c>
      <c r="D61" t="s">
        <v>335</v>
      </c>
      <c r="H61" t="s">
        <v>417</v>
      </c>
      <c r="AC61" t="s">
        <v>419</v>
      </c>
      <c r="AD61" t="s">
        <v>418</v>
      </c>
      <c r="AE61">
        <v>64</v>
      </c>
      <c r="AF61">
        <v>60</v>
      </c>
      <c r="AH61" t="s">
        <v>389</v>
      </c>
      <c r="AJ61">
        <v>501</v>
      </c>
      <c r="AK61" t="s">
        <v>204</v>
      </c>
      <c r="AM61">
        <v>1387</v>
      </c>
      <c r="AN61">
        <v>1783</v>
      </c>
    </row>
    <row r="62" spans="2:40" x14ac:dyDescent="0.25">
      <c r="B62" t="s">
        <v>333</v>
      </c>
      <c r="C62" t="s">
        <v>334</v>
      </c>
      <c r="D62" t="s">
        <v>335</v>
      </c>
      <c r="H62" t="s">
        <v>417</v>
      </c>
      <c r="AC62" t="s">
        <v>419</v>
      </c>
      <c r="AD62" t="s">
        <v>418</v>
      </c>
      <c r="AE62">
        <v>64</v>
      </c>
      <c r="AF62">
        <v>61</v>
      </c>
      <c r="AH62" t="s">
        <v>390</v>
      </c>
      <c r="AJ62">
        <v>903</v>
      </c>
      <c r="AK62" t="s">
        <v>208</v>
      </c>
      <c r="AM62">
        <v>1595</v>
      </c>
      <c r="AN62">
        <v>1783</v>
      </c>
    </row>
    <row r="63" spans="2:40" x14ac:dyDescent="0.25">
      <c r="B63" t="s">
        <v>333</v>
      </c>
      <c r="C63" t="s">
        <v>334</v>
      </c>
      <c r="D63" t="s">
        <v>335</v>
      </c>
      <c r="H63" t="s">
        <v>417</v>
      </c>
      <c r="AC63" t="s">
        <v>419</v>
      </c>
      <c r="AD63" t="s">
        <v>418</v>
      </c>
      <c r="AE63">
        <v>64</v>
      </c>
      <c r="AF63">
        <v>62</v>
      </c>
      <c r="AH63" t="s">
        <v>389</v>
      </c>
      <c r="AJ63">
        <v>501</v>
      </c>
      <c r="AK63" t="s">
        <v>204</v>
      </c>
      <c r="AM63">
        <v>1802</v>
      </c>
      <c r="AN63">
        <v>1783</v>
      </c>
    </row>
    <row r="64" spans="2:40" x14ac:dyDescent="0.25">
      <c r="B64" t="s">
        <v>333</v>
      </c>
      <c r="C64" t="s">
        <v>334</v>
      </c>
      <c r="D64" t="s">
        <v>335</v>
      </c>
      <c r="H64" t="s">
        <v>417</v>
      </c>
      <c r="AC64" t="s">
        <v>419</v>
      </c>
      <c r="AD64" t="s">
        <v>418</v>
      </c>
      <c r="AE64">
        <v>64</v>
      </c>
      <c r="AF64">
        <v>63</v>
      </c>
      <c r="AH64" t="s">
        <v>389</v>
      </c>
      <c r="AJ64">
        <v>501</v>
      </c>
      <c r="AK64" t="s">
        <v>204</v>
      </c>
      <c r="AM64">
        <v>2010</v>
      </c>
      <c r="AN64">
        <v>1783</v>
      </c>
    </row>
    <row r="65" spans="2:40" x14ac:dyDescent="0.25">
      <c r="B65" t="s">
        <v>333</v>
      </c>
      <c r="C65" t="s">
        <v>334</v>
      </c>
      <c r="D65" t="s">
        <v>335</v>
      </c>
      <c r="H65" t="s">
        <v>417</v>
      </c>
      <c r="AC65" t="s">
        <v>419</v>
      </c>
      <c r="AD65" t="s">
        <v>418</v>
      </c>
      <c r="AE65">
        <v>64</v>
      </c>
      <c r="AF65">
        <v>64</v>
      </c>
      <c r="AH65" t="s">
        <v>389</v>
      </c>
      <c r="AJ65">
        <v>501</v>
      </c>
      <c r="AK65" t="s">
        <v>204</v>
      </c>
      <c r="AM65">
        <v>2217</v>
      </c>
      <c r="AN65">
        <v>1783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140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28515625" bestFit="1" customWidth="1"/>
    <col min="30" max="30" width="43.42578125" bestFit="1" customWidth="1"/>
    <col min="32" max="32" width="7.140625" bestFit="1" customWidth="1"/>
    <col min="33" max="33" width="7.7109375" bestFit="1" customWidth="1"/>
    <col min="34" max="34" width="22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422</v>
      </c>
      <c r="AC2" t="s">
        <v>424</v>
      </c>
      <c r="AD2" t="s">
        <v>423</v>
      </c>
      <c r="AE2">
        <v>64</v>
      </c>
      <c r="AF2">
        <v>1</v>
      </c>
      <c r="AH2" t="s">
        <v>360</v>
      </c>
      <c r="AJ2">
        <v>102</v>
      </c>
      <c r="AK2" t="s">
        <v>200</v>
      </c>
      <c r="AM2">
        <v>623</v>
      </c>
      <c r="AN2">
        <v>289</v>
      </c>
    </row>
    <row r="3" spans="1:40" x14ac:dyDescent="0.25">
      <c r="B3" t="s">
        <v>333</v>
      </c>
      <c r="C3" t="s">
        <v>334</v>
      </c>
      <c r="D3" t="s">
        <v>335</v>
      </c>
      <c r="H3" t="s">
        <v>422</v>
      </c>
      <c r="AC3" t="s">
        <v>424</v>
      </c>
      <c r="AD3" t="s">
        <v>423</v>
      </c>
      <c r="AE3">
        <v>64</v>
      </c>
      <c r="AF3">
        <v>2</v>
      </c>
      <c r="AH3" t="s">
        <v>389</v>
      </c>
      <c r="AJ3">
        <v>501</v>
      </c>
      <c r="AK3" t="s">
        <v>204</v>
      </c>
      <c r="AM3">
        <v>831</v>
      </c>
      <c r="AN3">
        <v>289</v>
      </c>
    </row>
    <row r="4" spans="1:40" x14ac:dyDescent="0.25">
      <c r="B4" t="s">
        <v>333</v>
      </c>
      <c r="C4" t="s">
        <v>334</v>
      </c>
      <c r="D4" t="s">
        <v>335</v>
      </c>
      <c r="H4" t="s">
        <v>422</v>
      </c>
      <c r="AC4" t="s">
        <v>424</v>
      </c>
      <c r="AD4" t="s">
        <v>423</v>
      </c>
      <c r="AE4">
        <v>64</v>
      </c>
      <c r="AF4">
        <v>3</v>
      </c>
      <c r="AH4" t="s">
        <v>389</v>
      </c>
      <c r="AJ4">
        <v>501</v>
      </c>
      <c r="AK4" t="s">
        <v>204</v>
      </c>
      <c r="AM4">
        <v>1038</v>
      </c>
      <c r="AN4">
        <v>289</v>
      </c>
    </row>
    <row r="5" spans="1:40" x14ac:dyDescent="0.25">
      <c r="B5" t="s">
        <v>333</v>
      </c>
      <c r="C5" t="s">
        <v>334</v>
      </c>
      <c r="D5" t="s">
        <v>335</v>
      </c>
      <c r="H5" t="s">
        <v>422</v>
      </c>
      <c r="AC5" t="s">
        <v>424</v>
      </c>
      <c r="AD5" t="s">
        <v>423</v>
      </c>
      <c r="AE5">
        <v>64</v>
      </c>
      <c r="AF5">
        <v>4</v>
      </c>
      <c r="AH5" t="s">
        <v>396</v>
      </c>
      <c r="AJ5">
        <v>303</v>
      </c>
      <c r="AK5" t="s">
        <v>202</v>
      </c>
      <c r="AM5">
        <v>1246</v>
      </c>
      <c r="AN5">
        <v>289</v>
      </c>
    </row>
    <row r="6" spans="1:40" x14ac:dyDescent="0.25">
      <c r="B6" t="s">
        <v>333</v>
      </c>
      <c r="C6" t="s">
        <v>334</v>
      </c>
      <c r="D6" t="s">
        <v>335</v>
      </c>
      <c r="H6" t="s">
        <v>422</v>
      </c>
      <c r="AC6" t="s">
        <v>424</v>
      </c>
      <c r="AD6" t="s">
        <v>423</v>
      </c>
      <c r="AE6">
        <v>64</v>
      </c>
      <c r="AF6">
        <v>5</v>
      </c>
      <c r="AH6" t="s">
        <v>396</v>
      </c>
      <c r="AJ6">
        <v>303</v>
      </c>
      <c r="AK6" t="s">
        <v>202</v>
      </c>
      <c r="AM6">
        <v>1453</v>
      </c>
      <c r="AN6">
        <v>289</v>
      </c>
    </row>
    <row r="7" spans="1:40" x14ac:dyDescent="0.25">
      <c r="B7" t="s">
        <v>333</v>
      </c>
      <c r="C7" t="s">
        <v>334</v>
      </c>
      <c r="D7" t="s">
        <v>335</v>
      </c>
      <c r="H7" t="s">
        <v>422</v>
      </c>
      <c r="AC7" t="s">
        <v>424</v>
      </c>
      <c r="AD7" t="s">
        <v>423</v>
      </c>
      <c r="AE7">
        <v>64</v>
      </c>
      <c r="AF7">
        <v>6</v>
      </c>
      <c r="AH7" t="s">
        <v>396</v>
      </c>
      <c r="AJ7">
        <v>303</v>
      </c>
      <c r="AK7" t="s">
        <v>202</v>
      </c>
      <c r="AM7">
        <v>1661</v>
      </c>
      <c r="AN7">
        <v>289</v>
      </c>
    </row>
    <row r="8" spans="1:40" x14ac:dyDescent="0.25">
      <c r="B8" t="s">
        <v>333</v>
      </c>
      <c r="C8" t="s">
        <v>334</v>
      </c>
      <c r="D8" t="s">
        <v>335</v>
      </c>
      <c r="H8" t="s">
        <v>422</v>
      </c>
      <c r="AC8" t="s">
        <v>424</v>
      </c>
      <c r="AD8" t="s">
        <v>423</v>
      </c>
      <c r="AE8">
        <v>64</v>
      </c>
      <c r="AF8">
        <v>7</v>
      </c>
      <c r="AH8" t="s">
        <v>396</v>
      </c>
      <c r="AJ8">
        <v>303</v>
      </c>
      <c r="AK8" t="s">
        <v>202</v>
      </c>
      <c r="AM8">
        <v>1868</v>
      </c>
      <c r="AN8">
        <v>289</v>
      </c>
    </row>
    <row r="9" spans="1:40" x14ac:dyDescent="0.25">
      <c r="B9" t="s">
        <v>333</v>
      </c>
      <c r="C9" t="s">
        <v>334</v>
      </c>
      <c r="D9" t="s">
        <v>335</v>
      </c>
      <c r="H9" t="s">
        <v>422</v>
      </c>
      <c r="AC9" t="s">
        <v>424</v>
      </c>
      <c r="AD9" t="s">
        <v>423</v>
      </c>
      <c r="AE9">
        <v>64</v>
      </c>
      <c r="AF9">
        <v>8</v>
      </c>
      <c r="AH9" t="s">
        <v>420</v>
      </c>
      <c r="AJ9">
        <v>104</v>
      </c>
      <c r="AK9" t="s">
        <v>200</v>
      </c>
      <c r="AM9">
        <v>2076</v>
      </c>
      <c r="AN9">
        <v>289</v>
      </c>
    </row>
    <row r="10" spans="1:40" x14ac:dyDescent="0.25">
      <c r="B10" t="s">
        <v>333</v>
      </c>
      <c r="C10" t="s">
        <v>334</v>
      </c>
      <c r="D10" t="s">
        <v>335</v>
      </c>
      <c r="H10" t="s">
        <v>422</v>
      </c>
      <c r="AC10" t="s">
        <v>424</v>
      </c>
      <c r="AD10" t="s">
        <v>423</v>
      </c>
      <c r="AE10">
        <v>64</v>
      </c>
      <c r="AF10">
        <v>9</v>
      </c>
      <c r="AH10" t="s">
        <v>360</v>
      </c>
      <c r="AJ10">
        <v>102</v>
      </c>
      <c r="AK10" t="s">
        <v>200</v>
      </c>
      <c r="AM10">
        <v>623</v>
      </c>
      <c r="AN10">
        <v>497</v>
      </c>
    </row>
    <row r="11" spans="1:40" x14ac:dyDescent="0.25">
      <c r="B11" t="s">
        <v>333</v>
      </c>
      <c r="C11" t="s">
        <v>334</v>
      </c>
      <c r="D11" t="s">
        <v>335</v>
      </c>
      <c r="H11" t="s">
        <v>422</v>
      </c>
      <c r="AC11" t="s">
        <v>424</v>
      </c>
      <c r="AD11" t="s">
        <v>423</v>
      </c>
      <c r="AE11">
        <v>64</v>
      </c>
      <c r="AF11">
        <v>10</v>
      </c>
      <c r="AH11" t="s">
        <v>361</v>
      </c>
      <c r="AJ11">
        <v>109</v>
      </c>
      <c r="AK11" t="s">
        <v>200</v>
      </c>
      <c r="AM11">
        <v>831</v>
      </c>
      <c r="AN11">
        <v>497</v>
      </c>
    </row>
    <row r="12" spans="1:40" x14ac:dyDescent="0.25">
      <c r="B12" t="s">
        <v>333</v>
      </c>
      <c r="C12" t="s">
        <v>334</v>
      </c>
      <c r="D12" t="s">
        <v>335</v>
      </c>
      <c r="H12" t="s">
        <v>422</v>
      </c>
      <c r="AC12" t="s">
        <v>424</v>
      </c>
      <c r="AD12" t="s">
        <v>423</v>
      </c>
      <c r="AE12">
        <v>64</v>
      </c>
      <c r="AF12">
        <v>11</v>
      </c>
      <c r="AH12" t="s">
        <v>360</v>
      </c>
      <c r="AJ12">
        <v>102</v>
      </c>
      <c r="AK12" t="s">
        <v>200</v>
      </c>
      <c r="AM12">
        <v>1038</v>
      </c>
      <c r="AN12">
        <v>497</v>
      </c>
    </row>
    <row r="13" spans="1:40" x14ac:dyDescent="0.25">
      <c r="B13" t="s">
        <v>333</v>
      </c>
      <c r="C13" t="s">
        <v>334</v>
      </c>
      <c r="D13" t="s">
        <v>335</v>
      </c>
      <c r="H13" t="s">
        <v>422</v>
      </c>
      <c r="AC13" t="s">
        <v>424</v>
      </c>
      <c r="AD13" t="s">
        <v>423</v>
      </c>
      <c r="AE13">
        <v>64</v>
      </c>
      <c r="AF13">
        <v>12</v>
      </c>
      <c r="AH13" t="s">
        <v>389</v>
      </c>
      <c r="AJ13">
        <v>501</v>
      </c>
      <c r="AK13" t="s">
        <v>204</v>
      </c>
      <c r="AM13">
        <v>1246</v>
      </c>
      <c r="AN13">
        <v>497</v>
      </c>
    </row>
    <row r="14" spans="1:40" x14ac:dyDescent="0.25">
      <c r="B14" t="s">
        <v>333</v>
      </c>
      <c r="C14" t="s">
        <v>334</v>
      </c>
      <c r="D14" t="s">
        <v>335</v>
      </c>
      <c r="H14" t="s">
        <v>422</v>
      </c>
      <c r="AC14" t="s">
        <v>424</v>
      </c>
      <c r="AD14" t="s">
        <v>423</v>
      </c>
      <c r="AE14">
        <v>64</v>
      </c>
      <c r="AF14">
        <v>13</v>
      </c>
      <c r="AH14" t="s">
        <v>389</v>
      </c>
      <c r="AJ14">
        <v>501</v>
      </c>
      <c r="AK14" t="s">
        <v>204</v>
      </c>
      <c r="AM14">
        <v>1453</v>
      </c>
      <c r="AN14">
        <v>497</v>
      </c>
    </row>
    <row r="15" spans="1:40" x14ac:dyDescent="0.25">
      <c r="B15" t="s">
        <v>333</v>
      </c>
      <c r="C15" t="s">
        <v>334</v>
      </c>
      <c r="D15" t="s">
        <v>335</v>
      </c>
      <c r="H15" t="s">
        <v>422</v>
      </c>
      <c r="AC15" t="s">
        <v>424</v>
      </c>
      <c r="AD15" t="s">
        <v>423</v>
      </c>
      <c r="AE15">
        <v>64</v>
      </c>
      <c r="AF15">
        <v>14</v>
      </c>
      <c r="AH15" t="s">
        <v>389</v>
      </c>
      <c r="AJ15">
        <v>501</v>
      </c>
      <c r="AK15" t="s">
        <v>204</v>
      </c>
      <c r="AM15">
        <v>1661</v>
      </c>
      <c r="AN15">
        <v>497</v>
      </c>
    </row>
    <row r="16" spans="1:40" x14ac:dyDescent="0.25">
      <c r="B16" t="s">
        <v>333</v>
      </c>
      <c r="C16" t="s">
        <v>334</v>
      </c>
      <c r="D16" t="s">
        <v>335</v>
      </c>
      <c r="H16" t="s">
        <v>422</v>
      </c>
      <c r="AC16" t="s">
        <v>424</v>
      </c>
      <c r="AD16" t="s">
        <v>423</v>
      </c>
      <c r="AE16">
        <v>64</v>
      </c>
      <c r="AF16">
        <v>15</v>
      </c>
      <c r="AH16" t="s">
        <v>361</v>
      </c>
      <c r="AJ16">
        <v>109</v>
      </c>
      <c r="AK16" t="s">
        <v>200</v>
      </c>
      <c r="AM16">
        <v>1868</v>
      </c>
      <c r="AN16">
        <v>497</v>
      </c>
    </row>
    <row r="17" spans="2:40" x14ac:dyDescent="0.25">
      <c r="B17" t="s">
        <v>333</v>
      </c>
      <c r="C17" t="s">
        <v>334</v>
      </c>
      <c r="D17" t="s">
        <v>335</v>
      </c>
      <c r="H17" t="s">
        <v>422</v>
      </c>
      <c r="AC17" t="s">
        <v>424</v>
      </c>
      <c r="AD17" t="s">
        <v>423</v>
      </c>
      <c r="AE17">
        <v>64</v>
      </c>
      <c r="AF17">
        <v>16</v>
      </c>
      <c r="AH17" t="s">
        <v>389</v>
      </c>
      <c r="AJ17">
        <v>501</v>
      </c>
      <c r="AK17" t="s">
        <v>204</v>
      </c>
      <c r="AM17">
        <v>2076</v>
      </c>
      <c r="AN17">
        <v>497</v>
      </c>
    </row>
    <row r="18" spans="2:40" x14ac:dyDescent="0.25">
      <c r="B18" t="s">
        <v>333</v>
      </c>
      <c r="C18" t="s">
        <v>334</v>
      </c>
      <c r="D18" t="s">
        <v>335</v>
      </c>
      <c r="H18" t="s">
        <v>422</v>
      </c>
      <c r="AC18" t="s">
        <v>424</v>
      </c>
      <c r="AD18" t="s">
        <v>423</v>
      </c>
      <c r="AE18">
        <v>64</v>
      </c>
      <c r="AF18">
        <v>17</v>
      </c>
      <c r="AH18" t="s">
        <v>396</v>
      </c>
      <c r="AJ18">
        <v>303</v>
      </c>
      <c r="AK18" t="s">
        <v>202</v>
      </c>
      <c r="AM18">
        <v>623</v>
      </c>
      <c r="AN18">
        <v>705</v>
      </c>
    </row>
    <row r="19" spans="2:40" x14ac:dyDescent="0.25">
      <c r="B19" t="s">
        <v>333</v>
      </c>
      <c r="C19" t="s">
        <v>334</v>
      </c>
      <c r="D19" t="s">
        <v>335</v>
      </c>
      <c r="H19" t="s">
        <v>422</v>
      </c>
      <c r="AC19" t="s">
        <v>424</v>
      </c>
      <c r="AD19" t="s">
        <v>423</v>
      </c>
      <c r="AE19">
        <v>64</v>
      </c>
      <c r="AF19">
        <v>18</v>
      </c>
      <c r="AH19" t="s">
        <v>389</v>
      </c>
      <c r="AJ19">
        <v>501</v>
      </c>
      <c r="AK19" t="s">
        <v>204</v>
      </c>
      <c r="AM19">
        <v>831</v>
      </c>
      <c r="AN19">
        <v>705</v>
      </c>
    </row>
    <row r="20" spans="2:40" x14ac:dyDescent="0.25">
      <c r="B20" t="s">
        <v>333</v>
      </c>
      <c r="C20" t="s">
        <v>334</v>
      </c>
      <c r="D20" t="s">
        <v>335</v>
      </c>
      <c r="H20" t="s">
        <v>422</v>
      </c>
      <c r="AC20" t="s">
        <v>424</v>
      </c>
      <c r="AD20" t="s">
        <v>423</v>
      </c>
      <c r="AE20">
        <v>64</v>
      </c>
      <c r="AF20">
        <v>19</v>
      </c>
      <c r="AH20" t="s">
        <v>361</v>
      </c>
      <c r="AJ20">
        <v>109</v>
      </c>
      <c r="AK20" t="s">
        <v>200</v>
      </c>
      <c r="AM20">
        <v>1038</v>
      </c>
      <c r="AN20">
        <v>705</v>
      </c>
    </row>
    <row r="21" spans="2:40" x14ac:dyDescent="0.25">
      <c r="B21" t="s">
        <v>333</v>
      </c>
      <c r="C21" t="s">
        <v>334</v>
      </c>
      <c r="D21" t="s">
        <v>335</v>
      </c>
      <c r="H21" t="s">
        <v>422</v>
      </c>
      <c r="AC21" t="s">
        <v>424</v>
      </c>
      <c r="AD21" t="s">
        <v>423</v>
      </c>
      <c r="AE21">
        <v>64</v>
      </c>
      <c r="AF21">
        <v>20</v>
      </c>
      <c r="AH21" t="s">
        <v>389</v>
      </c>
      <c r="AJ21">
        <v>501</v>
      </c>
      <c r="AK21" t="s">
        <v>204</v>
      </c>
      <c r="AM21">
        <v>1246</v>
      </c>
      <c r="AN21">
        <v>705</v>
      </c>
    </row>
    <row r="22" spans="2:40" x14ac:dyDescent="0.25">
      <c r="B22" t="s">
        <v>333</v>
      </c>
      <c r="C22" t="s">
        <v>334</v>
      </c>
      <c r="D22" t="s">
        <v>335</v>
      </c>
      <c r="H22" t="s">
        <v>422</v>
      </c>
      <c r="AC22" t="s">
        <v>424</v>
      </c>
      <c r="AD22" t="s">
        <v>423</v>
      </c>
      <c r="AE22">
        <v>64</v>
      </c>
      <c r="AF22">
        <v>21</v>
      </c>
      <c r="AH22" t="s">
        <v>360</v>
      </c>
      <c r="AJ22">
        <v>102</v>
      </c>
      <c r="AK22" t="s">
        <v>200</v>
      </c>
      <c r="AM22">
        <v>1453</v>
      </c>
      <c r="AN22">
        <v>705</v>
      </c>
    </row>
    <row r="23" spans="2:40" x14ac:dyDescent="0.25">
      <c r="B23" t="s">
        <v>333</v>
      </c>
      <c r="C23" t="s">
        <v>334</v>
      </c>
      <c r="D23" t="s">
        <v>335</v>
      </c>
      <c r="H23" t="s">
        <v>422</v>
      </c>
      <c r="AC23" t="s">
        <v>424</v>
      </c>
      <c r="AD23" t="s">
        <v>423</v>
      </c>
      <c r="AE23">
        <v>64</v>
      </c>
      <c r="AF23">
        <v>22</v>
      </c>
      <c r="AH23" t="s">
        <v>361</v>
      </c>
      <c r="AJ23">
        <v>109</v>
      </c>
      <c r="AK23" t="s">
        <v>200</v>
      </c>
      <c r="AM23">
        <v>1661</v>
      </c>
      <c r="AN23">
        <v>705</v>
      </c>
    </row>
    <row r="24" spans="2:40" x14ac:dyDescent="0.25">
      <c r="B24" t="s">
        <v>333</v>
      </c>
      <c r="C24" t="s">
        <v>334</v>
      </c>
      <c r="D24" t="s">
        <v>335</v>
      </c>
      <c r="H24" t="s">
        <v>422</v>
      </c>
      <c r="AC24" t="s">
        <v>424</v>
      </c>
      <c r="AD24" t="s">
        <v>423</v>
      </c>
      <c r="AE24">
        <v>64</v>
      </c>
      <c r="AF24">
        <v>23</v>
      </c>
      <c r="AH24" t="s">
        <v>389</v>
      </c>
      <c r="AJ24">
        <v>501</v>
      </c>
      <c r="AK24" t="s">
        <v>204</v>
      </c>
      <c r="AM24">
        <v>1868</v>
      </c>
      <c r="AN24">
        <v>705</v>
      </c>
    </row>
    <row r="25" spans="2:40" x14ac:dyDescent="0.25">
      <c r="B25" t="s">
        <v>333</v>
      </c>
      <c r="C25" t="s">
        <v>334</v>
      </c>
      <c r="D25" t="s">
        <v>335</v>
      </c>
      <c r="H25" t="s">
        <v>422</v>
      </c>
      <c r="AC25" t="s">
        <v>424</v>
      </c>
      <c r="AD25" t="s">
        <v>423</v>
      </c>
      <c r="AE25">
        <v>64</v>
      </c>
      <c r="AF25">
        <v>24</v>
      </c>
      <c r="AH25" t="s">
        <v>420</v>
      </c>
      <c r="AJ25">
        <v>104</v>
      </c>
      <c r="AK25" t="s">
        <v>200</v>
      </c>
      <c r="AM25">
        <v>2076</v>
      </c>
      <c r="AN25">
        <v>705</v>
      </c>
    </row>
    <row r="26" spans="2:40" x14ac:dyDescent="0.25">
      <c r="B26" t="s">
        <v>333</v>
      </c>
      <c r="C26" t="s">
        <v>334</v>
      </c>
      <c r="D26" t="s">
        <v>335</v>
      </c>
      <c r="H26" t="s">
        <v>422</v>
      </c>
      <c r="AC26" t="s">
        <v>424</v>
      </c>
      <c r="AD26" t="s">
        <v>423</v>
      </c>
      <c r="AE26">
        <v>64</v>
      </c>
      <c r="AF26">
        <v>25</v>
      </c>
      <c r="AH26" t="s">
        <v>420</v>
      </c>
      <c r="AJ26">
        <v>104</v>
      </c>
      <c r="AK26" t="s">
        <v>200</v>
      </c>
      <c r="AM26">
        <v>623</v>
      </c>
      <c r="AN26">
        <v>912</v>
      </c>
    </row>
    <row r="27" spans="2:40" x14ac:dyDescent="0.25">
      <c r="B27" t="s">
        <v>333</v>
      </c>
      <c r="C27" t="s">
        <v>334</v>
      </c>
      <c r="D27" t="s">
        <v>335</v>
      </c>
      <c r="H27" t="s">
        <v>422</v>
      </c>
      <c r="AC27" t="s">
        <v>424</v>
      </c>
      <c r="AD27" t="s">
        <v>423</v>
      </c>
      <c r="AE27">
        <v>64</v>
      </c>
      <c r="AF27">
        <v>26</v>
      </c>
      <c r="AH27" t="s">
        <v>389</v>
      </c>
      <c r="AJ27">
        <v>501</v>
      </c>
      <c r="AK27" t="s">
        <v>204</v>
      </c>
      <c r="AM27">
        <v>831</v>
      </c>
      <c r="AN27">
        <v>912</v>
      </c>
    </row>
    <row r="28" spans="2:40" x14ac:dyDescent="0.25">
      <c r="B28" t="s">
        <v>333</v>
      </c>
      <c r="C28" t="s">
        <v>334</v>
      </c>
      <c r="D28" t="s">
        <v>335</v>
      </c>
      <c r="H28" t="s">
        <v>422</v>
      </c>
      <c r="AC28" t="s">
        <v>424</v>
      </c>
      <c r="AD28" t="s">
        <v>423</v>
      </c>
      <c r="AE28">
        <v>64</v>
      </c>
      <c r="AF28">
        <v>27</v>
      </c>
      <c r="AH28" t="s">
        <v>360</v>
      </c>
      <c r="AJ28">
        <v>102</v>
      </c>
      <c r="AK28" t="s">
        <v>200</v>
      </c>
      <c r="AM28">
        <v>1038</v>
      </c>
      <c r="AN28">
        <v>912</v>
      </c>
    </row>
    <row r="29" spans="2:40" x14ac:dyDescent="0.25">
      <c r="B29" t="s">
        <v>333</v>
      </c>
      <c r="C29" t="s">
        <v>334</v>
      </c>
      <c r="D29" t="s">
        <v>335</v>
      </c>
      <c r="H29" t="s">
        <v>422</v>
      </c>
      <c r="AC29" t="s">
        <v>424</v>
      </c>
      <c r="AD29" t="s">
        <v>423</v>
      </c>
      <c r="AE29">
        <v>64</v>
      </c>
      <c r="AF29">
        <v>28</v>
      </c>
      <c r="AH29" t="s">
        <v>361</v>
      </c>
      <c r="AJ29">
        <v>109</v>
      </c>
      <c r="AK29" t="s">
        <v>200</v>
      </c>
      <c r="AM29">
        <v>1246</v>
      </c>
      <c r="AN29">
        <v>912</v>
      </c>
    </row>
    <row r="30" spans="2:40" x14ac:dyDescent="0.25">
      <c r="B30" t="s">
        <v>333</v>
      </c>
      <c r="C30" t="s">
        <v>334</v>
      </c>
      <c r="D30" t="s">
        <v>335</v>
      </c>
      <c r="H30" t="s">
        <v>422</v>
      </c>
      <c r="AC30" t="s">
        <v>424</v>
      </c>
      <c r="AD30" t="s">
        <v>423</v>
      </c>
      <c r="AE30">
        <v>64</v>
      </c>
      <c r="AF30">
        <v>29</v>
      </c>
      <c r="AH30" t="s">
        <v>361</v>
      </c>
      <c r="AJ30">
        <v>109</v>
      </c>
      <c r="AK30" t="s">
        <v>200</v>
      </c>
      <c r="AM30">
        <v>1453</v>
      </c>
      <c r="AN30">
        <v>912</v>
      </c>
    </row>
    <row r="31" spans="2:40" x14ac:dyDescent="0.25">
      <c r="B31" t="s">
        <v>333</v>
      </c>
      <c r="C31" t="s">
        <v>334</v>
      </c>
      <c r="D31" t="s">
        <v>335</v>
      </c>
      <c r="H31" t="s">
        <v>422</v>
      </c>
      <c r="AC31" t="s">
        <v>424</v>
      </c>
      <c r="AD31" t="s">
        <v>423</v>
      </c>
      <c r="AE31">
        <v>64</v>
      </c>
      <c r="AF31">
        <v>30</v>
      </c>
      <c r="AH31" t="s">
        <v>389</v>
      </c>
      <c r="AJ31">
        <v>501</v>
      </c>
      <c r="AK31" t="s">
        <v>204</v>
      </c>
      <c r="AM31">
        <v>1661</v>
      </c>
      <c r="AN31">
        <v>912</v>
      </c>
    </row>
    <row r="32" spans="2:40" x14ac:dyDescent="0.25">
      <c r="B32" t="s">
        <v>333</v>
      </c>
      <c r="C32" t="s">
        <v>334</v>
      </c>
      <c r="D32" t="s">
        <v>335</v>
      </c>
      <c r="H32" t="s">
        <v>422</v>
      </c>
      <c r="AC32" t="s">
        <v>424</v>
      </c>
      <c r="AD32" t="s">
        <v>423</v>
      </c>
      <c r="AE32">
        <v>64</v>
      </c>
      <c r="AF32">
        <v>31</v>
      </c>
      <c r="AH32" t="s">
        <v>389</v>
      </c>
      <c r="AJ32">
        <v>501</v>
      </c>
      <c r="AK32" t="s">
        <v>204</v>
      </c>
      <c r="AM32">
        <v>1868</v>
      </c>
      <c r="AN32">
        <v>912</v>
      </c>
    </row>
    <row r="33" spans="2:40" x14ac:dyDescent="0.25">
      <c r="B33" t="s">
        <v>333</v>
      </c>
      <c r="C33" t="s">
        <v>334</v>
      </c>
      <c r="D33" t="s">
        <v>335</v>
      </c>
      <c r="H33" t="s">
        <v>422</v>
      </c>
      <c r="AC33" t="s">
        <v>424</v>
      </c>
      <c r="AD33" t="s">
        <v>423</v>
      </c>
      <c r="AE33">
        <v>64</v>
      </c>
      <c r="AF33">
        <v>32</v>
      </c>
      <c r="AH33" t="s">
        <v>396</v>
      </c>
      <c r="AJ33">
        <v>303</v>
      </c>
      <c r="AK33" t="s">
        <v>202</v>
      </c>
      <c r="AM33">
        <v>2076</v>
      </c>
      <c r="AN33">
        <v>912</v>
      </c>
    </row>
    <row r="34" spans="2:40" x14ac:dyDescent="0.25">
      <c r="B34" t="s">
        <v>333</v>
      </c>
      <c r="C34" t="s">
        <v>334</v>
      </c>
      <c r="D34" t="s">
        <v>335</v>
      </c>
      <c r="H34" t="s">
        <v>422</v>
      </c>
      <c r="AC34" t="s">
        <v>424</v>
      </c>
      <c r="AD34" t="s">
        <v>423</v>
      </c>
      <c r="AE34">
        <v>64</v>
      </c>
      <c r="AF34">
        <v>33</v>
      </c>
      <c r="AH34" t="s">
        <v>396</v>
      </c>
      <c r="AJ34">
        <v>303</v>
      </c>
      <c r="AK34" t="s">
        <v>202</v>
      </c>
      <c r="AM34">
        <v>623</v>
      </c>
      <c r="AN34">
        <v>1120</v>
      </c>
    </row>
    <row r="35" spans="2:40" x14ac:dyDescent="0.25">
      <c r="B35" t="s">
        <v>333</v>
      </c>
      <c r="C35" t="s">
        <v>334</v>
      </c>
      <c r="D35" t="s">
        <v>335</v>
      </c>
      <c r="H35" t="s">
        <v>422</v>
      </c>
      <c r="AC35" t="s">
        <v>424</v>
      </c>
      <c r="AD35" t="s">
        <v>423</v>
      </c>
      <c r="AE35">
        <v>64</v>
      </c>
      <c r="AF35">
        <v>34</v>
      </c>
      <c r="AH35" t="s">
        <v>389</v>
      </c>
      <c r="AJ35">
        <v>501</v>
      </c>
      <c r="AK35" t="s">
        <v>204</v>
      </c>
      <c r="AM35">
        <v>831</v>
      </c>
      <c r="AN35">
        <v>1120</v>
      </c>
    </row>
    <row r="36" spans="2:40" x14ac:dyDescent="0.25">
      <c r="B36" t="s">
        <v>333</v>
      </c>
      <c r="C36" t="s">
        <v>334</v>
      </c>
      <c r="D36" t="s">
        <v>335</v>
      </c>
      <c r="H36" t="s">
        <v>422</v>
      </c>
      <c r="AC36" t="s">
        <v>424</v>
      </c>
      <c r="AD36" t="s">
        <v>423</v>
      </c>
      <c r="AE36">
        <v>64</v>
      </c>
      <c r="AF36">
        <v>35</v>
      </c>
      <c r="AH36" t="s">
        <v>389</v>
      </c>
      <c r="AJ36">
        <v>501</v>
      </c>
      <c r="AK36" t="s">
        <v>204</v>
      </c>
      <c r="AM36">
        <v>1038</v>
      </c>
      <c r="AN36">
        <v>1120</v>
      </c>
    </row>
    <row r="37" spans="2:40" x14ac:dyDescent="0.25">
      <c r="B37" t="s">
        <v>333</v>
      </c>
      <c r="C37" t="s">
        <v>334</v>
      </c>
      <c r="D37" t="s">
        <v>335</v>
      </c>
      <c r="H37" t="s">
        <v>422</v>
      </c>
      <c r="AC37" t="s">
        <v>424</v>
      </c>
      <c r="AD37" t="s">
        <v>423</v>
      </c>
      <c r="AE37">
        <v>64</v>
      </c>
      <c r="AF37">
        <v>36</v>
      </c>
      <c r="AH37" t="s">
        <v>361</v>
      </c>
      <c r="AJ37">
        <v>109</v>
      </c>
      <c r="AK37" t="s">
        <v>200</v>
      </c>
      <c r="AM37">
        <v>1246</v>
      </c>
      <c r="AN37">
        <v>1120</v>
      </c>
    </row>
    <row r="38" spans="2:40" x14ac:dyDescent="0.25">
      <c r="B38" t="s">
        <v>333</v>
      </c>
      <c r="C38" t="s">
        <v>334</v>
      </c>
      <c r="D38" t="s">
        <v>335</v>
      </c>
      <c r="H38" t="s">
        <v>422</v>
      </c>
      <c r="AC38" t="s">
        <v>424</v>
      </c>
      <c r="AD38" t="s">
        <v>423</v>
      </c>
      <c r="AE38">
        <v>64</v>
      </c>
      <c r="AF38">
        <v>37</v>
      </c>
      <c r="AH38" t="s">
        <v>361</v>
      </c>
      <c r="AJ38">
        <v>109</v>
      </c>
      <c r="AK38" t="s">
        <v>200</v>
      </c>
      <c r="AM38">
        <v>1453</v>
      </c>
      <c r="AN38">
        <v>1120</v>
      </c>
    </row>
    <row r="39" spans="2:40" x14ac:dyDescent="0.25">
      <c r="B39" t="s">
        <v>333</v>
      </c>
      <c r="C39" t="s">
        <v>334</v>
      </c>
      <c r="D39" t="s">
        <v>335</v>
      </c>
      <c r="H39" t="s">
        <v>422</v>
      </c>
      <c r="AC39" t="s">
        <v>424</v>
      </c>
      <c r="AD39" t="s">
        <v>423</v>
      </c>
      <c r="AE39">
        <v>64</v>
      </c>
      <c r="AF39">
        <v>38</v>
      </c>
      <c r="AH39" t="s">
        <v>389</v>
      </c>
      <c r="AJ39">
        <v>501</v>
      </c>
      <c r="AK39" t="s">
        <v>204</v>
      </c>
      <c r="AM39">
        <v>1661</v>
      </c>
      <c r="AN39">
        <v>1120</v>
      </c>
    </row>
    <row r="40" spans="2:40" x14ac:dyDescent="0.25">
      <c r="B40" t="s">
        <v>333</v>
      </c>
      <c r="C40" t="s">
        <v>334</v>
      </c>
      <c r="D40" t="s">
        <v>335</v>
      </c>
      <c r="H40" t="s">
        <v>422</v>
      </c>
      <c r="AC40" t="s">
        <v>424</v>
      </c>
      <c r="AD40" t="s">
        <v>423</v>
      </c>
      <c r="AE40">
        <v>64</v>
      </c>
      <c r="AF40">
        <v>39</v>
      </c>
      <c r="AH40" t="s">
        <v>389</v>
      </c>
      <c r="AJ40">
        <v>501</v>
      </c>
      <c r="AK40" t="s">
        <v>204</v>
      </c>
      <c r="AM40">
        <v>1868</v>
      </c>
      <c r="AN40">
        <v>1120</v>
      </c>
    </row>
    <row r="41" spans="2:40" x14ac:dyDescent="0.25">
      <c r="B41" t="s">
        <v>333</v>
      </c>
      <c r="C41" t="s">
        <v>334</v>
      </c>
      <c r="D41" t="s">
        <v>335</v>
      </c>
      <c r="H41" t="s">
        <v>422</v>
      </c>
      <c r="AC41" t="s">
        <v>424</v>
      </c>
      <c r="AD41" t="s">
        <v>423</v>
      </c>
      <c r="AE41">
        <v>64</v>
      </c>
      <c r="AF41">
        <v>40</v>
      </c>
      <c r="AH41" t="s">
        <v>396</v>
      </c>
      <c r="AJ41">
        <v>303</v>
      </c>
      <c r="AK41" t="s">
        <v>202</v>
      </c>
      <c r="AM41">
        <v>2076</v>
      </c>
      <c r="AN41">
        <v>1120</v>
      </c>
    </row>
    <row r="42" spans="2:40" x14ac:dyDescent="0.25">
      <c r="B42" t="s">
        <v>333</v>
      </c>
      <c r="C42" t="s">
        <v>334</v>
      </c>
      <c r="D42" t="s">
        <v>335</v>
      </c>
      <c r="H42" t="s">
        <v>422</v>
      </c>
      <c r="AC42" t="s">
        <v>424</v>
      </c>
      <c r="AD42" t="s">
        <v>423</v>
      </c>
      <c r="AE42">
        <v>64</v>
      </c>
      <c r="AF42">
        <v>41</v>
      </c>
      <c r="AH42" t="s">
        <v>396</v>
      </c>
      <c r="AJ42">
        <v>303</v>
      </c>
      <c r="AK42" t="s">
        <v>202</v>
      </c>
      <c r="AM42">
        <v>623</v>
      </c>
      <c r="AN42">
        <v>1327</v>
      </c>
    </row>
    <row r="43" spans="2:40" x14ac:dyDescent="0.25">
      <c r="B43" t="s">
        <v>333</v>
      </c>
      <c r="C43" t="s">
        <v>334</v>
      </c>
      <c r="D43" t="s">
        <v>335</v>
      </c>
      <c r="H43" t="s">
        <v>422</v>
      </c>
      <c r="AC43" t="s">
        <v>424</v>
      </c>
      <c r="AD43" t="s">
        <v>423</v>
      </c>
      <c r="AE43">
        <v>64</v>
      </c>
      <c r="AF43">
        <v>42</v>
      </c>
      <c r="AH43" t="s">
        <v>389</v>
      </c>
      <c r="AJ43">
        <v>501</v>
      </c>
      <c r="AK43" t="s">
        <v>204</v>
      </c>
      <c r="AM43">
        <v>831</v>
      </c>
      <c r="AN43">
        <v>1327</v>
      </c>
    </row>
    <row r="44" spans="2:40" x14ac:dyDescent="0.25">
      <c r="B44" t="s">
        <v>333</v>
      </c>
      <c r="C44" t="s">
        <v>334</v>
      </c>
      <c r="D44" t="s">
        <v>335</v>
      </c>
      <c r="H44" t="s">
        <v>422</v>
      </c>
      <c r="AC44" t="s">
        <v>424</v>
      </c>
      <c r="AD44" t="s">
        <v>423</v>
      </c>
      <c r="AE44">
        <v>64</v>
      </c>
      <c r="AF44">
        <v>43</v>
      </c>
      <c r="AH44" t="s">
        <v>361</v>
      </c>
      <c r="AJ44">
        <v>109</v>
      </c>
      <c r="AK44" t="s">
        <v>200</v>
      </c>
      <c r="AM44">
        <v>1038</v>
      </c>
      <c r="AN44">
        <v>1327</v>
      </c>
    </row>
    <row r="45" spans="2:40" x14ac:dyDescent="0.25">
      <c r="B45" t="s">
        <v>333</v>
      </c>
      <c r="C45" t="s">
        <v>334</v>
      </c>
      <c r="D45" t="s">
        <v>335</v>
      </c>
      <c r="H45" t="s">
        <v>422</v>
      </c>
      <c r="AC45" t="s">
        <v>424</v>
      </c>
      <c r="AD45" t="s">
        <v>423</v>
      </c>
      <c r="AE45">
        <v>64</v>
      </c>
      <c r="AF45">
        <v>44</v>
      </c>
      <c r="AH45" t="s">
        <v>389</v>
      </c>
      <c r="AJ45">
        <v>501</v>
      </c>
      <c r="AK45" t="s">
        <v>204</v>
      </c>
      <c r="AM45">
        <v>1246</v>
      </c>
      <c r="AN45">
        <v>1327</v>
      </c>
    </row>
    <row r="46" spans="2:40" x14ac:dyDescent="0.25">
      <c r="B46" t="s">
        <v>333</v>
      </c>
      <c r="C46" t="s">
        <v>334</v>
      </c>
      <c r="D46" t="s">
        <v>335</v>
      </c>
      <c r="H46" t="s">
        <v>422</v>
      </c>
      <c r="AC46" t="s">
        <v>424</v>
      </c>
      <c r="AD46" t="s">
        <v>423</v>
      </c>
      <c r="AE46">
        <v>64</v>
      </c>
      <c r="AF46">
        <v>45</v>
      </c>
      <c r="AH46" t="s">
        <v>389</v>
      </c>
      <c r="AJ46">
        <v>501</v>
      </c>
      <c r="AK46" t="s">
        <v>204</v>
      </c>
      <c r="AM46">
        <v>1453</v>
      </c>
      <c r="AN46">
        <v>1327</v>
      </c>
    </row>
    <row r="47" spans="2:40" x14ac:dyDescent="0.25">
      <c r="B47" t="s">
        <v>333</v>
      </c>
      <c r="C47" t="s">
        <v>334</v>
      </c>
      <c r="D47" t="s">
        <v>335</v>
      </c>
      <c r="H47" t="s">
        <v>422</v>
      </c>
      <c r="AC47" t="s">
        <v>424</v>
      </c>
      <c r="AD47" t="s">
        <v>423</v>
      </c>
      <c r="AE47">
        <v>64</v>
      </c>
      <c r="AF47">
        <v>46</v>
      </c>
      <c r="AH47" t="s">
        <v>361</v>
      </c>
      <c r="AJ47">
        <v>109</v>
      </c>
      <c r="AK47" t="s">
        <v>200</v>
      </c>
      <c r="AM47">
        <v>1661</v>
      </c>
      <c r="AN47">
        <v>1327</v>
      </c>
    </row>
    <row r="48" spans="2:40" x14ac:dyDescent="0.25">
      <c r="B48" t="s">
        <v>333</v>
      </c>
      <c r="C48" t="s">
        <v>334</v>
      </c>
      <c r="D48" t="s">
        <v>335</v>
      </c>
      <c r="H48" t="s">
        <v>422</v>
      </c>
      <c r="AC48" t="s">
        <v>424</v>
      </c>
      <c r="AD48" t="s">
        <v>423</v>
      </c>
      <c r="AE48">
        <v>64</v>
      </c>
      <c r="AF48">
        <v>47</v>
      </c>
      <c r="AH48" t="s">
        <v>389</v>
      </c>
      <c r="AJ48">
        <v>501</v>
      </c>
      <c r="AK48" t="s">
        <v>204</v>
      </c>
      <c r="AM48">
        <v>1868</v>
      </c>
      <c r="AN48">
        <v>1327</v>
      </c>
    </row>
    <row r="49" spans="2:40" x14ac:dyDescent="0.25">
      <c r="B49" t="s">
        <v>333</v>
      </c>
      <c r="C49" t="s">
        <v>334</v>
      </c>
      <c r="D49" t="s">
        <v>335</v>
      </c>
      <c r="H49" t="s">
        <v>422</v>
      </c>
      <c r="AC49" t="s">
        <v>424</v>
      </c>
      <c r="AD49" t="s">
        <v>423</v>
      </c>
      <c r="AE49">
        <v>64</v>
      </c>
      <c r="AF49">
        <v>48</v>
      </c>
      <c r="AH49" t="s">
        <v>396</v>
      </c>
      <c r="AJ49">
        <v>303</v>
      </c>
      <c r="AK49" t="s">
        <v>202</v>
      </c>
      <c r="AM49">
        <v>2076</v>
      </c>
      <c r="AN49">
        <v>1327</v>
      </c>
    </row>
    <row r="50" spans="2:40" x14ac:dyDescent="0.25">
      <c r="B50" t="s">
        <v>333</v>
      </c>
      <c r="C50" t="s">
        <v>334</v>
      </c>
      <c r="D50" t="s">
        <v>335</v>
      </c>
      <c r="H50" t="s">
        <v>422</v>
      </c>
      <c r="AC50" t="s">
        <v>424</v>
      </c>
      <c r="AD50" t="s">
        <v>423</v>
      </c>
      <c r="AE50">
        <v>64</v>
      </c>
      <c r="AF50">
        <v>49</v>
      </c>
      <c r="AH50" t="s">
        <v>396</v>
      </c>
      <c r="AJ50">
        <v>303</v>
      </c>
      <c r="AK50" t="s">
        <v>202</v>
      </c>
      <c r="AM50">
        <v>623</v>
      </c>
      <c r="AN50">
        <v>1535</v>
      </c>
    </row>
    <row r="51" spans="2:40" x14ac:dyDescent="0.25">
      <c r="B51" t="s">
        <v>333</v>
      </c>
      <c r="C51" t="s">
        <v>334</v>
      </c>
      <c r="D51" t="s">
        <v>335</v>
      </c>
      <c r="H51" t="s">
        <v>422</v>
      </c>
      <c r="AC51" t="s">
        <v>424</v>
      </c>
      <c r="AD51" t="s">
        <v>423</v>
      </c>
      <c r="AE51">
        <v>64</v>
      </c>
      <c r="AF51">
        <v>50</v>
      </c>
      <c r="AH51" t="s">
        <v>361</v>
      </c>
      <c r="AJ51">
        <v>109</v>
      </c>
      <c r="AK51" t="s">
        <v>200</v>
      </c>
      <c r="AM51">
        <v>831</v>
      </c>
      <c r="AN51">
        <v>1535</v>
      </c>
    </row>
    <row r="52" spans="2:40" x14ac:dyDescent="0.25">
      <c r="B52" t="s">
        <v>333</v>
      </c>
      <c r="C52" t="s">
        <v>334</v>
      </c>
      <c r="D52" t="s">
        <v>335</v>
      </c>
      <c r="H52" t="s">
        <v>422</v>
      </c>
      <c r="AC52" t="s">
        <v>424</v>
      </c>
      <c r="AD52" t="s">
        <v>423</v>
      </c>
      <c r="AE52">
        <v>64</v>
      </c>
      <c r="AF52">
        <v>51</v>
      </c>
      <c r="AH52" t="s">
        <v>389</v>
      </c>
      <c r="AJ52">
        <v>501</v>
      </c>
      <c r="AK52" t="s">
        <v>204</v>
      </c>
      <c r="AM52">
        <v>1038</v>
      </c>
      <c r="AN52">
        <v>1535</v>
      </c>
    </row>
    <row r="53" spans="2:40" x14ac:dyDescent="0.25">
      <c r="B53" t="s">
        <v>333</v>
      </c>
      <c r="C53" t="s">
        <v>334</v>
      </c>
      <c r="D53" t="s">
        <v>335</v>
      </c>
      <c r="H53" t="s">
        <v>422</v>
      </c>
      <c r="AC53" t="s">
        <v>424</v>
      </c>
      <c r="AD53" t="s">
        <v>423</v>
      </c>
      <c r="AE53">
        <v>64</v>
      </c>
      <c r="AF53">
        <v>52</v>
      </c>
      <c r="AH53" t="s">
        <v>389</v>
      </c>
      <c r="AJ53">
        <v>501</v>
      </c>
      <c r="AK53" t="s">
        <v>204</v>
      </c>
      <c r="AM53">
        <v>1246</v>
      </c>
      <c r="AN53">
        <v>1535</v>
      </c>
    </row>
    <row r="54" spans="2:40" x14ac:dyDescent="0.25">
      <c r="B54" t="s">
        <v>333</v>
      </c>
      <c r="C54" t="s">
        <v>334</v>
      </c>
      <c r="D54" t="s">
        <v>335</v>
      </c>
      <c r="H54" t="s">
        <v>422</v>
      </c>
      <c r="AC54" t="s">
        <v>424</v>
      </c>
      <c r="AD54" t="s">
        <v>423</v>
      </c>
      <c r="AE54">
        <v>64</v>
      </c>
      <c r="AF54">
        <v>53</v>
      </c>
      <c r="AH54" t="s">
        <v>389</v>
      </c>
      <c r="AJ54">
        <v>501</v>
      </c>
      <c r="AK54" t="s">
        <v>204</v>
      </c>
      <c r="AM54">
        <v>1453</v>
      </c>
      <c r="AN54">
        <v>1535</v>
      </c>
    </row>
    <row r="55" spans="2:40" x14ac:dyDescent="0.25">
      <c r="B55" t="s">
        <v>333</v>
      </c>
      <c r="C55" t="s">
        <v>334</v>
      </c>
      <c r="D55" t="s">
        <v>335</v>
      </c>
      <c r="H55" t="s">
        <v>422</v>
      </c>
      <c r="AC55" t="s">
        <v>424</v>
      </c>
      <c r="AD55" t="s">
        <v>423</v>
      </c>
      <c r="AE55">
        <v>64</v>
      </c>
      <c r="AF55">
        <v>54</v>
      </c>
      <c r="AH55" t="s">
        <v>389</v>
      </c>
      <c r="AJ55">
        <v>501</v>
      </c>
      <c r="AK55" t="s">
        <v>204</v>
      </c>
      <c r="AM55">
        <v>1661</v>
      </c>
      <c r="AN55">
        <v>1535</v>
      </c>
    </row>
    <row r="56" spans="2:40" x14ac:dyDescent="0.25">
      <c r="B56" t="s">
        <v>333</v>
      </c>
      <c r="C56" t="s">
        <v>334</v>
      </c>
      <c r="D56" t="s">
        <v>335</v>
      </c>
      <c r="H56" t="s">
        <v>422</v>
      </c>
      <c r="AC56" t="s">
        <v>424</v>
      </c>
      <c r="AD56" t="s">
        <v>423</v>
      </c>
      <c r="AE56">
        <v>64</v>
      </c>
      <c r="AF56">
        <v>55</v>
      </c>
      <c r="AH56" t="s">
        <v>361</v>
      </c>
      <c r="AJ56">
        <v>109</v>
      </c>
      <c r="AK56" t="s">
        <v>200</v>
      </c>
      <c r="AM56">
        <v>1868</v>
      </c>
      <c r="AN56">
        <v>1535</v>
      </c>
    </row>
    <row r="57" spans="2:40" x14ac:dyDescent="0.25">
      <c r="B57" t="s">
        <v>333</v>
      </c>
      <c r="C57" t="s">
        <v>334</v>
      </c>
      <c r="D57" t="s">
        <v>335</v>
      </c>
      <c r="H57" t="s">
        <v>422</v>
      </c>
      <c r="AC57" t="s">
        <v>424</v>
      </c>
      <c r="AD57" t="s">
        <v>423</v>
      </c>
      <c r="AE57">
        <v>64</v>
      </c>
      <c r="AF57">
        <v>56</v>
      </c>
      <c r="AH57" t="s">
        <v>396</v>
      </c>
      <c r="AJ57">
        <v>303</v>
      </c>
      <c r="AK57" t="s">
        <v>202</v>
      </c>
      <c r="AM57">
        <v>2076</v>
      </c>
      <c r="AN57">
        <v>1535</v>
      </c>
    </row>
    <row r="58" spans="2:40" x14ac:dyDescent="0.25">
      <c r="B58" t="s">
        <v>333</v>
      </c>
      <c r="C58" t="s">
        <v>334</v>
      </c>
      <c r="D58" t="s">
        <v>335</v>
      </c>
      <c r="H58" t="s">
        <v>422</v>
      </c>
      <c r="AC58" t="s">
        <v>424</v>
      </c>
      <c r="AD58" t="s">
        <v>423</v>
      </c>
      <c r="AE58">
        <v>64</v>
      </c>
      <c r="AF58">
        <v>57</v>
      </c>
      <c r="AH58" t="s">
        <v>420</v>
      </c>
      <c r="AJ58">
        <v>104</v>
      </c>
      <c r="AK58" t="s">
        <v>200</v>
      </c>
      <c r="AM58">
        <v>623</v>
      </c>
      <c r="AN58">
        <v>1742</v>
      </c>
    </row>
    <row r="59" spans="2:40" x14ac:dyDescent="0.25">
      <c r="B59" t="s">
        <v>333</v>
      </c>
      <c r="C59" t="s">
        <v>334</v>
      </c>
      <c r="D59" t="s">
        <v>335</v>
      </c>
      <c r="H59" t="s">
        <v>422</v>
      </c>
      <c r="AC59" t="s">
        <v>424</v>
      </c>
      <c r="AD59" t="s">
        <v>423</v>
      </c>
      <c r="AE59">
        <v>64</v>
      </c>
      <c r="AF59">
        <v>58</v>
      </c>
      <c r="AH59" t="s">
        <v>360</v>
      </c>
      <c r="AJ59">
        <v>102</v>
      </c>
      <c r="AK59" t="s">
        <v>200</v>
      </c>
      <c r="AM59">
        <v>831</v>
      </c>
      <c r="AN59">
        <v>1742</v>
      </c>
    </row>
    <row r="60" spans="2:40" x14ac:dyDescent="0.25">
      <c r="B60" t="s">
        <v>333</v>
      </c>
      <c r="C60" t="s">
        <v>334</v>
      </c>
      <c r="D60" t="s">
        <v>335</v>
      </c>
      <c r="H60" t="s">
        <v>422</v>
      </c>
      <c r="AC60" t="s">
        <v>424</v>
      </c>
      <c r="AD60" t="s">
        <v>423</v>
      </c>
      <c r="AE60">
        <v>64</v>
      </c>
      <c r="AF60">
        <v>59</v>
      </c>
      <c r="AH60" t="s">
        <v>396</v>
      </c>
      <c r="AJ60">
        <v>303</v>
      </c>
      <c r="AK60" t="s">
        <v>202</v>
      </c>
      <c r="AM60">
        <v>1038</v>
      </c>
      <c r="AN60">
        <v>1742</v>
      </c>
    </row>
    <row r="61" spans="2:40" x14ac:dyDescent="0.25">
      <c r="B61" t="s">
        <v>333</v>
      </c>
      <c r="C61" t="s">
        <v>334</v>
      </c>
      <c r="D61" t="s">
        <v>335</v>
      </c>
      <c r="H61" t="s">
        <v>422</v>
      </c>
      <c r="AC61" t="s">
        <v>424</v>
      </c>
      <c r="AD61" t="s">
        <v>423</v>
      </c>
      <c r="AE61">
        <v>64</v>
      </c>
      <c r="AF61">
        <v>60</v>
      </c>
      <c r="AH61" t="s">
        <v>396</v>
      </c>
      <c r="AJ61">
        <v>303</v>
      </c>
      <c r="AK61" t="s">
        <v>202</v>
      </c>
      <c r="AM61">
        <v>1246</v>
      </c>
      <c r="AN61">
        <v>1742</v>
      </c>
    </row>
    <row r="62" spans="2:40" x14ac:dyDescent="0.25">
      <c r="B62" t="s">
        <v>333</v>
      </c>
      <c r="C62" t="s">
        <v>334</v>
      </c>
      <c r="D62" t="s">
        <v>335</v>
      </c>
      <c r="H62" t="s">
        <v>422</v>
      </c>
      <c r="AC62" t="s">
        <v>424</v>
      </c>
      <c r="AD62" t="s">
        <v>423</v>
      </c>
      <c r="AE62">
        <v>64</v>
      </c>
      <c r="AF62">
        <v>61</v>
      </c>
      <c r="AH62" t="s">
        <v>396</v>
      </c>
      <c r="AJ62">
        <v>303</v>
      </c>
      <c r="AK62" t="s">
        <v>202</v>
      </c>
      <c r="AM62">
        <v>1453</v>
      </c>
      <c r="AN62">
        <v>1742</v>
      </c>
    </row>
    <row r="63" spans="2:40" x14ac:dyDescent="0.25">
      <c r="B63" t="s">
        <v>333</v>
      </c>
      <c r="C63" t="s">
        <v>334</v>
      </c>
      <c r="D63" t="s">
        <v>335</v>
      </c>
      <c r="H63" t="s">
        <v>422</v>
      </c>
      <c r="AC63" t="s">
        <v>424</v>
      </c>
      <c r="AD63" t="s">
        <v>423</v>
      </c>
      <c r="AE63">
        <v>64</v>
      </c>
      <c r="AF63">
        <v>62</v>
      </c>
      <c r="AH63" t="s">
        <v>396</v>
      </c>
      <c r="AJ63">
        <v>303</v>
      </c>
      <c r="AK63" t="s">
        <v>202</v>
      </c>
      <c r="AM63">
        <v>1661</v>
      </c>
      <c r="AN63">
        <v>1742</v>
      </c>
    </row>
    <row r="64" spans="2:40" x14ac:dyDescent="0.25">
      <c r="B64" t="s">
        <v>333</v>
      </c>
      <c r="C64" t="s">
        <v>334</v>
      </c>
      <c r="D64" t="s">
        <v>335</v>
      </c>
      <c r="H64" t="s">
        <v>422</v>
      </c>
      <c r="AC64" t="s">
        <v>424</v>
      </c>
      <c r="AD64" t="s">
        <v>423</v>
      </c>
      <c r="AE64">
        <v>64</v>
      </c>
      <c r="AF64">
        <v>63</v>
      </c>
      <c r="AH64" t="s">
        <v>396</v>
      </c>
      <c r="AJ64">
        <v>303</v>
      </c>
      <c r="AK64" t="s">
        <v>202</v>
      </c>
      <c r="AM64">
        <v>1868</v>
      </c>
      <c r="AN64">
        <v>1742</v>
      </c>
    </row>
    <row r="65" spans="2:40" x14ac:dyDescent="0.25">
      <c r="B65" t="s">
        <v>333</v>
      </c>
      <c r="C65" t="s">
        <v>334</v>
      </c>
      <c r="D65" t="s">
        <v>335</v>
      </c>
      <c r="H65" t="s">
        <v>422</v>
      </c>
      <c r="AC65" t="s">
        <v>424</v>
      </c>
      <c r="AD65" t="s">
        <v>423</v>
      </c>
      <c r="AE65">
        <v>64</v>
      </c>
      <c r="AF65">
        <v>64</v>
      </c>
      <c r="AH65" t="s">
        <v>396</v>
      </c>
      <c r="AJ65">
        <v>303</v>
      </c>
      <c r="AK65" t="s">
        <v>202</v>
      </c>
      <c r="AM65">
        <v>2076</v>
      </c>
      <c r="AN65">
        <v>1742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28515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42578125" bestFit="1" customWidth="1"/>
    <col min="30" max="30" width="43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426</v>
      </c>
      <c r="AC2" t="s">
        <v>428</v>
      </c>
      <c r="AD2" t="s">
        <v>427</v>
      </c>
      <c r="AE2">
        <v>64</v>
      </c>
      <c r="AF2">
        <v>1</v>
      </c>
      <c r="AH2" t="s">
        <v>389</v>
      </c>
      <c r="AJ2">
        <v>501</v>
      </c>
      <c r="AK2" t="s">
        <v>204</v>
      </c>
      <c r="AM2">
        <v>634</v>
      </c>
      <c r="AN2">
        <v>399</v>
      </c>
    </row>
    <row r="3" spans="1:40" x14ac:dyDescent="0.25">
      <c r="B3" t="s">
        <v>333</v>
      </c>
      <c r="C3" t="s">
        <v>334</v>
      </c>
      <c r="D3" t="s">
        <v>335</v>
      </c>
      <c r="H3" t="s">
        <v>426</v>
      </c>
      <c r="AC3" t="s">
        <v>428</v>
      </c>
      <c r="AD3" t="s">
        <v>427</v>
      </c>
      <c r="AE3">
        <v>64</v>
      </c>
      <c r="AF3">
        <v>2</v>
      </c>
      <c r="AH3" t="s">
        <v>389</v>
      </c>
      <c r="AJ3">
        <v>501</v>
      </c>
      <c r="AK3" t="s">
        <v>204</v>
      </c>
      <c r="AM3">
        <v>839</v>
      </c>
      <c r="AN3">
        <v>399</v>
      </c>
    </row>
    <row r="4" spans="1:40" x14ac:dyDescent="0.25">
      <c r="B4" t="s">
        <v>333</v>
      </c>
      <c r="C4" t="s">
        <v>334</v>
      </c>
      <c r="D4" t="s">
        <v>335</v>
      </c>
      <c r="H4" t="s">
        <v>426</v>
      </c>
      <c r="AC4" t="s">
        <v>428</v>
      </c>
      <c r="AD4" t="s">
        <v>427</v>
      </c>
      <c r="AE4">
        <v>64</v>
      </c>
      <c r="AF4">
        <v>3</v>
      </c>
      <c r="AH4" t="s">
        <v>360</v>
      </c>
      <c r="AJ4">
        <v>102</v>
      </c>
      <c r="AK4" t="s">
        <v>200</v>
      </c>
      <c r="AM4">
        <v>1044</v>
      </c>
      <c r="AN4">
        <v>399</v>
      </c>
    </row>
    <row r="5" spans="1:40" x14ac:dyDescent="0.25">
      <c r="B5" t="s">
        <v>333</v>
      </c>
      <c r="C5" t="s">
        <v>334</v>
      </c>
      <c r="D5" t="s">
        <v>335</v>
      </c>
      <c r="H5" t="s">
        <v>426</v>
      </c>
      <c r="AC5" t="s">
        <v>428</v>
      </c>
      <c r="AD5" t="s">
        <v>427</v>
      </c>
      <c r="AE5">
        <v>64</v>
      </c>
      <c r="AF5">
        <v>4</v>
      </c>
      <c r="AH5" t="s">
        <v>389</v>
      </c>
      <c r="AJ5">
        <v>501</v>
      </c>
      <c r="AK5" t="s">
        <v>204</v>
      </c>
      <c r="AM5">
        <v>1249</v>
      </c>
      <c r="AN5">
        <v>399</v>
      </c>
    </row>
    <row r="6" spans="1:40" x14ac:dyDescent="0.25">
      <c r="B6" t="s">
        <v>333</v>
      </c>
      <c r="C6" t="s">
        <v>334</v>
      </c>
      <c r="D6" t="s">
        <v>335</v>
      </c>
      <c r="H6" t="s">
        <v>426</v>
      </c>
      <c r="AC6" t="s">
        <v>428</v>
      </c>
      <c r="AD6" t="s">
        <v>427</v>
      </c>
      <c r="AE6">
        <v>64</v>
      </c>
      <c r="AF6">
        <v>5</v>
      </c>
      <c r="AH6" t="s">
        <v>389</v>
      </c>
      <c r="AJ6">
        <v>501</v>
      </c>
      <c r="AK6" t="s">
        <v>204</v>
      </c>
      <c r="AM6">
        <v>1454</v>
      </c>
      <c r="AN6">
        <v>399</v>
      </c>
    </row>
    <row r="7" spans="1:40" x14ac:dyDescent="0.25">
      <c r="B7" t="s">
        <v>333</v>
      </c>
      <c r="C7" t="s">
        <v>334</v>
      </c>
      <c r="D7" t="s">
        <v>335</v>
      </c>
      <c r="H7" t="s">
        <v>426</v>
      </c>
      <c r="AC7" t="s">
        <v>428</v>
      </c>
      <c r="AD7" t="s">
        <v>427</v>
      </c>
      <c r="AE7">
        <v>64</v>
      </c>
      <c r="AF7">
        <v>6</v>
      </c>
      <c r="AH7" t="s">
        <v>389</v>
      </c>
      <c r="AJ7">
        <v>501</v>
      </c>
      <c r="AK7" t="s">
        <v>204</v>
      </c>
      <c r="AM7">
        <v>1659</v>
      </c>
      <c r="AN7">
        <v>399</v>
      </c>
    </row>
    <row r="8" spans="1:40" x14ac:dyDescent="0.25">
      <c r="B8" t="s">
        <v>333</v>
      </c>
      <c r="C8" t="s">
        <v>334</v>
      </c>
      <c r="D8" t="s">
        <v>335</v>
      </c>
      <c r="H8" t="s">
        <v>426</v>
      </c>
      <c r="AC8" t="s">
        <v>428</v>
      </c>
      <c r="AD8" t="s">
        <v>427</v>
      </c>
      <c r="AE8">
        <v>64</v>
      </c>
      <c r="AF8">
        <v>7</v>
      </c>
      <c r="AH8" t="s">
        <v>389</v>
      </c>
      <c r="AJ8">
        <v>501</v>
      </c>
      <c r="AK8" t="s">
        <v>204</v>
      </c>
      <c r="AM8">
        <v>1864</v>
      </c>
      <c r="AN8">
        <v>399</v>
      </c>
    </row>
    <row r="9" spans="1:40" x14ac:dyDescent="0.25">
      <c r="B9" t="s">
        <v>333</v>
      </c>
      <c r="C9" t="s">
        <v>334</v>
      </c>
      <c r="D9" t="s">
        <v>335</v>
      </c>
      <c r="H9" t="s">
        <v>426</v>
      </c>
      <c r="AC9" t="s">
        <v>428</v>
      </c>
      <c r="AD9" t="s">
        <v>427</v>
      </c>
      <c r="AE9">
        <v>64</v>
      </c>
      <c r="AF9">
        <v>8</v>
      </c>
      <c r="AH9" t="s">
        <v>420</v>
      </c>
      <c r="AJ9">
        <v>104</v>
      </c>
      <c r="AK9" t="s">
        <v>200</v>
      </c>
      <c r="AM9">
        <v>2069</v>
      </c>
      <c r="AN9">
        <v>399</v>
      </c>
    </row>
    <row r="10" spans="1:40" x14ac:dyDescent="0.25">
      <c r="B10" t="s">
        <v>333</v>
      </c>
      <c r="C10" t="s">
        <v>334</v>
      </c>
      <c r="D10" t="s">
        <v>335</v>
      </c>
      <c r="H10" t="s">
        <v>426</v>
      </c>
      <c r="AC10" t="s">
        <v>428</v>
      </c>
      <c r="AD10" t="s">
        <v>427</v>
      </c>
      <c r="AE10">
        <v>64</v>
      </c>
      <c r="AF10">
        <v>9</v>
      </c>
      <c r="AH10" t="s">
        <v>389</v>
      </c>
      <c r="AJ10">
        <v>501</v>
      </c>
      <c r="AK10" t="s">
        <v>204</v>
      </c>
      <c r="AM10">
        <v>634</v>
      </c>
      <c r="AN10">
        <v>604</v>
      </c>
    </row>
    <row r="11" spans="1:40" x14ac:dyDescent="0.25">
      <c r="B11" t="s">
        <v>333</v>
      </c>
      <c r="C11" t="s">
        <v>334</v>
      </c>
      <c r="D11" t="s">
        <v>335</v>
      </c>
      <c r="H11" t="s">
        <v>426</v>
      </c>
      <c r="AC11" t="s">
        <v>428</v>
      </c>
      <c r="AD11" t="s">
        <v>427</v>
      </c>
      <c r="AE11">
        <v>64</v>
      </c>
      <c r="AF11">
        <v>10</v>
      </c>
      <c r="AH11" t="s">
        <v>360</v>
      </c>
      <c r="AJ11">
        <v>102</v>
      </c>
      <c r="AK11" t="s">
        <v>200</v>
      </c>
      <c r="AM11">
        <v>839</v>
      </c>
      <c r="AN11">
        <v>604</v>
      </c>
    </row>
    <row r="12" spans="1:40" x14ac:dyDescent="0.25">
      <c r="B12" t="s">
        <v>333</v>
      </c>
      <c r="C12" t="s">
        <v>334</v>
      </c>
      <c r="D12" t="s">
        <v>335</v>
      </c>
      <c r="H12" t="s">
        <v>426</v>
      </c>
      <c r="AC12" t="s">
        <v>428</v>
      </c>
      <c r="AD12" t="s">
        <v>427</v>
      </c>
      <c r="AE12">
        <v>64</v>
      </c>
      <c r="AF12">
        <v>11</v>
      </c>
      <c r="AH12" t="s">
        <v>390</v>
      </c>
      <c r="AJ12">
        <v>903</v>
      </c>
      <c r="AK12" t="s">
        <v>208</v>
      </c>
      <c r="AM12">
        <v>1044</v>
      </c>
      <c r="AN12">
        <v>604</v>
      </c>
    </row>
    <row r="13" spans="1:40" x14ac:dyDescent="0.25">
      <c r="B13" t="s">
        <v>333</v>
      </c>
      <c r="C13" t="s">
        <v>334</v>
      </c>
      <c r="D13" t="s">
        <v>335</v>
      </c>
      <c r="H13" t="s">
        <v>426</v>
      </c>
      <c r="AC13" t="s">
        <v>428</v>
      </c>
      <c r="AD13" t="s">
        <v>427</v>
      </c>
      <c r="AE13">
        <v>64</v>
      </c>
      <c r="AF13">
        <v>12</v>
      </c>
      <c r="AH13" t="s">
        <v>390</v>
      </c>
      <c r="AJ13">
        <v>903</v>
      </c>
      <c r="AK13" t="s">
        <v>208</v>
      </c>
      <c r="AM13">
        <v>1249</v>
      </c>
      <c r="AN13">
        <v>604</v>
      </c>
    </row>
    <row r="14" spans="1:40" x14ac:dyDescent="0.25">
      <c r="B14" t="s">
        <v>333</v>
      </c>
      <c r="C14" t="s">
        <v>334</v>
      </c>
      <c r="D14" t="s">
        <v>335</v>
      </c>
      <c r="H14" t="s">
        <v>426</v>
      </c>
      <c r="AC14" t="s">
        <v>428</v>
      </c>
      <c r="AD14" t="s">
        <v>427</v>
      </c>
      <c r="AE14">
        <v>64</v>
      </c>
      <c r="AF14">
        <v>13</v>
      </c>
      <c r="AH14" t="s">
        <v>390</v>
      </c>
      <c r="AJ14">
        <v>903</v>
      </c>
      <c r="AK14" t="s">
        <v>208</v>
      </c>
      <c r="AM14">
        <v>1454</v>
      </c>
      <c r="AN14">
        <v>604</v>
      </c>
    </row>
    <row r="15" spans="1:40" x14ac:dyDescent="0.25">
      <c r="B15" t="s">
        <v>333</v>
      </c>
      <c r="C15" t="s">
        <v>334</v>
      </c>
      <c r="D15" t="s">
        <v>335</v>
      </c>
      <c r="H15" t="s">
        <v>426</v>
      </c>
      <c r="AC15" t="s">
        <v>428</v>
      </c>
      <c r="AD15" t="s">
        <v>427</v>
      </c>
      <c r="AE15">
        <v>64</v>
      </c>
      <c r="AF15">
        <v>14</v>
      </c>
      <c r="AH15" t="s">
        <v>390</v>
      </c>
      <c r="AJ15">
        <v>903</v>
      </c>
      <c r="AK15" t="s">
        <v>208</v>
      </c>
      <c r="AM15">
        <v>1659</v>
      </c>
      <c r="AN15">
        <v>604</v>
      </c>
    </row>
    <row r="16" spans="1:40" x14ac:dyDescent="0.25">
      <c r="B16" t="s">
        <v>333</v>
      </c>
      <c r="C16" t="s">
        <v>334</v>
      </c>
      <c r="D16" t="s">
        <v>335</v>
      </c>
      <c r="H16" t="s">
        <v>426</v>
      </c>
      <c r="AC16" t="s">
        <v>428</v>
      </c>
      <c r="AD16" t="s">
        <v>427</v>
      </c>
      <c r="AE16">
        <v>64</v>
      </c>
      <c r="AF16">
        <v>15</v>
      </c>
      <c r="AH16" t="s">
        <v>389</v>
      </c>
      <c r="AJ16">
        <v>501</v>
      </c>
      <c r="AK16" t="s">
        <v>204</v>
      </c>
      <c r="AM16">
        <v>1864</v>
      </c>
      <c r="AN16">
        <v>604</v>
      </c>
    </row>
    <row r="17" spans="2:40" x14ac:dyDescent="0.25">
      <c r="B17" t="s">
        <v>333</v>
      </c>
      <c r="C17" t="s">
        <v>334</v>
      </c>
      <c r="D17" t="s">
        <v>335</v>
      </c>
      <c r="H17" t="s">
        <v>426</v>
      </c>
      <c r="AC17" t="s">
        <v>428</v>
      </c>
      <c r="AD17" t="s">
        <v>427</v>
      </c>
      <c r="AE17">
        <v>64</v>
      </c>
      <c r="AF17">
        <v>16</v>
      </c>
      <c r="AH17" t="s">
        <v>389</v>
      </c>
      <c r="AJ17">
        <v>501</v>
      </c>
      <c r="AK17" t="s">
        <v>204</v>
      </c>
      <c r="AM17">
        <v>2069</v>
      </c>
      <c r="AN17">
        <v>604</v>
      </c>
    </row>
    <row r="18" spans="2:40" x14ac:dyDescent="0.25">
      <c r="B18" t="s">
        <v>333</v>
      </c>
      <c r="C18" t="s">
        <v>334</v>
      </c>
      <c r="D18" t="s">
        <v>335</v>
      </c>
      <c r="H18" t="s">
        <v>426</v>
      </c>
      <c r="AC18" t="s">
        <v>428</v>
      </c>
      <c r="AD18" t="s">
        <v>427</v>
      </c>
      <c r="AE18">
        <v>64</v>
      </c>
      <c r="AF18">
        <v>17</v>
      </c>
      <c r="AH18" t="s">
        <v>389</v>
      </c>
      <c r="AJ18">
        <v>501</v>
      </c>
      <c r="AK18" t="s">
        <v>204</v>
      </c>
      <c r="AM18">
        <v>634</v>
      </c>
      <c r="AN18">
        <v>809</v>
      </c>
    </row>
    <row r="19" spans="2:40" x14ac:dyDescent="0.25">
      <c r="B19" t="s">
        <v>333</v>
      </c>
      <c r="C19" t="s">
        <v>334</v>
      </c>
      <c r="D19" t="s">
        <v>335</v>
      </c>
      <c r="H19" t="s">
        <v>426</v>
      </c>
      <c r="AC19" t="s">
        <v>428</v>
      </c>
      <c r="AD19" t="s">
        <v>427</v>
      </c>
      <c r="AE19">
        <v>64</v>
      </c>
      <c r="AF19">
        <v>18</v>
      </c>
      <c r="AH19" t="s">
        <v>389</v>
      </c>
      <c r="AJ19">
        <v>501</v>
      </c>
      <c r="AK19" t="s">
        <v>204</v>
      </c>
      <c r="AM19">
        <v>839</v>
      </c>
      <c r="AN19">
        <v>809</v>
      </c>
    </row>
    <row r="20" spans="2:40" x14ac:dyDescent="0.25">
      <c r="B20" t="s">
        <v>333</v>
      </c>
      <c r="C20" t="s">
        <v>334</v>
      </c>
      <c r="D20" t="s">
        <v>335</v>
      </c>
      <c r="H20" t="s">
        <v>426</v>
      </c>
      <c r="AC20" t="s">
        <v>428</v>
      </c>
      <c r="AD20" t="s">
        <v>427</v>
      </c>
      <c r="AE20">
        <v>64</v>
      </c>
      <c r="AF20">
        <v>19</v>
      </c>
      <c r="AH20" t="s">
        <v>390</v>
      </c>
      <c r="AJ20">
        <v>903</v>
      </c>
      <c r="AK20" t="s">
        <v>208</v>
      </c>
      <c r="AM20">
        <v>1044</v>
      </c>
      <c r="AN20">
        <v>809</v>
      </c>
    </row>
    <row r="21" spans="2:40" x14ac:dyDescent="0.25">
      <c r="B21" t="s">
        <v>333</v>
      </c>
      <c r="C21" t="s">
        <v>334</v>
      </c>
      <c r="D21" t="s">
        <v>335</v>
      </c>
      <c r="H21" t="s">
        <v>426</v>
      </c>
      <c r="AC21" t="s">
        <v>428</v>
      </c>
      <c r="AD21" t="s">
        <v>427</v>
      </c>
      <c r="AE21">
        <v>64</v>
      </c>
      <c r="AF21">
        <v>20</v>
      </c>
      <c r="AH21" t="s">
        <v>360</v>
      </c>
      <c r="AJ21">
        <v>102</v>
      </c>
      <c r="AK21" t="s">
        <v>200</v>
      </c>
      <c r="AM21">
        <v>1249</v>
      </c>
      <c r="AN21">
        <v>809</v>
      </c>
    </row>
    <row r="22" spans="2:40" x14ac:dyDescent="0.25">
      <c r="B22" t="s">
        <v>333</v>
      </c>
      <c r="C22" t="s">
        <v>334</v>
      </c>
      <c r="D22" t="s">
        <v>335</v>
      </c>
      <c r="H22" t="s">
        <v>426</v>
      </c>
      <c r="AC22" t="s">
        <v>428</v>
      </c>
      <c r="AD22" t="s">
        <v>427</v>
      </c>
      <c r="AE22">
        <v>64</v>
      </c>
      <c r="AF22">
        <v>21</v>
      </c>
      <c r="AH22" t="s">
        <v>360</v>
      </c>
      <c r="AJ22">
        <v>102</v>
      </c>
      <c r="AK22" t="s">
        <v>200</v>
      </c>
      <c r="AM22">
        <v>1454</v>
      </c>
      <c r="AN22">
        <v>809</v>
      </c>
    </row>
    <row r="23" spans="2:40" x14ac:dyDescent="0.25">
      <c r="B23" t="s">
        <v>333</v>
      </c>
      <c r="C23" t="s">
        <v>334</v>
      </c>
      <c r="D23" t="s">
        <v>335</v>
      </c>
      <c r="H23" t="s">
        <v>426</v>
      </c>
      <c r="AC23" t="s">
        <v>428</v>
      </c>
      <c r="AD23" t="s">
        <v>427</v>
      </c>
      <c r="AE23">
        <v>64</v>
      </c>
      <c r="AF23">
        <v>22</v>
      </c>
      <c r="AH23" t="s">
        <v>389</v>
      </c>
      <c r="AJ23">
        <v>501</v>
      </c>
      <c r="AK23" t="s">
        <v>204</v>
      </c>
      <c r="AM23">
        <v>1659</v>
      </c>
      <c r="AN23">
        <v>809</v>
      </c>
    </row>
    <row r="24" spans="2:40" x14ac:dyDescent="0.25">
      <c r="B24" t="s">
        <v>333</v>
      </c>
      <c r="C24" t="s">
        <v>334</v>
      </c>
      <c r="D24" t="s">
        <v>335</v>
      </c>
      <c r="H24" t="s">
        <v>426</v>
      </c>
      <c r="AC24" t="s">
        <v>428</v>
      </c>
      <c r="AD24" t="s">
        <v>427</v>
      </c>
      <c r="AE24">
        <v>64</v>
      </c>
      <c r="AF24">
        <v>23</v>
      </c>
      <c r="AH24" t="s">
        <v>389</v>
      </c>
      <c r="AJ24">
        <v>501</v>
      </c>
      <c r="AK24" t="s">
        <v>204</v>
      </c>
      <c r="AM24">
        <v>1864</v>
      </c>
      <c r="AN24">
        <v>809</v>
      </c>
    </row>
    <row r="25" spans="2:40" x14ac:dyDescent="0.25">
      <c r="B25" t="s">
        <v>333</v>
      </c>
      <c r="C25" t="s">
        <v>334</v>
      </c>
      <c r="D25" t="s">
        <v>335</v>
      </c>
      <c r="H25" t="s">
        <v>426</v>
      </c>
      <c r="AC25" t="s">
        <v>428</v>
      </c>
      <c r="AD25" t="s">
        <v>427</v>
      </c>
      <c r="AE25">
        <v>64</v>
      </c>
      <c r="AF25">
        <v>24</v>
      </c>
      <c r="AH25" t="s">
        <v>360</v>
      </c>
      <c r="AJ25">
        <v>102</v>
      </c>
      <c r="AK25" t="s">
        <v>200</v>
      </c>
      <c r="AM25">
        <v>2069</v>
      </c>
      <c r="AN25">
        <v>809</v>
      </c>
    </row>
    <row r="26" spans="2:40" x14ac:dyDescent="0.25">
      <c r="B26" t="s">
        <v>333</v>
      </c>
      <c r="C26" t="s">
        <v>334</v>
      </c>
      <c r="D26" t="s">
        <v>335</v>
      </c>
      <c r="H26" t="s">
        <v>426</v>
      </c>
      <c r="AC26" t="s">
        <v>428</v>
      </c>
      <c r="AD26" t="s">
        <v>427</v>
      </c>
      <c r="AE26">
        <v>64</v>
      </c>
      <c r="AF26">
        <v>25</v>
      </c>
      <c r="AH26" t="s">
        <v>396</v>
      </c>
      <c r="AJ26">
        <v>303</v>
      </c>
      <c r="AK26" t="s">
        <v>202</v>
      </c>
      <c r="AM26">
        <v>634</v>
      </c>
      <c r="AN26">
        <v>1014</v>
      </c>
    </row>
    <row r="27" spans="2:40" x14ac:dyDescent="0.25">
      <c r="B27" t="s">
        <v>333</v>
      </c>
      <c r="C27" t="s">
        <v>334</v>
      </c>
      <c r="D27" t="s">
        <v>335</v>
      </c>
      <c r="H27" t="s">
        <v>426</v>
      </c>
      <c r="AC27" t="s">
        <v>428</v>
      </c>
      <c r="AD27" t="s">
        <v>427</v>
      </c>
      <c r="AE27">
        <v>64</v>
      </c>
      <c r="AF27">
        <v>26</v>
      </c>
      <c r="AH27" t="s">
        <v>390</v>
      </c>
      <c r="AJ27">
        <v>903</v>
      </c>
      <c r="AK27" t="s">
        <v>208</v>
      </c>
      <c r="AM27">
        <v>839</v>
      </c>
      <c r="AN27">
        <v>1014</v>
      </c>
    </row>
    <row r="28" spans="2:40" x14ac:dyDescent="0.25">
      <c r="B28" t="s">
        <v>333</v>
      </c>
      <c r="C28" t="s">
        <v>334</v>
      </c>
      <c r="D28" t="s">
        <v>335</v>
      </c>
      <c r="H28" t="s">
        <v>426</v>
      </c>
      <c r="AC28" t="s">
        <v>428</v>
      </c>
      <c r="AD28" t="s">
        <v>427</v>
      </c>
      <c r="AE28">
        <v>64</v>
      </c>
      <c r="AF28">
        <v>27</v>
      </c>
      <c r="AH28" t="s">
        <v>389</v>
      </c>
      <c r="AJ28">
        <v>501</v>
      </c>
      <c r="AK28" t="s">
        <v>204</v>
      </c>
      <c r="AM28">
        <v>1044</v>
      </c>
      <c r="AN28">
        <v>1014</v>
      </c>
    </row>
    <row r="29" spans="2:40" x14ac:dyDescent="0.25">
      <c r="B29" t="s">
        <v>333</v>
      </c>
      <c r="C29" t="s">
        <v>334</v>
      </c>
      <c r="D29" t="s">
        <v>335</v>
      </c>
      <c r="H29" t="s">
        <v>426</v>
      </c>
      <c r="AC29" t="s">
        <v>428</v>
      </c>
      <c r="AD29" t="s">
        <v>427</v>
      </c>
      <c r="AE29">
        <v>64</v>
      </c>
      <c r="AF29">
        <v>28</v>
      </c>
      <c r="AH29" t="s">
        <v>360</v>
      </c>
      <c r="AJ29">
        <v>102</v>
      </c>
      <c r="AK29" t="s">
        <v>200</v>
      </c>
      <c r="AM29">
        <v>1249</v>
      </c>
      <c r="AN29">
        <v>1014</v>
      </c>
    </row>
    <row r="30" spans="2:40" x14ac:dyDescent="0.25">
      <c r="B30" t="s">
        <v>333</v>
      </c>
      <c r="C30" t="s">
        <v>334</v>
      </c>
      <c r="D30" t="s">
        <v>335</v>
      </c>
      <c r="H30" t="s">
        <v>426</v>
      </c>
      <c r="AC30" t="s">
        <v>428</v>
      </c>
      <c r="AD30" t="s">
        <v>427</v>
      </c>
      <c r="AE30">
        <v>64</v>
      </c>
      <c r="AF30">
        <v>29</v>
      </c>
      <c r="AH30" t="s">
        <v>360</v>
      </c>
      <c r="AJ30">
        <v>102</v>
      </c>
      <c r="AK30" t="s">
        <v>200</v>
      </c>
      <c r="AM30">
        <v>1454</v>
      </c>
      <c r="AN30">
        <v>1014</v>
      </c>
    </row>
    <row r="31" spans="2:40" x14ac:dyDescent="0.25">
      <c r="B31" t="s">
        <v>333</v>
      </c>
      <c r="C31" t="s">
        <v>334</v>
      </c>
      <c r="D31" t="s">
        <v>335</v>
      </c>
      <c r="H31" t="s">
        <v>426</v>
      </c>
      <c r="AC31" t="s">
        <v>428</v>
      </c>
      <c r="AD31" t="s">
        <v>427</v>
      </c>
      <c r="AE31">
        <v>64</v>
      </c>
      <c r="AF31">
        <v>30</v>
      </c>
      <c r="AH31" t="s">
        <v>360</v>
      </c>
      <c r="AJ31">
        <v>102</v>
      </c>
      <c r="AK31" t="s">
        <v>200</v>
      </c>
      <c r="AM31">
        <v>1659</v>
      </c>
      <c r="AN31">
        <v>1014</v>
      </c>
    </row>
    <row r="32" spans="2:40" x14ac:dyDescent="0.25">
      <c r="B32" t="s">
        <v>333</v>
      </c>
      <c r="C32" t="s">
        <v>334</v>
      </c>
      <c r="D32" t="s">
        <v>335</v>
      </c>
      <c r="H32" t="s">
        <v>426</v>
      </c>
      <c r="AC32" t="s">
        <v>428</v>
      </c>
      <c r="AD32" t="s">
        <v>427</v>
      </c>
      <c r="AE32">
        <v>64</v>
      </c>
      <c r="AF32">
        <v>31</v>
      </c>
      <c r="AH32" t="s">
        <v>360</v>
      </c>
      <c r="AJ32">
        <v>102</v>
      </c>
      <c r="AK32" t="s">
        <v>200</v>
      </c>
      <c r="AM32">
        <v>1864</v>
      </c>
      <c r="AN32">
        <v>1014</v>
      </c>
    </row>
    <row r="33" spans="2:40" x14ac:dyDescent="0.25">
      <c r="B33" t="s">
        <v>333</v>
      </c>
      <c r="C33" t="s">
        <v>334</v>
      </c>
      <c r="D33" t="s">
        <v>335</v>
      </c>
      <c r="H33" t="s">
        <v>426</v>
      </c>
      <c r="AC33" t="s">
        <v>428</v>
      </c>
      <c r="AD33" t="s">
        <v>427</v>
      </c>
      <c r="AE33">
        <v>64</v>
      </c>
      <c r="AF33">
        <v>32</v>
      </c>
      <c r="AH33" t="s">
        <v>390</v>
      </c>
      <c r="AJ33">
        <v>903</v>
      </c>
      <c r="AK33" t="s">
        <v>208</v>
      </c>
      <c r="AM33">
        <v>2069</v>
      </c>
      <c r="AN33">
        <v>1014</v>
      </c>
    </row>
    <row r="34" spans="2:40" x14ac:dyDescent="0.25">
      <c r="B34" t="s">
        <v>333</v>
      </c>
      <c r="C34" t="s">
        <v>334</v>
      </c>
      <c r="D34" t="s">
        <v>335</v>
      </c>
      <c r="H34" t="s">
        <v>426</v>
      </c>
      <c r="AC34" t="s">
        <v>428</v>
      </c>
      <c r="AD34" t="s">
        <v>427</v>
      </c>
      <c r="AE34">
        <v>64</v>
      </c>
      <c r="AF34">
        <v>33</v>
      </c>
      <c r="AH34" t="s">
        <v>396</v>
      </c>
      <c r="AJ34">
        <v>303</v>
      </c>
      <c r="AK34" t="s">
        <v>202</v>
      </c>
      <c r="AM34">
        <v>634</v>
      </c>
      <c r="AN34">
        <v>1219</v>
      </c>
    </row>
    <row r="35" spans="2:40" x14ac:dyDescent="0.25">
      <c r="B35" t="s">
        <v>333</v>
      </c>
      <c r="C35" t="s">
        <v>334</v>
      </c>
      <c r="D35" t="s">
        <v>335</v>
      </c>
      <c r="H35" t="s">
        <v>426</v>
      </c>
      <c r="AC35" t="s">
        <v>428</v>
      </c>
      <c r="AD35" t="s">
        <v>427</v>
      </c>
      <c r="AE35">
        <v>64</v>
      </c>
      <c r="AF35">
        <v>34</v>
      </c>
      <c r="AH35" t="s">
        <v>360</v>
      </c>
      <c r="AJ35">
        <v>102</v>
      </c>
      <c r="AK35" t="s">
        <v>200</v>
      </c>
      <c r="AM35">
        <v>839</v>
      </c>
      <c r="AN35">
        <v>1219</v>
      </c>
    </row>
    <row r="36" spans="2:40" x14ac:dyDescent="0.25">
      <c r="B36" t="s">
        <v>333</v>
      </c>
      <c r="C36" t="s">
        <v>334</v>
      </c>
      <c r="D36" t="s">
        <v>335</v>
      </c>
      <c r="H36" t="s">
        <v>426</v>
      </c>
      <c r="AC36" t="s">
        <v>428</v>
      </c>
      <c r="AD36" t="s">
        <v>427</v>
      </c>
      <c r="AE36">
        <v>64</v>
      </c>
      <c r="AF36">
        <v>35</v>
      </c>
      <c r="AH36" t="s">
        <v>389</v>
      </c>
      <c r="AJ36">
        <v>501</v>
      </c>
      <c r="AK36" t="s">
        <v>204</v>
      </c>
      <c r="AM36">
        <v>1044</v>
      </c>
      <c r="AN36">
        <v>1219</v>
      </c>
    </row>
    <row r="37" spans="2:40" x14ac:dyDescent="0.25">
      <c r="B37" t="s">
        <v>333</v>
      </c>
      <c r="C37" t="s">
        <v>334</v>
      </c>
      <c r="D37" t="s">
        <v>335</v>
      </c>
      <c r="H37" t="s">
        <v>426</v>
      </c>
      <c r="AC37" t="s">
        <v>428</v>
      </c>
      <c r="AD37" t="s">
        <v>427</v>
      </c>
      <c r="AE37">
        <v>64</v>
      </c>
      <c r="AF37">
        <v>36</v>
      </c>
      <c r="AH37" t="s">
        <v>360</v>
      </c>
      <c r="AJ37">
        <v>102</v>
      </c>
      <c r="AK37" t="s">
        <v>200</v>
      </c>
      <c r="AM37">
        <v>1249</v>
      </c>
      <c r="AN37">
        <v>1219</v>
      </c>
    </row>
    <row r="38" spans="2:40" x14ac:dyDescent="0.25">
      <c r="B38" t="s">
        <v>333</v>
      </c>
      <c r="C38" t="s">
        <v>334</v>
      </c>
      <c r="D38" t="s">
        <v>335</v>
      </c>
      <c r="H38" t="s">
        <v>426</v>
      </c>
      <c r="AC38" t="s">
        <v>428</v>
      </c>
      <c r="AD38" t="s">
        <v>427</v>
      </c>
      <c r="AE38">
        <v>64</v>
      </c>
      <c r="AF38">
        <v>37</v>
      </c>
      <c r="AH38" t="s">
        <v>360</v>
      </c>
      <c r="AJ38">
        <v>102</v>
      </c>
      <c r="AK38" t="s">
        <v>200</v>
      </c>
      <c r="AM38">
        <v>1454</v>
      </c>
      <c r="AN38">
        <v>1219</v>
      </c>
    </row>
    <row r="39" spans="2:40" x14ac:dyDescent="0.25">
      <c r="B39" t="s">
        <v>333</v>
      </c>
      <c r="C39" t="s">
        <v>334</v>
      </c>
      <c r="D39" t="s">
        <v>335</v>
      </c>
      <c r="H39" t="s">
        <v>426</v>
      </c>
      <c r="AC39" t="s">
        <v>428</v>
      </c>
      <c r="AD39" t="s">
        <v>427</v>
      </c>
      <c r="AE39">
        <v>64</v>
      </c>
      <c r="AF39">
        <v>38</v>
      </c>
      <c r="AH39" t="s">
        <v>389</v>
      </c>
      <c r="AJ39">
        <v>501</v>
      </c>
      <c r="AK39" t="s">
        <v>204</v>
      </c>
      <c r="AM39">
        <v>1659</v>
      </c>
      <c r="AN39">
        <v>1219</v>
      </c>
    </row>
    <row r="40" spans="2:40" x14ac:dyDescent="0.25">
      <c r="B40" t="s">
        <v>333</v>
      </c>
      <c r="C40" t="s">
        <v>334</v>
      </c>
      <c r="D40" t="s">
        <v>335</v>
      </c>
      <c r="H40" t="s">
        <v>426</v>
      </c>
      <c r="AC40" t="s">
        <v>428</v>
      </c>
      <c r="AD40" t="s">
        <v>427</v>
      </c>
      <c r="AE40">
        <v>64</v>
      </c>
      <c r="AF40">
        <v>39</v>
      </c>
      <c r="AH40" t="s">
        <v>389</v>
      </c>
      <c r="AJ40">
        <v>501</v>
      </c>
      <c r="AK40" t="s">
        <v>204</v>
      </c>
      <c r="AM40">
        <v>1864</v>
      </c>
      <c r="AN40">
        <v>1219</v>
      </c>
    </row>
    <row r="41" spans="2:40" x14ac:dyDescent="0.25">
      <c r="B41" t="s">
        <v>333</v>
      </c>
      <c r="C41" t="s">
        <v>334</v>
      </c>
      <c r="D41" t="s">
        <v>335</v>
      </c>
      <c r="H41" t="s">
        <v>426</v>
      </c>
      <c r="AC41" t="s">
        <v>428</v>
      </c>
      <c r="AD41" t="s">
        <v>427</v>
      </c>
      <c r="AE41">
        <v>64</v>
      </c>
      <c r="AF41">
        <v>40</v>
      </c>
      <c r="AH41" t="s">
        <v>389</v>
      </c>
      <c r="AJ41">
        <v>501</v>
      </c>
      <c r="AK41" t="s">
        <v>204</v>
      </c>
      <c r="AM41">
        <v>2069</v>
      </c>
      <c r="AN41">
        <v>1219</v>
      </c>
    </row>
    <row r="42" spans="2:40" x14ac:dyDescent="0.25">
      <c r="B42" t="s">
        <v>333</v>
      </c>
      <c r="C42" t="s">
        <v>334</v>
      </c>
      <c r="D42" t="s">
        <v>335</v>
      </c>
      <c r="H42" t="s">
        <v>426</v>
      </c>
      <c r="AC42" t="s">
        <v>428</v>
      </c>
      <c r="AD42" t="s">
        <v>427</v>
      </c>
      <c r="AE42">
        <v>64</v>
      </c>
      <c r="AF42">
        <v>41</v>
      </c>
      <c r="AH42" t="s">
        <v>396</v>
      </c>
      <c r="AJ42">
        <v>303</v>
      </c>
      <c r="AK42" t="s">
        <v>202</v>
      </c>
      <c r="AM42">
        <v>634</v>
      </c>
      <c r="AN42">
        <v>1424</v>
      </c>
    </row>
    <row r="43" spans="2:40" x14ac:dyDescent="0.25">
      <c r="B43" t="s">
        <v>333</v>
      </c>
      <c r="C43" t="s">
        <v>334</v>
      </c>
      <c r="D43" t="s">
        <v>335</v>
      </c>
      <c r="H43" t="s">
        <v>426</v>
      </c>
      <c r="AC43" t="s">
        <v>428</v>
      </c>
      <c r="AD43" t="s">
        <v>427</v>
      </c>
      <c r="AE43">
        <v>64</v>
      </c>
      <c r="AF43">
        <v>42</v>
      </c>
      <c r="AH43" t="s">
        <v>389</v>
      </c>
      <c r="AJ43">
        <v>501</v>
      </c>
      <c r="AK43" t="s">
        <v>204</v>
      </c>
      <c r="AM43">
        <v>839</v>
      </c>
      <c r="AN43">
        <v>1424</v>
      </c>
    </row>
    <row r="44" spans="2:40" x14ac:dyDescent="0.25">
      <c r="B44" t="s">
        <v>333</v>
      </c>
      <c r="C44" t="s">
        <v>334</v>
      </c>
      <c r="D44" t="s">
        <v>335</v>
      </c>
      <c r="H44" t="s">
        <v>426</v>
      </c>
      <c r="AC44" t="s">
        <v>428</v>
      </c>
      <c r="AD44" t="s">
        <v>427</v>
      </c>
      <c r="AE44">
        <v>64</v>
      </c>
      <c r="AF44">
        <v>43</v>
      </c>
      <c r="AH44" t="s">
        <v>360</v>
      </c>
      <c r="AJ44">
        <v>102</v>
      </c>
      <c r="AK44" t="s">
        <v>200</v>
      </c>
      <c r="AM44">
        <v>1044</v>
      </c>
      <c r="AN44">
        <v>1424</v>
      </c>
    </row>
    <row r="45" spans="2:40" x14ac:dyDescent="0.25">
      <c r="B45" t="s">
        <v>333</v>
      </c>
      <c r="C45" t="s">
        <v>334</v>
      </c>
      <c r="D45" t="s">
        <v>335</v>
      </c>
      <c r="H45" t="s">
        <v>426</v>
      </c>
      <c r="AC45" t="s">
        <v>428</v>
      </c>
      <c r="AD45" t="s">
        <v>427</v>
      </c>
      <c r="AE45">
        <v>64</v>
      </c>
      <c r="AF45">
        <v>44</v>
      </c>
      <c r="AH45" t="s">
        <v>360</v>
      </c>
      <c r="AJ45">
        <v>102</v>
      </c>
      <c r="AK45" t="s">
        <v>200</v>
      </c>
      <c r="AM45">
        <v>1249</v>
      </c>
      <c r="AN45">
        <v>1424</v>
      </c>
    </row>
    <row r="46" spans="2:40" x14ac:dyDescent="0.25">
      <c r="B46" t="s">
        <v>333</v>
      </c>
      <c r="C46" t="s">
        <v>334</v>
      </c>
      <c r="D46" t="s">
        <v>335</v>
      </c>
      <c r="H46" t="s">
        <v>426</v>
      </c>
      <c r="AC46" t="s">
        <v>428</v>
      </c>
      <c r="AD46" t="s">
        <v>427</v>
      </c>
      <c r="AE46">
        <v>64</v>
      </c>
      <c r="AF46">
        <v>45</v>
      </c>
      <c r="AH46" t="s">
        <v>360</v>
      </c>
      <c r="AJ46">
        <v>102</v>
      </c>
      <c r="AK46" t="s">
        <v>200</v>
      </c>
      <c r="AM46">
        <v>1454</v>
      </c>
      <c r="AN46">
        <v>1424</v>
      </c>
    </row>
    <row r="47" spans="2:40" x14ac:dyDescent="0.25">
      <c r="B47" t="s">
        <v>333</v>
      </c>
      <c r="C47" t="s">
        <v>334</v>
      </c>
      <c r="D47" t="s">
        <v>335</v>
      </c>
      <c r="H47" t="s">
        <v>426</v>
      </c>
      <c r="AC47" t="s">
        <v>428</v>
      </c>
      <c r="AD47" t="s">
        <v>427</v>
      </c>
      <c r="AE47">
        <v>64</v>
      </c>
      <c r="AF47">
        <v>46</v>
      </c>
      <c r="AH47" t="s">
        <v>360</v>
      </c>
      <c r="AJ47">
        <v>102</v>
      </c>
      <c r="AK47" t="s">
        <v>200</v>
      </c>
      <c r="AM47">
        <v>1659</v>
      </c>
      <c r="AN47">
        <v>1424</v>
      </c>
    </row>
    <row r="48" spans="2:40" x14ac:dyDescent="0.25">
      <c r="B48" t="s">
        <v>333</v>
      </c>
      <c r="C48" t="s">
        <v>334</v>
      </c>
      <c r="D48" t="s">
        <v>335</v>
      </c>
      <c r="H48" t="s">
        <v>426</v>
      </c>
      <c r="AC48" t="s">
        <v>428</v>
      </c>
      <c r="AD48" t="s">
        <v>427</v>
      </c>
      <c r="AE48">
        <v>64</v>
      </c>
      <c r="AF48">
        <v>47</v>
      </c>
      <c r="AH48" t="s">
        <v>360</v>
      </c>
      <c r="AJ48">
        <v>102</v>
      </c>
      <c r="AK48" t="s">
        <v>200</v>
      </c>
      <c r="AM48">
        <v>1864</v>
      </c>
      <c r="AN48">
        <v>1424</v>
      </c>
    </row>
    <row r="49" spans="2:40" x14ac:dyDescent="0.25">
      <c r="B49" t="s">
        <v>333</v>
      </c>
      <c r="C49" t="s">
        <v>334</v>
      </c>
      <c r="D49" t="s">
        <v>335</v>
      </c>
      <c r="H49" t="s">
        <v>426</v>
      </c>
      <c r="AC49" t="s">
        <v>428</v>
      </c>
      <c r="AD49" t="s">
        <v>427</v>
      </c>
      <c r="AE49">
        <v>64</v>
      </c>
      <c r="AF49">
        <v>48</v>
      </c>
      <c r="AH49" t="s">
        <v>389</v>
      </c>
      <c r="AJ49">
        <v>501</v>
      </c>
      <c r="AK49" t="s">
        <v>204</v>
      </c>
      <c r="AM49">
        <v>2069</v>
      </c>
      <c r="AN49">
        <v>1424</v>
      </c>
    </row>
    <row r="50" spans="2:40" x14ac:dyDescent="0.25">
      <c r="B50" t="s">
        <v>333</v>
      </c>
      <c r="C50" t="s">
        <v>334</v>
      </c>
      <c r="D50" t="s">
        <v>335</v>
      </c>
      <c r="H50" t="s">
        <v>426</v>
      </c>
      <c r="AC50" t="s">
        <v>428</v>
      </c>
      <c r="AD50" t="s">
        <v>427</v>
      </c>
      <c r="AE50">
        <v>64</v>
      </c>
      <c r="AF50">
        <v>49</v>
      </c>
      <c r="AH50" t="s">
        <v>360</v>
      </c>
      <c r="AJ50">
        <v>102</v>
      </c>
      <c r="AK50" t="s">
        <v>200</v>
      </c>
      <c r="AM50">
        <v>634</v>
      </c>
      <c r="AN50">
        <v>1629</v>
      </c>
    </row>
    <row r="51" spans="2:40" x14ac:dyDescent="0.25">
      <c r="B51" t="s">
        <v>333</v>
      </c>
      <c r="C51" t="s">
        <v>334</v>
      </c>
      <c r="D51" t="s">
        <v>335</v>
      </c>
      <c r="H51" t="s">
        <v>426</v>
      </c>
      <c r="AC51" t="s">
        <v>428</v>
      </c>
      <c r="AD51" t="s">
        <v>427</v>
      </c>
      <c r="AE51">
        <v>64</v>
      </c>
      <c r="AF51">
        <v>50</v>
      </c>
      <c r="AH51" t="s">
        <v>389</v>
      </c>
      <c r="AJ51">
        <v>501</v>
      </c>
      <c r="AK51" t="s">
        <v>204</v>
      </c>
      <c r="AM51">
        <v>839</v>
      </c>
      <c r="AN51">
        <v>1629</v>
      </c>
    </row>
    <row r="52" spans="2:40" x14ac:dyDescent="0.25">
      <c r="B52" t="s">
        <v>333</v>
      </c>
      <c r="C52" t="s">
        <v>334</v>
      </c>
      <c r="D52" t="s">
        <v>335</v>
      </c>
      <c r="H52" t="s">
        <v>426</v>
      </c>
      <c r="AC52" t="s">
        <v>428</v>
      </c>
      <c r="AD52" t="s">
        <v>427</v>
      </c>
      <c r="AE52">
        <v>64</v>
      </c>
      <c r="AF52">
        <v>51</v>
      </c>
      <c r="AH52" t="s">
        <v>389</v>
      </c>
      <c r="AJ52">
        <v>501</v>
      </c>
      <c r="AK52" t="s">
        <v>204</v>
      </c>
      <c r="AM52">
        <v>1044</v>
      </c>
      <c r="AN52">
        <v>1629</v>
      </c>
    </row>
    <row r="53" spans="2:40" x14ac:dyDescent="0.25">
      <c r="B53" t="s">
        <v>333</v>
      </c>
      <c r="C53" t="s">
        <v>334</v>
      </c>
      <c r="D53" t="s">
        <v>335</v>
      </c>
      <c r="H53" t="s">
        <v>426</v>
      </c>
      <c r="AC53" t="s">
        <v>428</v>
      </c>
      <c r="AD53" t="s">
        <v>427</v>
      </c>
      <c r="AE53">
        <v>64</v>
      </c>
      <c r="AF53">
        <v>52</v>
      </c>
      <c r="AH53" t="s">
        <v>389</v>
      </c>
      <c r="AJ53">
        <v>501</v>
      </c>
      <c r="AK53" t="s">
        <v>204</v>
      </c>
      <c r="AM53">
        <v>1249</v>
      </c>
      <c r="AN53">
        <v>1629</v>
      </c>
    </row>
    <row r="54" spans="2:40" x14ac:dyDescent="0.25">
      <c r="B54" t="s">
        <v>333</v>
      </c>
      <c r="C54" t="s">
        <v>334</v>
      </c>
      <c r="D54" t="s">
        <v>335</v>
      </c>
      <c r="H54" t="s">
        <v>426</v>
      </c>
      <c r="AC54" t="s">
        <v>428</v>
      </c>
      <c r="AD54" t="s">
        <v>427</v>
      </c>
      <c r="AE54">
        <v>64</v>
      </c>
      <c r="AF54">
        <v>53</v>
      </c>
      <c r="AH54" t="s">
        <v>389</v>
      </c>
      <c r="AJ54">
        <v>501</v>
      </c>
      <c r="AK54" t="s">
        <v>204</v>
      </c>
      <c r="AM54">
        <v>1454</v>
      </c>
      <c r="AN54">
        <v>1629</v>
      </c>
    </row>
    <row r="55" spans="2:40" x14ac:dyDescent="0.25">
      <c r="B55" t="s">
        <v>333</v>
      </c>
      <c r="C55" t="s">
        <v>334</v>
      </c>
      <c r="D55" t="s">
        <v>335</v>
      </c>
      <c r="H55" t="s">
        <v>426</v>
      </c>
      <c r="AC55" t="s">
        <v>428</v>
      </c>
      <c r="AD55" t="s">
        <v>427</v>
      </c>
      <c r="AE55">
        <v>64</v>
      </c>
      <c r="AF55">
        <v>54</v>
      </c>
      <c r="AH55" t="s">
        <v>389</v>
      </c>
      <c r="AJ55">
        <v>501</v>
      </c>
      <c r="AK55" t="s">
        <v>204</v>
      </c>
      <c r="AM55">
        <v>1659</v>
      </c>
      <c r="AN55">
        <v>1629</v>
      </c>
    </row>
    <row r="56" spans="2:40" x14ac:dyDescent="0.25">
      <c r="B56" t="s">
        <v>333</v>
      </c>
      <c r="C56" t="s">
        <v>334</v>
      </c>
      <c r="D56" t="s">
        <v>335</v>
      </c>
      <c r="H56" t="s">
        <v>426</v>
      </c>
      <c r="AC56" t="s">
        <v>428</v>
      </c>
      <c r="AD56" t="s">
        <v>427</v>
      </c>
      <c r="AE56">
        <v>64</v>
      </c>
      <c r="AF56">
        <v>55</v>
      </c>
      <c r="AH56" t="s">
        <v>389</v>
      </c>
      <c r="AJ56">
        <v>501</v>
      </c>
      <c r="AK56" t="s">
        <v>204</v>
      </c>
      <c r="AM56">
        <v>1864</v>
      </c>
      <c r="AN56">
        <v>1629</v>
      </c>
    </row>
    <row r="57" spans="2:40" x14ac:dyDescent="0.25">
      <c r="B57" t="s">
        <v>333</v>
      </c>
      <c r="C57" t="s">
        <v>334</v>
      </c>
      <c r="D57" t="s">
        <v>335</v>
      </c>
      <c r="H57" t="s">
        <v>426</v>
      </c>
      <c r="AC57" t="s">
        <v>428</v>
      </c>
      <c r="AD57" t="s">
        <v>427</v>
      </c>
      <c r="AE57">
        <v>64</v>
      </c>
      <c r="AF57">
        <v>56</v>
      </c>
      <c r="AH57" t="s">
        <v>389</v>
      </c>
      <c r="AJ57">
        <v>501</v>
      </c>
      <c r="AK57" t="s">
        <v>204</v>
      </c>
      <c r="AM57">
        <v>2069</v>
      </c>
      <c r="AN57">
        <v>1629</v>
      </c>
    </row>
    <row r="58" spans="2:40" x14ac:dyDescent="0.25">
      <c r="B58" t="s">
        <v>333</v>
      </c>
      <c r="C58" t="s">
        <v>334</v>
      </c>
      <c r="D58" t="s">
        <v>335</v>
      </c>
      <c r="H58" t="s">
        <v>426</v>
      </c>
      <c r="AC58" t="s">
        <v>428</v>
      </c>
      <c r="AD58" t="s">
        <v>427</v>
      </c>
      <c r="AE58">
        <v>64</v>
      </c>
      <c r="AF58">
        <v>57</v>
      </c>
      <c r="AH58" t="s">
        <v>360</v>
      </c>
      <c r="AJ58">
        <v>102</v>
      </c>
      <c r="AK58" t="s">
        <v>200</v>
      </c>
      <c r="AM58">
        <v>634</v>
      </c>
      <c r="AN58">
        <v>1834</v>
      </c>
    </row>
    <row r="59" spans="2:40" x14ac:dyDescent="0.25">
      <c r="B59" t="s">
        <v>333</v>
      </c>
      <c r="C59" t="s">
        <v>334</v>
      </c>
      <c r="D59" t="s">
        <v>335</v>
      </c>
      <c r="H59" t="s">
        <v>426</v>
      </c>
      <c r="AC59" t="s">
        <v>428</v>
      </c>
      <c r="AD59" t="s">
        <v>427</v>
      </c>
      <c r="AE59">
        <v>64</v>
      </c>
      <c r="AF59">
        <v>58</v>
      </c>
      <c r="AH59" t="s">
        <v>390</v>
      </c>
      <c r="AJ59">
        <v>903</v>
      </c>
      <c r="AK59" t="s">
        <v>208</v>
      </c>
      <c r="AM59">
        <v>839</v>
      </c>
      <c r="AN59">
        <v>1834</v>
      </c>
    </row>
    <row r="60" spans="2:40" x14ac:dyDescent="0.25">
      <c r="B60" t="s">
        <v>333</v>
      </c>
      <c r="C60" t="s">
        <v>334</v>
      </c>
      <c r="D60" t="s">
        <v>335</v>
      </c>
      <c r="H60" t="s">
        <v>426</v>
      </c>
      <c r="AC60" t="s">
        <v>428</v>
      </c>
      <c r="AD60" t="s">
        <v>427</v>
      </c>
      <c r="AE60">
        <v>64</v>
      </c>
      <c r="AF60">
        <v>59</v>
      </c>
      <c r="AH60" t="s">
        <v>360</v>
      </c>
      <c r="AJ60">
        <v>102</v>
      </c>
      <c r="AK60" t="s">
        <v>200</v>
      </c>
      <c r="AM60">
        <v>1044</v>
      </c>
      <c r="AN60">
        <v>1834</v>
      </c>
    </row>
    <row r="61" spans="2:40" x14ac:dyDescent="0.25">
      <c r="B61" t="s">
        <v>333</v>
      </c>
      <c r="C61" t="s">
        <v>334</v>
      </c>
      <c r="D61" t="s">
        <v>335</v>
      </c>
      <c r="H61" t="s">
        <v>426</v>
      </c>
      <c r="AC61" t="s">
        <v>428</v>
      </c>
      <c r="AD61" t="s">
        <v>427</v>
      </c>
      <c r="AE61">
        <v>64</v>
      </c>
      <c r="AF61">
        <v>60</v>
      </c>
      <c r="AH61" t="s">
        <v>389</v>
      </c>
      <c r="AJ61">
        <v>501</v>
      </c>
      <c r="AK61" t="s">
        <v>204</v>
      </c>
      <c r="AM61">
        <v>1249</v>
      </c>
      <c r="AN61">
        <v>1834</v>
      </c>
    </row>
    <row r="62" spans="2:40" x14ac:dyDescent="0.25">
      <c r="B62" t="s">
        <v>333</v>
      </c>
      <c r="C62" t="s">
        <v>334</v>
      </c>
      <c r="D62" t="s">
        <v>335</v>
      </c>
      <c r="H62" t="s">
        <v>426</v>
      </c>
      <c r="AC62" t="s">
        <v>428</v>
      </c>
      <c r="AD62" t="s">
        <v>427</v>
      </c>
      <c r="AE62">
        <v>64</v>
      </c>
      <c r="AF62">
        <v>61</v>
      </c>
      <c r="AH62" t="s">
        <v>360</v>
      </c>
      <c r="AJ62">
        <v>102</v>
      </c>
      <c r="AK62" t="s">
        <v>200</v>
      </c>
      <c r="AM62">
        <v>1454</v>
      </c>
      <c r="AN62">
        <v>1834</v>
      </c>
    </row>
    <row r="63" spans="2:40" x14ac:dyDescent="0.25">
      <c r="B63" t="s">
        <v>333</v>
      </c>
      <c r="C63" t="s">
        <v>334</v>
      </c>
      <c r="D63" t="s">
        <v>335</v>
      </c>
      <c r="H63" t="s">
        <v>426</v>
      </c>
      <c r="AC63" t="s">
        <v>428</v>
      </c>
      <c r="AD63" t="s">
        <v>427</v>
      </c>
      <c r="AE63">
        <v>64</v>
      </c>
      <c r="AF63">
        <v>62</v>
      </c>
      <c r="AH63" t="s">
        <v>360</v>
      </c>
      <c r="AJ63">
        <v>102</v>
      </c>
      <c r="AK63" t="s">
        <v>200</v>
      </c>
      <c r="AM63">
        <v>1659</v>
      </c>
      <c r="AN63">
        <v>1834</v>
      </c>
    </row>
    <row r="64" spans="2:40" x14ac:dyDescent="0.25">
      <c r="B64" t="s">
        <v>333</v>
      </c>
      <c r="C64" t="s">
        <v>334</v>
      </c>
      <c r="D64" t="s">
        <v>335</v>
      </c>
      <c r="H64" t="s">
        <v>426</v>
      </c>
      <c r="AC64" t="s">
        <v>428</v>
      </c>
      <c r="AD64" t="s">
        <v>427</v>
      </c>
      <c r="AE64">
        <v>64</v>
      </c>
      <c r="AF64">
        <v>63</v>
      </c>
      <c r="AH64" t="s">
        <v>360</v>
      </c>
      <c r="AJ64">
        <v>102</v>
      </c>
      <c r="AK64" t="s">
        <v>200</v>
      </c>
      <c r="AM64">
        <v>1864</v>
      </c>
      <c r="AN64">
        <v>1834</v>
      </c>
    </row>
    <row r="65" spans="2:40" x14ac:dyDescent="0.25">
      <c r="B65" t="s">
        <v>333</v>
      </c>
      <c r="C65" t="s">
        <v>334</v>
      </c>
      <c r="D65" t="s">
        <v>335</v>
      </c>
      <c r="H65" t="s">
        <v>426</v>
      </c>
      <c r="AC65" t="s">
        <v>428</v>
      </c>
      <c r="AD65" t="s">
        <v>427</v>
      </c>
      <c r="AE65">
        <v>64</v>
      </c>
      <c r="AF65">
        <v>64</v>
      </c>
      <c r="AH65" t="s">
        <v>420</v>
      </c>
      <c r="AJ65">
        <v>104</v>
      </c>
      <c r="AK65" t="s">
        <v>200</v>
      </c>
      <c r="AM65">
        <v>2069</v>
      </c>
      <c r="AN65">
        <v>1834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140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28515625" bestFit="1" customWidth="1"/>
    <col min="30" max="30" width="43.42578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430</v>
      </c>
      <c r="AC2" t="s">
        <v>432</v>
      </c>
      <c r="AD2" t="s">
        <v>431</v>
      </c>
      <c r="AE2">
        <v>64</v>
      </c>
      <c r="AF2">
        <v>1</v>
      </c>
      <c r="AH2" t="s">
        <v>361</v>
      </c>
      <c r="AJ2">
        <v>109</v>
      </c>
      <c r="AK2" t="s">
        <v>200</v>
      </c>
      <c r="AM2">
        <v>847</v>
      </c>
      <c r="AN2">
        <v>452</v>
      </c>
    </row>
    <row r="3" spans="1:40" x14ac:dyDescent="0.25">
      <c r="B3" t="s">
        <v>333</v>
      </c>
      <c r="C3" t="s">
        <v>334</v>
      </c>
      <c r="D3" t="s">
        <v>335</v>
      </c>
      <c r="H3" t="s">
        <v>430</v>
      </c>
      <c r="AC3" t="s">
        <v>432</v>
      </c>
      <c r="AD3" t="s">
        <v>431</v>
      </c>
      <c r="AE3">
        <v>64</v>
      </c>
      <c r="AF3">
        <v>2</v>
      </c>
      <c r="AH3" t="s">
        <v>360</v>
      </c>
      <c r="AJ3">
        <v>102</v>
      </c>
      <c r="AK3" t="s">
        <v>200</v>
      </c>
      <c r="AM3">
        <v>1052</v>
      </c>
      <c r="AN3">
        <v>452</v>
      </c>
    </row>
    <row r="4" spans="1:40" x14ac:dyDescent="0.25">
      <c r="B4" t="s">
        <v>333</v>
      </c>
      <c r="C4" t="s">
        <v>334</v>
      </c>
      <c r="D4" t="s">
        <v>335</v>
      </c>
      <c r="H4" t="s">
        <v>430</v>
      </c>
      <c r="AC4" t="s">
        <v>432</v>
      </c>
      <c r="AD4" t="s">
        <v>431</v>
      </c>
      <c r="AE4">
        <v>64</v>
      </c>
      <c r="AF4">
        <v>3</v>
      </c>
      <c r="AH4" t="s">
        <v>396</v>
      </c>
      <c r="AJ4">
        <v>303</v>
      </c>
      <c r="AK4" t="s">
        <v>202</v>
      </c>
      <c r="AM4">
        <v>1258</v>
      </c>
      <c r="AN4">
        <v>452</v>
      </c>
    </row>
    <row r="5" spans="1:40" x14ac:dyDescent="0.25">
      <c r="B5" t="s">
        <v>333</v>
      </c>
      <c r="C5" t="s">
        <v>334</v>
      </c>
      <c r="D5" t="s">
        <v>335</v>
      </c>
      <c r="H5" t="s">
        <v>430</v>
      </c>
      <c r="AC5" t="s">
        <v>432</v>
      </c>
      <c r="AD5" t="s">
        <v>431</v>
      </c>
      <c r="AE5">
        <v>64</v>
      </c>
      <c r="AF5">
        <v>4</v>
      </c>
      <c r="AH5" t="s">
        <v>396</v>
      </c>
      <c r="AJ5">
        <v>303</v>
      </c>
      <c r="AK5" t="s">
        <v>202</v>
      </c>
      <c r="AM5">
        <v>1463</v>
      </c>
      <c r="AN5">
        <v>452</v>
      </c>
    </row>
    <row r="6" spans="1:40" x14ac:dyDescent="0.25">
      <c r="B6" t="s">
        <v>333</v>
      </c>
      <c r="C6" t="s">
        <v>334</v>
      </c>
      <c r="D6" t="s">
        <v>335</v>
      </c>
      <c r="H6" t="s">
        <v>430</v>
      </c>
      <c r="AC6" t="s">
        <v>432</v>
      </c>
      <c r="AD6" t="s">
        <v>431</v>
      </c>
      <c r="AE6">
        <v>64</v>
      </c>
      <c r="AF6">
        <v>5</v>
      </c>
      <c r="AH6" t="s">
        <v>360</v>
      </c>
      <c r="AJ6">
        <v>102</v>
      </c>
      <c r="AK6" t="s">
        <v>200</v>
      </c>
      <c r="AM6">
        <v>1668</v>
      </c>
      <c r="AN6">
        <v>452</v>
      </c>
    </row>
    <row r="7" spans="1:40" x14ac:dyDescent="0.25">
      <c r="B7" t="s">
        <v>333</v>
      </c>
      <c r="C7" t="s">
        <v>334</v>
      </c>
      <c r="D7" t="s">
        <v>335</v>
      </c>
      <c r="H7" t="s">
        <v>430</v>
      </c>
      <c r="AC7" t="s">
        <v>432</v>
      </c>
      <c r="AD7" t="s">
        <v>431</v>
      </c>
      <c r="AE7">
        <v>64</v>
      </c>
      <c r="AF7">
        <v>6</v>
      </c>
      <c r="AH7" t="s">
        <v>396</v>
      </c>
      <c r="AJ7">
        <v>303</v>
      </c>
      <c r="AK7" t="s">
        <v>202</v>
      </c>
      <c r="AM7">
        <v>1874</v>
      </c>
      <c r="AN7">
        <v>452</v>
      </c>
    </row>
    <row r="8" spans="1:40" x14ac:dyDescent="0.25">
      <c r="B8" t="s">
        <v>333</v>
      </c>
      <c r="C8" t="s">
        <v>334</v>
      </c>
      <c r="D8" t="s">
        <v>335</v>
      </c>
      <c r="H8" t="s">
        <v>430</v>
      </c>
      <c r="AC8" t="s">
        <v>432</v>
      </c>
      <c r="AD8" t="s">
        <v>431</v>
      </c>
      <c r="AE8">
        <v>64</v>
      </c>
      <c r="AF8">
        <v>7</v>
      </c>
      <c r="AH8" t="s">
        <v>396</v>
      </c>
      <c r="AJ8">
        <v>303</v>
      </c>
      <c r="AK8" t="s">
        <v>202</v>
      </c>
      <c r="AM8">
        <v>2079</v>
      </c>
      <c r="AN8">
        <v>452</v>
      </c>
    </row>
    <row r="9" spans="1:40" x14ac:dyDescent="0.25">
      <c r="B9" t="s">
        <v>333</v>
      </c>
      <c r="C9" t="s">
        <v>334</v>
      </c>
      <c r="D9" t="s">
        <v>335</v>
      </c>
      <c r="H9" t="s">
        <v>430</v>
      </c>
      <c r="AC9" t="s">
        <v>432</v>
      </c>
      <c r="AD9" t="s">
        <v>431</v>
      </c>
      <c r="AE9">
        <v>64</v>
      </c>
      <c r="AF9">
        <v>8</v>
      </c>
      <c r="AH9" t="s">
        <v>360</v>
      </c>
      <c r="AJ9">
        <v>102</v>
      </c>
      <c r="AK9" t="s">
        <v>200</v>
      </c>
      <c r="AM9">
        <v>2285</v>
      </c>
      <c r="AN9">
        <v>452</v>
      </c>
    </row>
    <row r="10" spans="1:40" x14ac:dyDescent="0.25">
      <c r="B10" t="s">
        <v>333</v>
      </c>
      <c r="C10" t="s">
        <v>334</v>
      </c>
      <c r="D10" t="s">
        <v>335</v>
      </c>
      <c r="H10" t="s">
        <v>430</v>
      </c>
      <c r="AC10" t="s">
        <v>432</v>
      </c>
      <c r="AD10" t="s">
        <v>431</v>
      </c>
      <c r="AE10">
        <v>64</v>
      </c>
      <c r="AF10">
        <v>9</v>
      </c>
      <c r="AH10" t="s">
        <v>360</v>
      </c>
      <c r="AJ10">
        <v>102</v>
      </c>
      <c r="AK10" t="s">
        <v>200</v>
      </c>
      <c r="AM10">
        <v>847</v>
      </c>
      <c r="AN10">
        <v>657</v>
      </c>
    </row>
    <row r="11" spans="1:40" x14ac:dyDescent="0.25">
      <c r="B11" t="s">
        <v>333</v>
      </c>
      <c r="C11" t="s">
        <v>334</v>
      </c>
      <c r="D11" t="s">
        <v>335</v>
      </c>
      <c r="H11" t="s">
        <v>430</v>
      </c>
      <c r="AC11" t="s">
        <v>432</v>
      </c>
      <c r="AD11" t="s">
        <v>431</v>
      </c>
      <c r="AE11">
        <v>64</v>
      </c>
      <c r="AF11">
        <v>10</v>
      </c>
      <c r="AH11" t="s">
        <v>389</v>
      </c>
      <c r="AJ11">
        <v>501</v>
      </c>
      <c r="AK11" t="s">
        <v>204</v>
      </c>
      <c r="AM11">
        <v>1052</v>
      </c>
      <c r="AN11">
        <v>657</v>
      </c>
    </row>
    <row r="12" spans="1:40" x14ac:dyDescent="0.25">
      <c r="B12" t="s">
        <v>333</v>
      </c>
      <c r="C12" t="s">
        <v>334</v>
      </c>
      <c r="D12" t="s">
        <v>335</v>
      </c>
      <c r="H12" t="s">
        <v>430</v>
      </c>
      <c r="AC12" t="s">
        <v>432</v>
      </c>
      <c r="AD12" t="s">
        <v>431</v>
      </c>
      <c r="AE12">
        <v>64</v>
      </c>
      <c r="AF12">
        <v>11</v>
      </c>
      <c r="AH12" t="s">
        <v>389</v>
      </c>
      <c r="AJ12">
        <v>501</v>
      </c>
      <c r="AK12" t="s">
        <v>204</v>
      </c>
      <c r="AM12">
        <v>1258</v>
      </c>
      <c r="AN12">
        <v>657</v>
      </c>
    </row>
    <row r="13" spans="1:40" x14ac:dyDescent="0.25">
      <c r="B13" t="s">
        <v>333</v>
      </c>
      <c r="C13" t="s">
        <v>334</v>
      </c>
      <c r="D13" t="s">
        <v>335</v>
      </c>
      <c r="H13" t="s">
        <v>430</v>
      </c>
      <c r="AC13" t="s">
        <v>432</v>
      </c>
      <c r="AD13" t="s">
        <v>431</v>
      </c>
      <c r="AE13">
        <v>64</v>
      </c>
      <c r="AF13">
        <v>12</v>
      </c>
      <c r="AH13" t="s">
        <v>389</v>
      </c>
      <c r="AJ13">
        <v>501</v>
      </c>
      <c r="AK13" t="s">
        <v>204</v>
      </c>
      <c r="AM13">
        <v>1463</v>
      </c>
      <c r="AN13">
        <v>657</v>
      </c>
    </row>
    <row r="14" spans="1:40" x14ac:dyDescent="0.25">
      <c r="B14" t="s">
        <v>333</v>
      </c>
      <c r="C14" t="s">
        <v>334</v>
      </c>
      <c r="D14" t="s">
        <v>335</v>
      </c>
      <c r="H14" t="s">
        <v>430</v>
      </c>
      <c r="AC14" t="s">
        <v>432</v>
      </c>
      <c r="AD14" t="s">
        <v>431</v>
      </c>
      <c r="AE14">
        <v>64</v>
      </c>
      <c r="AF14">
        <v>13</v>
      </c>
      <c r="AH14" t="s">
        <v>389</v>
      </c>
      <c r="AJ14">
        <v>501</v>
      </c>
      <c r="AK14" t="s">
        <v>204</v>
      </c>
      <c r="AM14">
        <v>1668</v>
      </c>
      <c r="AN14">
        <v>657</v>
      </c>
    </row>
    <row r="15" spans="1:40" x14ac:dyDescent="0.25">
      <c r="B15" t="s">
        <v>333</v>
      </c>
      <c r="C15" t="s">
        <v>334</v>
      </c>
      <c r="D15" t="s">
        <v>335</v>
      </c>
      <c r="H15" t="s">
        <v>430</v>
      </c>
      <c r="AC15" t="s">
        <v>432</v>
      </c>
      <c r="AD15" t="s">
        <v>431</v>
      </c>
      <c r="AE15">
        <v>64</v>
      </c>
      <c r="AF15">
        <v>14</v>
      </c>
      <c r="AH15" t="s">
        <v>360</v>
      </c>
      <c r="AJ15">
        <v>102</v>
      </c>
      <c r="AK15" t="s">
        <v>200</v>
      </c>
      <c r="AM15">
        <v>1874</v>
      </c>
      <c r="AN15">
        <v>657</v>
      </c>
    </row>
    <row r="16" spans="1:40" x14ac:dyDescent="0.25">
      <c r="B16" t="s">
        <v>333</v>
      </c>
      <c r="C16" t="s">
        <v>334</v>
      </c>
      <c r="D16" t="s">
        <v>335</v>
      </c>
      <c r="H16" t="s">
        <v>430</v>
      </c>
      <c r="AC16" t="s">
        <v>432</v>
      </c>
      <c r="AD16" t="s">
        <v>431</v>
      </c>
      <c r="AE16">
        <v>64</v>
      </c>
      <c r="AF16">
        <v>15</v>
      </c>
      <c r="AH16" t="s">
        <v>389</v>
      </c>
      <c r="AJ16">
        <v>501</v>
      </c>
      <c r="AK16" t="s">
        <v>204</v>
      </c>
      <c r="AM16">
        <v>2079</v>
      </c>
      <c r="AN16">
        <v>657</v>
      </c>
    </row>
    <row r="17" spans="2:40" x14ac:dyDescent="0.25">
      <c r="B17" t="s">
        <v>333</v>
      </c>
      <c r="C17" t="s">
        <v>334</v>
      </c>
      <c r="D17" t="s">
        <v>335</v>
      </c>
      <c r="H17" t="s">
        <v>430</v>
      </c>
      <c r="AC17" t="s">
        <v>432</v>
      </c>
      <c r="AD17" t="s">
        <v>431</v>
      </c>
      <c r="AE17">
        <v>64</v>
      </c>
      <c r="AF17">
        <v>16</v>
      </c>
      <c r="AH17" t="s">
        <v>396</v>
      </c>
      <c r="AJ17">
        <v>303</v>
      </c>
      <c r="AK17" t="s">
        <v>202</v>
      </c>
      <c r="AM17">
        <v>2285</v>
      </c>
      <c r="AN17">
        <v>657</v>
      </c>
    </row>
    <row r="18" spans="2:40" x14ac:dyDescent="0.25">
      <c r="B18" t="s">
        <v>333</v>
      </c>
      <c r="C18" t="s">
        <v>334</v>
      </c>
      <c r="D18" t="s">
        <v>335</v>
      </c>
      <c r="H18" t="s">
        <v>430</v>
      </c>
      <c r="AC18" t="s">
        <v>432</v>
      </c>
      <c r="AD18" t="s">
        <v>431</v>
      </c>
      <c r="AE18">
        <v>64</v>
      </c>
      <c r="AF18">
        <v>17</v>
      </c>
      <c r="AH18" t="s">
        <v>396</v>
      </c>
      <c r="AJ18">
        <v>303</v>
      </c>
      <c r="AK18" t="s">
        <v>202</v>
      </c>
      <c r="AM18">
        <v>847</v>
      </c>
      <c r="AN18">
        <v>862</v>
      </c>
    </row>
    <row r="19" spans="2:40" x14ac:dyDescent="0.25">
      <c r="B19" t="s">
        <v>333</v>
      </c>
      <c r="C19" t="s">
        <v>334</v>
      </c>
      <c r="D19" t="s">
        <v>335</v>
      </c>
      <c r="H19" t="s">
        <v>430</v>
      </c>
      <c r="AC19" t="s">
        <v>432</v>
      </c>
      <c r="AD19" t="s">
        <v>431</v>
      </c>
      <c r="AE19">
        <v>64</v>
      </c>
      <c r="AF19">
        <v>18</v>
      </c>
      <c r="AH19" t="s">
        <v>389</v>
      </c>
      <c r="AJ19">
        <v>501</v>
      </c>
      <c r="AK19" t="s">
        <v>204</v>
      </c>
      <c r="AM19">
        <v>1052</v>
      </c>
      <c r="AN19">
        <v>862</v>
      </c>
    </row>
    <row r="20" spans="2:40" x14ac:dyDescent="0.25">
      <c r="B20" t="s">
        <v>333</v>
      </c>
      <c r="C20" t="s">
        <v>334</v>
      </c>
      <c r="D20" t="s">
        <v>335</v>
      </c>
      <c r="H20" t="s">
        <v>430</v>
      </c>
      <c r="AC20" t="s">
        <v>432</v>
      </c>
      <c r="AD20" t="s">
        <v>431</v>
      </c>
      <c r="AE20">
        <v>64</v>
      </c>
      <c r="AF20">
        <v>19</v>
      </c>
      <c r="AH20" t="s">
        <v>389</v>
      </c>
      <c r="AJ20">
        <v>501</v>
      </c>
      <c r="AK20" t="s">
        <v>204</v>
      </c>
      <c r="AM20">
        <v>1258</v>
      </c>
      <c r="AN20">
        <v>862</v>
      </c>
    </row>
    <row r="21" spans="2:40" x14ac:dyDescent="0.25">
      <c r="B21" t="s">
        <v>333</v>
      </c>
      <c r="C21" t="s">
        <v>334</v>
      </c>
      <c r="D21" t="s">
        <v>335</v>
      </c>
      <c r="H21" t="s">
        <v>430</v>
      </c>
      <c r="AC21" t="s">
        <v>432</v>
      </c>
      <c r="AD21" t="s">
        <v>431</v>
      </c>
      <c r="AE21">
        <v>64</v>
      </c>
      <c r="AF21">
        <v>20</v>
      </c>
      <c r="AH21" t="s">
        <v>389</v>
      </c>
      <c r="AJ21">
        <v>501</v>
      </c>
      <c r="AK21" t="s">
        <v>204</v>
      </c>
      <c r="AM21">
        <v>1463</v>
      </c>
      <c r="AN21">
        <v>862</v>
      </c>
    </row>
    <row r="22" spans="2:40" x14ac:dyDescent="0.25">
      <c r="B22" t="s">
        <v>333</v>
      </c>
      <c r="C22" t="s">
        <v>334</v>
      </c>
      <c r="D22" t="s">
        <v>335</v>
      </c>
      <c r="H22" t="s">
        <v>430</v>
      </c>
      <c r="AC22" t="s">
        <v>432</v>
      </c>
      <c r="AD22" t="s">
        <v>431</v>
      </c>
      <c r="AE22">
        <v>64</v>
      </c>
      <c r="AF22">
        <v>21</v>
      </c>
      <c r="AH22" t="s">
        <v>389</v>
      </c>
      <c r="AJ22">
        <v>501</v>
      </c>
      <c r="AK22" t="s">
        <v>204</v>
      </c>
      <c r="AM22">
        <v>1668</v>
      </c>
      <c r="AN22">
        <v>862</v>
      </c>
    </row>
    <row r="23" spans="2:40" x14ac:dyDescent="0.25">
      <c r="B23" t="s">
        <v>333</v>
      </c>
      <c r="C23" t="s">
        <v>334</v>
      </c>
      <c r="D23" t="s">
        <v>335</v>
      </c>
      <c r="H23" t="s">
        <v>430</v>
      </c>
      <c r="AC23" t="s">
        <v>432</v>
      </c>
      <c r="AD23" t="s">
        <v>431</v>
      </c>
      <c r="AE23">
        <v>64</v>
      </c>
      <c r="AF23">
        <v>22</v>
      </c>
      <c r="AH23" t="s">
        <v>391</v>
      </c>
      <c r="AJ23">
        <v>604</v>
      </c>
      <c r="AK23" t="s">
        <v>205</v>
      </c>
      <c r="AM23">
        <v>1874</v>
      </c>
      <c r="AN23">
        <v>862</v>
      </c>
    </row>
    <row r="24" spans="2:40" x14ac:dyDescent="0.25">
      <c r="B24" t="s">
        <v>333</v>
      </c>
      <c r="C24" t="s">
        <v>334</v>
      </c>
      <c r="D24" t="s">
        <v>335</v>
      </c>
      <c r="H24" t="s">
        <v>430</v>
      </c>
      <c r="AC24" t="s">
        <v>432</v>
      </c>
      <c r="AD24" t="s">
        <v>431</v>
      </c>
      <c r="AE24">
        <v>64</v>
      </c>
      <c r="AF24">
        <v>23</v>
      </c>
      <c r="AH24" t="s">
        <v>391</v>
      </c>
      <c r="AJ24">
        <v>604</v>
      </c>
      <c r="AK24" t="s">
        <v>205</v>
      </c>
      <c r="AM24">
        <v>2079</v>
      </c>
      <c r="AN24">
        <v>862</v>
      </c>
    </row>
    <row r="25" spans="2:40" x14ac:dyDescent="0.25">
      <c r="B25" t="s">
        <v>333</v>
      </c>
      <c r="C25" t="s">
        <v>334</v>
      </c>
      <c r="D25" t="s">
        <v>335</v>
      </c>
      <c r="H25" t="s">
        <v>430</v>
      </c>
      <c r="AC25" t="s">
        <v>432</v>
      </c>
      <c r="AD25" t="s">
        <v>431</v>
      </c>
      <c r="AE25">
        <v>64</v>
      </c>
      <c r="AF25">
        <v>24</v>
      </c>
      <c r="AH25" t="s">
        <v>396</v>
      </c>
      <c r="AJ25">
        <v>303</v>
      </c>
      <c r="AK25" t="s">
        <v>202</v>
      </c>
      <c r="AM25">
        <v>2285</v>
      </c>
      <c r="AN25">
        <v>862</v>
      </c>
    </row>
    <row r="26" spans="2:40" x14ac:dyDescent="0.25">
      <c r="B26" t="s">
        <v>333</v>
      </c>
      <c r="C26" t="s">
        <v>334</v>
      </c>
      <c r="D26" t="s">
        <v>335</v>
      </c>
      <c r="H26" t="s">
        <v>430</v>
      </c>
      <c r="AC26" t="s">
        <v>432</v>
      </c>
      <c r="AD26" t="s">
        <v>431</v>
      </c>
      <c r="AE26">
        <v>64</v>
      </c>
      <c r="AF26">
        <v>25</v>
      </c>
      <c r="AH26" t="s">
        <v>396</v>
      </c>
      <c r="AJ26">
        <v>303</v>
      </c>
      <c r="AK26" t="s">
        <v>202</v>
      </c>
      <c r="AM26">
        <v>847</v>
      </c>
      <c r="AN26">
        <v>1068</v>
      </c>
    </row>
    <row r="27" spans="2:40" x14ac:dyDescent="0.25">
      <c r="B27" t="s">
        <v>333</v>
      </c>
      <c r="C27" t="s">
        <v>334</v>
      </c>
      <c r="D27" t="s">
        <v>335</v>
      </c>
      <c r="H27" t="s">
        <v>430</v>
      </c>
      <c r="AC27" t="s">
        <v>432</v>
      </c>
      <c r="AD27" t="s">
        <v>431</v>
      </c>
      <c r="AE27">
        <v>64</v>
      </c>
      <c r="AF27">
        <v>26</v>
      </c>
      <c r="AH27" t="s">
        <v>389</v>
      </c>
      <c r="AJ27">
        <v>501</v>
      </c>
      <c r="AK27" t="s">
        <v>204</v>
      </c>
      <c r="AM27">
        <v>1052</v>
      </c>
      <c r="AN27">
        <v>1068</v>
      </c>
    </row>
    <row r="28" spans="2:40" x14ac:dyDescent="0.25">
      <c r="B28" t="s">
        <v>333</v>
      </c>
      <c r="C28" t="s">
        <v>334</v>
      </c>
      <c r="D28" t="s">
        <v>335</v>
      </c>
      <c r="H28" t="s">
        <v>430</v>
      </c>
      <c r="AC28" t="s">
        <v>432</v>
      </c>
      <c r="AD28" t="s">
        <v>431</v>
      </c>
      <c r="AE28">
        <v>64</v>
      </c>
      <c r="AF28">
        <v>27</v>
      </c>
      <c r="AH28" t="s">
        <v>390</v>
      </c>
      <c r="AJ28">
        <v>903</v>
      </c>
      <c r="AK28" t="s">
        <v>208</v>
      </c>
      <c r="AM28">
        <v>1258</v>
      </c>
      <c r="AN28">
        <v>1068</v>
      </c>
    </row>
    <row r="29" spans="2:40" x14ac:dyDescent="0.25">
      <c r="B29" t="s">
        <v>333</v>
      </c>
      <c r="C29" t="s">
        <v>334</v>
      </c>
      <c r="D29" t="s">
        <v>335</v>
      </c>
      <c r="H29" t="s">
        <v>430</v>
      </c>
      <c r="AC29" t="s">
        <v>432</v>
      </c>
      <c r="AD29" t="s">
        <v>431</v>
      </c>
      <c r="AE29">
        <v>64</v>
      </c>
      <c r="AF29">
        <v>28</v>
      </c>
      <c r="AH29" t="s">
        <v>389</v>
      </c>
      <c r="AJ29">
        <v>501</v>
      </c>
      <c r="AK29" t="s">
        <v>204</v>
      </c>
      <c r="AM29">
        <v>1463</v>
      </c>
      <c r="AN29">
        <v>1068</v>
      </c>
    </row>
    <row r="30" spans="2:40" x14ac:dyDescent="0.25">
      <c r="B30" t="s">
        <v>333</v>
      </c>
      <c r="C30" t="s">
        <v>334</v>
      </c>
      <c r="D30" t="s">
        <v>335</v>
      </c>
      <c r="H30" t="s">
        <v>430</v>
      </c>
      <c r="AC30" t="s">
        <v>432</v>
      </c>
      <c r="AD30" t="s">
        <v>431</v>
      </c>
      <c r="AE30">
        <v>64</v>
      </c>
      <c r="AF30">
        <v>29</v>
      </c>
      <c r="AH30" t="s">
        <v>389</v>
      </c>
      <c r="AJ30">
        <v>501</v>
      </c>
      <c r="AK30" t="s">
        <v>204</v>
      </c>
      <c r="AM30">
        <v>1668</v>
      </c>
      <c r="AN30">
        <v>1068</v>
      </c>
    </row>
    <row r="31" spans="2:40" x14ac:dyDescent="0.25">
      <c r="B31" t="s">
        <v>333</v>
      </c>
      <c r="C31" t="s">
        <v>334</v>
      </c>
      <c r="D31" t="s">
        <v>335</v>
      </c>
      <c r="H31" t="s">
        <v>430</v>
      </c>
      <c r="AC31" t="s">
        <v>432</v>
      </c>
      <c r="AD31" t="s">
        <v>431</v>
      </c>
      <c r="AE31">
        <v>64</v>
      </c>
      <c r="AF31">
        <v>30</v>
      </c>
      <c r="AH31" t="s">
        <v>390</v>
      </c>
      <c r="AJ31">
        <v>903</v>
      </c>
      <c r="AK31" t="s">
        <v>208</v>
      </c>
      <c r="AM31">
        <v>1874</v>
      </c>
      <c r="AN31">
        <v>1068</v>
      </c>
    </row>
    <row r="32" spans="2:40" x14ac:dyDescent="0.25">
      <c r="B32" t="s">
        <v>333</v>
      </c>
      <c r="C32" t="s">
        <v>334</v>
      </c>
      <c r="D32" t="s">
        <v>335</v>
      </c>
      <c r="H32" t="s">
        <v>430</v>
      </c>
      <c r="AC32" t="s">
        <v>432</v>
      </c>
      <c r="AD32" t="s">
        <v>431</v>
      </c>
      <c r="AE32">
        <v>64</v>
      </c>
      <c r="AF32">
        <v>31</v>
      </c>
      <c r="AH32" t="s">
        <v>389</v>
      </c>
      <c r="AJ32">
        <v>501</v>
      </c>
      <c r="AK32" t="s">
        <v>204</v>
      </c>
      <c r="AM32">
        <v>2079</v>
      </c>
      <c r="AN32">
        <v>1068</v>
      </c>
    </row>
    <row r="33" spans="2:40" x14ac:dyDescent="0.25">
      <c r="B33" t="s">
        <v>333</v>
      </c>
      <c r="C33" t="s">
        <v>334</v>
      </c>
      <c r="D33" t="s">
        <v>335</v>
      </c>
      <c r="H33" t="s">
        <v>430</v>
      </c>
      <c r="AC33" t="s">
        <v>432</v>
      </c>
      <c r="AD33" t="s">
        <v>431</v>
      </c>
      <c r="AE33">
        <v>64</v>
      </c>
      <c r="AF33">
        <v>32</v>
      </c>
      <c r="AH33" t="s">
        <v>396</v>
      </c>
      <c r="AJ33">
        <v>303</v>
      </c>
      <c r="AK33" t="s">
        <v>202</v>
      </c>
      <c r="AM33">
        <v>2285</v>
      </c>
      <c r="AN33">
        <v>1068</v>
      </c>
    </row>
    <row r="34" spans="2:40" x14ac:dyDescent="0.25">
      <c r="B34" t="s">
        <v>333</v>
      </c>
      <c r="C34" t="s">
        <v>334</v>
      </c>
      <c r="D34" t="s">
        <v>335</v>
      </c>
      <c r="H34" t="s">
        <v>430</v>
      </c>
      <c r="AC34" t="s">
        <v>432</v>
      </c>
      <c r="AD34" t="s">
        <v>431</v>
      </c>
      <c r="AE34">
        <v>64</v>
      </c>
      <c r="AF34">
        <v>33</v>
      </c>
      <c r="AH34" t="s">
        <v>396</v>
      </c>
      <c r="AJ34">
        <v>303</v>
      </c>
      <c r="AK34" t="s">
        <v>202</v>
      </c>
      <c r="AM34">
        <v>847</v>
      </c>
      <c r="AN34">
        <v>1273</v>
      </c>
    </row>
    <row r="35" spans="2:40" x14ac:dyDescent="0.25">
      <c r="B35" t="s">
        <v>333</v>
      </c>
      <c r="C35" t="s">
        <v>334</v>
      </c>
      <c r="D35" t="s">
        <v>335</v>
      </c>
      <c r="H35" t="s">
        <v>430</v>
      </c>
      <c r="AC35" t="s">
        <v>432</v>
      </c>
      <c r="AD35" t="s">
        <v>431</v>
      </c>
      <c r="AE35">
        <v>64</v>
      </c>
      <c r="AF35">
        <v>34</v>
      </c>
      <c r="AH35" t="s">
        <v>389</v>
      </c>
      <c r="AJ35">
        <v>501</v>
      </c>
      <c r="AK35" t="s">
        <v>204</v>
      </c>
      <c r="AM35">
        <v>1052</v>
      </c>
      <c r="AN35">
        <v>1273</v>
      </c>
    </row>
    <row r="36" spans="2:40" x14ac:dyDescent="0.25">
      <c r="B36" t="s">
        <v>333</v>
      </c>
      <c r="C36" t="s">
        <v>334</v>
      </c>
      <c r="D36" t="s">
        <v>335</v>
      </c>
      <c r="H36" t="s">
        <v>430</v>
      </c>
      <c r="AC36" t="s">
        <v>432</v>
      </c>
      <c r="AD36" t="s">
        <v>431</v>
      </c>
      <c r="AE36">
        <v>64</v>
      </c>
      <c r="AF36">
        <v>35</v>
      </c>
      <c r="AH36" t="s">
        <v>389</v>
      </c>
      <c r="AJ36">
        <v>501</v>
      </c>
      <c r="AK36" t="s">
        <v>204</v>
      </c>
      <c r="AM36">
        <v>1258</v>
      </c>
      <c r="AN36">
        <v>1273</v>
      </c>
    </row>
    <row r="37" spans="2:40" x14ac:dyDescent="0.25">
      <c r="B37" t="s">
        <v>333</v>
      </c>
      <c r="C37" t="s">
        <v>334</v>
      </c>
      <c r="D37" t="s">
        <v>335</v>
      </c>
      <c r="H37" t="s">
        <v>430</v>
      </c>
      <c r="AC37" t="s">
        <v>432</v>
      </c>
      <c r="AD37" t="s">
        <v>431</v>
      </c>
      <c r="AE37">
        <v>64</v>
      </c>
      <c r="AF37">
        <v>36</v>
      </c>
      <c r="AH37" t="s">
        <v>389</v>
      </c>
      <c r="AJ37">
        <v>501</v>
      </c>
      <c r="AK37" t="s">
        <v>204</v>
      </c>
      <c r="AM37">
        <v>1463</v>
      </c>
      <c r="AN37">
        <v>1273</v>
      </c>
    </row>
    <row r="38" spans="2:40" x14ac:dyDescent="0.25">
      <c r="B38" t="s">
        <v>333</v>
      </c>
      <c r="C38" t="s">
        <v>334</v>
      </c>
      <c r="D38" t="s">
        <v>335</v>
      </c>
      <c r="H38" t="s">
        <v>430</v>
      </c>
      <c r="AC38" t="s">
        <v>432</v>
      </c>
      <c r="AD38" t="s">
        <v>431</v>
      </c>
      <c r="AE38">
        <v>64</v>
      </c>
      <c r="AF38">
        <v>37</v>
      </c>
      <c r="AH38" t="s">
        <v>389</v>
      </c>
      <c r="AJ38">
        <v>501</v>
      </c>
      <c r="AK38" t="s">
        <v>204</v>
      </c>
      <c r="AM38">
        <v>1668</v>
      </c>
      <c r="AN38">
        <v>1273</v>
      </c>
    </row>
    <row r="39" spans="2:40" x14ac:dyDescent="0.25">
      <c r="B39" t="s">
        <v>333</v>
      </c>
      <c r="C39" t="s">
        <v>334</v>
      </c>
      <c r="D39" t="s">
        <v>335</v>
      </c>
      <c r="H39" t="s">
        <v>430</v>
      </c>
      <c r="AC39" t="s">
        <v>432</v>
      </c>
      <c r="AD39" t="s">
        <v>431</v>
      </c>
      <c r="AE39">
        <v>64</v>
      </c>
      <c r="AF39">
        <v>38</v>
      </c>
      <c r="AH39" t="s">
        <v>396</v>
      </c>
      <c r="AJ39">
        <v>303</v>
      </c>
      <c r="AK39" t="s">
        <v>202</v>
      </c>
      <c r="AM39">
        <v>1874</v>
      </c>
      <c r="AN39">
        <v>1273</v>
      </c>
    </row>
    <row r="40" spans="2:40" x14ac:dyDescent="0.25">
      <c r="B40" t="s">
        <v>333</v>
      </c>
      <c r="C40" t="s">
        <v>334</v>
      </c>
      <c r="D40" t="s">
        <v>335</v>
      </c>
      <c r="H40" t="s">
        <v>430</v>
      </c>
      <c r="AC40" t="s">
        <v>432</v>
      </c>
      <c r="AD40" t="s">
        <v>431</v>
      </c>
      <c r="AE40">
        <v>64</v>
      </c>
      <c r="AF40">
        <v>39</v>
      </c>
      <c r="AH40" t="s">
        <v>389</v>
      </c>
      <c r="AJ40">
        <v>501</v>
      </c>
      <c r="AK40" t="s">
        <v>204</v>
      </c>
      <c r="AM40">
        <v>2079</v>
      </c>
      <c r="AN40">
        <v>1273</v>
      </c>
    </row>
    <row r="41" spans="2:40" x14ac:dyDescent="0.25">
      <c r="B41" t="s">
        <v>333</v>
      </c>
      <c r="C41" t="s">
        <v>334</v>
      </c>
      <c r="D41" t="s">
        <v>335</v>
      </c>
      <c r="H41" t="s">
        <v>430</v>
      </c>
      <c r="AC41" t="s">
        <v>432</v>
      </c>
      <c r="AD41" t="s">
        <v>431</v>
      </c>
      <c r="AE41">
        <v>64</v>
      </c>
      <c r="AF41">
        <v>40</v>
      </c>
      <c r="AH41" t="s">
        <v>396</v>
      </c>
      <c r="AJ41">
        <v>303</v>
      </c>
      <c r="AK41" t="s">
        <v>202</v>
      </c>
      <c r="AM41">
        <v>2285</v>
      </c>
      <c r="AN41">
        <v>1273</v>
      </c>
    </row>
    <row r="42" spans="2:40" x14ac:dyDescent="0.25">
      <c r="B42" t="s">
        <v>333</v>
      </c>
      <c r="C42" t="s">
        <v>334</v>
      </c>
      <c r="D42" t="s">
        <v>335</v>
      </c>
      <c r="H42" t="s">
        <v>430</v>
      </c>
      <c r="AC42" t="s">
        <v>432</v>
      </c>
      <c r="AD42" t="s">
        <v>431</v>
      </c>
      <c r="AE42">
        <v>64</v>
      </c>
      <c r="AF42">
        <v>41</v>
      </c>
      <c r="AH42" t="s">
        <v>360</v>
      </c>
      <c r="AJ42">
        <v>102</v>
      </c>
      <c r="AK42" t="s">
        <v>200</v>
      </c>
      <c r="AM42">
        <v>847</v>
      </c>
      <c r="AN42">
        <v>1479</v>
      </c>
    </row>
    <row r="43" spans="2:40" x14ac:dyDescent="0.25">
      <c r="B43" t="s">
        <v>333</v>
      </c>
      <c r="C43" t="s">
        <v>334</v>
      </c>
      <c r="D43" t="s">
        <v>335</v>
      </c>
      <c r="H43" t="s">
        <v>430</v>
      </c>
      <c r="AC43" t="s">
        <v>432</v>
      </c>
      <c r="AD43" t="s">
        <v>431</v>
      </c>
      <c r="AE43">
        <v>64</v>
      </c>
      <c r="AF43">
        <v>42</v>
      </c>
      <c r="AH43" t="s">
        <v>389</v>
      </c>
      <c r="AJ43">
        <v>501</v>
      </c>
      <c r="AK43" t="s">
        <v>204</v>
      </c>
      <c r="AM43">
        <v>1052</v>
      </c>
      <c r="AN43">
        <v>1479</v>
      </c>
    </row>
    <row r="44" spans="2:40" x14ac:dyDescent="0.25">
      <c r="B44" t="s">
        <v>333</v>
      </c>
      <c r="C44" t="s">
        <v>334</v>
      </c>
      <c r="D44" t="s">
        <v>335</v>
      </c>
      <c r="H44" t="s">
        <v>430</v>
      </c>
      <c r="AC44" t="s">
        <v>432</v>
      </c>
      <c r="AD44" t="s">
        <v>431</v>
      </c>
      <c r="AE44">
        <v>64</v>
      </c>
      <c r="AF44">
        <v>43</v>
      </c>
      <c r="AH44" t="s">
        <v>390</v>
      </c>
      <c r="AJ44">
        <v>903</v>
      </c>
      <c r="AK44" t="s">
        <v>208</v>
      </c>
      <c r="AM44">
        <v>1258</v>
      </c>
      <c r="AN44">
        <v>1479</v>
      </c>
    </row>
    <row r="45" spans="2:40" x14ac:dyDescent="0.25">
      <c r="B45" t="s">
        <v>333</v>
      </c>
      <c r="C45" t="s">
        <v>334</v>
      </c>
      <c r="D45" t="s">
        <v>335</v>
      </c>
      <c r="H45" t="s">
        <v>430</v>
      </c>
      <c r="AC45" t="s">
        <v>432</v>
      </c>
      <c r="AD45" t="s">
        <v>431</v>
      </c>
      <c r="AE45">
        <v>64</v>
      </c>
      <c r="AF45">
        <v>44</v>
      </c>
      <c r="AH45" t="s">
        <v>389</v>
      </c>
      <c r="AJ45">
        <v>501</v>
      </c>
      <c r="AK45" t="s">
        <v>204</v>
      </c>
      <c r="AM45">
        <v>1463</v>
      </c>
      <c r="AN45">
        <v>1479</v>
      </c>
    </row>
    <row r="46" spans="2:40" x14ac:dyDescent="0.25">
      <c r="B46" t="s">
        <v>333</v>
      </c>
      <c r="C46" t="s">
        <v>334</v>
      </c>
      <c r="D46" t="s">
        <v>335</v>
      </c>
      <c r="H46" t="s">
        <v>430</v>
      </c>
      <c r="AC46" t="s">
        <v>432</v>
      </c>
      <c r="AD46" t="s">
        <v>431</v>
      </c>
      <c r="AE46">
        <v>64</v>
      </c>
      <c r="AF46">
        <v>45</v>
      </c>
      <c r="AH46" t="s">
        <v>389</v>
      </c>
      <c r="AJ46">
        <v>501</v>
      </c>
      <c r="AK46" t="s">
        <v>204</v>
      </c>
      <c r="AM46">
        <v>1668</v>
      </c>
      <c r="AN46">
        <v>1479</v>
      </c>
    </row>
    <row r="47" spans="2:40" x14ac:dyDescent="0.25">
      <c r="B47" t="s">
        <v>333</v>
      </c>
      <c r="C47" t="s">
        <v>334</v>
      </c>
      <c r="D47" t="s">
        <v>335</v>
      </c>
      <c r="H47" t="s">
        <v>430</v>
      </c>
      <c r="AC47" t="s">
        <v>432</v>
      </c>
      <c r="AD47" t="s">
        <v>431</v>
      </c>
      <c r="AE47">
        <v>64</v>
      </c>
      <c r="AF47">
        <v>46</v>
      </c>
      <c r="AH47" t="s">
        <v>389</v>
      </c>
      <c r="AJ47">
        <v>501</v>
      </c>
      <c r="AK47" t="s">
        <v>204</v>
      </c>
      <c r="AM47">
        <v>1874</v>
      </c>
      <c r="AN47">
        <v>1479</v>
      </c>
    </row>
    <row r="48" spans="2:40" x14ac:dyDescent="0.25">
      <c r="B48" t="s">
        <v>333</v>
      </c>
      <c r="C48" t="s">
        <v>334</v>
      </c>
      <c r="D48" t="s">
        <v>335</v>
      </c>
      <c r="H48" t="s">
        <v>430</v>
      </c>
      <c r="AC48" t="s">
        <v>432</v>
      </c>
      <c r="AD48" t="s">
        <v>431</v>
      </c>
      <c r="AE48">
        <v>64</v>
      </c>
      <c r="AF48">
        <v>47</v>
      </c>
      <c r="AH48" t="s">
        <v>389</v>
      </c>
      <c r="AJ48">
        <v>501</v>
      </c>
      <c r="AK48" t="s">
        <v>204</v>
      </c>
      <c r="AM48">
        <v>2079</v>
      </c>
      <c r="AN48">
        <v>1479</v>
      </c>
    </row>
    <row r="49" spans="2:40" x14ac:dyDescent="0.25">
      <c r="B49" t="s">
        <v>333</v>
      </c>
      <c r="C49" t="s">
        <v>334</v>
      </c>
      <c r="D49" t="s">
        <v>335</v>
      </c>
      <c r="H49" t="s">
        <v>430</v>
      </c>
      <c r="AC49" t="s">
        <v>432</v>
      </c>
      <c r="AD49" t="s">
        <v>431</v>
      </c>
      <c r="AE49">
        <v>64</v>
      </c>
      <c r="AF49">
        <v>48</v>
      </c>
      <c r="AH49" t="s">
        <v>389</v>
      </c>
      <c r="AJ49">
        <v>501</v>
      </c>
      <c r="AK49" t="s">
        <v>204</v>
      </c>
      <c r="AM49">
        <v>2285</v>
      </c>
      <c r="AN49">
        <v>1479</v>
      </c>
    </row>
    <row r="50" spans="2:40" x14ac:dyDescent="0.25">
      <c r="B50" t="s">
        <v>333</v>
      </c>
      <c r="C50" t="s">
        <v>334</v>
      </c>
      <c r="D50" t="s">
        <v>335</v>
      </c>
      <c r="H50" t="s">
        <v>430</v>
      </c>
      <c r="AC50" t="s">
        <v>432</v>
      </c>
      <c r="AD50" t="s">
        <v>431</v>
      </c>
      <c r="AE50">
        <v>64</v>
      </c>
      <c r="AF50">
        <v>49</v>
      </c>
      <c r="AH50" t="s">
        <v>360</v>
      </c>
      <c r="AJ50">
        <v>102</v>
      </c>
      <c r="AK50" t="s">
        <v>200</v>
      </c>
      <c r="AM50">
        <v>847</v>
      </c>
      <c r="AN50">
        <v>1684</v>
      </c>
    </row>
    <row r="51" spans="2:40" x14ac:dyDescent="0.25">
      <c r="B51" t="s">
        <v>333</v>
      </c>
      <c r="C51" t="s">
        <v>334</v>
      </c>
      <c r="D51" t="s">
        <v>335</v>
      </c>
      <c r="H51" t="s">
        <v>430</v>
      </c>
      <c r="AC51" t="s">
        <v>432</v>
      </c>
      <c r="AD51" t="s">
        <v>431</v>
      </c>
      <c r="AE51">
        <v>64</v>
      </c>
      <c r="AF51">
        <v>50</v>
      </c>
      <c r="AH51" t="s">
        <v>389</v>
      </c>
      <c r="AJ51">
        <v>501</v>
      </c>
      <c r="AK51" t="s">
        <v>204</v>
      </c>
      <c r="AM51">
        <v>1052</v>
      </c>
      <c r="AN51">
        <v>1684</v>
      </c>
    </row>
    <row r="52" spans="2:40" x14ac:dyDescent="0.25">
      <c r="B52" t="s">
        <v>333</v>
      </c>
      <c r="C52" t="s">
        <v>334</v>
      </c>
      <c r="D52" t="s">
        <v>335</v>
      </c>
      <c r="H52" t="s">
        <v>430</v>
      </c>
      <c r="AC52" t="s">
        <v>432</v>
      </c>
      <c r="AD52" t="s">
        <v>431</v>
      </c>
      <c r="AE52">
        <v>64</v>
      </c>
      <c r="AF52">
        <v>51</v>
      </c>
      <c r="AH52" t="s">
        <v>390</v>
      </c>
      <c r="AJ52">
        <v>903</v>
      </c>
      <c r="AK52" t="s">
        <v>208</v>
      </c>
      <c r="AM52">
        <v>1258</v>
      </c>
      <c r="AN52">
        <v>1684</v>
      </c>
    </row>
    <row r="53" spans="2:40" x14ac:dyDescent="0.25">
      <c r="B53" t="s">
        <v>333</v>
      </c>
      <c r="C53" t="s">
        <v>334</v>
      </c>
      <c r="D53" t="s">
        <v>335</v>
      </c>
      <c r="H53" t="s">
        <v>430</v>
      </c>
      <c r="AC53" t="s">
        <v>432</v>
      </c>
      <c r="AD53" t="s">
        <v>431</v>
      </c>
      <c r="AE53">
        <v>64</v>
      </c>
      <c r="AF53">
        <v>52</v>
      </c>
      <c r="AH53" t="s">
        <v>389</v>
      </c>
      <c r="AJ53">
        <v>501</v>
      </c>
      <c r="AK53" t="s">
        <v>204</v>
      </c>
      <c r="AM53">
        <v>1463</v>
      </c>
      <c r="AN53">
        <v>1684</v>
      </c>
    </row>
    <row r="54" spans="2:40" x14ac:dyDescent="0.25">
      <c r="B54" t="s">
        <v>333</v>
      </c>
      <c r="C54" t="s">
        <v>334</v>
      </c>
      <c r="D54" t="s">
        <v>335</v>
      </c>
      <c r="H54" t="s">
        <v>430</v>
      </c>
      <c r="AC54" t="s">
        <v>432</v>
      </c>
      <c r="AD54" t="s">
        <v>431</v>
      </c>
      <c r="AE54">
        <v>64</v>
      </c>
      <c r="AF54">
        <v>53</v>
      </c>
      <c r="AH54" t="s">
        <v>390</v>
      </c>
      <c r="AJ54">
        <v>903</v>
      </c>
      <c r="AK54" t="s">
        <v>208</v>
      </c>
      <c r="AM54">
        <v>1668</v>
      </c>
      <c r="AN54">
        <v>1684</v>
      </c>
    </row>
    <row r="55" spans="2:40" x14ac:dyDescent="0.25">
      <c r="B55" t="s">
        <v>333</v>
      </c>
      <c r="C55" t="s">
        <v>334</v>
      </c>
      <c r="D55" t="s">
        <v>335</v>
      </c>
      <c r="H55" t="s">
        <v>430</v>
      </c>
      <c r="AC55" t="s">
        <v>432</v>
      </c>
      <c r="AD55" t="s">
        <v>431</v>
      </c>
      <c r="AE55">
        <v>64</v>
      </c>
      <c r="AF55">
        <v>54</v>
      </c>
      <c r="AH55" t="s">
        <v>389</v>
      </c>
      <c r="AJ55">
        <v>501</v>
      </c>
      <c r="AK55" t="s">
        <v>204</v>
      </c>
      <c r="AM55">
        <v>1874</v>
      </c>
      <c r="AN55">
        <v>1684</v>
      </c>
    </row>
    <row r="56" spans="2:40" x14ac:dyDescent="0.25">
      <c r="B56" t="s">
        <v>333</v>
      </c>
      <c r="C56" t="s">
        <v>334</v>
      </c>
      <c r="D56" t="s">
        <v>335</v>
      </c>
      <c r="H56" t="s">
        <v>430</v>
      </c>
      <c r="AC56" t="s">
        <v>432</v>
      </c>
      <c r="AD56" t="s">
        <v>431</v>
      </c>
      <c r="AE56">
        <v>64</v>
      </c>
      <c r="AF56">
        <v>55</v>
      </c>
      <c r="AH56" t="s">
        <v>389</v>
      </c>
      <c r="AJ56">
        <v>501</v>
      </c>
      <c r="AK56" t="s">
        <v>204</v>
      </c>
      <c r="AM56">
        <v>2079</v>
      </c>
      <c r="AN56">
        <v>1684</v>
      </c>
    </row>
    <row r="57" spans="2:40" x14ac:dyDescent="0.25">
      <c r="B57" t="s">
        <v>333</v>
      </c>
      <c r="C57" t="s">
        <v>334</v>
      </c>
      <c r="D57" t="s">
        <v>335</v>
      </c>
      <c r="H57" t="s">
        <v>430</v>
      </c>
      <c r="AC57" t="s">
        <v>432</v>
      </c>
      <c r="AD57" t="s">
        <v>431</v>
      </c>
      <c r="AE57">
        <v>64</v>
      </c>
      <c r="AF57">
        <v>56</v>
      </c>
      <c r="AH57" t="s">
        <v>389</v>
      </c>
      <c r="AJ57">
        <v>501</v>
      </c>
      <c r="AK57" t="s">
        <v>204</v>
      </c>
      <c r="AM57">
        <v>2285</v>
      </c>
      <c r="AN57">
        <v>1684</v>
      </c>
    </row>
    <row r="58" spans="2:40" x14ac:dyDescent="0.25">
      <c r="B58" t="s">
        <v>333</v>
      </c>
      <c r="C58" t="s">
        <v>334</v>
      </c>
      <c r="D58" t="s">
        <v>335</v>
      </c>
      <c r="H58" t="s">
        <v>430</v>
      </c>
      <c r="AC58" t="s">
        <v>432</v>
      </c>
      <c r="AD58" t="s">
        <v>431</v>
      </c>
      <c r="AE58">
        <v>64</v>
      </c>
      <c r="AF58">
        <v>57</v>
      </c>
      <c r="AH58" t="s">
        <v>396</v>
      </c>
      <c r="AJ58">
        <v>303</v>
      </c>
      <c r="AK58" t="s">
        <v>202</v>
      </c>
      <c r="AM58">
        <v>847</v>
      </c>
      <c r="AN58">
        <v>1890</v>
      </c>
    </row>
    <row r="59" spans="2:40" x14ac:dyDescent="0.25">
      <c r="B59" t="s">
        <v>333</v>
      </c>
      <c r="C59" t="s">
        <v>334</v>
      </c>
      <c r="D59" t="s">
        <v>335</v>
      </c>
      <c r="H59" t="s">
        <v>430</v>
      </c>
      <c r="AC59" t="s">
        <v>432</v>
      </c>
      <c r="AD59" t="s">
        <v>431</v>
      </c>
      <c r="AE59">
        <v>64</v>
      </c>
      <c r="AF59">
        <v>58</v>
      </c>
      <c r="AH59" t="s">
        <v>396</v>
      </c>
      <c r="AJ59">
        <v>303</v>
      </c>
      <c r="AK59" t="s">
        <v>202</v>
      </c>
      <c r="AM59">
        <v>1052</v>
      </c>
      <c r="AN59">
        <v>1890</v>
      </c>
    </row>
    <row r="60" spans="2:40" x14ac:dyDescent="0.25">
      <c r="B60" t="s">
        <v>333</v>
      </c>
      <c r="C60" t="s">
        <v>334</v>
      </c>
      <c r="D60" t="s">
        <v>335</v>
      </c>
      <c r="H60" t="s">
        <v>430</v>
      </c>
      <c r="AC60" t="s">
        <v>432</v>
      </c>
      <c r="AD60" t="s">
        <v>431</v>
      </c>
      <c r="AE60">
        <v>64</v>
      </c>
      <c r="AF60">
        <v>59</v>
      </c>
      <c r="AH60" t="s">
        <v>396</v>
      </c>
      <c r="AJ60">
        <v>303</v>
      </c>
      <c r="AK60" t="s">
        <v>202</v>
      </c>
      <c r="AM60">
        <v>1258</v>
      </c>
      <c r="AN60">
        <v>1890</v>
      </c>
    </row>
    <row r="61" spans="2:40" x14ac:dyDescent="0.25">
      <c r="B61" t="s">
        <v>333</v>
      </c>
      <c r="C61" t="s">
        <v>334</v>
      </c>
      <c r="D61" t="s">
        <v>335</v>
      </c>
      <c r="H61" t="s">
        <v>430</v>
      </c>
      <c r="AC61" t="s">
        <v>432</v>
      </c>
      <c r="AD61" t="s">
        <v>431</v>
      </c>
      <c r="AE61">
        <v>64</v>
      </c>
      <c r="AF61">
        <v>60</v>
      </c>
      <c r="AH61" t="s">
        <v>396</v>
      </c>
      <c r="AJ61">
        <v>303</v>
      </c>
      <c r="AK61" t="s">
        <v>202</v>
      </c>
      <c r="AM61">
        <v>1463</v>
      </c>
      <c r="AN61">
        <v>1890</v>
      </c>
    </row>
    <row r="62" spans="2:40" x14ac:dyDescent="0.25">
      <c r="B62" t="s">
        <v>333</v>
      </c>
      <c r="C62" t="s">
        <v>334</v>
      </c>
      <c r="D62" t="s">
        <v>335</v>
      </c>
      <c r="H62" t="s">
        <v>430</v>
      </c>
      <c r="AC62" t="s">
        <v>432</v>
      </c>
      <c r="AD62" t="s">
        <v>431</v>
      </c>
      <c r="AE62">
        <v>64</v>
      </c>
      <c r="AF62">
        <v>61</v>
      </c>
      <c r="AH62" t="s">
        <v>396</v>
      </c>
      <c r="AJ62">
        <v>303</v>
      </c>
      <c r="AK62" t="s">
        <v>202</v>
      </c>
      <c r="AM62">
        <v>1668</v>
      </c>
      <c r="AN62">
        <v>1890</v>
      </c>
    </row>
    <row r="63" spans="2:40" x14ac:dyDescent="0.25">
      <c r="B63" t="s">
        <v>333</v>
      </c>
      <c r="C63" t="s">
        <v>334</v>
      </c>
      <c r="D63" t="s">
        <v>335</v>
      </c>
      <c r="H63" t="s">
        <v>430</v>
      </c>
      <c r="AC63" t="s">
        <v>432</v>
      </c>
      <c r="AD63" t="s">
        <v>431</v>
      </c>
      <c r="AE63">
        <v>64</v>
      </c>
      <c r="AF63">
        <v>62</v>
      </c>
      <c r="AH63" t="s">
        <v>396</v>
      </c>
      <c r="AJ63">
        <v>303</v>
      </c>
      <c r="AK63" t="s">
        <v>202</v>
      </c>
      <c r="AM63">
        <v>1874</v>
      </c>
      <c r="AN63">
        <v>1890</v>
      </c>
    </row>
    <row r="64" spans="2:40" x14ac:dyDescent="0.25">
      <c r="B64" t="s">
        <v>333</v>
      </c>
      <c r="C64" t="s">
        <v>334</v>
      </c>
      <c r="D64" t="s">
        <v>335</v>
      </c>
      <c r="H64" t="s">
        <v>430</v>
      </c>
      <c r="AC64" t="s">
        <v>432</v>
      </c>
      <c r="AD64" t="s">
        <v>431</v>
      </c>
      <c r="AE64">
        <v>64</v>
      </c>
      <c r="AF64">
        <v>63</v>
      </c>
      <c r="AH64" t="s">
        <v>396</v>
      </c>
      <c r="AJ64">
        <v>303</v>
      </c>
      <c r="AK64" t="s">
        <v>202</v>
      </c>
      <c r="AM64">
        <v>2079</v>
      </c>
      <c r="AN64">
        <v>1890</v>
      </c>
    </row>
    <row r="65" spans="2:40" x14ac:dyDescent="0.25">
      <c r="B65" t="s">
        <v>333</v>
      </c>
      <c r="C65" t="s">
        <v>334</v>
      </c>
      <c r="D65" t="s">
        <v>335</v>
      </c>
      <c r="H65" t="s">
        <v>430</v>
      </c>
      <c r="AC65" t="s">
        <v>432</v>
      </c>
      <c r="AD65" t="s">
        <v>431</v>
      </c>
      <c r="AE65">
        <v>64</v>
      </c>
      <c r="AF65">
        <v>64</v>
      </c>
      <c r="AH65" t="s">
        <v>396</v>
      </c>
      <c r="AJ65">
        <v>303</v>
      </c>
      <c r="AK65" t="s">
        <v>202</v>
      </c>
      <c r="AM65">
        <v>2285</v>
      </c>
      <c r="AN65">
        <v>1890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5703125" bestFit="1" customWidth="1"/>
    <col min="6" max="6" width="43.425781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48">
        <v>109</v>
      </c>
      <c r="B2" s="38"/>
      <c r="C2" s="53">
        <v>100</v>
      </c>
      <c r="D2" s="53" t="s">
        <v>339</v>
      </c>
      <c r="E2" s="53" t="s">
        <v>418</v>
      </c>
      <c r="F2" s="53" t="s">
        <v>419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417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42"/>
    </row>
    <row r="3" spans="1:34" x14ac:dyDescent="0.25">
      <c r="A3" s="151">
        <v>102</v>
      </c>
      <c r="B3" s="31"/>
      <c r="C3">
        <v>100</v>
      </c>
      <c r="E3" t="s">
        <v>418</v>
      </c>
      <c r="F3" t="s">
        <v>419</v>
      </c>
      <c r="H3" t="s">
        <v>333</v>
      </c>
      <c r="I3" t="s">
        <v>334</v>
      </c>
      <c r="J3" t="s">
        <v>335</v>
      </c>
      <c r="N3" t="s">
        <v>417</v>
      </c>
      <c r="AH3" s="143"/>
    </row>
    <row r="4" spans="1:34" x14ac:dyDescent="0.25">
      <c r="A4" s="151">
        <v>102</v>
      </c>
      <c r="B4" s="31"/>
      <c r="C4">
        <v>100</v>
      </c>
      <c r="E4" t="s">
        <v>418</v>
      </c>
      <c r="F4" t="s">
        <v>419</v>
      </c>
      <c r="H4" t="s">
        <v>333</v>
      </c>
      <c r="I4" t="s">
        <v>334</v>
      </c>
      <c r="J4" t="s">
        <v>335</v>
      </c>
      <c r="N4" t="s">
        <v>417</v>
      </c>
      <c r="AH4" s="143"/>
    </row>
    <row r="5" spans="1:34" x14ac:dyDescent="0.25">
      <c r="A5" s="151">
        <v>501</v>
      </c>
      <c r="B5" s="31"/>
      <c r="C5">
        <v>500</v>
      </c>
      <c r="E5" t="s">
        <v>418</v>
      </c>
      <c r="F5" t="s">
        <v>419</v>
      </c>
      <c r="H5" t="s">
        <v>333</v>
      </c>
      <c r="I5" t="s">
        <v>334</v>
      </c>
      <c r="J5" t="s">
        <v>335</v>
      </c>
      <c r="N5" t="s">
        <v>417</v>
      </c>
      <c r="AH5" s="143"/>
    </row>
    <row r="6" spans="1:34" x14ac:dyDescent="0.25">
      <c r="A6" s="151">
        <v>1001</v>
      </c>
      <c r="B6" s="31"/>
      <c r="C6">
        <v>1000</v>
      </c>
      <c r="E6" t="s">
        <v>418</v>
      </c>
      <c r="F6" t="s">
        <v>419</v>
      </c>
      <c r="H6" t="s">
        <v>333</v>
      </c>
      <c r="I6" t="s">
        <v>334</v>
      </c>
      <c r="J6" t="s">
        <v>335</v>
      </c>
      <c r="N6" t="s">
        <v>417</v>
      </c>
      <c r="AH6" s="143"/>
    </row>
    <row r="7" spans="1:34" x14ac:dyDescent="0.25">
      <c r="A7" s="151">
        <v>501</v>
      </c>
      <c r="B7" s="31"/>
      <c r="C7">
        <v>500</v>
      </c>
      <c r="E7" t="s">
        <v>418</v>
      </c>
      <c r="F7" t="s">
        <v>419</v>
      </c>
      <c r="H7" t="s">
        <v>333</v>
      </c>
      <c r="I7" t="s">
        <v>334</v>
      </c>
      <c r="J7" t="s">
        <v>335</v>
      </c>
      <c r="N7" t="s">
        <v>417</v>
      </c>
      <c r="AH7" s="143"/>
    </row>
    <row r="8" spans="1:34" x14ac:dyDescent="0.25">
      <c r="A8" s="151">
        <v>109</v>
      </c>
      <c r="B8" s="31"/>
      <c r="C8">
        <v>100</v>
      </c>
      <c r="E8" t="s">
        <v>418</v>
      </c>
      <c r="F8" t="s">
        <v>419</v>
      </c>
      <c r="H8" t="s">
        <v>333</v>
      </c>
      <c r="I8" t="s">
        <v>334</v>
      </c>
      <c r="J8" t="s">
        <v>335</v>
      </c>
      <c r="N8" t="s">
        <v>417</v>
      </c>
      <c r="AH8" s="143"/>
    </row>
    <row r="9" spans="1:34" x14ac:dyDescent="0.25">
      <c r="A9" s="151">
        <v>109</v>
      </c>
      <c r="B9" s="31"/>
      <c r="C9">
        <v>100</v>
      </c>
      <c r="E9" t="s">
        <v>418</v>
      </c>
      <c r="F9" t="s">
        <v>419</v>
      </c>
      <c r="H9" t="s">
        <v>333</v>
      </c>
      <c r="I9" t="s">
        <v>334</v>
      </c>
      <c r="J9" t="s">
        <v>335</v>
      </c>
      <c r="N9" t="s">
        <v>417</v>
      </c>
      <c r="AH9" s="143"/>
    </row>
    <row r="10" spans="1:34" x14ac:dyDescent="0.25">
      <c r="A10" s="151">
        <v>109</v>
      </c>
      <c r="B10" s="31"/>
      <c r="C10">
        <v>100</v>
      </c>
      <c r="E10" t="s">
        <v>418</v>
      </c>
      <c r="F10" t="s">
        <v>419</v>
      </c>
      <c r="H10" t="s">
        <v>333</v>
      </c>
      <c r="I10" t="s">
        <v>334</v>
      </c>
      <c r="J10" t="s">
        <v>335</v>
      </c>
      <c r="N10" t="s">
        <v>417</v>
      </c>
      <c r="AH10" s="143"/>
    </row>
    <row r="11" spans="1:34" x14ac:dyDescent="0.25">
      <c r="A11" s="151">
        <v>109</v>
      </c>
      <c r="B11" s="31"/>
      <c r="C11">
        <v>100</v>
      </c>
      <c r="E11" t="s">
        <v>418</v>
      </c>
      <c r="F11" t="s">
        <v>419</v>
      </c>
      <c r="H11" t="s">
        <v>333</v>
      </c>
      <c r="I11" t="s">
        <v>334</v>
      </c>
      <c r="J11" t="s">
        <v>335</v>
      </c>
      <c r="N11" t="s">
        <v>417</v>
      </c>
      <c r="AH11" s="143"/>
    </row>
    <row r="12" spans="1:34" x14ac:dyDescent="0.25">
      <c r="A12" s="151">
        <v>501</v>
      </c>
      <c r="B12" s="31"/>
      <c r="C12">
        <v>500</v>
      </c>
      <c r="E12" t="s">
        <v>418</v>
      </c>
      <c r="F12" t="s">
        <v>419</v>
      </c>
      <c r="H12" t="s">
        <v>333</v>
      </c>
      <c r="I12" t="s">
        <v>334</v>
      </c>
      <c r="J12" t="s">
        <v>335</v>
      </c>
      <c r="N12" t="s">
        <v>417</v>
      </c>
      <c r="AH12" s="143"/>
    </row>
    <row r="13" spans="1:34" x14ac:dyDescent="0.25">
      <c r="A13" s="151">
        <v>501</v>
      </c>
      <c r="B13" s="31"/>
      <c r="C13">
        <v>500</v>
      </c>
      <c r="E13" t="s">
        <v>418</v>
      </c>
      <c r="F13" t="s">
        <v>419</v>
      </c>
      <c r="H13" t="s">
        <v>333</v>
      </c>
      <c r="I13" t="s">
        <v>334</v>
      </c>
      <c r="J13" t="s">
        <v>335</v>
      </c>
      <c r="N13" t="s">
        <v>417</v>
      </c>
      <c r="AH13" s="143"/>
    </row>
    <row r="14" spans="1:34" x14ac:dyDescent="0.25">
      <c r="A14" s="151">
        <v>501</v>
      </c>
      <c r="B14" s="31"/>
      <c r="C14">
        <v>500</v>
      </c>
      <c r="E14" t="s">
        <v>418</v>
      </c>
      <c r="F14" t="s">
        <v>419</v>
      </c>
      <c r="H14" t="s">
        <v>333</v>
      </c>
      <c r="I14" t="s">
        <v>334</v>
      </c>
      <c r="J14" t="s">
        <v>335</v>
      </c>
      <c r="N14" t="s">
        <v>417</v>
      </c>
      <c r="AH14" s="143"/>
    </row>
    <row r="15" spans="1:34" x14ac:dyDescent="0.25">
      <c r="A15" s="151">
        <v>903</v>
      </c>
      <c r="B15" s="31"/>
      <c r="C15">
        <v>900</v>
      </c>
      <c r="E15" t="s">
        <v>418</v>
      </c>
      <c r="F15" t="s">
        <v>419</v>
      </c>
      <c r="H15" t="s">
        <v>333</v>
      </c>
      <c r="I15" t="s">
        <v>334</v>
      </c>
      <c r="J15" t="s">
        <v>335</v>
      </c>
      <c r="N15" t="s">
        <v>417</v>
      </c>
      <c r="AH15" s="143"/>
    </row>
    <row r="16" spans="1:34" x14ac:dyDescent="0.25">
      <c r="A16" s="151">
        <v>109</v>
      </c>
      <c r="B16" s="31"/>
      <c r="C16">
        <v>100</v>
      </c>
      <c r="E16" t="s">
        <v>418</v>
      </c>
      <c r="F16" t="s">
        <v>419</v>
      </c>
      <c r="H16" t="s">
        <v>333</v>
      </c>
      <c r="I16" t="s">
        <v>334</v>
      </c>
      <c r="J16" t="s">
        <v>335</v>
      </c>
      <c r="N16" t="s">
        <v>417</v>
      </c>
      <c r="AH16" s="143"/>
    </row>
    <row r="17" spans="1:34" x14ac:dyDescent="0.25">
      <c r="A17" s="151">
        <v>501</v>
      </c>
      <c r="B17" s="31"/>
      <c r="C17">
        <v>500</v>
      </c>
      <c r="E17" t="s">
        <v>418</v>
      </c>
      <c r="F17" t="s">
        <v>419</v>
      </c>
      <c r="H17" t="s">
        <v>333</v>
      </c>
      <c r="I17" t="s">
        <v>334</v>
      </c>
      <c r="J17" t="s">
        <v>335</v>
      </c>
      <c r="N17" t="s">
        <v>417</v>
      </c>
      <c r="AH17" s="143"/>
    </row>
    <row r="18" spans="1:34" x14ac:dyDescent="0.25">
      <c r="A18" s="151">
        <v>109</v>
      </c>
      <c r="B18" s="31"/>
      <c r="C18">
        <v>100</v>
      </c>
      <c r="E18" t="s">
        <v>418</v>
      </c>
      <c r="F18" t="s">
        <v>419</v>
      </c>
      <c r="H18" t="s">
        <v>333</v>
      </c>
      <c r="I18" t="s">
        <v>334</v>
      </c>
      <c r="J18" t="s">
        <v>335</v>
      </c>
      <c r="N18" t="s">
        <v>417</v>
      </c>
      <c r="AH18" s="143"/>
    </row>
    <row r="19" spans="1:34" x14ac:dyDescent="0.25">
      <c r="A19" s="151">
        <v>501</v>
      </c>
      <c r="B19" s="31"/>
      <c r="C19">
        <v>500</v>
      </c>
      <c r="E19" t="s">
        <v>418</v>
      </c>
      <c r="F19" t="s">
        <v>419</v>
      </c>
      <c r="H19" t="s">
        <v>333</v>
      </c>
      <c r="I19" t="s">
        <v>334</v>
      </c>
      <c r="J19" t="s">
        <v>335</v>
      </c>
      <c r="N19" t="s">
        <v>417</v>
      </c>
      <c r="AH19" s="143"/>
    </row>
    <row r="20" spans="1:34" x14ac:dyDescent="0.25">
      <c r="A20" s="151">
        <v>109</v>
      </c>
      <c r="B20" s="31"/>
      <c r="C20">
        <v>100</v>
      </c>
      <c r="E20" t="s">
        <v>418</v>
      </c>
      <c r="F20" t="s">
        <v>419</v>
      </c>
      <c r="H20" t="s">
        <v>333</v>
      </c>
      <c r="I20" t="s">
        <v>334</v>
      </c>
      <c r="J20" t="s">
        <v>335</v>
      </c>
      <c r="N20" t="s">
        <v>417</v>
      </c>
      <c r="AH20" s="143"/>
    </row>
    <row r="21" spans="1:34" x14ac:dyDescent="0.25">
      <c r="A21" s="151">
        <v>703</v>
      </c>
      <c r="B21" s="31"/>
      <c r="C21">
        <v>700</v>
      </c>
      <c r="E21" t="s">
        <v>418</v>
      </c>
      <c r="F21" t="s">
        <v>419</v>
      </c>
      <c r="H21" t="s">
        <v>333</v>
      </c>
      <c r="I21" t="s">
        <v>334</v>
      </c>
      <c r="J21" t="s">
        <v>335</v>
      </c>
      <c r="N21" t="s">
        <v>417</v>
      </c>
      <c r="AH21" s="143"/>
    </row>
    <row r="22" spans="1:34" x14ac:dyDescent="0.25">
      <c r="A22" s="151">
        <v>501</v>
      </c>
      <c r="B22" s="31"/>
      <c r="C22">
        <v>500</v>
      </c>
      <c r="E22" t="s">
        <v>418</v>
      </c>
      <c r="F22" t="s">
        <v>419</v>
      </c>
      <c r="H22" t="s">
        <v>333</v>
      </c>
      <c r="I22" t="s">
        <v>334</v>
      </c>
      <c r="J22" t="s">
        <v>335</v>
      </c>
      <c r="N22" t="s">
        <v>417</v>
      </c>
      <c r="AH22" s="143"/>
    </row>
    <row r="23" spans="1:34" x14ac:dyDescent="0.25">
      <c r="A23" s="151">
        <v>109</v>
      </c>
      <c r="B23" s="31"/>
      <c r="C23">
        <v>100</v>
      </c>
      <c r="E23" t="s">
        <v>418</v>
      </c>
      <c r="F23" t="s">
        <v>419</v>
      </c>
      <c r="H23" t="s">
        <v>333</v>
      </c>
      <c r="I23" t="s">
        <v>334</v>
      </c>
      <c r="J23" t="s">
        <v>335</v>
      </c>
      <c r="N23" t="s">
        <v>417</v>
      </c>
      <c r="AH23" s="143"/>
    </row>
    <row r="24" spans="1:34" x14ac:dyDescent="0.25">
      <c r="A24" s="151">
        <v>501</v>
      </c>
      <c r="B24" s="31"/>
      <c r="C24">
        <v>500</v>
      </c>
      <c r="E24" t="s">
        <v>418</v>
      </c>
      <c r="F24" t="s">
        <v>419</v>
      </c>
      <c r="H24" t="s">
        <v>333</v>
      </c>
      <c r="I24" t="s">
        <v>334</v>
      </c>
      <c r="J24" t="s">
        <v>335</v>
      </c>
      <c r="N24" t="s">
        <v>417</v>
      </c>
      <c r="AH24" s="143"/>
    </row>
    <row r="25" spans="1:34" x14ac:dyDescent="0.25">
      <c r="A25" s="151">
        <v>501</v>
      </c>
      <c r="B25" s="31"/>
      <c r="C25">
        <v>500</v>
      </c>
      <c r="E25" t="s">
        <v>418</v>
      </c>
      <c r="F25" t="s">
        <v>419</v>
      </c>
      <c r="H25" t="s">
        <v>333</v>
      </c>
      <c r="I25" t="s">
        <v>334</v>
      </c>
      <c r="J25" t="s">
        <v>335</v>
      </c>
      <c r="N25" t="s">
        <v>417</v>
      </c>
      <c r="AH25" s="143"/>
    </row>
    <row r="26" spans="1:34" x14ac:dyDescent="0.25">
      <c r="A26" s="151">
        <v>501</v>
      </c>
      <c r="B26" s="31"/>
      <c r="C26">
        <v>500</v>
      </c>
      <c r="E26" t="s">
        <v>418</v>
      </c>
      <c r="F26" t="s">
        <v>419</v>
      </c>
      <c r="H26" t="s">
        <v>333</v>
      </c>
      <c r="I26" t="s">
        <v>334</v>
      </c>
      <c r="J26" t="s">
        <v>335</v>
      </c>
      <c r="N26" t="s">
        <v>417</v>
      </c>
      <c r="AH26" s="143"/>
    </row>
    <row r="27" spans="1:34" x14ac:dyDescent="0.25">
      <c r="A27" s="151">
        <v>501</v>
      </c>
      <c r="B27" s="31"/>
      <c r="C27">
        <v>500</v>
      </c>
      <c r="E27" t="s">
        <v>418</v>
      </c>
      <c r="F27" t="s">
        <v>419</v>
      </c>
      <c r="H27" t="s">
        <v>333</v>
      </c>
      <c r="I27" t="s">
        <v>334</v>
      </c>
      <c r="J27" t="s">
        <v>335</v>
      </c>
      <c r="N27" t="s">
        <v>417</v>
      </c>
      <c r="AH27" s="143"/>
    </row>
    <row r="28" spans="1:34" x14ac:dyDescent="0.25">
      <c r="A28" s="151">
        <v>903</v>
      </c>
      <c r="B28" s="31"/>
      <c r="C28">
        <v>900</v>
      </c>
      <c r="E28" t="s">
        <v>418</v>
      </c>
      <c r="F28" t="s">
        <v>419</v>
      </c>
      <c r="H28" t="s">
        <v>333</v>
      </c>
      <c r="I28" t="s">
        <v>334</v>
      </c>
      <c r="J28" t="s">
        <v>335</v>
      </c>
      <c r="N28" t="s">
        <v>417</v>
      </c>
      <c r="AH28" s="143"/>
    </row>
    <row r="29" spans="1:34" x14ac:dyDescent="0.25">
      <c r="A29" s="151">
        <v>109</v>
      </c>
      <c r="B29" s="31"/>
      <c r="C29">
        <v>100</v>
      </c>
      <c r="E29" t="s">
        <v>418</v>
      </c>
      <c r="F29" t="s">
        <v>419</v>
      </c>
      <c r="H29" t="s">
        <v>333</v>
      </c>
      <c r="I29" t="s">
        <v>334</v>
      </c>
      <c r="J29" t="s">
        <v>335</v>
      </c>
      <c r="N29" t="s">
        <v>417</v>
      </c>
      <c r="AH29" s="143"/>
    </row>
    <row r="30" spans="1:34" x14ac:dyDescent="0.25">
      <c r="A30" s="151">
        <v>109</v>
      </c>
      <c r="B30" s="31"/>
      <c r="C30">
        <v>100</v>
      </c>
      <c r="E30" t="s">
        <v>418</v>
      </c>
      <c r="F30" t="s">
        <v>419</v>
      </c>
      <c r="H30" t="s">
        <v>333</v>
      </c>
      <c r="I30" t="s">
        <v>334</v>
      </c>
      <c r="J30" t="s">
        <v>335</v>
      </c>
      <c r="N30" t="s">
        <v>417</v>
      </c>
      <c r="AH30" s="143"/>
    </row>
    <row r="31" spans="1:34" x14ac:dyDescent="0.25">
      <c r="A31" s="151">
        <v>603</v>
      </c>
      <c r="B31" s="31"/>
      <c r="C31">
        <v>600</v>
      </c>
      <c r="E31" t="s">
        <v>418</v>
      </c>
      <c r="F31" t="s">
        <v>419</v>
      </c>
      <c r="H31" t="s">
        <v>333</v>
      </c>
      <c r="I31" t="s">
        <v>334</v>
      </c>
      <c r="J31" t="s">
        <v>335</v>
      </c>
      <c r="N31" t="s">
        <v>417</v>
      </c>
      <c r="AH31" s="143"/>
    </row>
    <row r="32" spans="1:34" x14ac:dyDescent="0.25">
      <c r="A32" s="151">
        <v>501</v>
      </c>
      <c r="B32" s="31"/>
      <c r="C32">
        <v>500</v>
      </c>
      <c r="E32" t="s">
        <v>418</v>
      </c>
      <c r="F32" t="s">
        <v>419</v>
      </c>
      <c r="H32" t="s">
        <v>333</v>
      </c>
      <c r="I32" t="s">
        <v>334</v>
      </c>
      <c r="J32" t="s">
        <v>335</v>
      </c>
      <c r="N32" t="s">
        <v>417</v>
      </c>
      <c r="AH32" s="143"/>
    </row>
    <row r="33" spans="1:34" x14ac:dyDescent="0.25">
      <c r="A33" s="151">
        <v>501</v>
      </c>
      <c r="B33" s="31"/>
      <c r="C33">
        <v>500</v>
      </c>
      <c r="E33" t="s">
        <v>418</v>
      </c>
      <c r="F33" t="s">
        <v>419</v>
      </c>
      <c r="H33" t="s">
        <v>333</v>
      </c>
      <c r="I33" t="s">
        <v>334</v>
      </c>
      <c r="J33" t="s">
        <v>335</v>
      </c>
      <c r="N33" t="s">
        <v>417</v>
      </c>
      <c r="AH33" s="143"/>
    </row>
    <row r="34" spans="1:34" x14ac:dyDescent="0.25">
      <c r="A34" s="151">
        <v>501</v>
      </c>
      <c r="B34" s="31"/>
      <c r="C34">
        <v>500</v>
      </c>
      <c r="E34" t="s">
        <v>418</v>
      </c>
      <c r="F34" t="s">
        <v>419</v>
      </c>
      <c r="H34" t="s">
        <v>333</v>
      </c>
      <c r="I34" t="s">
        <v>334</v>
      </c>
      <c r="J34" t="s">
        <v>335</v>
      </c>
      <c r="N34" t="s">
        <v>417</v>
      </c>
      <c r="AH34" s="143"/>
    </row>
    <row r="35" spans="1:34" x14ac:dyDescent="0.25">
      <c r="A35" s="151">
        <v>903</v>
      </c>
      <c r="B35" s="31"/>
      <c r="C35">
        <v>900</v>
      </c>
      <c r="E35" t="s">
        <v>418</v>
      </c>
      <c r="F35" t="s">
        <v>419</v>
      </c>
      <c r="H35" t="s">
        <v>333</v>
      </c>
      <c r="I35" t="s">
        <v>334</v>
      </c>
      <c r="J35" t="s">
        <v>335</v>
      </c>
      <c r="N35" t="s">
        <v>417</v>
      </c>
      <c r="AH35" s="143"/>
    </row>
    <row r="36" spans="1:34" x14ac:dyDescent="0.25">
      <c r="A36" s="151">
        <v>501</v>
      </c>
      <c r="B36" s="31"/>
      <c r="C36">
        <v>500</v>
      </c>
      <c r="E36" t="s">
        <v>418</v>
      </c>
      <c r="F36" t="s">
        <v>419</v>
      </c>
      <c r="H36" t="s">
        <v>333</v>
      </c>
      <c r="I36" t="s">
        <v>334</v>
      </c>
      <c r="J36" t="s">
        <v>335</v>
      </c>
      <c r="N36" t="s">
        <v>417</v>
      </c>
      <c r="AH36" s="143"/>
    </row>
    <row r="37" spans="1:34" x14ac:dyDescent="0.25">
      <c r="A37" s="151">
        <v>109</v>
      </c>
      <c r="B37" s="31"/>
      <c r="C37">
        <v>100</v>
      </c>
      <c r="E37" t="s">
        <v>418</v>
      </c>
      <c r="F37" t="s">
        <v>419</v>
      </c>
      <c r="H37" t="s">
        <v>333</v>
      </c>
      <c r="I37" t="s">
        <v>334</v>
      </c>
      <c r="J37" t="s">
        <v>335</v>
      </c>
      <c r="N37" t="s">
        <v>417</v>
      </c>
      <c r="AH37" s="143"/>
    </row>
    <row r="38" spans="1:34" x14ac:dyDescent="0.25">
      <c r="A38" s="151">
        <v>109</v>
      </c>
      <c r="B38" s="31"/>
      <c r="C38">
        <v>100</v>
      </c>
      <c r="E38" t="s">
        <v>418</v>
      </c>
      <c r="F38" t="s">
        <v>419</v>
      </c>
      <c r="H38" t="s">
        <v>333</v>
      </c>
      <c r="I38" t="s">
        <v>334</v>
      </c>
      <c r="J38" t="s">
        <v>335</v>
      </c>
      <c r="N38" t="s">
        <v>417</v>
      </c>
      <c r="AH38" s="143"/>
    </row>
    <row r="39" spans="1:34" x14ac:dyDescent="0.25">
      <c r="A39" s="151">
        <v>501</v>
      </c>
      <c r="B39" s="31"/>
      <c r="C39">
        <v>500</v>
      </c>
      <c r="E39" t="s">
        <v>418</v>
      </c>
      <c r="F39" t="s">
        <v>419</v>
      </c>
      <c r="H39" t="s">
        <v>333</v>
      </c>
      <c r="I39" t="s">
        <v>334</v>
      </c>
      <c r="J39" t="s">
        <v>335</v>
      </c>
      <c r="N39" t="s">
        <v>417</v>
      </c>
      <c r="AH39" s="143"/>
    </row>
    <row r="40" spans="1:34" x14ac:dyDescent="0.25">
      <c r="A40" s="151">
        <v>501</v>
      </c>
      <c r="B40" s="31"/>
      <c r="C40">
        <v>500</v>
      </c>
      <c r="E40" t="s">
        <v>418</v>
      </c>
      <c r="F40" t="s">
        <v>419</v>
      </c>
      <c r="H40" t="s">
        <v>333</v>
      </c>
      <c r="I40" t="s">
        <v>334</v>
      </c>
      <c r="J40" t="s">
        <v>335</v>
      </c>
      <c r="N40" t="s">
        <v>417</v>
      </c>
      <c r="AH40" s="143"/>
    </row>
    <row r="41" spans="1:34" x14ac:dyDescent="0.25">
      <c r="A41" s="151">
        <v>501</v>
      </c>
      <c r="B41" s="31"/>
      <c r="C41">
        <v>500</v>
      </c>
      <c r="E41" t="s">
        <v>418</v>
      </c>
      <c r="F41" t="s">
        <v>419</v>
      </c>
      <c r="H41" t="s">
        <v>333</v>
      </c>
      <c r="I41" t="s">
        <v>334</v>
      </c>
      <c r="J41" t="s">
        <v>335</v>
      </c>
      <c r="N41" t="s">
        <v>417</v>
      </c>
      <c r="AH41" s="143"/>
    </row>
    <row r="42" spans="1:34" x14ac:dyDescent="0.25">
      <c r="A42" s="151">
        <v>501</v>
      </c>
      <c r="B42" s="31"/>
      <c r="C42">
        <v>500</v>
      </c>
      <c r="E42" t="s">
        <v>418</v>
      </c>
      <c r="F42" t="s">
        <v>419</v>
      </c>
      <c r="H42" t="s">
        <v>333</v>
      </c>
      <c r="I42" t="s">
        <v>334</v>
      </c>
      <c r="J42" t="s">
        <v>335</v>
      </c>
      <c r="N42" t="s">
        <v>417</v>
      </c>
      <c r="AH42" s="143"/>
    </row>
    <row r="43" spans="1:34" x14ac:dyDescent="0.25">
      <c r="A43" s="151">
        <v>903</v>
      </c>
      <c r="B43" s="31"/>
      <c r="C43">
        <v>900</v>
      </c>
      <c r="E43" t="s">
        <v>418</v>
      </c>
      <c r="F43" t="s">
        <v>419</v>
      </c>
      <c r="H43" t="s">
        <v>333</v>
      </c>
      <c r="I43" t="s">
        <v>334</v>
      </c>
      <c r="J43" t="s">
        <v>335</v>
      </c>
      <c r="N43" t="s">
        <v>417</v>
      </c>
      <c r="AH43" s="143"/>
    </row>
    <row r="44" spans="1:34" x14ac:dyDescent="0.25">
      <c r="A44" s="151">
        <v>109</v>
      </c>
      <c r="B44" s="31"/>
      <c r="C44">
        <v>100</v>
      </c>
      <c r="E44" t="s">
        <v>418</v>
      </c>
      <c r="F44" t="s">
        <v>419</v>
      </c>
      <c r="H44" t="s">
        <v>333</v>
      </c>
      <c r="I44" t="s">
        <v>334</v>
      </c>
      <c r="J44" t="s">
        <v>335</v>
      </c>
      <c r="N44" t="s">
        <v>417</v>
      </c>
      <c r="AH44" s="143"/>
    </row>
    <row r="45" spans="1:34" x14ac:dyDescent="0.25">
      <c r="A45" s="151">
        <v>501</v>
      </c>
      <c r="B45" s="31"/>
      <c r="C45">
        <v>500</v>
      </c>
      <c r="E45" t="s">
        <v>418</v>
      </c>
      <c r="F45" t="s">
        <v>419</v>
      </c>
      <c r="H45" t="s">
        <v>333</v>
      </c>
      <c r="I45" t="s">
        <v>334</v>
      </c>
      <c r="J45" t="s">
        <v>335</v>
      </c>
      <c r="N45" t="s">
        <v>417</v>
      </c>
      <c r="AH45" s="143"/>
    </row>
    <row r="46" spans="1:34" x14ac:dyDescent="0.25">
      <c r="A46" s="151">
        <v>501</v>
      </c>
      <c r="B46" s="31"/>
      <c r="C46">
        <v>500</v>
      </c>
      <c r="E46" t="s">
        <v>418</v>
      </c>
      <c r="F46" t="s">
        <v>419</v>
      </c>
      <c r="H46" t="s">
        <v>333</v>
      </c>
      <c r="I46" t="s">
        <v>334</v>
      </c>
      <c r="J46" t="s">
        <v>335</v>
      </c>
      <c r="N46" t="s">
        <v>417</v>
      </c>
      <c r="AH46" s="143"/>
    </row>
    <row r="47" spans="1:34" x14ac:dyDescent="0.25">
      <c r="A47" s="151">
        <v>109</v>
      </c>
      <c r="B47" s="31"/>
      <c r="C47">
        <v>100</v>
      </c>
      <c r="E47" t="s">
        <v>418</v>
      </c>
      <c r="F47" t="s">
        <v>419</v>
      </c>
      <c r="H47" t="s">
        <v>333</v>
      </c>
      <c r="I47" t="s">
        <v>334</v>
      </c>
      <c r="J47" t="s">
        <v>335</v>
      </c>
      <c r="N47" t="s">
        <v>417</v>
      </c>
      <c r="AH47" s="143"/>
    </row>
    <row r="48" spans="1:34" x14ac:dyDescent="0.25">
      <c r="A48" s="151">
        <v>903</v>
      </c>
      <c r="B48" s="31"/>
      <c r="C48">
        <v>900</v>
      </c>
      <c r="E48" t="s">
        <v>418</v>
      </c>
      <c r="F48" t="s">
        <v>419</v>
      </c>
      <c r="H48" t="s">
        <v>333</v>
      </c>
      <c r="I48" t="s">
        <v>334</v>
      </c>
      <c r="J48" t="s">
        <v>335</v>
      </c>
      <c r="N48" t="s">
        <v>417</v>
      </c>
      <c r="AH48" s="143"/>
    </row>
    <row r="49" spans="1:34" x14ac:dyDescent="0.25">
      <c r="A49" s="151">
        <v>1001</v>
      </c>
      <c r="B49" s="31"/>
      <c r="C49">
        <v>1000</v>
      </c>
      <c r="E49" t="s">
        <v>418</v>
      </c>
      <c r="F49" t="s">
        <v>419</v>
      </c>
      <c r="H49" t="s">
        <v>333</v>
      </c>
      <c r="I49" t="s">
        <v>334</v>
      </c>
      <c r="J49" t="s">
        <v>335</v>
      </c>
      <c r="N49" t="s">
        <v>417</v>
      </c>
      <c r="AH49" s="143"/>
    </row>
    <row r="50" spans="1:34" x14ac:dyDescent="0.25">
      <c r="A50" s="151">
        <v>501</v>
      </c>
      <c r="B50" s="31"/>
      <c r="C50">
        <v>500</v>
      </c>
      <c r="E50" t="s">
        <v>418</v>
      </c>
      <c r="F50" t="s">
        <v>419</v>
      </c>
      <c r="H50" t="s">
        <v>333</v>
      </c>
      <c r="I50" t="s">
        <v>334</v>
      </c>
      <c r="J50" t="s">
        <v>335</v>
      </c>
      <c r="N50" t="s">
        <v>417</v>
      </c>
      <c r="AH50" s="143"/>
    </row>
    <row r="51" spans="1:34" x14ac:dyDescent="0.25">
      <c r="A51" s="151">
        <v>109</v>
      </c>
      <c r="B51" s="31"/>
      <c r="C51">
        <v>100</v>
      </c>
      <c r="E51" t="s">
        <v>418</v>
      </c>
      <c r="F51" t="s">
        <v>419</v>
      </c>
      <c r="H51" t="s">
        <v>333</v>
      </c>
      <c r="I51" t="s">
        <v>334</v>
      </c>
      <c r="J51" t="s">
        <v>335</v>
      </c>
      <c r="N51" t="s">
        <v>417</v>
      </c>
      <c r="AH51" s="143"/>
    </row>
    <row r="52" spans="1:34" x14ac:dyDescent="0.25">
      <c r="A52" s="151">
        <v>501</v>
      </c>
      <c r="B52" s="31"/>
      <c r="C52">
        <v>500</v>
      </c>
      <c r="E52" t="s">
        <v>418</v>
      </c>
      <c r="F52" t="s">
        <v>419</v>
      </c>
      <c r="H52" t="s">
        <v>333</v>
      </c>
      <c r="I52" t="s">
        <v>334</v>
      </c>
      <c r="J52" t="s">
        <v>335</v>
      </c>
      <c r="N52" t="s">
        <v>417</v>
      </c>
      <c r="AH52" s="143"/>
    </row>
    <row r="53" spans="1:34" x14ac:dyDescent="0.25">
      <c r="A53" s="151">
        <v>903</v>
      </c>
      <c r="B53" s="31"/>
      <c r="C53">
        <v>900</v>
      </c>
      <c r="E53" t="s">
        <v>418</v>
      </c>
      <c r="F53" t="s">
        <v>419</v>
      </c>
      <c r="H53" t="s">
        <v>333</v>
      </c>
      <c r="I53" t="s">
        <v>334</v>
      </c>
      <c r="J53" t="s">
        <v>335</v>
      </c>
      <c r="N53" t="s">
        <v>417</v>
      </c>
      <c r="AH53" s="143"/>
    </row>
    <row r="54" spans="1:34" x14ac:dyDescent="0.25">
      <c r="A54" s="151">
        <v>501</v>
      </c>
      <c r="B54" s="31"/>
      <c r="C54">
        <v>500</v>
      </c>
      <c r="E54" t="s">
        <v>418</v>
      </c>
      <c r="F54" t="s">
        <v>419</v>
      </c>
      <c r="H54" t="s">
        <v>333</v>
      </c>
      <c r="I54" t="s">
        <v>334</v>
      </c>
      <c r="J54" t="s">
        <v>335</v>
      </c>
      <c r="N54" t="s">
        <v>417</v>
      </c>
      <c r="AH54" s="143"/>
    </row>
    <row r="55" spans="1:34" x14ac:dyDescent="0.25">
      <c r="A55" s="151">
        <v>501</v>
      </c>
      <c r="B55" s="31"/>
      <c r="C55">
        <v>500</v>
      </c>
      <c r="E55" t="s">
        <v>418</v>
      </c>
      <c r="F55" t="s">
        <v>419</v>
      </c>
      <c r="H55" t="s">
        <v>333</v>
      </c>
      <c r="I55" t="s">
        <v>334</v>
      </c>
      <c r="J55" t="s">
        <v>335</v>
      </c>
      <c r="N55" t="s">
        <v>417</v>
      </c>
      <c r="AH55" s="143"/>
    </row>
    <row r="56" spans="1:34" x14ac:dyDescent="0.25">
      <c r="A56" s="151">
        <v>109</v>
      </c>
      <c r="B56" s="31"/>
      <c r="C56">
        <v>100</v>
      </c>
      <c r="E56" t="s">
        <v>418</v>
      </c>
      <c r="F56" t="s">
        <v>419</v>
      </c>
      <c r="H56" t="s">
        <v>333</v>
      </c>
      <c r="I56" t="s">
        <v>334</v>
      </c>
      <c r="J56" t="s">
        <v>335</v>
      </c>
      <c r="N56" t="s">
        <v>417</v>
      </c>
      <c r="AH56" s="143"/>
    </row>
    <row r="57" spans="1:34" x14ac:dyDescent="0.25">
      <c r="A57" s="151">
        <v>102</v>
      </c>
      <c r="B57" s="31"/>
      <c r="C57">
        <v>100</v>
      </c>
      <c r="E57" t="s">
        <v>418</v>
      </c>
      <c r="F57" t="s">
        <v>419</v>
      </c>
      <c r="H57" t="s">
        <v>333</v>
      </c>
      <c r="I57" t="s">
        <v>334</v>
      </c>
      <c r="J57" t="s">
        <v>335</v>
      </c>
      <c r="N57" t="s">
        <v>417</v>
      </c>
      <c r="AH57" s="143"/>
    </row>
    <row r="58" spans="1:34" x14ac:dyDescent="0.25">
      <c r="A58" s="151">
        <v>104</v>
      </c>
      <c r="B58" s="31"/>
      <c r="C58">
        <v>100</v>
      </c>
      <c r="E58" t="s">
        <v>418</v>
      </c>
      <c r="F58" t="s">
        <v>419</v>
      </c>
      <c r="H58" t="s">
        <v>333</v>
      </c>
      <c r="I58" t="s">
        <v>334</v>
      </c>
      <c r="J58" t="s">
        <v>335</v>
      </c>
      <c r="N58" t="s">
        <v>417</v>
      </c>
      <c r="AH58" s="143"/>
    </row>
    <row r="59" spans="1:34" x14ac:dyDescent="0.25">
      <c r="A59" s="151">
        <v>102</v>
      </c>
      <c r="B59" s="31"/>
      <c r="C59">
        <v>100</v>
      </c>
      <c r="E59" t="s">
        <v>418</v>
      </c>
      <c r="F59" t="s">
        <v>419</v>
      </c>
      <c r="H59" t="s">
        <v>333</v>
      </c>
      <c r="I59" t="s">
        <v>334</v>
      </c>
      <c r="J59" t="s">
        <v>335</v>
      </c>
      <c r="N59" t="s">
        <v>417</v>
      </c>
      <c r="AH59" s="143"/>
    </row>
    <row r="60" spans="1:34" x14ac:dyDescent="0.25">
      <c r="A60" s="151">
        <v>501</v>
      </c>
      <c r="B60" s="31"/>
      <c r="C60">
        <v>500</v>
      </c>
      <c r="E60" t="s">
        <v>418</v>
      </c>
      <c r="F60" t="s">
        <v>419</v>
      </c>
      <c r="H60" t="s">
        <v>333</v>
      </c>
      <c r="I60" t="s">
        <v>334</v>
      </c>
      <c r="J60" t="s">
        <v>335</v>
      </c>
      <c r="N60" t="s">
        <v>417</v>
      </c>
      <c r="AH60" s="143"/>
    </row>
    <row r="61" spans="1:34" x14ac:dyDescent="0.25">
      <c r="A61" s="151">
        <v>501</v>
      </c>
      <c r="B61" s="31"/>
      <c r="C61">
        <v>500</v>
      </c>
      <c r="E61" t="s">
        <v>418</v>
      </c>
      <c r="F61" t="s">
        <v>419</v>
      </c>
      <c r="H61" t="s">
        <v>333</v>
      </c>
      <c r="I61" t="s">
        <v>334</v>
      </c>
      <c r="J61" t="s">
        <v>335</v>
      </c>
      <c r="N61" t="s">
        <v>417</v>
      </c>
      <c r="AH61" s="143"/>
    </row>
    <row r="62" spans="1:34" x14ac:dyDescent="0.25">
      <c r="A62" s="151">
        <v>903</v>
      </c>
      <c r="B62" s="31"/>
      <c r="C62">
        <v>900</v>
      </c>
      <c r="E62" t="s">
        <v>418</v>
      </c>
      <c r="F62" t="s">
        <v>419</v>
      </c>
      <c r="H62" t="s">
        <v>333</v>
      </c>
      <c r="I62" t="s">
        <v>334</v>
      </c>
      <c r="J62" t="s">
        <v>335</v>
      </c>
      <c r="N62" t="s">
        <v>417</v>
      </c>
      <c r="AH62" s="143"/>
    </row>
    <row r="63" spans="1:34" x14ac:dyDescent="0.25">
      <c r="A63" s="151">
        <v>501</v>
      </c>
      <c r="B63" s="31"/>
      <c r="C63">
        <v>500</v>
      </c>
      <c r="E63" t="s">
        <v>418</v>
      </c>
      <c r="F63" t="s">
        <v>419</v>
      </c>
      <c r="H63" t="s">
        <v>333</v>
      </c>
      <c r="I63" t="s">
        <v>334</v>
      </c>
      <c r="J63" t="s">
        <v>335</v>
      </c>
      <c r="N63" t="s">
        <v>417</v>
      </c>
      <c r="AH63" s="143"/>
    </row>
    <row r="64" spans="1:34" x14ac:dyDescent="0.25">
      <c r="A64" s="151">
        <v>501</v>
      </c>
      <c r="B64" s="31"/>
      <c r="C64">
        <v>500</v>
      </c>
      <c r="E64" t="s">
        <v>418</v>
      </c>
      <c r="F64" t="s">
        <v>419</v>
      </c>
      <c r="H64" t="s">
        <v>333</v>
      </c>
      <c r="I64" t="s">
        <v>334</v>
      </c>
      <c r="J64" t="s">
        <v>335</v>
      </c>
      <c r="N64" t="s">
        <v>417</v>
      </c>
      <c r="AH64" s="143"/>
    </row>
    <row r="65" spans="1:34" ht="15.75" thickBot="1" x14ac:dyDescent="0.3">
      <c r="A65" s="152">
        <v>501</v>
      </c>
      <c r="B65" s="39"/>
      <c r="C65" s="40">
        <v>500</v>
      </c>
      <c r="D65" s="40" t="s">
        <v>340</v>
      </c>
      <c r="E65" s="40" t="s">
        <v>418</v>
      </c>
      <c r="F65" s="40" t="s">
        <v>419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417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44"/>
    </row>
    <row r="66" spans="1:34" ht="15.75" thickTop="1" x14ac:dyDescent="0.25"/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28515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42578125" bestFit="1" customWidth="1"/>
    <col min="30" max="30" width="43.5703125" bestFit="1" customWidth="1"/>
    <col min="32" max="32" width="7.140625" bestFit="1" customWidth="1"/>
    <col min="33" max="33" width="7.7109375" bestFit="1" customWidth="1"/>
    <col min="34" max="34" width="24.285156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434</v>
      </c>
      <c r="AC2" t="s">
        <v>436</v>
      </c>
      <c r="AD2" t="s">
        <v>435</v>
      </c>
      <c r="AE2">
        <v>64</v>
      </c>
      <c r="AF2">
        <v>1</v>
      </c>
      <c r="AH2" t="s">
        <v>360</v>
      </c>
      <c r="AJ2">
        <v>102</v>
      </c>
      <c r="AK2" t="s">
        <v>200</v>
      </c>
      <c r="AM2">
        <v>821</v>
      </c>
      <c r="AN2">
        <v>473</v>
      </c>
    </row>
    <row r="3" spans="1:40" x14ac:dyDescent="0.25">
      <c r="B3" t="s">
        <v>333</v>
      </c>
      <c r="C3" t="s">
        <v>334</v>
      </c>
      <c r="D3" t="s">
        <v>335</v>
      </c>
      <c r="H3" t="s">
        <v>434</v>
      </c>
      <c r="AC3" t="s">
        <v>436</v>
      </c>
      <c r="AD3" t="s">
        <v>435</v>
      </c>
      <c r="AE3">
        <v>64</v>
      </c>
      <c r="AF3">
        <v>2</v>
      </c>
      <c r="AH3" t="s">
        <v>389</v>
      </c>
      <c r="AJ3">
        <v>501</v>
      </c>
      <c r="AK3" t="s">
        <v>204</v>
      </c>
      <c r="AM3">
        <v>1028</v>
      </c>
      <c r="AN3">
        <v>473</v>
      </c>
    </row>
    <row r="4" spans="1:40" x14ac:dyDescent="0.25">
      <c r="B4" t="s">
        <v>333</v>
      </c>
      <c r="C4" t="s">
        <v>334</v>
      </c>
      <c r="D4" t="s">
        <v>335</v>
      </c>
      <c r="H4" t="s">
        <v>434</v>
      </c>
      <c r="AC4" t="s">
        <v>436</v>
      </c>
      <c r="AD4" t="s">
        <v>435</v>
      </c>
      <c r="AE4">
        <v>64</v>
      </c>
      <c r="AF4">
        <v>3</v>
      </c>
      <c r="AH4" t="s">
        <v>389</v>
      </c>
      <c r="AJ4">
        <v>501</v>
      </c>
      <c r="AK4" t="s">
        <v>204</v>
      </c>
      <c r="AM4">
        <v>1234</v>
      </c>
      <c r="AN4">
        <v>473</v>
      </c>
    </row>
    <row r="5" spans="1:40" x14ac:dyDescent="0.25">
      <c r="B5" t="s">
        <v>333</v>
      </c>
      <c r="C5" t="s">
        <v>334</v>
      </c>
      <c r="D5" t="s">
        <v>335</v>
      </c>
      <c r="H5" t="s">
        <v>434</v>
      </c>
      <c r="AC5" t="s">
        <v>436</v>
      </c>
      <c r="AD5" t="s">
        <v>435</v>
      </c>
      <c r="AE5">
        <v>64</v>
      </c>
      <c r="AF5">
        <v>4</v>
      </c>
      <c r="AH5" t="s">
        <v>389</v>
      </c>
      <c r="AJ5">
        <v>501</v>
      </c>
      <c r="AK5" t="s">
        <v>204</v>
      </c>
      <c r="AM5">
        <v>1441</v>
      </c>
      <c r="AN5">
        <v>473</v>
      </c>
    </row>
    <row r="6" spans="1:40" x14ac:dyDescent="0.25">
      <c r="B6" t="s">
        <v>333</v>
      </c>
      <c r="C6" t="s">
        <v>334</v>
      </c>
      <c r="D6" t="s">
        <v>335</v>
      </c>
      <c r="H6" t="s">
        <v>434</v>
      </c>
      <c r="AC6" t="s">
        <v>436</v>
      </c>
      <c r="AD6" t="s">
        <v>435</v>
      </c>
      <c r="AE6">
        <v>64</v>
      </c>
      <c r="AF6">
        <v>5</v>
      </c>
      <c r="AH6" t="s">
        <v>389</v>
      </c>
      <c r="AJ6">
        <v>501</v>
      </c>
      <c r="AK6" t="s">
        <v>204</v>
      </c>
      <c r="AM6">
        <v>1647</v>
      </c>
      <c r="AN6">
        <v>473</v>
      </c>
    </row>
    <row r="7" spans="1:40" x14ac:dyDescent="0.25">
      <c r="B7" t="s">
        <v>333</v>
      </c>
      <c r="C7" t="s">
        <v>334</v>
      </c>
      <c r="D7" t="s">
        <v>335</v>
      </c>
      <c r="H7" t="s">
        <v>434</v>
      </c>
      <c r="AC7" t="s">
        <v>436</v>
      </c>
      <c r="AD7" t="s">
        <v>435</v>
      </c>
      <c r="AE7">
        <v>64</v>
      </c>
      <c r="AF7">
        <v>6</v>
      </c>
      <c r="AH7" t="s">
        <v>389</v>
      </c>
      <c r="AJ7">
        <v>501</v>
      </c>
      <c r="AK7" t="s">
        <v>204</v>
      </c>
      <c r="AM7">
        <v>1854</v>
      </c>
      <c r="AN7">
        <v>473</v>
      </c>
    </row>
    <row r="8" spans="1:40" x14ac:dyDescent="0.25">
      <c r="B8" t="s">
        <v>333</v>
      </c>
      <c r="C8" t="s">
        <v>334</v>
      </c>
      <c r="D8" t="s">
        <v>335</v>
      </c>
      <c r="H8" t="s">
        <v>434</v>
      </c>
      <c r="AC8" t="s">
        <v>436</v>
      </c>
      <c r="AD8" t="s">
        <v>435</v>
      </c>
      <c r="AE8">
        <v>64</v>
      </c>
      <c r="AF8">
        <v>7</v>
      </c>
      <c r="AH8" t="s">
        <v>389</v>
      </c>
      <c r="AJ8">
        <v>501</v>
      </c>
      <c r="AK8" t="s">
        <v>204</v>
      </c>
      <c r="AM8">
        <v>2060</v>
      </c>
      <c r="AN8">
        <v>473</v>
      </c>
    </row>
    <row r="9" spans="1:40" x14ac:dyDescent="0.25">
      <c r="B9" t="s">
        <v>333</v>
      </c>
      <c r="C9" t="s">
        <v>334</v>
      </c>
      <c r="D9" t="s">
        <v>335</v>
      </c>
      <c r="H9" t="s">
        <v>434</v>
      </c>
      <c r="AC9" t="s">
        <v>436</v>
      </c>
      <c r="AD9" t="s">
        <v>435</v>
      </c>
      <c r="AE9">
        <v>64</v>
      </c>
      <c r="AF9">
        <v>8</v>
      </c>
      <c r="AH9" t="s">
        <v>389</v>
      </c>
      <c r="AJ9">
        <v>501</v>
      </c>
      <c r="AK9" t="s">
        <v>204</v>
      </c>
      <c r="AM9">
        <v>2266</v>
      </c>
      <c r="AN9">
        <v>473</v>
      </c>
    </row>
    <row r="10" spans="1:40" x14ac:dyDescent="0.25">
      <c r="B10" t="s">
        <v>333</v>
      </c>
      <c r="C10" t="s">
        <v>334</v>
      </c>
      <c r="D10" t="s">
        <v>335</v>
      </c>
      <c r="H10" t="s">
        <v>434</v>
      </c>
      <c r="AC10" t="s">
        <v>436</v>
      </c>
      <c r="AD10" t="s">
        <v>435</v>
      </c>
      <c r="AE10">
        <v>64</v>
      </c>
      <c r="AF10">
        <v>9</v>
      </c>
      <c r="AH10" t="s">
        <v>360</v>
      </c>
      <c r="AJ10">
        <v>102</v>
      </c>
      <c r="AK10" t="s">
        <v>200</v>
      </c>
      <c r="AM10">
        <v>821</v>
      </c>
      <c r="AN10">
        <v>680</v>
      </c>
    </row>
    <row r="11" spans="1:40" x14ac:dyDescent="0.25">
      <c r="B11" t="s">
        <v>333</v>
      </c>
      <c r="C11" t="s">
        <v>334</v>
      </c>
      <c r="D11" t="s">
        <v>335</v>
      </c>
      <c r="H11" t="s">
        <v>434</v>
      </c>
      <c r="AC11" t="s">
        <v>436</v>
      </c>
      <c r="AD11" t="s">
        <v>435</v>
      </c>
      <c r="AE11">
        <v>64</v>
      </c>
      <c r="AF11">
        <v>10</v>
      </c>
      <c r="AH11" t="s">
        <v>361</v>
      </c>
      <c r="AJ11">
        <v>109</v>
      </c>
      <c r="AK11" t="s">
        <v>200</v>
      </c>
      <c r="AM11">
        <v>1028</v>
      </c>
      <c r="AN11">
        <v>680</v>
      </c>
    </row>
    <row r="12" spans="1:40" x14ac:dyDescent="0.25">
      <c r="B12" t="s">
        <v>333</v>
      </c>
      <c r="C12" t="s">
        <v>334</v>
      </c>
      <c r="D12" t="s">
        <v>335</v>
      </c>
      <c r="H12" t="s">
        <v>434</v>
      </c>
      <c r="AC12" t="s">
        <v>436</v>
      </c>
      <c r="AD12" t="s">
        <v>435</v>
      </c>
      <c r="AE12">
        <v>64</v>
      </c>
      <c r="AF12">
        <v>11</v>
      </c>
      <c r="AH12" t="s">
        <v>389</v>
      </c>
      <c r="AJ12">
        <v>501</v>
      </c>
      <c r="AK12" t="s">
        <v>204</v>
      </c>
      <c r="AM12">
        <v>1234</v>
      </c>
      <c r="AN12">
        <v>680</v>
      </c>
    </row>
    <row r="13" spans="1:40" x14ac:dyDescent="0.25">
      <c r="B13" t="s">
        <v>333</v>
      </c>
      <c r="C13" t="s">
        <v>334</v>
      </c>
      <c r="D13" t="s">
        <v>335</v>
      </c>
      <c r="H13" t="s">
        <v>434</v>
      </c>
      <c r="AC13" t="s">
        <v>436</v>
      </c>
      <c r="AD13" t="s">
        <v>435</v>
      </c>
      <c r="AE13">
        <v>64</v>
      </c>
      <c r="AF13">
        <v>12</v>
      </c>
      <c r="AH13" t="s">
        <v>402</v>
      </c>
      <c r="AJ13">
        <v>603</v>
      </c>
      <c r="AK13" t="s">
        <v>205</v>
      </c>
      <c r="AM13">
        <v>1441</v>
      </c>
      <c r="AN13">
        <v>680</v>
      </c>
    </row>
    <row r="14" spans="1:40" x14ac:dyDescent="0.25">
      <c r="B14" t="s">
        <v>333</v>
      </c>
      <c r="C14" t="s">
        <v>334</v>
      </c>
      <c r="D14" t="s">
        <v>335</v>
      </c>
      <c r="H14" t="s">
        <v>434</v>
      </c>
      <c r="AC14" t="s">
        <v>436</v>
      </c>
      <c r="AD14" t="s">
        <v>435</v>
      </c>
      <c r="AE14">
        <v>64</v>
      </c>
      <c r="AF14">
        <v>13</v>
      </c>
      <c r="AH14" t="s">
        <v>390</v>
      </c>
      <c r="AJ14">
        <v>903</v>
      </c>
      <c r="AK14" t="s">
        <v>208</v>
      </c>
      <c r="AM14">
        <v>1647</v>
      </c>
      <c r="AN14">
        <v>680</v>
      </c>
    </row>
    <row r="15" spans="1:40" x14ac:dyDescent="0.25">
      <c r="B15" t="s">
        <v>333</v>
      </c>
      <c r="C15" t="s">
        <v>334</v>
      </c>
      <c r="D15" t="s">
        <v>335</v>
      </c>
      <c r="H15" t="s">
        <v>434</v>
      </c>
      <c r="AC15" t="s">
        <v>436</v>
      </c>
      <c r="AD15" t="s">
        <v>435</v>
      </c>
      <c r="AE15">
        <v>64</v>
      </c>
      <c r="AF15">
        <v>14</v>
      </c>
      <c r="AH15" t="s">
        <v>389</v>
      </c>
      <c r="AJ15">
        <v>501</v>
      </c>
      <c r="AK15" t="s">
        <v>204</v>
      </c>
      <c r="AM15">
        <v>1854</v>
      </c>
      <c r="AN15">
        <v>680</v>
      </c>
    </row>
    <row r="16" spans="1:40" x14ac:dyDescent="0.25">
      <c r="B16" t="s">
        <v>333</v>
      </c>
      <c r="C16" t="s">
        <v>334</v>
      </c>
      <c r="D16" t="s">
        <v>335</v>
      </c>
      <c r="H16" t="s">
        <v>434</v>
      </c>
      <c r="AC16" t="s">
        <v>436</v>
      </c>
      <c r="AD16" t="s">
        <v>435</v>
      </c>
      <c r="AE16">
        <v>64</v>
      </c>
      <c r="AF16">
        <v>15</v>
      </c>
      <c r="AH16" t="s">
        <v>361</v>
      </c>
      <c r="AJ16">
        <v>109</v>
      </c>
      <c r="AK16" t="s">
        <v>200</v>
      </c>
      <c r="AM16">
        <v>2060</v>
      </c>
      <c r="AN16">
        <v>680</v>
      </c>
    </row>
    <row r="17" spans="2:40" x14ac:dyDescent="0.25">
      <c r="B17" t="s">
        <v>333</v>
      </c>
      <c r="C17" t="s">
        <v>334</v>
      </c>
      <c r="D17" t="s">
        <v>335</v>
      </c>
      <c r="H17" t="s">
        <v>434</v>
      </c>
      <c r="AC17" t="s">
        <v>436</v>
      </c>
      <c r="AD17" t="s">
        <v>435</v>
      </c>
      <c r="AE17">
        <v>64</v>
      </c>
      <c r="AF17">
        <v>16</v>
      </c>
      <c r="AH17" t="s">
        <v>389</v>
      </c>
      <c r="AJ17">
        <v>501</v>
      </c>
      <c r="AK17" t="s">
        <v>204</v>
      </c>
      <c r="AM17">
        <v>2266</v>
      </c>
      <c r="AN17">
        <v>680</v>
      </c>
    </row>
    <row r="18" spans="2:40" x14ac:dyDescent="0.25">
      <c r="B18" t="s">
        <v>333</v>
      </c>
      <c r="C18" t="s">
        <v>334</v>
      </c>
      <c r="D18" t="s">
        <v>335</v>
      </c>
      <c r="H18" t="s">
        <v>434</v>
      </c>
      <c r="AC18" t="s">
        <v>436</v>
      </c>
      <c r="AD18" t="s">
        <v>435</v>
      </c>
      <c r="AE18">
        <v>64</v>
      </c>
      <c r="AF18">
        <v>17</v>
      </c>
      <c r="AH18" t="s">
        <v>360</v>
      </c>
      <c r="AJ18">
        <v>102</v>
      </c>
      <c r="AK18" t="s">
        <v>200</v>
      </c>
      <c r="AM18">
        <v>821</v>
      </c>
      <c r="AN18">
        <v>886</v>
      </c>
    </row>
    <row r="19" spans="2:40" x14ac:dyDescent="0.25">
      <c r="B19" t="s">
        <v>333</v>
      </c>
      <c r="C19" t="s">
        <v>334</v>
      </c>
      <c r="D19" t="s">
        <v>335</v>
      </c>
      <c r="H19" t="s">
        <v>434</v>
      </c>
      <c r="AC19" t="s">
        <v>436</v>
      </c>
      <c r="AD19" t="s">
        <v>435</v>
      </c>
      <c r="AE19">
        <v>64</v>
      </c>
      <c r="AF19">
        <v>18</v>
      </c>
      <c r="AH19" t="s">
        <v>402</v>
      </c>
      <c r="AJ19">
        <v>603</v>
      </c>
      <c r="AK19" t="s">
        <v>205</v>
      </c>
      <c r="AM19">
        <v>1028</v>
      </c>
      <c r="AN19">
        <v>886</v>
      </c>
    </row>
    <row r="20" spans="2:40" x14ac:dyDescent="0.25">
      <c r="B20" t="s">
        <v>333</v>
      </c>
      <c r="C20" t="s">
        <v>334</v>
      </c>
      <c r="D20" t="s">
        <v>335</v>
      </c>
      <c r="H20" t="s">
        <v>434</v>
      </c>
      <c r="AC20" t="s">
        <v>436</v>
      </c>
      <c r="AD20" t="s">
        <v>435</v>
      </c>
      <c r="AE20">
        <v>64</v>
      </c>
      <c r="AF20">
        <v>19</v>
      </c>
      <c r="AH20" t="s">
        <v>361</v>
      </c>
      <c r="AJ20">
        <v>109</v>
      </c>
      <c r="AK20" t="s">
        <v>200</v>
      </c>
      <c r="AM20">
        <v>1234</v>
      </c>
      <c r="AN20">
        <v>886</v>
      </c>
    </row>
    <row r="21" spans="2:40" x14ac:dyDescent="0.25">
      <c r="B21" t="s">
        <v>333</v>
      </c>
      <c r="C21" t="s">
        <v>334</v>
      </c>
      <c r="D21" t="s">
        <v>335</v>
      </c>
      <c r="H21" t="s">
        <v>434</v>
      </c>
      <c r="AC21" t="s">
        <v>436</v>
      </c>
      <c r="AD21" t="s">
        <v>435</v>
      </c>
      <c r="AE21">
        <v>64</v>
      </c>
      <c r="AF21">
        <v>20</v>
      </c>
      <c r="AH21" t="s">
        <v>402</v>
      </c>
      <c r="AJ21">
        <v>603</v>
      </c>
      <c r="AK21" t="s">
        <v>205</v>
      </c>
      <c r="AM21">
        <v>1441</v>
      </c>
      <c r="AN21">
        <v>886</v>
      </c>
    </row>
    <row r="22" spans="2:40" x14ac:dyDescent="0.25">
      <c r="B22" t="s">
        <v>333</v>
      </c>
      <c r="C22" t="s">
        <v>334</v>
      </c>
      <c r="D22" t="s">
        <v>335</v>
      </c>
      <c r="H22" t="s">
        <v>434</v>
      </c>
      <c r="AC22" t="s">
        <v>436</v>
      </c>
      <c r="AD22" t="s">
        <v>435</v>
      </c>
      <c r="AE22">
        <v>64</v>
      </c>
      <c r="AF22">
        <v>21</v>
      </c>
      <c r="AH22" t="s">
        <v>390</v>
      </c>
      <c r="AJ22">
        <v>903</v>
      </c>
      <c r="AK22" t="s">
        <v>208</v>
      </c>
      <c r="AM22">
        <v>1647</v>
      </c>
      <c r="AN22">
        <v>886</v>
      </c>
    </row>
    <row r="23" spans="2:40" x14ac:dyDescent="0.25">
      <c r="B23" t="s">
        <v>333</v>
      </c>
      <c r="C23" t="s">
        <v>334</v>
      </c>
      <c r="D23" t="s">
        <v>335</v>
      </c>
      <c r="H23" t="s">
        <v>434</v>
      </c>
      <c r="AC23" t="s">
        <v>436</v>
      </c>
      <c r="AD23" t="s">
        <v>435</v>
      </c>
      <c r="AE23">
        <v>64</v>
      </c>
      <c r="AF23">
        <v>22</v>
      </c>
      <c r="AH23" t="s">
        <v>361</v>
      </c>
      <c r="AJ23">
        <v>109</v>
      </c>
      <c r="AK23" t="s">
        <v>200</v>
      </c>
      <c r="AM23">
        <v>1854</v>
      </c>
      <c r="AN23">
        <v>886</v>
      </c>
    </row>
    <row r="24" spans="2:40" x14ac:dyDescent="0.25">
      <c r="B24" t="s">
        <v>333</v>
      </c>
      <c r="C24" t="s">
        <v>334</v>
      </c>
      <c r="D24" t="s">
        <v>335</v>
      </c>
      <c r="H24" t="s">
        <v>434</v>
      </c>
      <c r="AC24" t="s">
        <v>436</v>
      </c>
      <c r="AD24" t="s">
        <v>435</v>
      </c>
      <c r="AE24">
        <v>64</v>
      </c>
      <c r="AF24">
        <v>23</v>
      </c>
      <c r="AH24" t="s">
        <v>389</v>
      </c>
      <c r="AJ24">
        <v>501</v>
      </c>
      <c r="AK24" t="s">
        <v>204</v>
      </c>
      <c r="AM24">
        <v>2060</v>
      </c>
      <c r="AN24">
        <v>886</v>
      </c>
    </row>
    <row r="25" spans="2:40" x14ac:dyDescent="0.25">
      <c r="B25" t="s">
        <v>333</v>
      </c>
      <c r="C25" t="s">
        <v>334</v>
      </c>
      <c r="D25" t="s">
        <v>335</v>
      </c>
      <c r="H25" t="s">
        <v>434</v>
      </c>
      <c r="AC25" t="s">
        <v>436</v>
      </c>
      <c r="AD25" t="s">
        <v>435</v>
      </c>
      <c r="AE25">
        <v>64</v>
      </c>
      <c r="AF25">
        <v>24</v>
      </c>
      <c r="AH25" t="s">
        <v>389</v>
      </c>
      <c r="AJ25">
        <v>501</v>
      </c>
      <c r="AK25" t="s">
        <v>204</v>
      </c>
      <c r="AM25">
        <v>2266</v>
      </c>
      <c r="AN25">
        <v>886</v>
      </c>
    </row>
    <row r="26" spans="2:40" x14ac:dyDescent="0.25">
      <c r="B26" t="s">
        <v>333</v>
      </c>
      <c r="C26" t="s">
        <v>334</v>
      </c>
      <c r="D26" t="s">
        <v>335</v>
      </c>
      <c r="H26" t="s">
        <v>434</v>
      </c>
      <c r="AC26" t="s">
        <v>436</v>
      </c>
      <c r="AD26" t="s">
        <v>435</v>
      </c>
      <c r="AE26">
        <v>64</v>
      </c>
      <c r="AF26">
        <v>25</v>
      </c>
      <c r="AH26" t="s">
        <v>360</v>
      </c>
      <c r="AJ26">
        <v>102</v>
      </c>
      <c r="AK26" t="s">
        <v>200</v>
      </c>
      <c r="AM26">
        <v>821</v>
      </c>
      <c r="AN26">
        <v>1092</v>
      </c>
    </row>
    <row r="27" spans="2:40" x14ac:dyDescent="0.25">
      <c r="B27" t="s">
        <v>333</v>
      </c>
      <c r="C27" t="s">
        <v>334</v>
      </c>
      <c r="D27" t="s">
        <v>335</v>
      </c>
      <c r="H27" t="s">
        <v>434</v>
      </c>
      <c r="AC27" t="s">
        <v>436</v>
      </c>
      <c r="AD27" t="s">
        <v>435</v>
      </c>
      <c r="AE27">
        <v>64</v>
      </c>
      <c r="AF27">
        <v>26</v>
      </c>
      <c r="AH27" t="s">
        <v>390</v>
      </c>
      <c r="AJ27">
        <v>903</v>
      </c>
      <c r="AK27" t="s">
        <v>208</v>
      </c>
      <c r="AM27">
        <v>1028</v>
      </c>
      <c r="AN27">
        <v>1092</v>
      </c>
    </row>
    <row r="28" spans="2:40" x14ac:dyDescent="0.25">
      <c r="B28" t="s">
        <v>333</v>
      </c>
      <c r="C28" t="s">
        <v>334</v>
      </c>
      <c r="D28" t="s">
        <v>335</v>
      </c>
      <c r="H28" t="s">
        <v>434</v>
      </c>
      <c r="AC28" t="s">
        <v>436</v>
      </c>
      <c r="AD28" t="s">
        <v>435</v>
      </c>
      <c r="AE28">
        <v>64</v>
      </c>
      <c r="AF28">
        <v>27</v>
      </c>
      <c r="AH28" t="s">
        <v>389</v>
      </c>
      <c r="AJ28">
        <v>501</v>
      </c>
      <c r="AK28" t="s">
        <v>204</v>
      </c>
      <c r="AM28">
        <v>1234</v>
      </c>
      <c r="AN28">
        <v>1092</v>
      </c>
    </row>
    <row r="29" spans="2:40" x14ac:dyDescent="0.25">
      <c r="B29" t="s">
        <v>333</v>
      </c>
      <c r="C29" t="s">
        <v>334</v>
      </c>
      <c r="D29" t="s">
        <v>335</v>
      </c>
      <c r="H29" t="s">
        <v>434</v>
      </c>
      <c r="AC29" t="s">
        <v>436</v>
      </c>
      <c r="AD29" t="s">
        <v>435</v>
      </c>
      <c r="AE29">
        <v>64</v>
      </c>
      <c r="AF29">
        <v>28</v>
      </c>
      <c r="AH29" t="s">
        <v>360</v>
      </c>
      <c r="AJ29">
        <v>102</v>
      </c>
      <c r="AK29" t="s">
        <v>200</v>
      </c>
      <c r="AM29">
        <v>1441</v>
      </c>
      <c r="AN29">
        <v>1092</v>
      </c>
    </row>
    <row r="30" spans="2:40" x14ac:dyDescent="0.25">
      <c r="B30" t="s">
        <v>333</v>
      </c>
      <c r="C30" t="s">
        <v>334</v>
      </c>
      <c r="D30" t="s">
        <v>335</v>
      </c>
      <c r="H30" t="s">
        <v>434</v>
      </c>
      <c r="AC30" t="s">
        <v>436</v>
      </c>
      <c r="AD30" t="s">
        <v>435</v>
      </c>
      <c r="AE30">
        <v>64</v>
      </c>
      <c r="AF30">
        <v>29</v>
      </c>
      <c r="AH30" t="s">
        <v>360</v>
      </c>
      <c r="AJ30">
        <v>102</v>
      </c>
      <c r="AK30" t="s">
        <v>200</v>
      </c>
      <c r="AM30">
        <v>1647</v>
      </c>
      <c r="AN30">
        <v>1092</v>
      </c>
    </row>
    <row r="31" spans="2:40" x14ac:dyDescent="0.25">
      <c r="B31" t="s">
        <v>333</v>
      </c>
      <c r="C31" t="s">
        <v>334</v>
      </c>
      <c r="D31" t="s">
        <v>335</v>
      </c>
      <c r="H31" t="s">
        <v>434</v>
      </c>
      <c r="AC31" t="s">
        <v>436</v>
      </c>
      <c r="AD31" t="s">
        <v>435</v>
      </c>
      <c r="AE31">
        <v>64</v>
      </c>
      <c r="AF31">
        <v>30</v>
      </c>
      <c r="AH31" t="s">
        <v>437</v>
      </c>
      <c r="AJ31">
        <v>117</v>
      </c>
      <c r="AK31" t="s">
        <v>200</v>
      </c>
      <c r="AM31">
        <v>1854</v>
      </c>
      <c r="AN31">
        <v>1092</v>
      </c>
    </row>
    <row r="32" spans="2:40" x14ac:dyDescent="0.25">
      <c r="B32" t="s">
        <v>333</v>
      </c>
      <c r="C32" t="s">
        <v>334</v>
      </c>
      <c r="D32" t="s">
        <v>335</v>
      </c>
      <c r="H32" t="s">
        <v>434</v>
      </c>
      <c r="AC32" t="s">
        <v>436</v>
      </c>
      <c r="AD32" t="s">
        <v>435</v>
      </c>
      <c r="AE32">
        <v>64</v>
      </c>
      <c r="AF32">
        <v>31</v>
      </c>
      <c r="AH32" t="s">
        <v>389</v>
      </c>
      <c r="AJ32">
        <v>501</v>
      </c>
      <c r="AK32" t="s">
        <v>204</v>
      </c>
      <c r="AM32">
        <v>2060</v>
      </c>
      <c r="AN32">
        <v>1092</v>
      </c>
    </row>
    <row r="33" spans="2:40" x14ac:dyDescent="0.25">
      <c r="B33" t="s">
        <v>333</v>
      </c>
      <c r="C33" t="s">
        <v>334</v>
      </c>
      <c r="D33" t="s">
        <v>335</v>
      </c>
      <c r="H33" t="s">
        <v>434</v>
      </c>
      <c r="AC33" t="s">
        <v>436</v>
      </c>
      <c r="AD33" t="s">
        <v>435</v>
      </c>
      <c r="AE33">
        <v>64</v>
      </c>
      <c r="AF33">
        <v>32</v>
      </c>
      <c r="AH33" t="s">
        <v>389</v>
      </c>
      <c r="AJ33">
        <v>501</v>
      </c>
      <c r="AK33" t="s">
        <v>204</v>
      </c>
      <c r="AM33">
        <v>2266</v>
      </c>
      <c r="AN33">
        <v>1092</v>
      </c>
    </row>
    <row r="34" spans="2:40" x14ac:dyDescent="0.25">
      <c r="B34" t="s">
        <v>333</v>
      </c>
      <c r="C34" t="s">
        <v>334</v>
      </c>
      <c r="D34" t="s">
        <v>335</v>
      </c>
      <c r="H34" t="s">
        <v>434</v>
      </c>
      <c r="AC34" t="s">
        <v>436</v>
      </c>
      <c r="AD34" t="s">
        <v>435</v>
      </c>
      <c r="AE34">
        <v>64</v>
      </c>
      <c r="AF34">
        <v>33</v>
      </c>
      <c r="AH34" t="s">
        <v>389</v>
      </c>
      <c r="AJ34">
        <v>501</v>
      </c>
      <c r="AK34" t="s">
        <v>204</v>
      </c>
      <c r="AM34">
        <v>821</v>
      </c>
      <c r="AN34">
        <v>1299</v>
      </c>
    </row>
    <row r="35" spans="2:40" x14ac:dyDescent="0.25">
      <c r="B35" t="s">
        <v>333</v>
      </c>
      <c r="C35" t="s">
        <v>334</v>
      </c>
      <c r="D35" t="s">
        <v>335</v>
      </c>
      <c r="H35" t="s">
        <v>434</v>
      </c>
      <c r="AC35" t="s">
        <v>436</v>
      </c>
      <c r="AD35" t="s">
        <v>435</v>
      </c>
      <c r="AE35">
        <v>64</v>
      </c>
      <c r="AF35">
        <v>34</v>
      </c>
      <c r="AH35" t="s">
        <v>390</v>
      </c>
      <c r="AJ35">
        <v>903</v>
      </c>
      <c r="AK35" t="s">
        <v>208</v>
      </c>
      <c r="AM35">
        <v>1028</v>
      </c>
      <c r="AN35">
        <v>1299</v>
      </c>
    </row>
    <row r="36" spans="2:40" x14ac:dyDescent="0.25">
      <c r="B36" t="s">
        <v>333</v>
      </c>
      <c r="C36" t="s">
        <v>334</v>
      </c>
      <c r="D36" t="s">
        <v>335</v>
      </c>
      <c r="H36" t="s">
        <v>434</v>
      </c>
      <c r="AC36" t="s">
        <v>436</v>
      </c>
      <c r="AD36" t="s">
        <v>435</v>
      </c>
      <c r="AE36">
        <v>64</v>
      </c>
      <c r="AF36">
        <v>35</v>
      </c>
      <c r="AH36" t="s">
        <v>360</v>
      </c>
      <c r="AJ36">
        <v>102</v>
      </c>
      <c r="AK36" t="s">
        <v>200</v>
      </c>
      <c r="AM36">
        <v>1234</v>
      </c>
      <c r="AN36">
        <v>1299</v>
      </c>
    </row>
    <row r="37" spans="2:40" x14ac:dyDescent="0.25">
      <c r="B37" t="s">
        <v>333</v>
      </c>
      <c r="C37" t="s">
        <v>334</v>
      </c>
      <c r="D37" t="s">
        <v>335</v>
      </c>
      <c r="H37" t="s">
        <v>434</v>
      </c>
      <c r="AC37" t="s">
        <v>436</v>
      </c>
      <c r="AD37" t="s">
        <v>435</v>
      </c>
      <c r="AE37">
        <v>64</v>
      </c>
      <c r="AF37">
        <v>36</v>
      </c>
      <c r="AH37" t="s">
        <v>361</v>
      </c>
      <c r="AJ37">
        <v>109</v>
      </c>
      <c r="AK37" t="s">
        <v>200</v>
      </c>
      <c r="AM37">
        <v>1441</v>
      </c>
      <c r="AN37">
        <v>1299</v>
      </c>
    </row>
    <row r="38" spans="2:40" x14ac:dyDescent="0.25">
      <c r="B38" t="s">
        <v>333</v>
      </c>
      <c r="C38" t="s">
        <v>334</v>
      </c>
      <c r="D38" t="s">
        <v>335</v>
      </c>
      <c r="H38" t="s">
        <v>434</v>
      </c>
      <c r="AC38" t="s">
        <v>436</v>
      </c>
      <c r="AD38" t="s">
        <v>435</v>
      </c>
      <c r="AE38">
        <v>64</v>
      </c>
      <c r="AF38">
        <v>37</v>
      </c>
      <c r="AH38" t="s">
        <v>361</v>
      </c>
      <c r="AJ38">
        <v>109</v>
      </c>
      <c r="AK38" t="s">
        <v>200</v>
      </c>
      <c r="AM38">
        <v>1647</v>
      </c>
      <c r="AN38">
        <v>1299</v>
      </c>
    </row>
    <row r="39" spans="2:40" x14ac:dyDescent="0.25">
      <c r="B39" t="s">
        <v>333</v>
      </c>
      <c r="C39" t="s">
        <v>334</v>
      </c>
      <c r="D39" t="s">
        <v>335</v>
      </c>
      <c r="H39" t="s">
        <v>434</v>
      </c>
      <c r="AC39" t="s">
        <v>436</v>
      </c>
      <c r="AD39" t="s">
        <v>435</v>
      </c>
      <c r="AE39">
        <v>64</v>
      </c>
      <c r="AF39">
        <v>38</v>
      </c>
      <c r="AH39" t="s">
        <v>437</v>
      </c>
      <c r="AJ39">
        <v>117</v>
      </c>
      <c r="AK39" t="s">
        <v>200</v>
      </c>
      <c r="AM39">
        <v>1854</v>
      </c>
      <c r="AN39">
        <v>1299</v>
      </c>
    </row>
    <row r="40" spans="2:40" x14ac:dyDescent="0.25">
      <c r="B40" t="s">
        <v>333</v>
      </c>
      <c r="C40" t="s">
        <v>334</v>
      </c>
      <c r="D40" t="s">
        <v>335</v>
      </c>
      <c r="H40" t="s">
        <v>434</v>
      </c>
      <c r="AC40" t="s">
        <v>436</v>
      </c>
      <c r="AD40" t="s">
        <v>435</v>
      </c>
      <c r="AE40">
        <v>64</v>
      </c>
      <c r="AF40">
        <v>39</v>
      </c>
      <c r="AH40" t="s">
        <v>437</v>
      </c>
      <c r="AJ40">
        <v>117</v>
      </c>
      <c r="AK40" t="s">
        <v>200</v>
      </c>
      <c r="AM40">
        <v>2060</v>
      </c>
      <c r="AN40">
        <v>1299</v>
      </c>
    </row>
    <row r="41" spans="2:40" x14ac:dyDescent="0.25">
      <c r="B41" t="s">
        <v>333</v>
      </c>
      <c r="C41" t="s">
        <v>334</v>
      </c>
      <c r="D41" t="s">
        <v>335</v>
      </c>
      <c r="H41" t="s">
        <v>434</v>
      </c>
      <c r="AC41" t="s">
        <v>436</v>
      </c>
      <c r="AD41" t="s">
        <v>435</v>
      </c>
      <c r="AE41">
        <v>64</v>
      </c>
      <c r="AF41">
        <v>40</v>
      </c>
      <c r="AH41" t="s">
        <v>389</v>
      </c>
      <c r="AJ41">
        <v>501</v>
      </c>
      <c r="AK41" t="s">
        <v>204</v>
      </c>
      <c r="AM41">
        <v>2266</v>
      </c>
      <c r="AN41">
        <v>1299</v>
      </c>
    </row>
    <row r="42" spans="2:40" x14ac:dyDescent="0.25">
      <c r="B42" t="s">
        <v>333</v>
      </c>
      <c r="C42" t="s">
        <v>334</v>
      </c>
      <c r="D42" t="s">
        <v>335</v>
      </c>
      <c r="H42" t="s">
        <v>434</v>
      </c>
      <c r="AC42" t="s">
        <v>436</v>
      </c>
      <c r="AD42" t="s">
        <v>435</v>
      </c>
      <c r="AE42">
        <v>64</v>
      </c>
      <c r="AF42">
        <v>41</v>
      </c>
      <c r="AH42" t="s">
        <v>360</v>
      </c>
      <c r="AJ42">
        <v>102</v>
      </c>
      <c r="AK42" t="s">
        <v>200</v>
      </c>
      <c r="AM42">
        <v>821</v>
      </c>
      <c r="AN42">
        <v>1505</v>
      </c>
    </row>
    <row r="43" spans="2:40" x14ac:dyDescent="0.25">
      <c r="B43" t="s">
        <v>333</v>
      </c>
      <c r="C43" t="s">
        <v>334</v>
      </c>
      <c r="D43" t="s">
        <v>335</v>
      </c>
      <c r="H43" t="s">
        <v>434</v>
      </c>
      <c r="AC43" t="s">
        <v>436</v>
      </c>
      <c r="AD43" t="s">
        <v>435</v>
      </c>
      <c r="AE43">
        <v>64</v>
      </c>
      <c r="AF43">
        <v>42</v>
      </c>
      <c r="AH43" t="s">
        <v>390</v>
      </c>
      <c r="AJ43">
        <v>903</v>
      </c>
      <c r="AK43" t="s">
        <v>208</v>
      </c>
      <c r="AM43">
        <v>1028</v>
      </c>
      <c r="AN43">
        <v>1505</v>
      </c>
    </row>
    <row r="44" spans="2:40" x14ac:dyDescent="0.25">
      <c r="B44" t="s">
        <v>333</v>
      </c>
      <c r="C44" t="s">
        <v>334</v>
      </c>
      <c r="D44" t="s">
        <v>335</v>
      </c>
      <c r="H44" t="s">
        <v>434</v>
      </c>
      <c r="AC44" t="s">
        <v>436</v>
      </c>
      <c r="AD44" t="s">
        <v>435</v>
      </c>
      <c r="AE44">
        <v>64</v>
      </c>
      <c r="AF44">
        <v>43</v>
      </c>
      <c r="AH44" t="s">
        <v>361</v>
      </c>
      <c r="AJ44">
        <v>109</v>
      </c>
      <c r="AK44" t="s">
        <v>200</v>
      </c>
      <c r="AM44">
        <v>1234</v>
      </c>
      <c r="AN44">
        <v>1505</v>
      </c>
    </row>
    <row r="45" spans="2:40" x14ac:dyDescent="0.25">
      <c r="B45" t="s">
        <v>333</v>
      </c>
      <c r="C45" t="s">
        <v>334</v>
      </c>
      <c r="D45" t="s">
        <v>335</v>
      </c>
      <c r="H45" t="s">
        <v>434</v>
      </c>
      <c r="AC45" t="s">
        <v>436</v>
      </c>
      <c r="AD45" t="s">
        <v>435</v>
      </c>
      <c r="AE45">
        <v>64</v>
      </c>
      <c r="AF45">
        <v>44</v>
      </c>
      <c r="AH45" t="s">
        <v>390</v>
      </c>
      <c r="AJ45">
        <v>903</v>
      </c>
      <c r="AK45" t="s">
        <v>208</v>
      </c>
      <c r="AM45">
        <v>1441</v>
      </c>
      <c r="AN45">
        <v>1505</v>
      </c>
    </row>
    <row r="46" spans="2:40" x14ac:dyDescent="0.25">
      <c r="B46" t="s">
        <v>333</v>
      </c>
      <c r="C46" t="s">
        <v>334</v>
      </c>
      <c r="D46" t="s">
        <v>335</v>
      </c>
      <c r="H46" t="s">
        <v>434</v>
      </c>
      <c r="AC46" t="s">
        <v>436</v>
      </c>
      <c r="AD46" t="s">
        <v>435</v>
      </c>
      <c r="AE46">
        <v>64</v>
      </c>
      <c r="AF46">
        <v>45</v>
      </c>
      <c r="AH46" t="s">
        <v>391</v>
      </c>
      <c r="AJ46">
        <v>604</v>
      </c>
      <c r="AK46" t="s">
        <v>205</v>
      </c>
      <c r="AM46">
        <v>1647</v>
      </c>
      <c r="AN46">
        <v>1505</v>
      </c>
    </row>
    <row r="47" spans="2:40" x14ac:dyDescent="0.25">
      <c r="B47" t="s">
        <v>333</v>
      </c>
      <c r="C47" t="s">
        <v>334</v>
      </c>
      <c r="D47" t="s">
        <v>335</v>
      </c>
      <c r="H47" t="s">
        <v>434</v>
      </c>
      <c r="AC47" t="s">
        <v>436</v>
      </c>
      <c r="AD47" t="s">
        <v>435</v>
      </c>
      <c r="AE47">
        <v>64</v>
      </c>
      <c r="AF47">
        <v>46</v>
      </c>
      <c r="AH47" t="s">
        <v>361</v>
      </c>
      <c r="AJ47">
        <v>109</v>
      </c>
      <c r="AK47" t="s">
        <v>200</v>
      </c>
      <c r="AM47">
        <v>1854</v>
      </c>
      <c r="AN47">
        <v>1505</v>
      </c>
    </row>
    <row r="48" spans="2:40" x14ac:dyDescent="0.25">
      <c r="B48" t="s">
        <v>333</v>
      </c>
      <c r="C48" t="s">
        <v>334</v>
      </c>
      <c r="D48" t="s">
        <v>335</v>
      </c>
      <c r="H48" t="s">
        <v>434</v>
      </c>
      <c r="AC48" t="s">
        <v>436</v>
      </c>
      <c r="AD48" t="s">
        <v>435</v>
      </c>
      <c r="AE48">
        <v>64</v>
      </c>
      <c r="AF48">
        <v>47</v>
      </c>
      <c r="AH48" t="s">
        <v>389</v>
      </c>
      <c r="AJ48">
        <v>501</v>
      </c>
      <c r="AK48" t="s">
        <v>204</v>
      </c>
      <c r="AM48">
        <v>2060</v>
      </c>
      <c r="AN48">
        <v>1505</v>
      </c>
    </row>
    <row r="49" spans="2:40" x14ac:dyDescent="0.25">
      <c r="B49" t="s">
        <v>333</v>
      </c>
      <c r="C49" t="s">
        <v>334</v>
      </c>
      <c r="D49" t="s">
        <v>335</v>
      </c>
      <c r="H49" t="s">
        <v>434</v>
      </c>
      <c r="AC49" t="s">
        <v>436</v>
      </c>
      <c r="AD49" t="s">
        <v>435</v>
      </c>
      <c r="AE49">
        <v>64</v>
      </c>
      <c r="AF49">
        <v>48</v>
      </c>
      <c r="AH49" t="s">
        <v>389</v>
      </c>
      <c r="AJ49">
        <v>501</v>
      </c>
      <c r="AK49" t="s">
        <v>204</v>
      </c>
      <c r="AM49">
        <v>2266</v>
      </c>
      <c r="AN49">
        <v>1505</v>
      </c>
    </row>
    <row r="50" spans="2:40" x14ac:dyDescent="0.25">
      <c r="B50" t="s">
        <v>333</v>
      </c>
      <c r="C50" t="s">
        <v>334</v>
      </c>
      <c r="D50" t="s">
        <v>335</v>
      </c>
      <c r="H50" t="s">
        <v>434</v>
      </c>
      <c r="AC50" t="s">
        <v>436</v>
      </c>
      <c r="AD50" t="s">
        <v>435</v>
      </c>
      <c r="AE50">
        <v>64</v>
      </c>
      <c r="AF50">
        <v>49</v>
      </c>
      <c r="AH50" t="s">
        <v>360</v>
      </c>
      <c r="AJ50">
        <v>102</v>
      </c>
      <c r="AK50" t="s">
        <v>200</v>
      </c>
      <c r="AM50">
        <v>821</v>
      </c>
      <c r="AN50">
        <v>1712</v>
      </c>
    </row>
    <row r="51" spans="2:40" x14ac:dyDescent="0.25">
      <c r="B51" t="s">
        <v>333</v>
      </c>
      <c r="C51" t="s">
        <v>334</v>
      </c>
      <c r="D51" t="s">
        <v>335</v>
      </c>
      <c r="H51" t="s">
        <v>434</v>
      </c>
      <c r="AC51" t="s">
        <v>436</v>
      </c>
      <c r="AD51" t="s">
        <v>435</v>
      </c>
      <c r="AE51">
        <v>64</v>
      </c>
      <c r="AF51">
        <v>50</v>
      </c>
      <c r="AH51" t="s">
        <v>361</v>
      </c>
      <c r="AJ51">
        <v>109</v>
      </c>
      <c r="AK51" t="s">
        <v>200</v>
      </c>
      <c r="AM51">
        <v>1028</v>
      </c>
      <c r="AN51">
        <v>1712</v>
      </c>
    </row>
    <row r="52" spans="2:40" x14ac:dyDescent="0.25">
      <c r="B52" t="s">
        <v>333</v>
      </c>
      <c r="C52" t="s">
        <v>334</v>
      </c>
      <c r="D52" t="s">
        <v>335</v>
      </c>
      <c r="H52" t="s">
        <v>434</v>
      </c>
      <c r="AC52" t="s">
        <v>436</v>
      </c>
      <c r="AD52" t="s">
        <v>435</v>
      </c>
      <c r="AE52">
        <v>64</v>
      </c>
      <c r="AF52">
        <v>51</v>
      </c>
      <c r="AH52" t="s">
        <v>390</v>
      </c>
      <c r="AJ52">
        <v>903</v>
      </c>
      <c r="AK52" t="s">
        <v>208</v>
      </c>
      <c r="AM52">
        <v>1234</v>
      </c>
      <c r="AN52">
        <v>1712</v>
      </c>
    </row>
    <row r="53" spans="2:40" x14ac:dyDescent="0.25">
      <c r="B53" t="s">
        <v>333</v>
      </c>
      <c r="C53" t="s">
        <v>334</v>
      </c>
      <c r="D53" t="s">
        <v>335</v>
      </c>
      <c r="H53" t="s">
        <v>434</v>
      </c>
      <c r="AC53" t="s">
        <v>436</v>
      </c>
      <c r="AD53" t="s">
        <v>435</v>
      </c>
      <c r="AE53">
        <v>64</v>
      </c>
      <c r="AF53">
        <v>52</v>
      </c>
      <c r="AH53" t="s">
        <v>389</v>
      </c>
      <c r="AJ53">
        <v>501</v>
      </c>
      <c r="AK53" t="s">
        <v>204</v>
      </c>
      <c r="AM53">
        <v>1441</v>
      </c>
      <c r="AN53">
        <v>1712</v>
      </c>
    </row>
    <row r="54" spans="2:40" x14ac:dyDescent="0.25">
      <c r="B54" t="s">
        <v>333</v>
      </c>
      <c r="C54" t="s">
        <v>334</v>
      </c>
      <c r="D54" t="s">
        <v>335</v>
      </c>
      <c r="H54" t="s">
        <v>434</v>
      </c>
      <c r="AC54" t="s">
        <v>436</v>
      </c>
      <c r="AD54" t="s">
        <v>435</v>
      </c>
      <c r="AE54">
        <v>64</v>
      </c>
      <c r="AF54">
        <v>53</v>
      </c>
      <c r="AH54" t="s">
        <v>390</v>
      </c>
      <c r="AJ54">
        <v>903</v>
      </c>
      <c r="AK54" t="s">
        <v>208</v>
      </c>
      <c r="AM54">
        <v>1647</v>
      </c>
      <c r="AN54">
        <v>1712</v>
      </c>
    </row>
    <row r="55" spans="2:40" x14ac:dyDescent="0.25">
      <c r="B55" t="s">
        <v>333</v>
      </c>
      <c r="C55" t="s">
        <v>334</v>
      </c>
      <c r="D55" t="s">
        <v>335</v>
      </c>
      <c r="H55" t="s">
        <v>434</v>
      </c>
      <c r="AC55" t="s">
        <v>436</v>
      </c>
      <c r="AD55" t="s">
        <v>435</v>
      </c>
      <c r="AE55">
        <v>64</v>
      </c>
      <c r="AF55">
        <v>54</v>
      </c>
      <c r="AH55" t="s">
        <v>389</v>
      </c>
      <c r="AJ55">
        <v>501</v>
      </c>
      <c r="AK55" t="s">
        <v>204</v>
      </c>
      <c r="AM55">
        <v>1854</v>
      </c>
      <c r="AN55">
        <v>1712</v>
      </c>
    </row>
    <row r="56" spans="2:40" x14ac:dyDescent="0.25">
      <c r="B56" t="s">
        <v>333</v>
      </c>
      <c r="C56" t="s">
        <v>334</v>
      </c>
      <c r="D56" t="s">
        <v>335</v>
      </c>
      <c r="H56" t="s">
        <v>434</v>
      </c>
      <c r="AC56" t="s">
        <v>436</v>
      </c>
      <c r="AD56" t="s">
        <v>435</v>
      </c>
      <c r="AE56">
        <v>64</v>
      </c>
      <c r="AF56">
        <v>55</v>
      </c>
      <c r="AH56" t="s">
        <v>361</v>
      </c>
      <c r="AJ56">
        <v>109</v>
      </c>
      <c r="AK56" t="s">
        <v>200</v>
      </c>
      <c r="AM56">
        <v>2060</v>
      </c>
      <c r="AN56">
        <v>1712</v>
      </c>
    </row>
    <row r="57" spans="2:40" x14ac:dyDescent="0.25">
      <c r="B57" t="s">
        <v>333</v>
      </c>
      <c r="C57" t="s">
        <v>334</v>
      </c>
      <c r="D57" t="s">
        <v>335</v>
      </c>
      <c r="H57" t="s">
        <v>434</v>
      </c>
      <c r="AC57" t="s">
        <v>436</v>
      </c>
      <c r="AD57" t="s">
        <v>435</v>
      </c>
      <c r="AE57">
        <v>64</v>
      </c>
      <c r="AF57">
        <v>56</v>
      </c>
      <c r="AH57" t="s">
        <v>389</v>
      </c>
      <c r="AJ57">
        <v>501</v>
      </c>
      <c r="AK57" t="s">
        <v>204</v>
      </c>
      <c r="AM57">
        <v>2266</v>
      </c>
      <c r="AN57">
        <v>1712</v>
      </c>
    </row>
    <row r="58" spans="2:40" x14ac:dyDescent="0.25">
      <c r="B58" t="s">
        <v>333</v>
      </c>
      <c r="C58" t="s">
        <v>334</v>
      </c>
      <c r="D58" t="s">
        <v>335</v>
      </c>
      <c r="H58" t="s">
        <v>434</v>
      </c>
      <c r="AC58" t="s">
        <v>436</v>
      </c>
      <c r="AD58" t="s">
        <v>435</v>
      </c>
      <c r="AE58">
        <v>64</v>
      </c>
      <c r="AF58">
        <v>57</v>
      </c>
      <c r="AH58" t="s">
        <v>361</v>
      </c>
      <c r="AJ58">
        <v>109</v>
      </c>
      <c r="AK58" t="s">
        <v>200</v>
      </c>
      <c r="AM58">
        <v>821</v>
      </c>
      <c r="AN58">
        <v>1918</v>
      </c>
    </row>
    <row r="59" spans="2:40" x14ac:dyDescent="0.25">
      <c r="B59" t="s">
        <v>333</v>
      </c>
      <c r="C59" t="s">
        <v>334</v>
      </c>
      <c r="D59" t="s">
        <v>335</v>
      </c>
      <c r="H59" t="s">
        <v>434</v>
      </c>
      <c r="AC59" t="s">
        <v>436</v>
      </c>
      <c r="AD59" t="s">
        <v>435</v>
      </c>
      <c r="AE59">
        <v>64</v>
      </c>
      <c r="AF59">
        <v>58</v>
      </c>
      <c r="AH59" t="s">
        <v>360</v>
      </c>
      <c r="AJ59">
        <v>102</v>
      </c>
      <c r="AK59" t="s">
        <v>200</v>
      </c>
      <c r="AM59">
        <v>1028</v>
      </c>
      <c r="AN59">
        <v>1918</v>
      </c>
    </row>
    <row r="60" spans="2:40" x14ac:dyDescent="0.25">
      <c r="B60" t="s">
        <v>333</v>
      </c>
      <c r="C60" t="s">
        <v>334</v>
      </c>
      <c r="D60" t="s">
        <v>335</v>
      </c>
      <c r="H60" t="s">
        <v>434</v>
      </c>
      <c r="AC60" t="s">
        <v>436</v>
      </c>
      <c r="AD60" t="s">
        <v>435</v>
      </c>
      <c r="AE60">
        <v>64</v>
      </c>
      <c r="AF60">
        <v>59</v>
      </c>
      <c r="AH60" t="s">
        <v>389</v>
      </c>
      <c r="AJ60">
        <v>501</v>
      </c>
      <c r="AK60" t="s">
        <v>204</v>
      </c>
      <c r="AM60">
        <v>1234</v>
      </c>
      <c r="AN60">
        <v>1918</v>
      </c>
    </row>
    <row r="61" spans="2:40" x14ac:dyDescent="0.25">
      <c r="B61" t="s">
        <v>333</v>
      </c>
      <c r="C61" t="s">
        <v>334</v>
      </c>
      <c r="D61" t="s">
        <v>335</v>
      </c>
      <c r="H61" t="s">
        <v>434</v>
      </c>
      <c r="AC61" t="s">
        <v>436</v>
      </c>
      <c r="AD61" t="s">
        <v>435</v>
      </c>
      <c r="AE61">
        <v>64</v>
      </c>
      <c r="AF61">
        <v>60</v>
      </c>
      <c r="AH61" t="s">
        <v>390</v>
      </c>
      <c r="AJ61">
        <v>903</v>
      </c>
      <c r="AK61" t="s">
        <v>208</v>
      </c>
      <c r="AM61">
        <v>1441</v>
      </c>
      <c r="AN61">
        <v>1918</v>
      </c>
    </row>
    <row r="62" spans="2:40" x14ac:dyDescent="0.25">
      <c r="B62" t="s">
        <v>333</v>
      </c>
      <c r="C62" t="s">
        <v>334</v>
      </c>
      <c r="D62" t="s">
        <v>335</v>
      </c>
      <c r="H62" t="s">
        <v>434</v>
      </c>
      <c r="AC62" t="s">
        <v>436</v>
      </c>
      <c r="AD62" t="s">
        <v>435</v>
      </c>
      <c r="AE62">
        <v>64</v>
      </c>
      <c r="AF62">
        <v>61</v>
      </c>
      <c r="AH62" t="s">
        <v>389</v>
      </c>
      <c r="AJ62">
        <v>501</v>
      </c>
      <c r="AK62" t="s">
        <v>204</v>
      </c>
      <c r="AM62">
        <v>1647</v>
      </c>
      <c r="AN62">
        <v>1918</v>
      </c>
    </row>
    <row r="63" spans="2:40" x14ac:dyDescent="0.25">
      <c r="B63" t="s">
        <v>333</v>
      </c>
      <c r="C63" t="s">
        <v>334</v>
      </c>
      <c r="D63" t="s">
        <v>335</v>
      </c>
      <c r="H63" t="s">
        <v>434</v>
      </c>
      <c r="AC63" t="s">
        <v>436</v>
      </c>
      <c r="AD63" t="s">
        <v>435</v>
      </c>
      <c r="AE63">
        <v>64</v>
      </c>
      <c r="AF63">
        <v>62</v>
      </c>
      <c r="AH63" t="s">
        <v>389</v>
      </c>
      <c r="AJ63">
        <v>501</v>
      </c>
      <c r="AK63" t="s">
        <v>204</v>
      </c>
      <c r="AM63">
        <v>1854</v>
      </c>
      <c r="AN63">
        <v>1918</v>
      </c>
    </row>
    <row r="64" spans="2:40" x14ac:dyDescent="0.25">
      <c r="B64" t="s">
        <v>333</v>
      </c>
      <c r="C64" t="s">
        <v>334</v>
      </c>
      <c r="D64" t="s">
        <v>335</v>
      </c>
      <c r="H64" t="s">
        <v>434</v>
      </c>
      <c r="AC64" t="s">
        <v>436</v>
      </c>
      <c r="AD64" t="s">
        <v>435</v>
      </c>
      <c r="AE64">
        <v>64</v>
      </c>
      <c r="AF64">
        <v>63</v>
      </c>
      <c r="AH64" t="s">
        <v>389</v>
      </c>
      <c r="AJ64">
        <v>501</v>
      </c>
      <c r="AK64" t="s">
        <v>204</v>
      </c>
      <c r="AM64">
        <v>2060</v>
      </c>
      <c r="AN64">
        <v>1918</v>
      </c>
    </row>
    <row r="65" spans="2:40" x14ac:dyDescent="0.25">
      <c r="B65" t="s">
        <v>333</v>
      </c>
      <c r="C65" t="s">
        <v>334</v>
      </c>
      <c r="D65" t="s">
        <v>335</v>
      </c>
      <c r="H65" t="s">
        <v>434</v>
      </c>
      <c r="AC65" t="s">
        <v>436</v>
      </c>
      <c r="AD65" t="s">
        <v>435</v>
      </c>
      <c r="AE65">
        <v>64</v>
      </c>
      <c r="AF65">
        <v>64</v>
      </c>
      <c r="AH65" t="s">
        <v>361</v>
      </c>
      <c r="AJ65">
        <v>109</v>
      </c>
      <c r="AK65" t="s">
        <v>200</v>
      </c>
      <c r="AM65">
        <v>2266</v>
      </c>
      <c r="AN65">
        <v>1918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140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28515625" bestFit="1" customWidth="1"/>
    <col min="30" max="30" width="43.42578125" bestFit="1" customWidth="1"/>
    <col min="32" max="32" width="7.140625" bestFit="1" customWidth="1"/>
    <col min="33" max="33" width="7.7109375" bestFit="1" customWidth="1"/>
    <col min="34" max="34" width="24.285156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439</v>
      </c>
      <c r="AC2" t="s">
        <v>441</v>
      </c>
      <c r="AD2" t="s">
        <v>440</v>
      </c>
      <c r="AE2">
        <v>64</v>
      </c>
      <c r="AF2">
        <v>1</v>
      </c>
      <c r="AH2" t="s">
        <v>420</v>
      </c>
      <c r="AJ2">
        <v>104</v>
      </c>
      <c r="AK2" t="s">
        <v>200</v>
      </c>
      <c r="AM2">
        <v>729</v>
      </c>
      <c r="AN2">
        <v>218</v>
      </c>
    </row>
    <row r="3" spans="1:40" x14ac:dyDescent="0.25">
      <c r="B3" t="s">
        <v>333</v>
      </c>
      <c r="C3" t="s">
        <v>334</v>
      </c>
      <c r="D3" t="s">
        <v>335</v>
      </c>
      <c r="H3" t="s">
        <v>439</v>
      </c>
      <c r="AC3" t="s">
        <v>441</v>
      </c>
      <c r="AD3" t="s">
        <v>440</v>
      </c>
      <c r="AE3">
        <v>64</v>
      </c>
      <c r="AF3">
        <v>2</v>
      </c>
      <c r="AH3" t="s">
        <v>396</v>
      </c>
      <c r="AJ3">
        <v>303</v>
      </c>
      <c r="AK3" t="s">
        <v>202</v>
      </c>
      <c r="AM3">
        <v>937</v>
      </c>
      <c r="AN3">
        <v>218</v>
      </c>
    </row>
    <row r="4" spans="1:40" x14ac:dyDescent="0.25">
      <c r="B4" t="s">
        <v>333</v>
      </c>
      <c r="C4" t="s">
        <v>334</v>
      </c>
      <c r="D4" t="s">
        <v>335</v>
      </c>
      <c r="H4" t="s">
        <v>439</v>
      </c>
      <c r="AC4" t="s">
        <v>441</v>
      </c>
      <c r="AD4" t="s">
        <v>440</v>
      </c>
      <c r="AE4">
        <v>64</v>
      </c>
      <c r="AF4">
        <v>3</v>
      </c>
      <c r="AH4" t="s">
        <v>396</v>
      </c>
      <c r="AJ4">
        <v>303</v>
      </c>
      <c r="AK4" t="s">
        <v>202</v>
      </c>
      <c r="AM4">
        <v>1145</v>
      </c>
      <c r="AN4">
        <v>218</v>
      </c>
    </row>
    <row r="5" spans="1:40" x14ac:dyDescent="0.25">
      <c r="B5" t="s">
        <v>333</v>
      </c>
      <c r="C5" t="s">
        <v>334</v>
      </c>
      <c r="D5" t="s">
        <v>335</v>
      </c>
      <c r="H5" t="s">
        <v>439</v>
      </c>
      <c r="AC5" t="s">
        <v>441</v>
      </c>
      <c r="AD5" t="s">
        <v>440</v>
      </c>
      <c r="AE5">
        <v>64</v>
      </c>
      <c r="AF5">
        <v>4</v>
      </c>
      <c r="AH5" t="s">
        <v>396</v>
      </c>
      <c r="AJ5">
        <v>303</v>
      </c>
      <c r="AK5" t="s">
        <v>202</v>
      </c>
      <c r="AM5">
        <v>1352</v>
      </c>
      <c r="AN5">
        <v>218</v>
      </c>
    </row>
    <row r="6" spans="1:40" x14ac:dyDescent="0.25">
      <c r="B6" t="s">
        <v>333</v>
      </c>
      <c r="C6" t="s">
        <v>334</v>
      </c>
      <c r="D6" t="s">
        <v>335</v>
      </c>
      <c r="H6" t="s">
        <v>439</v>
      </c>
      <c r="AC6" t="s">
        <v>441</v>
      </c>
      <c r="AD6" t="s">
        <v>440</v>
      </c>
      <c r="AE6">
        <v>64</v>
      </c>
      <c r="AF6">
        <v>5</v>
      </c>
      <c r="AH6" t="s">
        <v>389</v>
      </c>
      <c r="AJ6">
        <v>501</v>
      </c>
      <c r="AK6" t="s">
        <v>204</v>
      </c>
      <c r="AM6">
        <v>1560</v>
      </c>
      <c r="AN6">
        <v>218</v>
      </c>
    </row>
    <row r="7" spans="1:40" x14ac:dyDescent="0.25">
      <c r="B7" t="s">
        <v>333</v>
      </c>
      <c r="C7" t="s">
        <v>334</v>
      </c>
      <c r="D7" t="s">
        <v>335</v>
      </c>
      <c r="H7" t="s">
        <v>439</v>
      </c>
      <c r="AC7" t="s">
        <v>441</v>
      </c>
      <c r="AD7" t="s">
        <v>440</v>
      </c>
      <c r="AE7">
        <v>64</v>
      </c>
      <c r="AF7">
        <v>6</v>
      </c>
      <c r="AH7" t="s">
        <v>396</v>
      </c>
      <c r="AJ7">
        <v>303</v>
      </c>
      <c r="AK7" t="s">
        <v>202</v>
      </c>
      <c r="AM7">
        <v>1767</v>
      </c>
      <c r="AN7">
        <v>218</v>
      </c>
    </row>
    <row r="8" spans="1:40" x14ac:dyDescent="0.25">
      <c r="B8" t="s">
        <v>333</v>
      </c>
      <c r="C8" t="s">
        <v>334</v>
      </c>
      <c r="D8" t="s">
        <v>335</v>
      </c>
      <c r="H8" t="s">
        <v>439</v>
      </c>
      <c r="AC8" t="s">
        <v>441</v>
      </c>
      <c r="AD8" t="s">
        <v>440</v>
      </c>
      <c r="AE8">
        <v>64</v>
      </c>
      <c r="AF8">
        <v>7</v>
      </c>
      <c r="AH8" t="s">
        <v>389</v>
      </c>
      <c r="AJ8">
        <v>501</v>
      </c>
      <c r="AK8" t="s">
        <v>204</v>
      </c>
      <c r="AM8">
        <v>1975</v>
      </c>
      <c r="AN8">
        <v>218</v>
      </c>
    </row>
    <row r="9" spans="1:40" x14ac:dyDescent="0.25">
      <c r="B9" t="s">
        <v>333</v>
      </c>
      <c r="C9" t="s">
        <v>334</v>
      </c>
      <c r="D9" t="s">
        <v>335</v>
      </c>
      <c r="H9" t="s">
        <v>439</v>
      </c>
      <c r="AC9" t="s">
        <v>441</v>
      </c>
      <c r="AD9" t="s">
        <v>440</v>
      </c>
      <c r="AE9">
        <v>64</v>
      </c>
      <c r="AF9">
        <v>8</v>
      </c>
      <c r="AH9" t="s">
        <v>420</v>
      </c>
      <c r="AJ9">
        <v>104</v>
      </c>
      <c r="AK9" t="s">
        <v>200</v>
      </c>
      <c r="AM9">
        <v>2183</v>
      </c>
      <c r="AN9">
        <v>218</v>
      </c>
    </row>
    <row r="10" spans="1:40" x14ac:dyDescent="0.25">
      <c r="B10" t="s">
        <v>333</v>
      </c>
      <c r="C10" t="s">
        <v>334</v>
      </c>
      <c r="D10" t="s">
        <v>335</v>
      </c>
      <c r="H10" t="s">
        <v>439</v>
      </c>
      <c r="AC10" t="s">
        <v>441</v>
      </c>
      <c r="AD10" t="s">
        <v>440</v>
      </c>
      <c r="AE10">
        <v>64</v>
      </c>
      <c r="AF10">
        <v>9</v>
      </c>
      <c r="AH10" t="s">
        <v>360</v>
      </c>
      <c r="AJ10">
        <v>102</v>
      </c>
      <c r="AK10" t="s">
        <v>200</v>
      </c>
      <c r="AM10">
        <v>729</v>
      </c>
      <c r="AN10">
        <v>426</v>
      </c>
    </row>
    <row r="11" spans="1:40" x14ac:dyDescent="0.25">
      <c r="B11" t="s">
        <v>333</v>
      </c>
      <c r="C11" t="s">
        <v>334</v>
      </c>
      <c r="D11" t="s">
        <v>335</v>
      </c>
      <c r="H11" t="s">
        <v>439</v>
      </c>
      <c r="AC11" t="s">
        <v>441</v>
      </c>
      <c r="AD11" t="s">
        <v>440</v>
      </c>
      <c r="AE11">
        <v>64</v>
      </c>
      <c r="AF11">
        <v>10</v>
      </c>
      <c r="AH11" t="s">
        <v>361</v>
      </c>
      <c r="AJ11">
        <v>109</v>
      </c>
      <c r="AK11" t="s">
        <v>200</v>
      </c>
      <c r="AM11">
        <v>937</v>
      </c>
      <c r="AN11">
        <v>426</v>
      </c>
    </row>
    <row r="12" spans="1:40" x14ac:dyDescent="0.25">
      <c r="B12" t="s">
        <v>333</v>
      </c>
      <c r="C12" t="s">
        <v>334</v>
      </c>
      <c r="D12" t="s">
        <v>335</v>
      </c>
      <c r="H12" t="s">
        <v>439</v>
      </c>
      <c r="AC12" t="s">
        <v>441</v>
      </c>
      <c r="AD12" t="s">
        <v>440</v>
      </c>
      <c r="AE12">
        <v>64</v>
      </c>
      <c r="AF12">
        <v>11</v>
      </c>
      <c r="AH12" t="s">
        <v>402</v>
      </c>
      <c r="AJ12">
        <v>603</v>
      </c>
      <c r="AK12" t="s">
        <v>205</v>
      </c>
      <c r="AM12">
        <v>1145</v>
      </c>
      <c r="AN12">
        <v>426</v>
      </c>
    </row>
    <row r="13" spans="1:40" x14ac:dyDescent="0.25">
      <c r="B13" t="s">
        <v>333</v>
      </c>
      <c r="C13" t="s">
        <v>334</v>
      </c>
      <c r="D13" t="s">
        <v>335</v>
      </c>
      <c r="H13" t="s">
        <v>439</v>
      </c>
      <c r="AC13" t="s">
        <v>441</v>
      </c>
      <c r="AD13" t="s">
        <v>440</v>
      </c>
      <c r="AE13">
        <v>64</v>
      </c>
      <c r="AF13">
        <v>12</v>
      </c>
      <c r="AH13" t="s">
        <v>389</v>
      </c>
      <c r="AJ13">
        <v>501</v>
      </c>
      <c r="AK13" t="s">
        <v>204</v>
      </c>
      <c r="AM13">
        <v>1352</v>
      </c>
      <c r="AN13">
        <v>426</v>
      </c>
    </row>
    <row r="14" spans="1:40" x14ac:dyDescent="0.25">
      <c r="B14" t="s">
        <v>333</v>
      </c>
      <c r="C14" t="s">
        <v>334</v>
      </c>
      <c r="D14" t="s">
        <v>335</v>
      </c>
      <c r="H14" t="s">
        <v>439</v>
      </c>
      <c r="AC14" t="s">
        <v>441</v>
      </c>
      <c r="AD14" t="s">
        <v>440</v>
      </c>
      <c r="AE14">
        <v>64</v>
      </c>
      <c r="AF14">
        <v>13</v>
      </c>
      <c r="AH14" t="s">
        <v>389</v>
      </c>
      <c r="AJ14">
        <v>501</v>
      </c>
      <c r="AK14" t="s">
        <v>204</v>
      </c>
      <c r="AM14">
        <v>1560</v>
      </c>
      <c r="AN14">
        <v>426</v>
      </c>
    </row>
    <row r="15" spans="1:40" x14ac:dyDescent="0.25">
      <c r="B15" t="s">
        <v>333</v>
      </c>
      <c r="C15" t="s">
        <v>334</v>
      </c>
      <c r="D15" t="s">
        <v>335</v>
      </c>
      <c r="H15" t="s">
        <v>439</v>
      </c>
      <c r="AC15" t="s">
        <v>441</v>
      </c>
      <c r="AD15" t="s">
        <v>440</v>
      </c>
      <c r="AE15">
        <v>64</v>
      </c>
      <c r="AF15">
        <v>14</v>
      </c>
      <c r="AH15" t="s">
        <v>389</v>
      </c>
      <c r="AJ15">
        <v>501</v>
      </c>
      <c r="AK15" t="s">
        <v>204</v>
      </c>
      <c r="AM15">
        <v>1767</v>
      </c>
      <c r="AN15">
        <v>426</v>
      </c>
    </row>
    <row r="16" spans="1:40" x14ac:dyDescent="0.25">
      <c r="B16" t="s">
        <v>333</v>
      </c>
      <c r="C16" t="s">
        <v>334</v>
      </c>
      <c r="D16" t="s">
        <v>335</v>
      </c>
      <c r="H16" t="s">
        <v>439</v>
      </c>
      <c r="AC16" t="s">
        <v>441</v>
      </c>
      <c r="AD16" t="s">
        <v>440</v>
      </c>
      <c r="AE16">
        <v>64</v>
      </c>
      <c r="AF16">
        <v>15</v>
      </c>
      <c r="AH16" t="s">
        <v>361</v>
      </c>
      <c r="AJ16">
        <v>109</v>
      </c>
      <c r="AK16" t="s">
        <v>200</v>
      </c>
      <c r="AM16">
        <v>1975</v>
      </c>
      <c r="AN16">
        <v>426</v>
      </c>
    </row>
    <row r="17" spans="2:40" x14ac:dyDescent="0.25">
      <c r="B17" t="s">
        <v>333</v>
      </c>
      <c r="C17" t="s">
        <v>334</v>
      </c>
      <c r="D17" t="s">
        <v>335</v>
      </c>
      <c r="H17" t="s">
        <v>439</v>
      </c>
      <c r="AC17" t="s">
        <v>441</v>
      </c>
      <c r="AD17" t="s">
        <v>440</v>
      </c>
      <c r="AE17">
        <v>64</v>
      </c>
      <c r="AF17">
        <v>16</v>
      </c>
      <c r="AH17" t="s">
        <v>396</v>
      </c>
      <c r="AJ17">
        <v>303</v>
      </c>
      <c r="AK17" t="s">
        <v>202</v>
      </c>
      <c r="AM17">
        <v>2183</v>
      </c>
      <c r="AN17">
        <v>426</v>
      </c>
    </row>
    <row r="18" spans="2:40" x14ac:dyDescent="0.25">
      <c r="B18" t="s">
        <v>333</v>
      </c>
      <c r="C18" t="s">
        <v>334</v>
      </c>
      <c r="D18" t="s">
        <v>335</v>
      </c>
      <c r="H18" t="s">
        <v>439</v>
      </c>
      <c r="AC18" t="s">
        <v>441</v>
      </c>
      <c r="AD18" t="s">
        <v>440</v>
      </c>
      <c r="AE18">
        <v>64</v>
      </c>
      <c r="AF18">
        <v>17</v>
      </c>
      <c r="AH18" t="s">
        <v>396</v>
      </c>
      <c r="AJ18">
        <v>303</v>
      </c>
      <c r="AK18" t="s">
        <v>202</v>
      </c>
      <c r="AM18">
        <v>729</v>
      </c>
      <c r="AN18">
        <v>633</v>
      </c>
    </row>
    <row r="19" spans="2:40" x14ac:dyDescent="0.25">
      <c r="B19" t="s">
        <v>333</v>
      </c>
      <c r="C19" t="s">
        <v>334</v>
      </c>
      <c r="D19" t="s">
        <v>335</v>
      </c>
      <c r="H19" t="s">
        <v>439</v>
      </c>
      <c r="AC19" t="s">
        <v>441</v>
      </c>
      <c r="AD19" t="s">
        <v>440</v>
      </c>
      <c r="AE19">
        <v>64</v>
      </c>
      <c r="AF19">
        <v>18</v>
      </c>
      <c r="AH19" t="s">
        <v>389</v>
      </c>
      <c r="AJ19">
        <v>501</v>
      </c>
      <c r="AK19" t="s">
        <v>204</v>
      </c>
      <c r="AM19">
        <v>937</v>
      </c>
      <c r="AN19">
        <v>633</v>
      </c>
    </row>
    <row r="20" spans="2:40" x14ac:dyDescent="0.25">
      <c r="B20" t="s">
        <v>333</v>
      </c>
      <c r="C20" t="s">
        <v>334</v>
      </c>
      <c r="D20" t="s">
        <v>335</v>
      </c>
      <c r="H20" t="s">
        <v>439</v>
      </c>
      <c r="AC20" t="s">
        <v>441</v>
      </c>
      <c r="AD20" t="s">
        <v>440</v>
      </c>
      <c r="AE20">
        <v>64</v>
      </c>
      <c r="AF20">
        <v>19</v>
      </c>
      <c r="AH20" t="s">
        <v>361</v>
      </c>
      <c r="AJ20">
        <v>109</v>
      </c>
      <c r="AK20" t="s">
        <v>200</v>
      </c>
      <c r="AM20">
        <v>1145</v>
      </c>
      <c r="AN20">
        <v>633</v>
      </c>
    </row>
    <row r="21" spans="2:40" x14ac:dyDescent="0.25">
      <c r="B21" t="s">
        <v>333</v>
      </c>
      <c r="C21" t="s">
        <v>334</v>
      </c>
      <c r="D21" t="s">
        <v>335</v>
      </c>
      <c r="H21" t="s">
        <v>439</v>
      </c>
      <c r="AC21" t="s">
        <v>441</v>
      </c>
      <c r="AD21" t="s">
        <v>440</v>
      </c>
      <c r="AE21">
        <v>64</v>
      </c>
      <c r="AF21">
        <v>20</v>
      </c>
      <c r="AH21" t="s">
        <v>402</v>
      </c>
      <c r="AJ21">
        <v>603</v>
      </c>
      <c r="AK21" t="s">
        <v>205</v>
      </c>
      <c r="AM21">
        <v>1352</v>
      </c>
      <c r="AN21">
        <v>633</v>
      </c>
    </row>
    <row r="22" spans="2:40" x14ac:dyDescent="0.25">
      <c r="B22" t="s">
        <v>333</v>
      </c>
      <c r="C22" t="s">
        <v>334</v>
      </c>
      <c r="D22" t="s">
        <v>335</v>
      </c>
      <c r="H22" t="s">
        <v>439</v>
      </c>
      <c r="AC22" t="s">
        <v>441</v>
      </c>
      <c r="AD22" t="s">
        <v>440</v>
      </c>
      <c r="AE22">
        <v>64</v>
      </c>
      <c r="AF22">
        <v>21</v>
      </c>
      <c r="AH22" t="s">
        <v>360</v>
      </c>
      <c r="AJ22">
        <v>102</v>
      </c>
      <c r="AK22" t="s">
        <v>200</v>
      </c>
      <c r="AM22">
        <v>1560</v>
      </c>
      <c r="AN22">
        <v>633</v>
      </c>
    </row>
    <row r="23" spans="2:40" x14ac:dyDescent="0.25">
      <c r="B23" t="s">
        <v>333</v>
      </c>
      <c r="C23" t="s">
        <v>334</v>
      </c>
      <c r="D23" t="s">
        <v>335</v>
      </c>
      <c r="H23" t="s">
        <v>439</v>
      </c>
      <c r="AC23" t="s">
        <v>441</v>
      </c>
      <c r="AD23" t="s">
        <v>440</v>
      </c>
      <c r="AE23">
        <v>64</v>
      </c>
      <c r="AF23">
        <v>22</v>
      </c>
      <c r="AH23" t="s">
        <v>361</v>
      </c>
      <c r="AJ23">
        <v>109</v>
      </c>
      <c r="AK23" t="s">
        <v>200</v>
      </c>
      <c r="AM23">
        <v>1767</v>
      </c>
      <c r="AN23">
        <v>633</v>
      </c>
    </row>
    <row r="24" spans="2:40" x14ac:dyDescent="0.25">
      <c r="B24" t="s">
        <v>333</v>
      </c>
      <c r="C24" t="s">
        <v>334</v>
      </c>
      <c r="D24" t="s">
        <v>335</v>
      </c>
      <c r="H24" t="s">
        <v>439</v>
      </c>
      <c r="AC24" t="s">
        <v>441</v>
      </c>
      <c r="AD24" t="s">
        <v>440</v>
      </c>
      <c r="AE24">
        <v>64</v>
      </c>
      <c r="AF24">
        <v>23</v>
      </c>
      <c r="AH24" t="s">
        <v>389</v>
      </c>
      <c r="AJ24">
        <v>501</v>
      </c>
      <c r="AK24" t="s">
        <v>204</v>
      </c>
      <c r="AM24">
        <v>1975</v>
      </c>
      <c r="AN24">
        <v>633</v>
      </c>
    </row>
    <row r="25" spans="2:40" x14ac:dyDescent="0.25">
      <c r="B25" t="s">
        <v>333</v>
      </c>
      <c r="C25" t="s">
        <v>334</v>
      </c>
      <c r="D25" t="s">
        <v>335</v>
      </c>
      <c r="H25" t="s">
        <v>439</v>
      </c>
      <c r="AC25" t="s">
        <v>441</v>
      </c>
      <c r="AD25" t="s">
        <v>440</v>
      </c>
      <c r="AE25">
        <v>64</v>
      </c>
      <c r="AF25">
        <v>24</v>
      </c>
      <c r="AH25" t="s">
        <v>396</v>
      </c>
      <c r="AJ25">
        <v>303</v>
      </c>
      <c r="AK25" t="s">
        <v>202</v>
      </c>
      <c r="AM25">
        <v>2183</v>
      </c>
      <c r="AN25">
        <v>633</v>
      </c>
    </row>
    <row r="26" spans="2:40" x14ac:dyDescent="0.25">
      <c r="B26" t="s">
        <v>333</v>
      </c>
      <c r="C26" t="s">
        <v>334</v>
      </c>
      <c r="D26" t="s">
        <v>335</v>
      </c>
      <c r="H26" t="s">
        <v>439</v>
      </c>
      <c r="AC26" t="s">
        <v>441</v>
      </c>
      <c r="AD26" t="s">
        <v>440</v>
      </c>
      <c r="AE26">
        <v>64</v>
      </c>
      <c r="AF26">
        <v>25</v>
      </c>
      <c r="AH26" t="s">
        <v>396</v>
      </c>
      <c r="AJ26">
        <v>303</v>
      </c>
      <c r="AK26" t="s">
        <v>202</v>
      </c>
      <c r="AM26">
        <v>729</v>
      </c>
      <c r="AN26">
        <v>841</v>
      </c>
    </row>
    <row r="27" spans="2:40" x14ac:dyDescent="0.25">
      <c r="B27" t="s">
        <v>333</v>
      </c>
      <c r="C27" t="s">
        <v>334</v>
      </c>
      <c r="D27" t="s">
        <v>335</v>
      </c>
      <c r="H27" t="s">
        <v>439</v>
      </c>
      <c r="AC27" t="s">
        <v>441</v>
      </c>
      <c r="AD27" t="s">
        <v>440</v>
      </c>
      <c r="AE27">
        <v>64</v>
      </c>
      <c r="AF27">
        <v>26</v>
      </c>
      <c r="AH27" t="s">
        <v>437</v>
      </c>
      <c r="AJ27">
        <v>117</v>
      </c>
      <c r="AK27" t="s">
        <v>200</v>
      </c>
      <c r="AM27">
        <v>937</v>
      </c>
      <c r="AN27">
        <v>841</v>
      </c>
    </row>
    <row r="28" spans="2:40" x14ac:dyDescent="0.25">
      <c r="B28" t="s">
        <v>333</v>
      </c>
      <c r="C28" t="s">
        <v>334</v>
      </c>
      <c r="D28" t="s">
        <v>335</v>
      </c>
      <c r="H28" t="s">
        <v>439</v>
      </c>
      <c r="AC28" t="s">
        <v>441</v>
      </c>
      <c r="AD28" t="s">
        <v>440</v>
      </c>
      <c r="AE28">
        <v>64</v>
      </c>
      <c r="AF28">
        <v>27</v>
      </c>
      <c r="AH28" t="s">
        <v>437</v>
      </c>
      <c r="AJ28">
        <v>117</v>
      </c>
      <c r="AK28" t="s">
        <v>200</v>
      </c>
      <c r="AM28">
        <v>1145</v>
      </c>
      <c r="AN28">
        <v>841</v>
      </c>
    </row>
    <row r="29" spans="2:40" x14ac:dyDescent="0.25">
      <c r="B29" t="s">
        <v>333</v>
      </c>
      <c r="C29" t="s">
        <v>334</v>
      </c>
      <c r="D29" t="s">
        <v>335</v>
      </c>
      <c r="H29" t="s">
        <v>439</v>
      </c>
      <c r="AC29" t="s">
        <v>441</v>
      </c>
      <c r="AD29" t="s">
        <v>440</v>
      </c>
      <c r="AE29">
        <v>64</v>
      </c>
      <c r="AF29">
        <v>28</v>
      </c>
      <c r="AH29" t="s">
        <v>361</v>
      </c>
      <c r="AJ29">
        <v>109</v>
      </c>
      <c r="AK29" t="s">
        <v>200</v>
      </c>
      <c r="AM29">
        <v>1352</v>
      </c>
      <c r="AN29">
        <v>841</v>
      </c>
    </row>
    <row r="30" spans="2:40" x14ac:dyDescent="0.25">
      <c r="B30" t="s">
        <v>333</v>
      </c>
      <c r="C30" t="s">
        <v>334</v>
      </c>
      <c r="D30" t="s">
        <v>335</v>
      </c>
      <c r="H30" t="s">
        <v>439</v>
      </c>
      <c r="AC30" t="s">
        <v>441</v>
      </c>
      <c r="AD30" t="s">
        <v>440</v>
      </c>
      <c r="AE30">
        <v>64</v>
      </c>
      <c r="AF30">
        <v>29</v>
      </c>
      <c r="AH30" t="s">
        <v>361</v>
      </c>
      <c r="AJ30">
        <v>109</v>
      </c>
      <c r="AK30" t="s">
        <v>200</v>
      </c>
      <c r="AM30">
        <v>1560</v>
      </c>
      <c r="AN30">
        <v>841</v>
      </c>
    </row>
    <row r="31" spans="2:40" x14ac:dyDescent="0.25">
      <c r="B31" t="s">
        <v>333</v>
      </c>
      <c r="C31" t="s">
        <v>334</v>
      </c>
      <c r="D31" t="s">
        <v>335</v>
      </c>
      <c r="H31" t="s">
        <v>439</v>
      </c>
      <c r="AC31" t="s">
        <v>441</v>
      </c>
      <c r="AD31" t="s">
        <v>440</v>
      </c>
      <c r="AE31">
        <v>64</v>
      </c>
      <c r="AF31">
        <v>30</v>
      </c>
      <c r="AH31" t="s">
        <v>437</v>
      </c>
      <c r="AJ31">
        <v>117</v>
      </c>
      <c r="AK31" t="s">
        <v>200</v>
      </c>
      <c r="AM31">
        <v>1767</v>
      </c>
      <c r="AN31">
        <v>841</v>
      </c>
    </row>
    <row r="32" spans="2:40" x14ac:dyDescent="0.25">
      <c r="B32" t="s">
        <v>333</v>
      </c>
      <c r="C32" t="s">
        <v>334</v>
      </c>
      <c r="D32" t="s">
        <v>335</v>
      </c>
      <c r="H32" t="s">
        <v>439</v>
      </c>
      <c r="AC32" t="s">
        <v>441</v>
      </c>
      <c r="AD32" t="s">
        <v>440</v>
      </c>
      <c r="AE32">
        <v>64</v>
      </c>
      <c r="AF32">
        <v>31</v>
      </c>
      <c r="AH32" t="s">
        <v>437</v>
      </c>
      <c r="AJ32">
        <v>117</v>
      </c>
      <c r="AK32" t="s">
        <v>200</v>
      </c>
      <c r="AM32">
        <v>1975</v>
      </c>
      <c r="AN32">
        <v>841</v>
      </c>
    </row>
    <row r="33" spans="2:40" x14ac:dyDescent="0.25">
      <c r="B33" t="s">
        <v>333</v>
      </c>
      <c r="C33" t="s">
        <v>334</v>
      </c>
      <c r="D33" t="s">
        <v>335</v>
      </c>
      <c r="H33" t="s">
        <v>439</v>
      </c>
      <c r="AC33" t="s">
        <v>441</v>
      </c>
      <c r="AD33" t="s">
        <v>440</v>
      </c>
      <c r="AE33">
        <v>64</v>
      </c>
      <c r="AF33">
        <v>32</v>
      </c>
      <c r="AH33" t="s">
        <v>389</v>
      </c>
      <c r="AJ33">
        <v>501</v>
      </c>
      <c r="AK33" t="s">
        <v>204</v>
      </c>
      <c r="AM33">
        <v>2183</v>
      </c>
      <c r="AN33">
        <v>841</v>
      </c>
    </row>
    <row r="34" spans="2:40" x14ac:dyDescent="0.25">
      <c r="B34" t="s">
        <v>333</v>
      </c>
      <c r="C34" t="s">
        <v>334</v>
      </c>
      <c r="D34" t="s">
        <v>335</v>
      </c>
      <c r="H34" t="s">
        <v>439</v>
      </c>
      <c r="AC34" t="s">
        <v>441</v>
      </c>
      <c r="AD34" t="s">
        <v>440</v>
      </c>
      <c r="AE34">
        <v>64</v>
      </c>
      <c r="AF34">
        <v>33</v>
      </c>
      <c r="AH34" t="s">
        <v>396</v>
      </c>
      <c r="AJ34">
        <v>303</v>
      </c>
      <c r="AK34" t="s">
        <v>202</v>
      </c>
      <c r="AM34">
        <v>729</v>
      </c>
      <c r="AN34">
        <v>1048</v>
      </c>
    </row>
    <row r="35" spans="2:40" x14ac:dyDescent="0.25">
      <c r="B35" t="s">
        <v>333</v>
      </c>
      <c r="C35" t="s">
        <v>334</v>
      </c>
      <c r="D35" t="s">
        <v>335</v>
      </c>
      <c r="H35" t="s">
        <v>439</v>
      </c>
      <c r="AC35" t="s">
        <v>441</v>
      </c>
      <c r="AD35" t="s">
        <v>440</v>
      </c>
      <c r="AE35">
        <v>64</v>
      </c>
      <c r="AF35">
        <v>34</v>
      </c>
      <c r="AH35" t="s">
        <v>360</v>
      </c>
      <c r="AJ35">
        <v>102</v>
      </c>
      <c r="AK35" t="s">
        <v>200</v>
      </c>
      <c r="AM35">
        <v>937</v>
      </c>
      <c r="AN35">
        <v>1048</v>
      </c>
    </row>
    <row r="36" spans="2:40" x14ac:dyDescent="0.25">
      <c r="B36" t="s">
        <v>333</v>
      </c>
      <c r="C36" t="s">
        <v>334</v>
      </c>
      <c r="D36" t="s">
        <v>335</v>
      </c>
      <c r="H36" t="s">
        <v>439</v>
      </c>
      <c r="AC36" t="s">
        <v>441</v>
      </c>
      <c r="AD36" t="s">
        <v>440</v>
      </c>
      <c r="AE36">
        <v>64</v>
      </c>
      <c r="AF36">
        <v>35</v>
      </c>
      <c r="AH36" t="s">
        <v>437</v>
      </c>
      <c r="AJ36">
        <v>117</v>
      </c>
      <c r="AK36" t="s">
        <v>200</v>
      </c>
      <c r="AM36">
        <v>1145</v>
      </c>
      <c r="AN36">
        <v>1048</v>
      </c>
    </row>
    <row r="37" spans="2:40" x14ac:dyDescent="0.25">
      <c r="B37" t="s">
        <v>333</v>
      </c>
      <c r="C37" t="s">
        <v>334</v>
      </c>
      <c r="D37" t="s">
        <v>335</v>
      </c>
      <c r="H37" t="s">
        <v>439</v>
      </c>
      <c r="AC37" t="s">
        <v>441</v>
      </c>
      <c r="AD37" t="s">
        <v>440</v>
      </c>
      <c r="AE37">
        <v>64</v>
      </c>
      <c r="AF37">
        <v>36</v>
      </c>
      <c r="AH37" t="s">
        <v>361</v>
      </c>
      <c r="AJ37">
        <v>109</v>
      </c>
      <c r="AK37" t="s">
        <v>200</v>
      </c>
      <c r="AM37">
        <v>1352</v>
      </c>
      <c r="AN37">
        <v>1048</v>
      </c>
    </row>
    <row r="38" spans="2:40" x14ac:dyDescent="0.25">
      <c r="B38" t="s">
        <v>333</v>
      </c>
      <c r="C38" t="s">
        <v>334</v>
      </c>
      <c r="D38" t="s">
        <v>335</v>
      </c>
      <c r="H38" t="s">
        <v>439</v>
      </c>
      <c r="AC38" t="s">
        <v>441</v>
      </c>
      <c r="AD38" t="s">
        <v>440</v>
      </c>
      <c r="AE38">
        <v>64</v>
      </c>
      <c r="AF38">
        <v>37</v>
      </c>
      <c r="AH38" t="s">
        <v>361</v>
      </c>
      <c r="AJ38">
        <v>109</v>
      </c>
      <c r="AK38" t="s">
        <v>200</v>
      </c>
      <c r="AM38">
        <v>1560</v>
      </c>
      <c r="AN38">
        <v>1048</v>
      </c>
    </row>
    <row r="39" spans="2:40" x14ac:dyDescent="0.25">
      <c r="B39" t="s">
        <v>333</v>
      </c>
      <c r="C39" t="s">
        <v>334</v>
      </c>
      <c r="D39" t="s">
        <v>335</v>
      </c>
      <c r="H39" t="s">
        <v>439</v>
      </c>
      <c r="AC39" t="s">
        <v>441</v>
      </c>
      <c r="AD39" t="s">
        <v>440</v>
      </c>
      <c r="AE39">
        <v>64</v>
      </c>
      <c r="AF39">
        <v>38</v>
      </c>
      <c r="AH39" t="s">
        <v>437</v>
      </c>
      <c r="AJ39">
        <v>117</v>
      </c>
      <c r="AK39" t="s">
        <v>200</v>
      </c>
      <c r="AM39">
        <v>1767</v>
      </c>
      <c r="AN39">
        <v>1048</v>
      </c>
    </row>
    <row r="40" spans="2:40" x14ac:dyDescent="0.25">
      <c r="B40" t="s">
        <v>333</v>
      </c>
      <c r="C40" t="s">
        <v>334</v>
      </c>
      <c r="D40" t="s">
        <v>335</v>
      </c>
      <c r="H40" t="s">
        <v>439</v>
      </c>
      <c r="AC40" t="s">
        <v>441</v>
      </c>
      <c r="AD40" t="s">
        <v>440</v>
      </c>
      <c r="AE40">
        <v>64</v>
      </c>
      <c r="AF40">
        <v>39</v>
      </c>
      <c r="AH40" t="s">
        <v>437</v>
      </c>
      <c r="AJ40">
        <v>117</v>
      </c>
      <c r="AK40" t="s">
        <v>200</v>
      </c>
      <c r="AM40">
        <v>1975</v>
      </c>
      <c r="AN40">
        <v>1048</v>
      </c>
    </row>
    <row r="41" spans="2:40" x14ac:dyDescent="0.25">
      <c r="B41" t="s">
        <v>333</v>
      </c>
      <c r="C41" t="s">
        <v>334</v>
      </c>
      <c r="D41" t="s">
        <v>335</v>
      </c>
      <c r="H41" t="s">
        <v>439</v>
      </c>
      <c r="AC41" t="s">
        <v>441</v>
      </c>
      <c r="AD41" t="s">
        <v>440</v>
      </c>
      <c r="AE41">
        <v>64</v>
      </c>
      <c r="AF41">
        <v>40</v>
      </c>
      <c r="AH41" t="s">
        <v>389</v>
      </c>
      <c r="AJ41">
        <v>501</v>
      </c>
      <c r="AK41" t="s">
        <v>204</v>
      </c>
      <c r="AM41">
        <v>2183</v>
      </c>
      <c r="AN41">
        <v>1048</v>
      </c>
    </row>
    <row r="42" spans="2:40" x14ac:dyDescent="0.25">
      <c r="B42" t="s">
        <v>333</v>
      </c>
      <c r="C42" t="s">
        <v>334</v>
      </c>
      <c r="D42" t="s">
        <v>335</v>
      </c>
      <c r="H42" t="s">
        <v>439</v>
      </c>
      <c r="AC42" t="s">
        <v>441</v>
      </c>
      <c r="AD42" t="s">
        <v>440</v>
      </c>
      <c r="AE42">
        <v>64</v>
      </c>
      <c r="AF42">
        <v>41</v>
      </c>
      <c r="AH42" t="s">
        <v>360</v>
      </c>
      <c r="AJ42">
        <v>102</v>
      </c>
      <c r="AK42" t="s">
        <v>200</v>
      </c>
      <c r="AM42">
        <v>729</v>
      </c>
      <c r="AN42">
        <v>1256</v>
      </c>
    </row>
    <row r="43" spans="2:40" x14ac:dyDescent="0.25">
      <c r="B43" t="s">
        <v>333</v>
      </c>
      <c r="C43" t="s">
        <v>334</v>
      </c>
      <c r="D43" t="s">
        <v>335</v>
      </c>
      <c r="H43" t="s">
        <v>439</v>
      </c>
      <c r="AC43" t="s">
        <v>441</v>
      </c>
      <c r="AD43" t="s">
        <v>440</v>
      </c>
      <c r="AE43">
        <v>64</v>
      </c>
      <c r="AF43">
        <v>42</v>
      </c>
      <c r="AH43" t="s">
        <v>360</v>
      </c>
      <c r="AJ43">
        <v>102</v>
      </c>
      <c r="AK43" t="s">
        <v>200</v>
      </c>
      <c r="AM43">
        <v>937</v>
      </c>
      <c r="AN43">
        <v>1256</v>
      </c>
    </row>
    <row r="44" spans="2:40" x14ac:dyDescent="0.25">
      <c r="B44" t="s">
        <v>333</v>
      </c>
      <c r="C44" t="s">
        <v>334</v>
      </c>
      <c r="D44" t="s">
        <v>335</v>
      </c>
      <c r="H44" t="s">
        <v>439</v>
      </c>
      <c r="AC44" t="s">
        <v>441</v>
      </c>
      <c r="AD44" t="s">
        <v>440</v>
      </c>
      <c r="AE44">
        <v>64</v>
      </c>
      <c r="AF44">
        <v>43</v>
      </c>
      <c r="AH44" t="s">
        <v>361</v>
      </c>
      <c r="AJ44">
        <v>109</v>
      </c>
      <c r="AK44" t="s">
        <v>200</v>
      </c>
      <c r="AM44">
        <v>1145</v>
      </c>
      <c r="AN44">
        <v>1256</v>
      </c>
    </row>
    <row r="45" spans="2:40" x14ac:dyDescent="0.25">
      <c r="B45" t="s">
        <v>333</v>
      </c>
      <c r="C45" t="s">
        <v>334</v>
      </c>
      <c r="D45" t="s">
        <v>335</v>
      </c>
      <c r="H45" t="s">
        <v>439</v>
      </c>
      <c r="AC45" t="s">
        <v>441</v>
      </c>
      <c r="AD45" t="s">
        <v>440</v>
      </c>
      <c r="AE45">
        <v>64</v>
      </c>
      <c r="AF45">
        <v>44</v>
      </c>
      <c r="AH45" t="s">
        <v>389</v>
      </c>
      <c r="AJ45">
        <v>501</v>
      </c>
      <c r="AK45" t="s">
        <v>204</v>
      </c>
      <c r="AM45">
        <v>1352</v>
      </c>
      <c r="AN45">
        <v>1256</v>
      </c>
    </row>
    <row r="46" spans="2:40" x14ac:dyDescent="0.25">
      <c r="B46" t="s">
        <v>333</v>
      </c>
      <c r="C46" t="s">
        <v>334</v>
      </c>
      <c r="D46" t="s">
        <v>335</v>
      </c>
      <c r="H46" t="s">
        <v>439</v>
      </c>
      <c r="AC46" t="s">
        <v>441</v>
      </c>
      <c r="AD46" t="s">
        <v>440</v>
      </c>
      <c r="AE46">
        <v>64</v>
      </c>
      <c r="AF46">
        <v>45</v>
      </c>
      <c r="AH46" t="s">
        <v>389</v>
      </c>
      <c r="AJ46">
        <v>501</v>
      </c>
      <c r="AK46" t="s">
        <v>204</v>
      </c>
      <c r="AM46">
        <v>1560</v>
      </c>
      <c r="AN46">
        <v>1256</v>
      </c>
    </row>
    <row r="47" spans="2:40" x14ac:dyDescent="0.25">
      <c r="B47" t="s">
        <v>333</v>
      </c>
      <c r="C47" t="s">
        <v>334</v>
      </c>
      <c r="D47" t="s">
        <v>335</v>
      </c>
      <c r="H47" t="s">
        <v>439</v>
      </c>
      <c r="AC47" t="s">
        <v>441</v>
      </c>
      <c r="AD47" t="s">
        <v>440</v>
      </c>
      <c r="AE47">
        <v>64</v>
      </c>
      <c r="AF47">
        <v>46</v>
      </c>
      <c r="AH47" t="s">
        <v>361</v>
      </c>
      <c r="AJ47">
        <v>109</v>
      </c>
      <c r="AK47" t="s">
        <v>200</v>
      </c>
      <c r="AM47">
        <v>1767</v>
      </c>
      <c r="AN47">
        <v>1256</v>
      </c>
    </row>
    <row r="48" spans="2:40" x14ac:dyDescent="0.25">
      <c r="B48" t="s">
        <v>333</v>
      </c>
      <c r="C48" t="s">
        <v>334</v>
      </c>
      <c r="D48" t="s">
        <v>335</v>
      </c>
      <c r="H48" t="s">
        <v>439</v>
      </c>
      <c r="AC48" t="s">
        <v>441</v>
      </c>
      <c r="AD48" t="s">
        <v>440</v>
      </c>
      <c r="AE48">
        <v>64</v>
      </c>
      <c r="AF48">
        <v>47</v>
      </c>
      <c r="AH48" t="s">
        <v>389</v>
      </c>
      <c r="AJ48">
        <v>501</v>
      </c>
      <c r="AK48" t="s">
        <v>204</v>
      </c>
      <c r="AM48">
        <v>1975</v>
      </c>
      <c r="AN48">
        <v>1256</v>
      </c>
    </row>
    <row r="49" spans="2:40" x14ac:dyDescent="0.25">
      <c r="B49" t="s">
        <v>333</v>
      </c>
      <c r="C49" t="s">
        <v>334</v>
      </c>
      <c r="D49" t="s">
        <v>335</v>
      </c>
      <c r="H49" t="s">
        <v>439</v>
      </c>
      <c r="AC49" t="s">
        <v>441</v>
      </c>
      <c r="AD49" t="s">
        <v>440</v>
      </c>
      <c r="AE49">
        <v>64</v>
      </c>
      <c r="AF49">
        <v>48</v>
      </c>
      <c r="AH49" t="s">
        <v>396</v>
      </c>
      <c r="AJ49">
        <v>303</v>
      </c>
      <c r="AK49" t="s">
        <v>202</v>
      </c>
      <c r="AM49">
        <v>2183</v>
      </c>
      <c r="AN49">
        <v>1256</v>
      </c>
    </row>
    <row r="50" spans="2:40" x14ac:dyDescent="0.25">
      <c r="B50" t="s">
        <v>333</v>
      </c>
      <c r="C50" t="s">
        <v>334</v>
      </c>
      <c r="D50" t="s">
        <v>335</v>
      </c>
      <c r="H50" t="s">
        <v>439</v>
      </c>
      <c r="AC50" t="s">
        <v>441</v>
      </c>
      <c r="AD50" t="s">
        <v>440</v>
      </c>
      <c r="AE50">
        <v>64</v>
      </c>
      <c r="AF50">
        <v>49</v>
      </c>
      <c r="AH50" t="s">
        <v>396</v>
      </c>
      <c r="AJ50">
        <v>303</v>
      </c>
      <c r="AK50" t="s">
        <v>202</v>
      </c>
      <c r="AM50">
        <v>729</v>
      </c>
      <c r="AN50">
        <v>1464</v>
      </c>
    </row>
    <row r="51" spans="2:40" x14ac:dyDescent="0.25">
      <c r="B51" t="s">
        <v>333</v>
      </c>
      <c r="C51" t="s">
        <v>334</v>
      </c>
      <c r="D51" t="s">
        <v>335</v>
      </c>
      <c r="H51" t="s">
        <v>439</v>
      </c>
      <c r="AC51" t="s">
        <v>441</v>
      </c>
      <c r="AD51" t="s">
        <v>440</v>
      </c>
      <c r="AE51">
        <v>64</v>
      </c>
      <c r="AF51">
        <v>50</v>
      </c>
      <c r="AH51" t="s">
        <v>361</v>
      </c>
      <c r="AJ51">
        <v>109</v>
      </c>
      <c r="AK51" t="s">
        <v>200</v>
      </c>
      <c r="AM51">
        <v>937</v>
      </c>
      <c r="AN51">
        <v>1464</v>
      </c>
    </row>
    <row r="52" spans="2:40" x14ac:dyDescent="0.25">
      <c r="B52" t="s">
        <v>333</v>
      </c>
      <c r="C52" t="s">
        <v>334</v>
      </c>
      <c r="D52" t="s">
        <v>335</v>
      </c>
      <c r="H52" t="s">
        <v>439</v>
      </c>
      <c r="AC52" t="s">
        <v>441</v>
      </c>
      <c r="AD52" t="s">
        <v>440</v>
      </c>
      <c r="AE52">
        <v>64</v>
      </c>
      <c r="AF52">
        <v>51</v>
      </c>
      <c r="AH52" t="s">
        <v>389</v>
      </c>
      <c r="AJ52">
        <v>501</v>
      </c>
      <c r="AK52" t="s">
        <v>204</v>
      </c>
      <c r="AM52">
        <v>1145</v>
      </c>
      <c r="AN52">
        <v>1464</v>
      </c>
    </row>
    <row r="53" spans="2:40" x14ac:dyDescent="0.25">
      <c r="B53" t="s">
        <v>333</v>
      </c>
      <c r="C53" t="s">
        <v>334</v>
      </c>
      <c r="D53" t="s">
        <v>335</v>
      </c>
      <c r="H53" t="s">
        <v>439</v>
      </c>
      <c r="AC53" t="s">
        <v>441</v>
      </c>
      <c r="AD53" t="s">
        <v>440</v>
      </c>
      <c r="AE53">
        <v>64</v>
      </c>
      <c r="AF53">
        <v>52</v>
      </c>
      <c r="AH53" t="s">
        <v>389</v>
      </c>
      <c r="AJ53">
        <v>501</v>
      </c>
      <c r="AK53" t="s">
        <v>204</v>
      </c>
      <c r="AM53">
        <v>1352</v>
      </c>
      <c r="AN53">
        <v>1464</v>
      </c>
    </row>
    <row r="54" spans="2:40" x14ac:dyDescent="0.25">
      <c r="B54" t="s">
        <v>333</v>
      </c>
      <c r="C54" t="s">
        <v>334</v>
      </c>
      <c r="D54" t="s">
        <v>335</v>
      </c>
      <c r="H54" t="s">
        <v>439</v>
      </c>
      <c r="AC54" t="s">
        <v>441</v>
      </c>
      <c r="AD54" t="s">
        <v>440</v>
      </c>
      <c r="AE54">
        <v>64</v>
      </c>
      <c r="AF54">
        <v>53</v>
      </c>
      <c r="AH54" t="s">
        <v>390</v>
      </c>
      <c r="AJ54">
        <v>903</v>
      </c>
      <c r="AK54" t="s">
        <v>208</v>
      </c>
      <c r="AM54">
        <v>1560</v>
      </c>
      <c r="AN54">
        <v>1464</v>
      </c>
    </row>
    <row r="55" spans="2:40" x14ac:dyDescent="0.25">
      <c r="B55" t="s">
        <v>333</v>
      </c>
      <c r="C55" t="s">
        <v>334</v>
      </c>
      <c r="D55" t="s">
        <v>335</v>
      </c>
      <c r="H55" t="s">
        <v>439</v>
      </c>
      <c r="AC55" t="s">
        <v>441</v>
      </c>
      <c r="AD55" t="s">
        <v>440</v>
      </c>
      <c r="AE55">
        <v>64</v>
      </c>
      <c r="AF55">
        <v>54</v>
      </c>
      <c r="AH55" t="s">
        <v>389</v>
      </c>
      <c r="AJ55">
        <v>501</v>
      </c>
      <c r="AK55" t="s">
        <v>204</v>
      </c>
      <c r="AM55">
        <v>1767</v>
      </c>
      <c r="AN55">
        <v>1464</v>
      </c>
    </row>
    <row r="56" spans="2:40" x14ac:dyDescent="0.25">
      <c r="B56" t="s">
        <v>333</v>
      </c>
      <c r="C56" t="s">
        <v>334</v>
      </c>
      <c r="D56" t="s">
        <v>335</v>
      </c>
      <c r="H56" t="s">
        <v>439</v>
      </c>
      <c r="AC56" t="s">
        <v>441</v>
      </c>
      <c r="AD56" t="s">
        <v>440</v>
      </c>
      <c r="AE56">
        <v>64</v>
      </c>
      <c r="AF56">
        <v>55</v>
      </c>
      <c r="AH56" t="s">
        <v>361</v>
      </c>
      <c r="AJ56">
        <v>109</v>
      </c>
      <c r="AK56" t="s">
        <v>200</v>
      </c>
      <c r="AM56">
        <v>1975</v>
      </c>
      <c r="AN56">
        <v>1464</v>
      </c>
    </row>
    <row r="57" spans="2:40" x14ac:dyDescent="0.25">
      <c r="B57" t="s">
        <v>333</v>
      </c>
      <c r="C57" t="s">
        <v>334</v>
      </c>
      <c r="D57" t="s">
        <v>335</v>
      </c>
      <c r="H57" t="s">
        <v>439</v>
      </c>
      <c r="AC57" t="s">
        <v>441</v>
      </c>
      <c r="AD57" t="s">
        <v>440</v>
      </c>
      <c r="AE57">
        <v>64</v>
      </c>
      <c r="AF57">
        <v>56</v>
      </c>
      <c r="AH57" t="s">
        <v>389</v>
      </c>
      <c r="AJ57">
        <v>501</v>
      </c>
      <c r="AK57" t="s">
        <v>204</v>
      </c>
      <c r="AM57">
        <v>2183</v>
      </c>
      <c r="AN57">
        <v>1464</v>
      </c>
    </row>
    <row r="58" spans="2:40" x14ac:dyDescent="0.25">
      <c r="B58" t="s">
        <v>333</v>
      </c>
      <c r="C58" t="s">
        <v>334</v>
      </c>
      <c r="D58" t="s">
        <v>335</v>
      </c>
      <c r="H58" t="s">
        <v>439</v>
      </c>
      <c r="AC58" t="s">
        <v>441</v>
      </c>
      <c r="AD58" t="s">
        <v>440</v>
      </c>
      <c r="AE58">
        <v>64</v>
      </c>
      <c r="AF58">
        <v>57</v>
      </c>
      <c r="AH58" t="s">
        <v>420</v>
      </c>
      <c r="AJ58">
        <v>104</v>
      </c>
      <c r="AK58" t="s">
        <v>200</v>
      </c>
      <c r="AM58">
        <v>729</v>
      </c>
      <c r="AN58">
        <v>1671</v>
      </c>
    </row>
    <row r="59" spans="2:40" x14ac:dyDescent="0.25">
      <c r="B59" t="s">
        <v>333</v>
      </c>
      <c r="C59" t="s">
        <v>334</v>
      </c>
      <c r="D59" t="s">
        <v>335</v>
      </c>
      <c r="H59" t="s">
        <v>439</v>
      </c>
      <c r="AC59" t="s">
        <v>441</v>
      </c>
      <c r="AD59" t="s">
        <v>440</v>
      </c>
      <c r="AE59">
        <v>64</v>
      </c>
      <c r="AF59">
        <v>58</v>
      </c>
      <c r="AH59" t="s">
        <v>396</v>
      </c>
      <c r="AJ59">
        <v>303</v>
      </c>
      <c r="AK59" t="s">
        <v>202</v>
      </c>
      <c r="AM59">
        <v>937</v>
      </c>
      <c r="AN59">
        <v>1671</v>
      </c>
    </row>
    <row r="60" spans="2:40" x14ac:dyDescent="0.25">
      <c r="B60" t="s">
        <v>333</v>
      </c>
      <c r="C60" t="s">
        <v>334</v>
      </c>
      <c r="D60" t="s">
        <v>335</v>
      </c>
      <c r="H60" t="s">
        <v>439</v>
      </c>
      <c r="AC60" t="s">
        <v>441</v>
      </c>
      <c r="AD60" t="s">
        <v>440</v>
      </c>
      <c r="AE60">
        <v>64</v>
      </c>
      <c r="AF60">
        <v>59</v>
      </c>
      <c r="AH60" t="s">
        <v>396</v>
      </c>
      <c r="AJ60">
        <v>303</v>
      </c>
      <c r="AK60" t="s">
        <v>202</v>
      </c>
      <c r="AM60">
        <v>1145</v>
      </c>
      <c r="AN60">
        <v>1671</v>
      </c>
    </row>
    <row r="61" spans="2:40" x14ac:dyDescent="0.25">
      <c r="B61" t="s">
        <v>333</v>
      </c>
      <c r="C61" t="s">
        <v>334</v>
      </c>
      <c r="D61" t="s">
        <v>335</v>
      </c>
      <c r="H61" t="s">
        <v>439</v>
      </c>
      <c r="AC61" t="s">
        <v>441</v>
      </c>
      <c r="AD61" t="s">
        <v>440</v>
      </c>
      <c r="AE61">
        <v>64</v>
      </c>
      <c r="AF61">
        <v>60</v>
      </c>
      <c r="AH61" t="s">
        <v>396</v>
      </c>
      <c r="AJ61">
        <v>303</v>
      </c>
      <c r="AK61" t="s">
        <v>202</v>
      </c>
      <c r="AM61">
        <v>1352</v>
      </c>
      <c r="AN61">
        <v>1671</v>
      </c>
    </row>
    <row r="62" spans="2:40" x14ac:dyDescent="0.25">
      <c r="B62" t="s">
        <v>333</v>
      </c>
      <c r="C62" t="s">
        <v>334</v>
      </c>
      <c r="D62" t="s">
        <v>335</v>
      </c>
      <c r="H62" t="s">
        <v>439</v>
      </c>
      <c r="AC62" t="s">
        <v>441</v>
      </c>
      <c r="AD62" t="s">
        <v>440</v>
      </c>
      <c r="AE62">
        <v>64</v>
      </c>
      <c r="AF62">
        <v>61</v>
      </c>
      <c r="AH62" t="s">
        <v>396</v>
      </c>
      <c r="AJ62">
        <v>303</v>
      </c>
      <c r="AK62" t="s">
        <v>202</v>
      </c>
      <c r="AM62">
        <v>1560</v>
      </c>
      <c r="AN62">
        <v>1671</v>
      </c>
    </row>
    <row r="63" spans="2:40" x14ac:dyDescent="0.25">
      <c r="B63" t="s">
        <v>333</v>
      </c>
      <c r="C63" t="s">
        <v>334</v>
      </c>
      <c r="D63" t="s">
        <v>335</v>
      </c>
      <c r="H63" t="s">
        <v>439</v>
      </c>
      <c r="AC63" t="s">
        <v>441</v>
      </c>
      <c r="AD63" t="s">
        <v>440</v>
      </c>
      <c r="AE63">
        <v>64</v>
      </c>
      <c r="AF63">
        <v>62</v>
      </c>
      <c r="AH63" t="s">
        <v>396</v>
      </c>
      <c r="AJ63">
        <v>303</v>
      </c>
      <c r="AK63" t="s">
        <v>202</v>
      </c>
      <c r="AM63">
        <v>1767</v>
      </c>
      <c r="AN63">
        <v>1671</v>
      </c>
    </row>
    <row r="64" spans="2:40" x14ac:dyDescent="0.25">
      <c r="B64" t="s">
        <v>333</v>
      </c>
      <c r="C64" t="s">
        <v>334</v>
      </c>
      <c r="D64" t="s">
        <v>335</v>
      </c>
      <c r="H64" t="s">
        <v>439</v>
      </c>
      <c r="AC64" t="s">
        <v>441</v>
      </c>
      <c r="AD64" t="s">
        <v>440</v>
      </c>
      <c r="AE64">
        <v>64</v>
      </c>
      <c r="AF64">
        <v>63</v>
      </c>
      <c r="AH64" t="s">
        <v>396</v>
      </c>
      <c r="AJ64">
        <v>303</v>
      </c>
      <c r="AK64" t="s">
        <v>202</v>
      </c>
      <c r="AM64">
        <v>1975</v>
      </c>
      <c r="AN64">
        <v>1671</v>
      </c>
    </row>
    <row r="65" spans="2:40" x14ac:dyDescent="0.25">
      <c r="B65" t="s">
        <v>333</v>
      </c>
      <c r="C65" t="s">
        <v>334</v>
      </c>
      <c r="D65" t="s">
        <v>335</v>
      </c>
      <c r="H65" t="s">
        <v>439</v>
      </c>
      <c r="AC65" t="s">
        <v>441</v>
      </c>
      <c r="AD65" t="s">
        <v>440</v>
      </c>
      <c r="AE65">
        <v>64</v>
      </c>
      <c r="AF65">
        <v>64</v>
      </c>
      <c r="AH65" t="s">
        <v>420</v>
      </c>
      <c r="AJ65">
        <v>104</v>
      </c>
      <c r="AK65" t="s">
        <v>200</v>
      </c>
      <c r="AM65">
        <v>2183</v>
      </c>
      <c r="AN65">
        <v>1671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28515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42578125" bestFit="1" customWidth="1"/>
    <col min="30" max="30" width="43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443</v>
      </c>
      <c r="AC2" t="s">
        <v>445</v>
      </c>
      <c r="AD2" t="s">
        <v>444</v>
      </c>
      <c r="AE2">
        <v>64</v>
      </c>
      <c r="AF2">
        <v>1</v>
      </c>
      <c r="AH2" t="s">
        <v>361</v>
      </c>
      <c r="AJ2">
        <v>109</v>
      </c>
      <c r="AK2" t="s">
        <v>200</v>
      </c>
      <c r="AM2">
        <v>803</v>
      </c>
      <c r="AN2">
        <v>351</v>
      </c>
    </row>
    <row r="3" spans="1:40" x14ac:dyDescent="0.25">
      <c r="B3" t="s">
        <v>333</v>
      </c>
      <c r="C3" t="s">
        <v>334</v>
      </c>
      <c r="D3" t="s">
        <v>335</v>
      </c>
      <c r="H3" t="s">
        <v>443</v>
      </c>
      <c r="AC3" t="s">
        <v>445</v>
      </c>
      <c r="AD3" t="s">
        <v>444</v>
      </c>
      <c r="AE3">
        <v>64</v>
      </c>
      <c r="AF3">
        <v>2</v>
      </c>
      <c r="AH3" t="s">
        <v>389</v>
      </c>
      <c r="AJ3">
        <v>501</v>
      </c>
      <c r="AK3" t="s">
        <v>204</v>
      </c>
      <c r="AM3">
        <v>1012</v>
      </c>
      <c r="AN3">
        <v>351</v>
      </c>
    </row>
    <row r="4" spans="1:40" x14ac:dyDescent="0.25">
      <c r="B4" t="s">
        <v>333</v>
      </c>
      <c r="C4" t="s">
        <v>334</v>
      </c>
      <c r="D4" t="s">
        <v>335</v>
      </c>
      <c r="H4" t="s">
        <v>443</v>
      </c>
      <c r="AC4" t="s">
        <v>445</v>
      </c>
      <c r="AD4" t="s">
        <v>444</v>
      </c>
      <c r="AE4">
        <v>64</v>
      </c>
      <c r="AF4">
        <v>3</v>
      </c>
      <c r="AH4" t="s">
        <v>389</v>
      </c>
      <c r="AJ4">
        <v>501</v>
      </c>
      <c r="AK4" t="s">
        <v>204</v>
      </c>
      <c r="AM4">
        <v>1222</v>
      </c>
      <c r="AN4">
        <v>351</v>
      </c>
    </row>
    <row r="5" spans="1:40" x14ac:dyDescent="0.25">
      <c r="B5" t="s">
        <v>333</v>
      </c>
      <c r="C5" t="s">
        <v>334</v>
      </c>
      <c r="D5" t="s">
        <v>335</v>
      </c>
      <c r="H5" t="s">
        <v>443</v>
      </c>
      <c r="AC5" t="s">
        <v>445</v>
      </c>
      <c r="AD5" t="s">
        <v>444</v>
      </c>
      <c r="AE5">
        <v>64</v>
      </c>
      <c r="AF5">
        <v>4</v>
      </c>
      <c r="AH5" t="s">
        <v>389</v>
      </c>
      <c r="AJ5">
        <v>501</v>
      </c>
      <c r="AK5" t="s">
        <v>204</v>
      </c>
      <c r="AM5">
        <v>1431</v>
      </c>
      <c r="AN5">
        <v>351</v>
      </c>
    </row>
    <row r="6" spans="1:40" x14ac:dyDescent="0.25">
      <c r="B6" t="s">
        <v>333</v>
      </c>
      <c r="C6" t="s">
        <v>334</v>
      </c>
      <c r="D6" t="s">
        <v>335</v>
      </c>
      <c r="H6" t="s">
        <v>443</v>
      </c>
      <c r="AC6" t="s">
        <v>445</v>
      </c>
      <c r="AD6" t="s">
        <v>444</v>
      </c>
      <c r="AE6">
        <v>64</v>
      </c>
      <c r="AF6">
        <v>5</v>
      </c>
      <c r="AH6" t="s">
        <v>389</v>
      </c>
      <c r="AJ6">
        <v>501</v>
      </c>
      <c r="AK6" t="s">
        <v>204</v>
      </c>
      <c r="AM6">
        <v>1640</v>
      </c>
      <c r="AN6">
        <v>351</v>
      </c>
    </row>
    <row r="7" spans="1:40" x14ac:dyDescent="0.25">
      <c r="B7" t="s">
        <v>333</v>
      </c>
      <c r="C7" t="s">
        <v>334</v>
      </c>
      <c r="D7" t="s">
        <v>335</v>
      </c>
      <c r="H7" t="s">
        <v>443</v>
      </c>
      <c r="AC7" t="s">
        <v>445</v>
      </c>
      <c r="AD7" t="s">
        <v>444</v>
      </c>
      <c r="AE7">
        <v>64</v>
      </c>
      <c r="AF7">
        <v>6</v>
      </c>
      <c r="AH7" t="s">
        <v>391</v>
      </c>
      <c r="AJ7">
        <v>604</v>
      </c>
      <c r="AK7" t="s">
        <v>205</v>
      </c>
      <c r="AM7">
        <v>1850</v>
      </c>
      <c r="AN7">
        <v>351</v>
      </c>
    </row>
    <row r="8" spans="1:40" x14ac:dyDescent="0.25">
      <c r="B8" t="s">
        <v>333</v>
      </c>
      <c r="C8" t="s">
        <v>334</v>
      </c>
      <c r="D8" t="s">
        <v>335</v>
      </c>
      <c r="H8" t="s">
        <v>443</v>
      </c>
      <c r="AC8" t="s">
        <v>445</v>
      </c>
      <c r="AD8" t="s">
        <v>444</v>
      </c>
      <c r="AE8">
        <v>64</v>
      </c>
      <c r="AF8">
        <v>7</v>
      </c>
      <c r="AH8" t="s">
        <v>389</v>
      </c>
      <c r="AJ8">
        <v>501</v>
      </c>
      <c r="AK8" t="s">
        <v>204</v>
      </c>
      <c r="AM8">
        <v>2059</v>
      </c>
      <c r="AN8">
        <v>351</v>
      </c>
    </row>
    <row r="9" spans="1:40" x14ac:dyDescent="0.25">
      <c r="B9" t="s">
        <v>333</v>
      </c>
      <c r="C9" t="s">
        <v>334</v>
      </c>
      <c r="D9" t="s">
        <v>335</v>
      </c>
      <c r="H9" t="s">
        <v>443</v>
      </c>
      <c r="AC9" t="s">
        <v>445</v>
      </c>
      <c r="AD9" t="s">
        <v>444</v>
      </c>
      <c r="AE9">
        <v>64</v>
      </c>
      <c r="AF9">
        <v>8</v>
      </c>
      <c r="AH9" t="s">
        <v>360</v>
      </c>
      <c r="AJ9">
        <v>102</v>
      </c>
      <c r="AK9" t="s">
        <v>200</v>
      </c>
      <c r="AM9">
        <v>2269</v>
      </c>
      <c r="AN9">
        <v>351</v>
      </c>
    </row>
    <row r="10" spans="1:40" x14ac:dyDescent="0.25">
      <c r="B10" t="s">
        <v>333</v>
      </c>
      <c r="C10" t="s">
        <v>334</v>
      </c>
      <c r="D10" t="s">
        <v>335</v>
      </c>
      <c r="H10" t="s">
        <v>443</v>
      </c>
      <c r="AC10" t="s">
        <v>445</v>
      </c>
      <c r="AD10" t="s">
        <v>444</v>
      </c>
      <c r="AE10">
        <v>64</v>
      </c>
      <c r="AF10">
        <v>9</v>
      </c>
      <c r="AH10" t="s">
        <v>360</v>
      </c>
      <c r="AJ10">
        <v>102</v>
      </c>
      <c r="AK10" t="s">
        <v>200</v>
      </c>
      <c r="AM10">
        <v>803</v>
      </c>
      <c r="AN10">
        <v>560</v>
      </c>
    </row>
    <row r="11" spans="1:40" x14ac:dyDescent="0.25">
      <c r="B11" t="s">
        <v>333</v>
      </c>
      <c r="C11" t="s">
        <v>334</v>
      </c>
      <c r="D11" t="s">
        <v>335</v>
      </c>
      <c r="H11" t="s">
        <v>443</v>
      </c>
      <c r="AC11" t="s">
        <v>445</v>
      </c>
      <c r="AD11" t="s">
        <v>444</v>
      </c>
      <c r="AE11">
        <v>64</v>
      </c>
      <c r="AF11">
        <v>10</v>
      </c>
      <c r="AH11" t="s">
        <v>389</v>
      </c>
      <c r="AJ11">
        <v>501</v>
      </c>
      <c r="AK11" t="s">
        <v>204</v>
      </c>
      <c r="AM11">
        <v>1012</v>
      </c>
      <c r="AN11">
        <v>560</v>
      </c>
    </row>
    <row r="12" spans="1:40" x14ac:dyDescent="0.25">
      <c r="B12" t="s">
        <v>333</v>
      </c>
      <c r="C12" t="s">
        <v>334</v>
      </c>
      <c r="D12" t="s">
        <v>335</v>
      </c>
      <c r="H12" t="s">
        <v>443</v>
      </c>
      <c r="AC12" t="s">
        <v>445</v>
      </c>
      <c r="AD12" t="s">
        <v>444</v>
      </c>
      <c r="AE12">
        <v>64</v>
      </c>
      <c r="AF12">
        <v>11</v>
      </c>
      <c r="AH12" t="s">
        <v>360</v>
      </c>
      <c r="AJ12">
        <v>102</v>
      </c>
      <c r="AK12" t="s">
        <v>200</v>
      </c>
      <c r="AM12">
        <v>1222</v>
      </c>
      <c r="AN12">
        <v>560</v>
      </c>
    </row>
    <row r="13" spans="1:40" x14ac:dyDescent="0.25">
      <c r="B13" t="s">
        <v>333</v>
      </c>
      <c r="C13" t="s">
        <v>334</v>
      </c>
      <c r="D13" t="s">
        <v>335</v>
      </c>
      <c r="H13" t="s">
        <v>443</v>
      </c>
      <c r="AC13" t="s">
        <v>445</v>
      </c>
      <c r="AD13" t="s">
        <v>444</v>
      </c>
      <c r="AE13">
        <v>64</v>
      </c>
      <c r="AF13">
        <v>12</v>
      </c>
      <c r="AH13" t="s">
        <v>391</v>
      </c>
      <c r="AJ13">
        <v>604</v>
      </c>
      <c r="AK13" t="s">
        <v>205</v>
      </c>
      <c r="AM13">
        <v>1431</v>
      </c>
      <c r="AN13">
        <v>560</v>
      </c>
    </row>
    <row r="14" spans="1:40" x14ac:dyDescent="0.25">
      <c r="B14" t="s">
        <v>333</v>
      </c>
      <c r="C14" t="s">
        <v>334</v>
      </c>
      <c r="D14" t="s">
        <v>335</v>
      </c>
      <c r="H14" t="s">
        <v>443</v>
      </c>
      <c r="AC14" t="s">
        <v>445</v>
      </c>
      <c r="AD14" t="s">
        <v>444</v>
      </c>
      <c r="AE14">
        <v>64</v>
      </c>
      <c r="AF14">
        <v>13</v>
      </c>
      <c r="AH14" t="s">
        <v>389</v>
      </c>
      <c r="AJ14">
        <v>501</v>
      </c>
      <c r="AK14" t="s">
        <v>204</v>
      </c>
      <c r="AM14">
        <v>1640</v>
      </c>
      <c r="AN14">
        <v>560</v>
      </c>
    </row>
    <row r="15" spans="1:40" x14ac:dyDescent="0.25">
      <c r="B15" t="s">
        <v>333</v>
      </c>
      <c r="C15" t="s">
        <v>334</v>
      </c>
      <c r="D15" t="s">
        <v>335</v>
      </c>
      <c r="H15" t="s">
        <v>443</v>
      </c>
      <c r="AC15" t="s">
        <v>445</v>
      </c>
      <c r="AD15" t="s">
        <v>444</v>
      </c>
      <c r="AE15">
        <v>64</v>
      </c>
      <c r="AF15">
        <v>14</v>
      </c>
      <c r="AH15" t="s">
        <v>389</v>
      </c>
      <c r="AJ15">
        <v>501</v>
      </c>
      <c r="AK15" t="s">
        <v>204</v>
      </c>
      <c r="AM15">
        <v>1850</v>
      </c>
      <c r="AN15">
        <v>560</v>
      </c>
    </row>
    <row r="16" spans="1:40" x14ac:dyDescent="0.25">
      <c r="B16" t="s">
        <v>333</v>
      </c>
      <c r="C16" t="s">
        <v>334</v>
      </c>
      <c r="D16" t="s">
        <v>335</v>
      </c>
      <c r="H16" t="s">
        <v>443</v>
      </c>
      <c r="AC16" t="s">
        <v>445</v>
      </c>
      <c r="AD16" t="s">
        <v>444</v>
      </c>
      <c r="AE16">
        <v>64</v>
      </c>
      <c r="AF16">
        <v>15</v>
      </c>
      <c r="AH16" t="s">
        <v>389</v>
      </c>
      <c r="AJ16">
        <v>501</v>
      </c>
      <c r="AK16" t="s">
        <v>204</v>
      </c>
      <c r="AM16">
        <v>2059</v>
      </c>
      <c r="AN16">
        <v>560</v>
      </c>
    </row>
    <row r="17" spans="2:40" x14ac:dyDescent="0.25">
      <c r="B17" t="s">
        <v>333</v>
      </c>
      <c r="C17" t="s">
        <v>334</v>
      </c>
      <c r="D17" t="s">
        <v>335</v>
      </c>
      <c r="H17" t="s">
        <v>443</v>
      </c>
      <c r="AC17" t="s">
        <v>445</v>
      </c>
      <c r="AD17" t="s">
        <v>444</v>
      </c>
      <c r="AE17">
        <v>64</v>
      </c>
      <c r="AF17">
        <v>16</v>
      </c>
      <c r="AH17" t="s">
        <v>389</v>
      </c>
      <c r="AJ17">
        <v>501</v>
      </c>
      <c r="AK17" t="s">
        <v>204</v>
      </c>
      <c r="AM17">
        <v>2269</v>
      </c>
      <c r="AN17">
        <v>560</v>
      </c>
    </row>
    <row r="18" spans="2:40" x14ac:dyDescent="0.25">
      <c r="B18" t="s">
        <v>333</v>
      </c>
      <c r="C18" t="s">
        <v>334</v>
      </c>
      <c r="D18" t="s">
        <v>335</v>
      </c>
      <c r="H18" t="s">
        <v>443</v>
      </c>
      <c r="AC18" t="s">
        <v>445</v>
      </c>
      <c r="AD18" t="s">
        <v>444</v>
      </c>
      <c r="AE18">
        <v>64</v>
      </c>
      <c r="AF18">
        <v>17</v>
      </c>
      <c r="AH18" t="s">
        <v>360</v>
      </c>
      <c r="AJ18">
        <v>102</v>
      </c>
      <c r="AK18" t="s">
        <v>200</v>
      </c>
      <c r="AM18">
        <v>803</v>
      </c>
      <c r="AN18">
        <v>770</v>
      </c>
    </row>
    <row r="19" spans="2:40" x14ac:dyDescent="0.25">
      <c r="B19" t="s">
        <v>333</v>
      </c>
      <c r="C19" t="s">
        <v>334</v>
      </c>
      <c r="D19" t="s">
        <v>335</v>
      </c>
      <c r="H19" t="s">
        <v>443</v>
      </c>
      <c r="AC19" t="s">
        <v>445</v>
      </c>
      <c r="AD19" t="s">
        <v>444</v>
      </c>
      <c r="AE19">
        <v>64</v>
      </c>
      <c r="AF19">
        <v>18</v>
      </c>
      <c r="AH19" t="s">
        <v>389</v>
      </c>
      <c r="AJ19">
        <v>501</v>
      </c>
      <c r="AK19" t="s">
        <v>204</v>
      </c>
      <c r="AM19">
        <v>1012</v>
      </c>
      <c r="AN19">
        <v>770</v>
      </c>
    </row>
    <row r="20" spans="2:40" x14ac:dyDescent="0.25">
      <c r="B20" t="s">
        <v>333</v>
      </c>
      <c r="C20" t="s">
        <v>334</v>
      </c>
      <c r="D20" t="s">
        <v>335</v>
      </c>
      <c r="H20" t="s">
        <v>443</v>
      </c>
      <c r="AC20" t="s">
        <v>445</v>
      </c>
      <c r="AD20" t="s">
        <v>444</v>
      </c>
      <c r="AE20">
        <v>64</v>
      </c>
      <c r="AF20">
        <v>19</v>
      </c>
      <c r="AH20" t="s">
        <v>389</v>
      </c>
      <c r="AJ20">
        <v>501</v>
      </c>
      <c r="AK20" t="s">
        <v>204</v>
      </c>
      <c r="AM20">
        <v>1222</v>
      </c>
      <c r="AN20">
        <v>770</v>
      </c>
    </row>
    <row r="21" spans="2:40" x14ac:dyDescent="0.25">
      <c r="B21" t="s">
        <v>333</v>
      </c>
      <c r="C21" t="s">
        <v>334</v>
      </c>
      <c r="D21" t="s">
        <v>335</v>
      </c>
      <c r="H21" t="s">
        <v>443</v>
      </c>
      <c r="AC21" t="s">
        <v>445</v>
      </c>
      <c r="AD21" t="s">
        <v>444</v>
      </c>
      <c r="AE21">
        <v>64</v>
      </c>
      <c r="AF21">
        <v>20</v>
      </c>
      <c r="AH21" t="s">
        <v>389</v>
      </c>
      <c r="AJ21">
        <v>501</v>
      </c>
      <c r="AK21" t="s">
        <v>204</v>
      </c>
      <c r="AM21">
        <v>1431</v>
      </c>
      <c r="AN21">
        <v>770</v>
      </c>
    </row>
    <row r="22" spans="2:40" x14ac:dyDescent="0.25">
      <c r="B22" t="s">
        <v>333</v>
      </c>
      <c r="C22" t="s">
        <v>334</v>
      </c>
      <c r="D22" t="s">
        <v>335</v>
      </c>
      <c r="H22" t="s">
        <v>443</v>
      </c>
      <c r="AC22" t="s">
        <v>445</v>
      </c>
      <c r="AD22" t="s">
        <v>444</v>
      </c>
      <c r="AE22">
        <v>64</v>
      </c>
      <c r="AF22">
        <v>21</v>
      </c>
      <c r="AH22" t="s">
        <v>391</v>
      </c>
      <c r="AJ22">
        <v>604</v>
      </c>
      <c r="AK22" t="s">
        <v>205</v>
      </c>
      <c r="AM22">
        <v>1640</v>
      </c>
      <c r="AN22">
        <v>770</v>
      </c>
    </row>
    <row r="23" spans="2:40" x14ac:dyDescent="0.25">
      <c r="B23" t="s">
        <v>333</v>
      </c>
      <c r="C23" t="s">
        <v>334</v>
      </c>
      <c r="D23" t="s">
        <v>335</v>
      </c>
      <c r="H23" t="s">
        <v>443</v>
      </c>
      <c r="AC23" t="s">
        <v>445</v>
      </c>
      <c r="AD23" t="s">
        <v>444</v>
      </c>
      <c r="AE23">
        <v>64</v>
      </c>
      <c r="AF23">
        <v>22</v>
      </c>
      <c r="AH23" t="s">
        <v>411</v>
      </c>
      <c r="AJ23">
        <v>703</v>
      </c>
      <c r="AK23" t="s">
        <v>206</v>
      </c>
      <c r="AM23">
        <v>1850</v>
      </c>
      <c r="AN23">
        <v>770</v>
      </c>
    </row>
    <row r="24" spans="2:40" x14ac:dyDescent="0.25">
      <c r="B24" t="s">
        <v>333</v>
      </c>
      <c r="C24" t="s">
        <v>334</v>
      </c>
      <c r="D24" t="s">
        <v>335</v>
      </c>
      <c r="H24" t="s">
        <v>443</v>
      </c>
      <c r="AC24" t="s">
        <v>445</v>
      </c>
      <c r="AD24" t="s">
        <v>444</v>
      </c>
      <c r="AE24">
        <v>64</v>
      </c>
      <c r="AF24">
        <v>23</v>
      </c>
      <c r="AH24" t="s">
        <v>389</v>
      </c>
      <c r="AJ24">
        <v>501</v>
      </c>
      <c r="AK24" t="s">
        <v>204</v>
      </c>
      <c r="AM24">
        <v>2059</v>
      </c>
      <c r="AN24">
        <v>770</v>
      </c>
    </row>
    <row r="25" spans="2:40" x14ac:dyDescent="0.25">
      <c r="B25" t="s">
        <v>333</v>
      </c>
      <c r="C25" t="s">
        <v>334</v>
      </c>
      <c r="D25" t="s">
        <v>335</v>
      </c>
      <c r="H25" t="s">
        <v>443</v>
      </c>
      <c r="AC25" t="s">
        <v>445</v>
      </c>
      <c r="AD25" t="s">
        <v>444</v>
      </c>
      <c r="AE25">
        <v>64</v>
      </c>
      <c r="AF25">
        <v>24</v>
      </c>
      <c r="AH25" t="s">
        <v>389</v>
      </c>
      <c r="AJ25">
        <v>501</v>
      </c>
      <c r="AK25" t="s">
        <v>204</v>
      </c>
      <c r="AM25">
        <v>2269</v>
      </c>
      <c r="AN25">
        <v>770</v>
      </c>
    </row>
    <row r="26" spans="2:40" x14ac:dyDescent="0.25">
      <c r="B26" t="s">
        <v>333</v>
      </c>
      <c r="C26" t="s">
        <v>334</v>
      </c>
      <c r="D26" t="s">
        <v>335</v>
      </c>
      <c r="H26" t="s">
        <v>443</v>
      </c>
      <c r="AC26" t="s">
        <v>445</v>
      </c>
      <c r="AD26" t="s">
        <v>444</v>
      </c>
      <c r="AE26">
        <v>64</v>
      </c>
      <c r="AF26">
        <v>25</v>
      </c>
      <c r="AH26" t="s">
        <v>389</v>
      </c>
      <c r="AJ26">
        <v>501</v>
      </c>
      <c r="AK26" t="s">
        <v>204</v>
      </c>
      <c r="AM26">
        <v>803</v>
      </c>
      <c r="AN26">
        <v>979</v>
      </c>
    </row>
    <row r="27" spans="2:40" x14ac:dyDescent="0.25">
      <c r="B27" t="s">
        <v>333</v>
      </c>
      <c r="C27" t="s">
        <v>334</v>
      </c>
      <c r="D27" t="s">
        <v>335</v>
      </c>
      <c r="H27" t="s">
        <v>443</v>
      </c>
      <c r="AC27" t="s">
        <v>445</v>
      </c>
      <c r="AD27" t="s">
        <v>444</v>
      </c>
      <c r="AE27">
        <v>64</v>
      </c>
      <c r="AF27">
        <v>26</v>
      </c>
      <c r="AH27" t="s">
        <v>389</v>
      </c>
      <c r="AJ27">
        <v>501</v>
      </c>
      <c r="AK27" t="s">
        <v>204</v>
      </c>
      <c r="AM27">
        <v>1012</v>
      </c>
      <c r="AN27">
        <v>979</v>
      </c>
    </row>
    <row r="28" spans="2:40" x14ac:dyDescent="0.25">
      <c r="B28" t="s">
        <v>333</v>
      </c>
      <c r="C28" t="s">
        <v>334</v>
      </c>
      <c r="D28" t="s">
        <v>335</v>
      </c>
      <c r="H28" t="s">
        <v>443</v>
      </c>
      <c r="AC28" t="s">
        <v>445</v>
      </c>
      <c r="AD28" t="s">
        <v>444</v>
      </c>
      <c r="AE28">
        <v>64</v>
      </c>
      <c r="AF28">
        <v>27</v>
      </c>
      <c r="AH28" t="s">
        <v>389</v>
      </c>
      <c r="AJ28">
        <v>501</v>
      </c>
      <c r="AK28" t="s">
        <v>204</v>
      </c>
      <c r="AM28">
        <v>1222</v>
      </c>
      <c r="AN28">
        <v>979</v>
      </c>
    </row>
    <row r="29" spans="2:40" x14ac:dyDescent="0.25">
      <c r="B29" t="s">
        <v>333</v>
      </c>
      <c r="C29" t="s">
        <v>334</v>
      </c>
      <c r="D29" t="s">
        <v>335</v>
      </c>
      <c r="H29" t="s">
        <v>443</v>
      </c>
      <c r="AC29" t="s">
        <v>445</v>
      </c>
      <c r="AD29" t="s">
        <v>444</v>
      </c>
      <c r="AE29">
        <v>64</v>
      </c>
      <c r="AF29">
        <v>28</v>
      </c>
      <c r="AH29" t="s">
        <v>389</v>
      </c>
      <c r="AJ29">
        <v>501</v>
      </c>
      <c r="AK29" t="s">
        <v>204</v>
      </c>
      <c r="AM29">
        <v>1431</v>
      </c>
      <c r="AN29">
        <v>979</v>
      </c>
    </row>
    <row r="30" spans="2:40" x14ac:dyDescent="0.25">
      <c r="B30" t="s">
        <v>333</v>
      </c>
      <c r="C30" t="s">
        <v>334</v>
      </c>
      <c r="D30" t="s">
        <v>335</v>
      </c>
      <c r="H30" t="s">
        <v>443</v>
      </c>
      <c r="AC30" t="s">
        <v>445</v>
      </c>
      <c r="AD30" t="s">
        <v>444</v>
      </c>
      <c r="AE30">
        <v>64</v>
      </c>
      <c r="AF30">
        <v>29</v>
      </c>
      <c r="AH30" t="s">
        <v>389</v>
      </c>
      <c r="AJ30">
        <v>501</v>
      </c>
      <c r="AK30" t="s">
        <v>204</v>
      </c>
      <c r="AM30">
        <v>1640</v>
      </c>
      <c r="AN30">
        <v>979</v>
      </c>
    </row>
    <row r="31" spans="2:40" x14ac:dyDescent="0.25">
      <c r="B31" t="s">
        <v>333</v>
      </c>
      <c r="C31" t="s">
        <v>334</v>
      </c>
      <c r="D31" t="s">
        <v>335</v>
      </c>
      <c r="H31" t="s">
        <v>443</v>
      </c>
      <c r="AC31" t="s">
        <v>445</v>
      </c>
      <c r="AD31" t="s">
        <v>444</v>
      </c>
      <c r="AE31">
        <v>64</v>
      </c>
      <c r="AF31">
        <v>30</v>
      </c>
      <c r="AH31" t="s">
        <v>390</v>
      </c>
      <c r="AJ31">
        <v>903</v>
      </c>
      <c r="AK31" t="s">
        <v>208</v>
      </c>
      <c r="AM31">
        <v>1850</v>
      </c>
      <c r="AN31">
        <v>979</v>
      </c>
    </row>
    <row r="32" spans="2:40" x14ac:dyDescent="0.25">
      <c r="B32" t="s">
        <v>333</v>
      </c>
      <c r="C32" t="s">
        <v>334</v>
      </c>
      <c r="D32" t="s">
        <v>335</v>
      </c>
      <c r="H32" t="s">
        <v>443</v>
      </c>
      <c r="AC32" t="s">
        <v>445</v>
      </c>
      <c r="AD32" t="s">
        <v>444</v>
      </c>
      <c r="AE32">
        <v>64</v>
      </c>
      <c r="AF32">
        <v>31</v>
      </c>
      <c r="AH32" t="s">
        <v>389</v>
      </c>
      <c r="AJ32">
        <v>501</v>
      </c>
      <c r="AK32" t="s">
        <v>204</v>
      </c>
      <c r="AM32">
        <v>2059</v>
      </c>
      <c r="AN32">
        <v>979</v>
      </c>
    </row>
    <row r="33" spans="2:40" x14ac:dyDescent="0.25">
      <c r="B33" t="s">
        <v>333</v>
      </c>
      <c r="C33" t="s">
        <v>334</v>
      </c>
      <c r="D33" t="s">
        <v>335</v>
      </c>
      <c r="H33" t="s">
        <v>443</v>
      </c>
      <c r="AC33" t="s">
        <v>445</v>
      </c>
      <c r="AD33" t="s">
        <v>444</v>
      </c>
      <c r="AE33">
        <v>64</v>
      </c>
      <c r="AF33">
        <v>32</v>
      </c>
      <c r="AH33" t="s">
        <v>360</v>
      </c>
      <c r="AJ33">
        <v>102</v>
      </c>
      <c r="AK33" t="s">
        <v>200</v>
      </c>
      <c r="AM33">
        <v>2269</v>
      </c>
      <c r="AN33">
        <v>979</v>
      </c>
    </row>
    <row r="34" spans="2:40" x14ac:dyDescent="0.25">
      <c r="B34" t="s">
        <v>333</v>
      </c>
      <c r="C34" t="s">
        <v>334</v>
      </c>
      <c r="D34" t="s">
        <v>335</v>
      </c>
      <c r="H34" t="s">
        <v>443</v>
      </c>
      <c r="AC34" t="s">
        <v>445</v>
      </c>
      <c r="AD34" t="s">
        <v>444</v>
      </c>
      <c r="AE34">
        <v>64</v>
      </c>
      <c r="AF34">
        <v>33</v>
      </c>
      <c r="AH34" t="s">
        <v>390</v>
      </c>
      <c r="AJ34">
        <v>903</v>
      </c>
      <c r="AK34" t="s">
        <v>208</v>
      </c>
      <c r="AM34">
        <v>803</v>
      </c>
      <c r="AN34">
        <v>1189</v>
      </c>
    </row>
    <row r="35" spans="2:40" x14ac:dyDescent="0.25">
      <c r="B35" t="s">
        <v>333</v>
      </c>
      <c r="C35" t="s">
        <v>334</v>
      </c>
      <c r="D35" t="s">
        <v>335</v>
      </c>
      <c r="H35" t="s">
        <v>443</v>
      </c>
      <c r="AC35" t="s">
        <v>445</v>
      </c>
      <c r="AD35" t="s">
        <v>444</v>
      </c>
      <c r="AE35">
        <v>64</v>
      </c>
      <c r="AF35">
        <v>34</v>
      </c>
      <c r="AH35" t="s">
        <v>390</v>
      </c>
      <c r="AJ35">
        <v>903</v>
      </c>
      <c r="AK35" t="s">
        <v>208</v>
      </c>
      <c r="AM35">
        <v>1012</v>
      </c>
      <c r="AN35">
        <v>1189</v>
      </c>
    </row>
    <row r="36" spans="2:40" x14ac:dyDescent="0.25">
      <c r="B36" t="s">
        <v>333</v>
      </c>
      <c r="C36" t="s">
        <v>334</v>
      </c>
      <c r="D36" t="s">
        <v>335</v>
      </c>
      <c r="H36" t="s">
        <v>443</v>
      </c>
      <c r="AC36" t="s">
        <v>445</v>
      </c>
      <c r="AD36" t="s">
        <v>444</v>
      </c>
      <c r="AE36">
        <v>64</v>
      </c>
      <c r="AF36">
        <v>35</v>
      </c>
      <c r="AH36" t="s">
        <v>389</v>
      </c>
      <c r="AJ36">
        <v>501</v>
      </c>
      <c r="AK36" t="s">
        <v>204</v>
      </c>
      <c r="AM36">
        <v>1222</v>
      </c>
      <c r="AN36">
        <v>1189</v>
      </c>
    </row>
    <row r="37" spans="2:40" x14ac:dyDescent="0.25">
      <c r="B37" t="s">
        <v>333</v>
      </c>
      <c r="C37" t="s">
        <v>334</v>
      </c>
      <c r="D37" t="s">
        <v>335</v>
      </c>
      <c r="H37" t="s">
        <v>443</v>
      </c>
      <c r="AC37" t="s">
        <v>445</v>
      </c>
      <c r="AD37" t="s">
        <v>444</v>
      </c>
      <c r="AE37">
        <v>64</v>
      </c>
      <c r="AF37">
        <v>36</v>
      </c>
      <c r="AH37" t="s">
        <v>402</v>
      </c>
      <c r="AJ37">
        <v>603</v>
      </c>
      <c r="AK37" t="s">
        <v>205</v>
      </c>
      <c r="AM37">
        <v>1431</v>
      </c>
      <c r="AN37">
        <v>1189</v>
      </c>
    </row>
    <row r="38" spans="2:40" x14ac:dyDescent="0.25">
      <c r="B38" t="s">
        <v>333</v>
      </c>
      <c r="C38" t="s">
        <v>334</v>
      </c>
      <c r="D38" t="s">
        <v>335</v>
      </c>
      <c r="H38" t="s">
        <v>443</v>
      </c>
      <c r="AC38" t="s">
        <v>445</v>
      </c>
      <c r="AD38" t="s">
        <v>444</v>
      </c>
      <c r="AE38">
        <v>64</v>
      </c>
      <c r="AF38">
        <v>37</v>
      </c>
      <c r="AH38" t="s">
        <v>391</v>
      </c>
      <c r="AJ38">
        <v>604</v>
      </c>
      <c r="AK38" t="s">
        <v>205</v>
      </c>
      <c r="AM38">
        <v>1640</v>
      </c>
      <c r="AN38">
        <v>1189</v>
      </c>
    </row>
    <row r="39" spans="2:40" x14ac:dyDescent="0.25">
      <c r="B39" t="s">
        <v>333</v>
      </c>
      <c r="C39" t="s">
        <v>334</v>
      </c>
      <c r="D39" t="s">
        <v>335</v>
      </c>
      <c r="H39" t="s">
        <v>443</v>
      </c>
      <c r="AC39" t="s">
        <v>445</v>
      </c>
      <c r="AD39" t="s">
        <v>444</v>
      </c>
      <c r="AE39">
        <v>64</v>
      </c>
      <c r="AF39">
        <v>38</v>
      </c>
      <c r="AH39" t="s">
        <v>360</v>
      </c>
      <c r="AJ39">
        <v>102</v>
      </c>
      <c r="AK39" t="s">
        <v>200</v>
      </c>
      <c r="AM39">
        <v>1850</v>
      </c>
      <c r="AN39">
        <v>1189</v>
      </c>
    </row>
    <row r="40" spans="2:40" x14ac:dyDescent="0.25">
      <c r="B40" t="s">
        <v>333</v>
      </c>
      <c r="C40" t="s">
        <v>334</v>
      </c>
      <c r="D40" t="s">
        <v>335</v>
      </c>
      <c r="H40" t="s">
        <v>443</v>
      </c>
      <c r="AC40" t="s">
        <v>445</v>
      </c>
      <c r="AD40" t="s">
        <v>444</v>
      </c>
      <c r="AE40">
        <v>64</v>
      </c>
      <c r="AF40">
        <v>39</v>
      </c>
      <c r="AH40" t="s">
        <v>389</v>
      </c>
      <c r="AJ40">
        <v>501</v>
      </c>
      <c r="AK40" t="s">
        <v>204</v>
      </c>
      <c r="AM40">
        <v>2059</v>
      </c>
      <c r="AN40">
        <v>1189</v>
      </c>
    </row>
    <row r="41" spans="2:40" x14ac:dyDescent="0.25">
      <c r="B41" t="s">
        <v>333</v>
      </c>
      <c r="C41" t="s">
        <v>334</v>
      </c>
      <c r="D41" t="s">
        <v>335</v>
      </c>
      <c r="H41" t="s">
        <v>443</v>
      </c>
      <c r="AC41" t="s">
        <v>445</v>
      </c>
      <c r="AD41" t="s">
        <v>444</v>
      </c>
      <c r="AE41">
        <v>64</v>
      </c>
      <c r="AF41">
        <v>40</v>
      </c>
      <c r="AH41" t="s">
        <v>360</v>
      </c>
      <c r="AJ41">
        <v>102</v>
      </c>
      <c r="AK41" t="s">
        <v>200</v>
      </c>
      <c r="AM41">
        <v>2269</v>
      </c>
      <c r="AN41">
        <v>1189</v>
      </c>
    </row>
    <row r="42" spans="2:40" x14ac:dyDescent="0.25">
      <c r="B42" t="s">
        <v>333</v>
      </c>
      <c r="C42" t="s">
        <v>334</v>
      </c>
      <c r="D42" t="s">
        <v>335</v>
      </c>
      <c r="H42" t="s">
        <v>443</v>
      </c>
      <c r="AC42" t="s">
        <v>445</v>
      </c>
      <c r="AD42" t="s">
        <v>444</v>
      </c>
      <c r="AE42">
        <v>64</v>
      </c>
      <c r="AF42">
        <v>41</v>
      </c>
      <c r="AH42" t="s">
        <v>389</v>
      </c>
      <c r="AJ42">
        <v>501</v>
      </c>
      <c r="AK42" t="s">
        <v>204</v>
      </c>
      <c r="AM42">
        <v>803</v>
      </c>
      <c r="AN42">
        <v>1398</v>
      </c>
    </row>
    <row r="43" spans="2:40" x14ac:dyDescent="0.25">
      <c r="B43" t="s">
        <v>333</v>
      </c>
      <c r="C43" t="s">
        <v>334</v>
      </c>
      <c r="D43" t="s">
        <v>335</v>
      </c>
      <c r="H43" t="s">
        <v>443</v>
      </c>
      <c r="AC43" t="s">
        <v>445</v>
      </c>
      <c r="AD43" t="s">
        <v>444</v>
      </c>
      <c r="AE43">
        <v>64</v>
      </c>
      <c r="AF43">
        <v>42</v>
      </c>
      <c r="AH43" t="s">
        <v>389</v>
      </c>
      <c r="AJ43">
        <v>501</v>
      </c>
      <c r="AK43" t="s">
        <v>204</v>
      </c>
      <c r="AM43">
        <v>1012</v>
      </c>
      <c r="AN43">
        <v>1398</v>
      </c>
    </row>
    <row r="44" spans="2:40" x14ac:dyDescent="0.25">
      <c r="B44" t="s">
        <v>333</v>
      </c>
      <c r="C44" t="s">
        <v>334</v>
      </c>
      <c r="D44" t="s">
        <v>335</v>
      </c>
      <c r="H44" t="s">
        <v>443</v>
      </c>
      <c r="AC44" t="s">
        <v>445</v>
      </c>
      <c r="AD44" t="s">
        <v>444</v>
      </c>
      <c r="AE44">
        <v>64</v>
      </c>
      <c r="AF44">
        <v>43</v>
      </c>
      <c r="AH44" t="s">
        <v>389</v>
      </c>
      <c r="AJ44">
        <v>501</v>
      </c>
      <c r="AK44" t="s">
        <v>204</v>
      </c>
      <c r="AM44">
        <v>1222</v>
      </c>
      <c r="AN44">
        <v>1398</v>
      </c>
    </row>
    <row r="45" spans="2:40" x14ac:dyDescent="0.25">
      <c r="B45" t="s">
        <v>333</v>
      </c>
      <c r="C45" t="s">
        <v>334</v>
      </c>
      <c r="D45" t="s">
        <v>335</v>
      </c>
      <c r="H45" t="s">
        <v>443</v>
      </c>
      <c r="AC45" t="s">
        <v>445</v>
      </c>
      <c r="AD45" t="s">
        <v>444</v>
      </c>
      <c r="AE45">
        <v>64</v>
      </c>
      <c r="AF45">
        <v>44</v>
      </c>
      <c r="AH45" t="s">
        <v>389</v>
      </c>
      <c r="AJ45">
        <v>501</v>
      </c>
      <c r="AK45" t="s">
        <v>204</v>
      </c>
      <c r="AM45">
        <v>1431</v>
      </c>
      <c r="AN45">
        <v>1398</v>
      </c>
    </row>
    <row r="46" spans="2:40" x14ac:dyDescent="0.25">
      <c r="B46" t="s">
        <v>333</v>
      </c>
      <c r="C46" t="s">
        <v>334</v>
      </c>
      <c r="D46" t="s">
        <v>335</v>
      </c>
      <c r="H46" t="s">
        <v>443</v>
      </c>
      <c r="AC46" t="s">
        <v>445</v>
      </c>
      <c r="AD46" t="s">
        <v>444</v>
      </c>
      <c r="AE46">
        <v>64</v>
      </c>
      <c r="AF46">
        <v>45</v>
      </c>
      <c r="AH46" t="s">
        <v>389</v>
      </c>
      <c r="AJ46">
        <v>501</v>
      </c>
      <c r="AK46" t="s">
        <v>204</v>
      </c>
      <c r="AM46">
        <v>1640</v>
      </c>
      <c r="AN46">
        <v>1398</v>
      </c>
    </row>
    <row r="47" spans="2:40" x14ac:dyDescent="0.25">
      <c r="B47" t="s">
        <v>333</v>
      </c>
      <c r="C47" t="s">
        <v>334</v>
      </c>
      <c r="D47" t="s">
        <v>335</v>
      </c>
      <c r="H47" t="s">
        <v>443</v>
      </c>
      <c r="AC47" t="s">
        <v>445</v>
      </c>
      <c r="AD47" t="s">
        <v>444</v>
      </c>
      <c r="AE47">
        <v>64</v>
      </c>
      <c r="AF47">
        <v>46</v>
      </c>
      <c r="AH47" t="s">
        <v>389</v>
      </c>
      <c r="AJ47">
        <v>501</v>
      </c>
      <c r="AK47" t="s">
        <v>204</v>
      </c>
      <c r="AM47">
        <v>1850</v>
      </c>
      <c r="AN47">
        <v>1398</v>
      </c>
    </row>
    <row r="48" spans="2:40" x14ac:dyDescent="0.25">
      <c r="B48" t="s">
        <v>333</v>
      </c>
      <c r="C48" t="s">
        <v>334</v>
      </c>
      <c r="D48" t="s">
        <v>335</v>
      </c>
      <c r="H48" t="s">
        <v>443</v>
      </c>
      <c r="AC48" t="s">
        <v>445</v>
      </c>
      <c r="AD48" t="s">
        <v>444</v>
      </c>
      <c r="AE48">
        <v>64</v>
      </c>
      <c r="AF48">
        <v>47</v>
      </c>
      <c r="AH48" t="s">
        <v>389</v>
      </c>
      <c r="AJ48">
        <v>501</v>
      </c>
      <c r="AK48" t="s">
        <v>204</v>
      </c>
      <c r="AM48">
        <v>2059</v>
      </c>
      <c r="AN48">
        <v>1398</v>
      </c>
    </row>
    <row r="49" spans="2:40" x14ac:dyDescent="0.25">
      <c r="B49" t="s">
        <v>333</v>
      </c>
      <c r="C49" t="s">
        <v>334</v>
      </c>
      <c r="D49" t="s">
        <v>335</v>
      </c>
      <c r="H49" t="s">
        <v>443</v>
      </c>
      <c r="AC49" t="s">
        <v>445</v>
      </c>
      <c r="AD49" t="s">
        <v>444</v>
      </c>
      <c r="AE49">
        <v>64</v>
      </c>
      <c r="AF49">
        <v>48</v>
      </c>
      <c r="AH49" t="s">
        <v>389</v>
      </c>
      <c r="AJ49">
        <v>501</v>
      </c>
      <c r="AK49" t="s">
        <v>204</v>
      </c>
      <c r="AM49">
        <v>2269</v>
      </c>
      <c r="AN49">
        <v>1398</v>
      </c>
    </row>
    <row r="50" spans="2:40" x14ac:dyDescent="0.25">
      <c r="B50" t="s">
        <v>333</v>
      </c>
      <c r="C50" t="s">
        <v>334</v>
      </c>
      <c r="D50" t="s">
        <v>335</v>
      </c>
      <c r="H50" t="s">
        <v>443</v>
      </c>
      <c r="AC50" t="s">
        <v>445</v>
      </c>
      <c r="AD50" t="s">
        <v>444</v>
      </c>
      <c r="AE50">
        <v>64</v>
      </c>
      <c r="AF50">
        <v>49</v>
      </c>
      <c r="AH50" t="s">
        <v>360</v>
      </c>
      <c r="AJ50">
        <v>102</v>
      </c>
      <c r="AK50" t="s">
        <v>200</v>
      </c>
      <c r="AM50">
        <v>803</v>
      </c>
      <c r="AN50">
        <v>1607</v>
      </c>
    </row>
    <row r="51" spans="2:40" x14ac:dyDescent="0.25">
      <c r="B51" t="s">
        <v>333</v>
      </c>
      <c r="C51" t="s">
        <v>334</v>
      </c>
      <c r="D51" t="s">
        <v>335</v>
      </c>
      <c r="H51" t="s">
        <v>443</v>
      </c>
      <c r="AC51" t="s">
        <v>445</v>
      </c>
      <c r="AD51" t="s">
        <v>444</v>
      </c>
      <c r="AE51">
        <v>64</v>
      </c>
      <c r="AF51">
        <v>50</v>
      </c>
      <c r="AH51" t="s">
        <v>389</v>
      </c>
      <c r="AJ51">
        <v>501</v>
      </c>
      <c r="AK51" t="s">
        <v>204</v>
      </c>
      <c r="AM51">
        <v>1012</v>
      </c>
      <c r="AN51">
        <v>1607</v>
      </c>
    </row>
    <row r="52" spans="2:40" x14ac:dyDescent="0.25">
      <c r="B52" t="s">
        <v>333</v>
      </c>
      <c r="C52" t="s">
        <v>334</v>
      </c>
      <c r="D52" t="s">
        <v>335</v>
      </c>
      <c r="H52" t="s">
        <v>443</v>
      </c>
      <c r="AC52" t="s">
        <v>445</v>
      </c>
      <c r="AD52" t="s">
        <v>444</v>
      </c>
      <c r="AE52">
        <v>64</v>
      </c>
      <c r="AF52">
        <v>51</v>
      </c>
      <c r="AH52" t="s">
        <v>389</v>
      </c>
      <c r="AJ52">
        <v>501</v>
      </c>
      <c r="AK52" t="s">
        <v>204</v>
      </c>
      <c r="AM52">
        <v>1222</v>
      </c>
      <c r="AN52">
        <v>1607</v>
      </c>
    </row>
    <row r="53" spans="2:40" x14ac:dyDescent="0.25">
      <c r="B53" t="s">
        <v>333</v>
      </c>
      <c r="C53" t="s">
        <v>334</v>
      </c>
      <c r="D53" t="s">
        <v>335</v>
      </c>
      <c r="H53" t="s">
        <v>443</v>
      </c>
      <c r="AC53" t="s">
        <v>445</v>
      </c>
      <c r="AD53" t="s">
        <v>444</v>
      </c>
      <c r="AE53">
        <v>64</v>
      </c>
      <c r="AF53">
        <v>52</v>
      </c>
      <c r="AH53" t="s">
        <v>389</v>
      </c>
      <c r="AJ53">
        <v>501</v>
      </c>
      <c r="AK53" t="s">
        <v>204</v>
      </c>
      <c r="AM53">
        <v>1431</v>
      </c>
      <c r="AN53">
        <v>1607</v>
      </c>
    </row>
    <row r="54" spans="2:40" x14ac:dyDescent="0.25">
      <c r="B54" t="s">
        <v>333</v>
      </c>
      <c r="C54" t="s">
        <v>334</v>
      </c>
      <c r="D54" t="s">
        <v>335</v>
      </c>
      <c r="H54" t="s">
        <v>443</v>
      </c>
      <c r="AC54" t="s">
        <v>445</v>
      </c>
      <c r="AD54" t="s">
        <v>444</v>
      </c>
      <c r="AE54">
        <v>64</v>
      </c>
      <c r="AF54">
        <v>53</v>
      </c>
      <c r="AH54" t="s">
        <v>389</v>
      </c>
      <c r="AJ54">
        <v>501</v>
      </c>
      <c r="AK54" t="s">
        <v>204</v>
      </c>
      <c r="AM54">
        <v>1640</v>
      </c>
      <c r="AN54">
        <v>1607</v>
      </c>
    </row>
    <row r="55" spans="2:40" x14ac:dyDescent="0.25">
      <c r="B55" t="s">
        <v>333</v>
      </c>
      <c r="C55" t="s">
        <v>334</v>
      </c>
      <c r="D55" t="s">
        <v>335</v>
      </c>
      <c r="H55" t="s">
        <v>443</v>
      </c>
      <c r="AC55" t="s">
        <v>445</v>
      </c>
      <c r="AD55" t="s">
        <v>444</v>
      </c>
      <c r="AE55">
        <v>64</v>
      </c>
      <c r="AF55">
        <v>54</v>
      </c>
      <c r="AH55" t="s">
        <v>389</v>
      </c>
      <c r="AJ55">
        <v>501</v>
      </c>
      <c r="AK55" t="s">
        <v>204</v>
      </c>
      <c r="AM55">
        <v>1850</v>
      </c>
      <c r="AN55">
        <v>1607</v>
      </c>
    </row>
    <row r="56" spans="2:40" x14ac:dyDescent="0.25">
      <c r="B56" t="s">
        <v>333</v>
      </c>
      <c r="C56" t="s">
        <v>334</v>
      </c>
      <c r="D56" t="s">
        <v>335</v>
      </c>
      <c r="H56" t="s">
        <v>443</v>
      </c>
      <c r="AC56" t="s">
        <v>445</v>
      </c>
      <c r="AD56" t="s">
        <v>444</v>
      </c>
      <c r="AE56">
        <v>64</v>
      </c>
      <c r="AF56">
        <v>55</v>
      </c>
      <c r="AH56" t="s">
        <v>390</v>
      </c>
      <c r="AJ56">
        <v>903</v>
      </c>
      <c r="AK56" t="s">
        <v>208</v>
      </c>
      <c r="AM56">
        <v>2059</v>
      </c>
      <c r="AN56">
        <v>1607</v>
      </c>
    </row>
    <row r="57" spans="2:40" x14ac:dyDescent="0.25">
      <c r="B57" t="s">
        <v>333</v>
      </c>
      <c r="C57" t="s">
        <v>334</v>
      </c>
      <c r="D57" t="s">
        <v>335</v>
      </c>
      <c r="H57" t="s">
        <v>443</v>
      </c>
      <c r="AC57" t="s">
        <v>445</v>
      </c>
      <c r="AD57" t="s">
        <v>444</v>
      </c>
      <c r="AE57">
        <v>64</v>
      </c>
      <c r="AF57">
        <v>56</v>
      </c>
      <c r="AH57" t="s">
        <v>389</v>
      </c>
      <c r="AJ57">
        <v>501</v>
      </c>
      <c r="AK57" t="s">
        <v>204</v>
      </c>
      <c r="AM57">
        <v>2269</v>
      </c>
      <c r="AN57">
        <v>1607</v>
      </c>
    </row>
    <row r="58" spans="2:40" x14ac:dyDescent="0.25">
      <c r="B58" t="s">
        <v>333</v>
      </c>
      <c r="C58" t="s">
        <v>334</v>
      </c>
      <c r="D58" t="s">
        <v>335</v>
      </c>
      <c r="H58" t="s">
        <v>443</v>
      </c>
      <c r="AC58" t="s">
        <v>445</v>
      </c>
      <c r="AD58" t="s">
        <v>444</v>
      </c>
      <c r="AE58">
        <v>64</v>
      </c>
      <c r="AF58">
        <v>57</v>
      </c>
      <c r="AH58" t="s">
        <v>361</v>
      </c>
      <c r="AJ58">
        <v>109</v>
      </c>
      <c r="AK58" t="s">
        <v>200</v>
      </c>
      <c r="AM58">
        <v>803</v>
      </c>
      <c r="AN58">
        <v>1817</v>
      </c>
    </row>
    <row r="59" spans="2:40" x14ac:dyDescent="0.25">
      <c r="B59" t="s">
        <v>333</v>
      </c>
      <c r="C59" t="s">
        <v>334</v>
      </c>
      <c r="D59" t="s">
        <v>335</v>
      </c>
      <c r="H59" t="s">
        <v>443</v>
      </c>
      <c r="AC59" t="s">
        <v>445</v>
      </c>
      <c r="AD59" t="s">
        <v>444</v>
      </c>
      <c r="AE59">
        <v>64</v>
      </c>
      <c r="AF59">
        <v>58</v>
      </c>
      <c r="AH59" t="s">
        <v>361</v>
      </c>
      <c r="AJ59">
        <v>109</v>
      </c>
      <c r="AK59" t="s">
        <v>200</v>
      </c>
      <c r="AM59">
        <v>1012</v>
      </c>
      <c r="AN59">
        <v>1817</v>
      </c>
    </row>
    <row r="60" spans="2:40" x14ac:dyDescent="0.25">
      <c r="B60" t="s">
        <v>333</v>
      </c>
      <c r="C60" t="s">
        <v>334</v>
      </c>
      <c r="D60" t="s">
        <v>335</v>
      </c>
      <c r="H60" t="s">
        <v>443</v>
      </c>
      <c r="AC60" t="s">
        <v>445</v>
      </c>
      <c r="AD60" t="s">
        <v>444</v>
      </c>
      <c r="AE60">
        <v>64</v>
      </c>
      <c r="AF60">
        <v>59</v>
      </c>
      <c r="AH60" t="s">
        <v>389</v>
      </c>
      <c r="AJ60">
        <v>501</v>
      </c>
      <c r="AK60" t="s">
        <v>204</v>
      </c>
      <c r="AM60">
        <v>1222</v>
      </c>
      <c r="AN60">
        <v>1817</v>
      </c>
    </row>
    <row r="61" spans="2:40" x14ac:dyDescent="0.25">
      <c r="B61" t="s">
        <v>333</v>
      </c>
      <c r="C61" t="s">
        <v>334</v>
      </c>
      <c r="D61" t="s">
        <v>335</v>
      </c>
      <c r="H61" t="s">
        <v>443</v>
      </c>
      <c r="AC61" t="s">
        <v>445</v>
      </c>
      <c r="AD61" t="s">
        <v>444</v>
      </c>
      <c r="AE61">
        <v>64</v>
      </c>
      <c r="AF61">
        <v>60</v>
      </c>
      <c r="AH61" t="s">
        <v>389</v>
      </c>
      <c r="AJ61">
        <v>501</v>
      </c>
      <c r="AK61" t="s">
        <v>204</v>
      </c>
      <c r="AM61">
        <v>1431</v>
      </c>
      <c r="AN61">
        <v>1817</v>
      </c>
    </row>
    <row r="62" spans="2:40" x14ac:dyDescent="0.25">
      <c r="B62" t="s">
        <v>333</v>
      </c>
      <c r="C62" t="s">
        <v>334</v>
      </c>
      <c r="D62" t="s">
        <v>335</v>
      </c>
      <c r="H62" t="s">
        <v>443</v>
      </c>
      <c r="AC62" t="s">
        <v>445</v>
      </c>
      <c r="AD62" t="s">
        <v>444</v>
      </c>
      <c r="AE62">
        <v>64</v>
      </c>
      <c r="AF62">
        <v>61</v>
      </c>
      <c r="AH62" t="s">
        <v>391</v>
      </c>
      <c r="AJ62">
        <v>604</v>
      </c>
      <c r="AK62" t="s">
        <v>205</v>
      </c>
      <c r="AM62">
        <v>1640</v>
      </c>
      <c r="AN62">
        <v>1817</v>
      </c>
    </row>
    <row r="63" spans="2:40" x14ac:dyDescent="0.25">
      <c r="B63" t="s">
        <v>333</v>
      </c>
      <c r="C63" t="s">
        <v>334</v>
      </c>
      <c r="D63" t="s">
        <v>335</v>
      </c>
      <c r="H63" t="s">
        <v>443</v>
      </c>
      <c r="AC63" t="s">
        <v>445</v>
      </c>
      <c r="AD63" t="s">
        <v>444</v>
      </c>
      <c r="AE63">
        <v>64</v>
      </c>
      <c r="AF63">
        <v>62</v>
      </c>
      <c r="AH63" t="s">
        <v>389</v>
      </c>
      <c r="AJ63">
        <v>501</v>
      </c>
      <c r="AK63" t="s">
        <v>204</v>
      </c>
      <c r="AM63">
        <v>1850</v>
      </c>
      <c r="AN63">
        <v>1817</v>
      </c>
    </row>
    <row r="64" spans="2:40" x14ac:dyDescent="0.25">
      <c r="B64" t="s">
        <v>333</v>
      </c>
      <c r="C64" t="s">
        <v>334</v>
      </c>
      <c r="D64" t="s">
        <v>335</v>
      </c>
      <c r="H64" t="s">
        <v>443</v>
      </c>
      <c r="AC64" t="s">
        <v>445</v>
      </c>
      <c r="AD64" t="s">
        <v>444</v>
      </c>
      <c r="AE64">
        <v>64</v>
      </c>
      <c r="AF64">
        <v>63</v>
      </c>
      <c r="AH64" t="s">
        <v>391</v>
      </c>
      <c r="AJ64">
        <v>604</v>
      </c>
      <c r="AK64" t="s">
        <v>205</v>
      </c>
      <c r="AM64">
        <v>2059</v>
      </c>
      <c r="AN64">
        <v>1817</v>
      </c>
    </row>
    <row r="65" spans="2:40" x14ac:dyDescent="0.25">
      <c r="B65" t="s">
        <v>333</v>
      </c>
      <c r="C65" t="s">
        <v>334</v>
      </c>
      <c r="D65" t="s">
        <v>335</v>
      </c>
      <c r="H65" t="s">
        <v>443</v>
      </c>
      <c r="AC65" t="s">
        <v>445</v>
      </c>
      <c r="AD65" t="s">
        <v>444</v>
      </c>
      <c r="AE65">
        <v>64</v>
      </c>
      <c r="AF65">
        <v>64</v>
      </c>
      <c r="AH65" t="s">
        <v>360</v>
      </c>
      <c r="AJ65">
        <v>102</v>
      </c>
      <c r="AK65" t="s">
        <v>200</v>
      </c>
      <c r="AM65">
        <v>2269</v>
      </c>
      <c r="AN65">
        <v>1817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28515625" bestFit="1" customWidth="1"/>
    <col min="30" max="30" width="43.42578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447</v>
      </c>
      <c r="AC2" t="s">
        <v>449</v>
      </c>
      <c r="AD2" t="s">
        <v>448</v>
      </c>
      <c r="AE2">
        <v>64</v>
      </c>
      <c r="AF2">
        <v>1</v>
      </c>
      <c r="AH2" t="s">
        <v>396</v>
      </c>
      <c r="AJ2">
        <v>303</v>
      </c>
      <c r="AK2" t="s">
        <v>202</v>
      </c>
      <c r="AM2">
        <v>711</v>
      </c>
      <c r="AN2">
        <v>320</v>
      </c>
    </row>
    <row r="3" spans="1:40" x14ac:dyDescent="0.25">
      <c r="B3" t="s">
        <v>333</v>
      </c>
      <c r="C3" t="s">
        <v>334</v>
      </c>
      <c r="D3" t="s">
        <v>335</v>
      </c>
      <c r="H3" t="s">
        <v>447</v>
      </c>
      <c r="AC3" t="s">
        <v>449</v>
      </c>
      <c r="AD3" t="s">
        <v>448</v>
      </c>
      <c r="AE3">
        <v>64</v>
      </c>
      <c r="AF3">
        <v>2</v>
      </c>
      <c r="AH3" t="s">
        <v>396</v>
      </c>
      <c r="AJ3">
        <v>303</v>
      </c>
      <c r="AK3" t="s">
        <v>202</v>
      </c>
      <c r="AM3">
        <v>915</v>
      </c>
      <c r="AN3">
        <v>320</v>
      </c>
    </row>
    <row r="4" spans="1:40" x14ac:dyDescent="0.25">
      <c r="B4" t="s">
        <v>333</v>
      </c>
      <c r="C4" t="s">
        <v>334</v>
      </c>
      <c r="D4" t="s">
        <v>335</v>
      </c>
      <c r="H4" t="s">
        <v>447</v>
      </c>
      <c r="AC4" t="s">
        <v>449</v>
      </c>
      <c r="AD4" t="s">
        <v>448</v>
      </c>
      <c r="AE4">
        <v>64</v>
      </c>
      <c r="AF4">
        <v>3</v>
      </c>
      <c r="AH4" t="s">
        <v>396</v>
      </c>
      <c r="AJ4">
        <v>303</v>
      </c>
      <c r="AK4" t="s">
        <v>202</v>
      </c>
      <c r="AM4">
        <v>1120</v>
      </c>
      <c r="AN4">
        <v>320</v>
      </c>
    </row>
    <row r="5" spans="1:40" x14ac:dyDescent="0.25">
      <c r="B5" t="s">
        <v>333</v>
      </c>
      <c r="C5" t="s">
        <v>334</v>
      </c>
      <c r="D5" t="s">
        <v>335</v>
      </c>
      <c r="H5" t="s">
        <v>447</v>
      </c>
      <c r="AC5" t="s">
        <v>449</v>
      </c>
      <c r="AD5" t="s">
        <v>448</v>
      </c>
      <c r="AE5">
        <v>64</v>
      </c>
      <c r="AF5">
        <v>4</v>
      </c>
      <c r="AH5" t="s">
        <v>450</v>
      </c>
      <c r="AJ5">
        <v>502</v>
      </c>
      <c r="AK5" t="s">
        <v>204</v>
      </c>
      <c r="AM5">
        <v>1324</v>
      </c>
      <c r="AN5">
        <v>320</v>
      </c>
    </row>
    <row r="6" spans="1:40" x14ac:dyDescent="0.25">
      <c r="B6" t="s">
        <v>333</v>
      </c>
      <c r="C6" t="s">
        <v>334</v>
      </c>
      <c r="D6" t="s">
        <v>335</v>
      </c>
      <c r="H6" t="s">
        <v>447</v>
      </c>
      <c r="AC6" t="s">
        <v>449</v>
      </c>
      <c r="AD6" t="s">
        <v>448</v>
      </c>
      <c r="AE6">
        <v>64</v>
      </c>
      <c r="AF6">
        <v>5</v>
      </c>
      <c r="AH6" t="s">
        <v>396</v>
      </c>
      <c r="AJ6">
        <v>303</v>
      </c>
      <c r="AK6" t="s">
        <v>202</v>
      </c>
      <c r="AM6">
        <v>1529</v>
      </c>
      <c r="AN6">
        <v>320</v>
      </c>
    </row>
    <row r="7" spans="1:40" x14ac:dyDescent="0.25">
      <c r="B7" t="s">
        <v>333</v>
      </c>
      <c r="C7" t="s">
        <v>334</v>
      </c>
      <c r="D7" t="s">
        <v>335</v>
      </c>
      <c r="H7" t="s">
        <v>447</v>
      </c>
      <c r="AC7" t="s">
        <v>449</v>
      </c>
      <c r="AD7" t="s">
        <v>448</v>
      </c>
      <c r="AE7">
        <v>64</v>
      </c>
      <c r="AF7">
        <v>6</v>
      </c>
      <c r="AH7" t="s">
        <v>450</v>
      </c>
      <c r="AJ7">
        <v>502</v>
      </c>
      <c r="AK7" t="s">
        <v>204</v>
      </c>
      <c r="AM7">
        <v>1733</v>
      </c>
      <c r="AN7">
        <v>320</v>
      </c>
    </row>
    <row r="8" spans="1:40" x14ac:dyDescent="0.25">
      <c r="B8" t="s">
        <v>333</v>
      </c>
      <c r="C8" t="s">
        <v>334</v>
      </c>
      <c r="D8" t="s">
        <v>335</v>
      </c>
      <c r="H8" t="s">
        <v>447</v>
      </c>
      <c r="AC8" t="s">
        <v>449</v>
      </c>
      <c r="AD8" t="s">
        <v>448</v>
      </c>
      <c r="AE8">
        <v>64</v>
      </c>
      <c r="AF8">
        <v>7</v>
      </c>
      <c r="AH8" t="s">
        <v>396</v>
      </c>
      <c r="AJ8">
        <v>303</v>
      </c>
      <c r="AK8" t="s">
        <v>202</v>
      </c>
      <c r="AM8">
        <v>1938</v>
      </c>
      <c r="AN8">
        <v>320</v>
      </c>
    </row>
    <row r="9" spans="1:40" x14ac:dyDescent="0.25">
      <c r="B9" t="s">
        <v>333</v>
      </c>
      <c r="C9" t="s">
        <v>334</v>
      </c>
      <c r="D9" t="s">
        <v>335</v>
      </c>
      <c r="H9" t="s">
        <v>447</v>
      </c>
      <c r="AC9" t="s">
        <v>449</v>
      </c>
      <c r="AD9" t="s">
        <v>448</v>
      </c>
      <c r="AE9">
        <v>64</v>
      </c>
      <c r="AF9">
        <v>8</v>
      </c>
      <c r="AH9" t="s">
        <v>360</v>
      </c>
      <c r="AJ9">
        <v>102</v>
      </c>
      <c r="AK9" t="s">
        <v>200</v>
      </c>
      <c r="AM9">
        <v>2142</v>
      </c>
      <c r="AN9">
        <v>320</v>
      </c>
    </row>
    <row r="10" spans="1:40" x14ac:dyDescent="0.25">
      <c r="B10" t="s">
        <v>333</v>
      </c>
      <c r="C10" t="s">
        <v>334</v>
      </c>
      <c r="D10" t="s">
        <v>335</v>
      </c>
      <c r="H10" t="s">
        <v>447</v>
      </c>
      <c r="AC10" t="s">
        <v>449</v>
      </c>
      <c r="AD10" t="s">
        <v>448</v>
      </c>
      <c r="AE10">
        <v>64</v>
      </c>
      <c r="AF10">
        <v>9</v>
      </c>
      <c r="AH10" t="s">
        <v>396</v>
      </c>
      <c r="AJ10">
        <v>303</v>
      </c>
      <c r="AK10" t="s">
        <v>202</v>
      </c>
      <c r="AM10">
        <v>711</v>
      </c>
      <c r="AN10">
        <v>524</v>
      </c>
    </row>
    <row r="11" spans="1:40" x14ac:dyDescent="0.25">
      <c r="B11" t="s">
        <v>333</v>
      </c>
      <c r="C11" t="s">
        <v>334</v>
      </c>
      <c r="D11" t="s">
        <v>335</v>
      </c>
      <c r="H11" t="s">
        <v>447</v>
      </c>
      <c r="AC11" t="s">
        <v>449</v>
      </c>
      <c r="AD11" t="s">
        <v>448</v>
      </c>
      <c r="AE11">
        <v>64</v>
      </c>
      <c r="AF11">
        <v>10</v>
      </c>
      <c r="AH11" t="s">
        <v>390</v>
      </c>
      <c r="AJ11">
        <v>903</v>
      </c>
      <c r="AK11" t="s">
        <v>208</v>
      </c>
      <c r="AM11">
        <v>915</v>
      </c>
      <c r="AN11">
        <v>524</v>
      </c>
    </row>
    <row r="12" spans="1:40" x14ac:dyDescent="0.25">
      <c r="B12" t="s">
        <v>333</v>
      </c>
      <c r="C12" t="s">
        <v>334</v>
      </c>
      <c r="D12" t="s">
        <v>335</v>
      </c>
      <c r="H12" t="s">
        <v>447</v>
      </c>
      <c r="AC12" t="s">
        <v>449</v>
      </c>
      <c r="AD12" t="s">
        <v>448</v>
      </c>
      <c r="AE12">
        <v>64</v>
      </c>
      <c r="AF12">
        <v>11</v>
      </c>
      <c r="AH12" t="s">
        <v>389</v>
      </c>
      <c r="AJ12">
        <v>501</v>
      </c>
      <c r="AK12" t="s">
        <v>204</v>
      </c>
      <c r="AM12">
        <v>1120</v>
      </c>
      <c r="AN12">
        <v>524</v>
      </c>
    </row>
    <row r="13" spans="1:40" x14ac:dyDescent="0.25">
      <c r="B13" t="s">
        <v>333</v>
      </c>
      <c r="C13" t="s">
        <v>334</v>
      </c>
      <c r="D13" t="s">
        <v>335</v>
      </c>
      <c r="H13" t="s">
        <v>447</v>
      </c>
      <c r="AC13" t="s">
        <v>449</v>
      </c>
      <c r="AD13" t="s">
        <v>448</v>
      </c>
      <c r="AE13">
        <v>64</v>
      </c>
      <c r="AF13">
        <v>12</v>
      </c>
      <c r="AH13" t="s">
        <v>389</v>
      </c>
      <c r="AJ13">
        <v>501</v>
      </c>
      <c r="AK13" t="s">
        <v>204</v>
      </c>
      <c r="AM13">
        <v>1324</v>
      </c>
      <c r="AN13">
        <v>524</v>
      </c>
    </row>
    <row r="14" spans="1:40" x14ac:dyDescent="0.25">
      <c r="B14" t="s">
        <v>333</v>
      </c>
      <c r="C14" t="s">
        <v>334</v>
      </c>
      <c r="D14" t="s">
        <v>335</v>
      </c>
      <c r="H14" t="s">
        <v>447</v>
      </c>
      <c r="AC14" t="s">
        <v>449</v>
      </c>
      <c r="AD14" t="s">
        <v>448</v>
      </c>
      <c r="AE14">
        <v>64</v>
      </c>
      <c r="AF14">
        <v>13</v>
      </c>
      <c r="AH14" t="s">
        <v>389</v>
      </c>
      <c r="AJ14">
        <v>501</v>
      </c>
      <c r="AK14" t="s">
        <v>204</v>
      </c>
      <c r="AM14">
        <v>1529</v>
      </c>
      <c r="AN14">
        <v>524</v>
      </c>
    </row>
    <row r="15" spans="1:40" x14ac:dyDescent="0.25">
      <c r="B15" t="s">
        <v>333</v>
      </c>
      <c r="C15" t="s">
        <v>334</v>
      </c>
      <c r="D15" t="s">
        <v>335</v>
      </c>
      <c r="H15" t="s">
        <v>447</v>
      </c>
      <c r="AC15" t="s">
        <v>449</v>
      </c>
      <c r="AD15" t="s">
        <v>448</v>
      </c>
      <c r="AE15">
        <v>64</v>
      </c>
      <c r="AF15">
        <v>14</v>
      </c>
      <c r="AH15" t="s">
        <v>391</v>
      </c>
      <c r="AJ15">
        <v>604</v>
      </c>
      <c r="AK15" t="s">
        <v>205</v>
      </c>
      <c r="AM15">
        <v>1733</v>
      </c>
      <c r="AN15">
        <v>524</v>
      </c>
    </row>
    <row r="16" spans="1:40" x14ac:dyDescent="0.25">
      <c r="B16" t="s">
        <v>333</v>
      </c>
      <c r="C16" t="s">
        <v>334</v>
      </c>
      <c r="D16" t="s">
        <v>335</v>
      </c>
      <c r="H16" t="s">
        <v>447</v>
      </c>
      <c r="AC16" t="s">
        <v>449</v>
      </c>
      <c r="AD16" t="s">
        <v>448</v>
      </c>
      <c r="AE16">
        <v>64</v>
      </c>
      <c r="AF16">
        <v>15</v>
      </c>
      <c r="AH16" t="s">
        <v>389</v>
      </c>
      <c r="AJ16">
        <v>501</v>
      </c>
      <c r="AK16" t="s">
        <v>204</v>
      </c>
      <c r="AM16">
        <v>1938</v>
      </c>
      <c r="AN16">
        <v>524</v>
      </c>
    </row>
    <row r="17" spans="2:40" x14ac:dyDescent="0.25">
      <c r="B17" t="s">
        <v>333</v>
      </c>
      <c r="C17" t="s">
        <v>334</v>
      </c>
      <c r="D17" t="s">
        <v>335</v>
      </c>
      <c r="H17" t="s">
        <v>447</v>
      </c>
      <c r="AC17" t="s">
        <v>449</v>
      </c>
      <c r="AD17" t="s">
        <v>448</v>
      </c>
      <c r="AE17">
        <v>64</v>
      </c>
      <c r="AF17">
        <v>16</v>
      </c>
      <c r="AH17" t="s">
        <v>396</v>
      </c>
      <c r="AJ17">
        <v>303</v>
      </c>
      <c r="AK17" t="s">
        <v>202</v>
      </c>
      <c r="AM17">
        <v>2142</v>
      </c>
      <c r="AN17">
        <v>524</v>
      </c>
    </row>
    <row r="18" spans="2:40" x14ac:dyDescent="0.25">
      <c r="B18" t="s">
        <v>333</v>
      </c>
      <c r="C18" t="s">
        <v>334</v>
      </c>
      <c r="D18" t="s">
        <v>335</v>
      </c>
      <c r="H18" t="s">
        <v>447</v>
      </c>
      <c r="AC18" t="s">
        <v>449</v>
      </c>
      <c r="AD18" t="s">
        <v>448</v>
      </c>
      <c r="AE18">
        <v>64</v>
      </c>
      <c r="AF18">
        <v>17</v>
      </c>
      <c r="AH18" t="s">
        <v>360</v>
      </c>
      <c r="AJ18">
        <v>102</v>
      </c>
      <c r="AK18" t="s">
        <v>200</v>
      </c>
      <c r="AM18">
        <v>711</v>
      </c>
      <c r="AN18">
        <v>729</v>
      </c>
    </row>
    <row r="19" spans="2:40" x14ac:dyDescent="0.25">
      <c r="B19" t="s">
        <v>333</v>
      </c>
      <c r="C19" t="s">
        <v>334</v>
      </c>
      <c r="D19" t="s">
        <v>335</v>
      </c>
      <c r="H19" t="s">
        <v>447</v>
      </c>
      <c r="AC19" t="s">
        <v>449</v>
      </c>
      <c r="AD19" t="s">
        <v>448</v>
      </c>
      <c r="AE19">
        <v>64</v>
      </c>
      <c r="AF19">
        <v>18</v>
      </c>
      <c r="AH19" t="s">
        <v>390</v>
      </c>
      <c r="AJ19">
        <v>903</v>
      </c>
      <c r="AK19" t="s">
        <v>208</v>
      </c>
      <c r="AM19">
        <v>915</v>
      </c>
      <c r="AN19">
        <v>729</v>
      </c>
    </row>
    <row r="20" spans="2:40" x14ac:dyDescent="0.25">
      <c r="B20" t="s">
        <v>333</v>
      </c>
      <c r="C20" t="s">
        <v>334</v>
      </c>
      <c r="D20" t="s">
        <v>335</v>
      </c>
      <c r="H20" t="s">
        <v>447</v>
      </c>
      <c r="AC20" t="s">
        <v>449</v>
      </c>
      <c r="AD20" t="s">
        <v>448</v>
      </c>
      <c r="AE20">
        <v>64</v>
      </c>
      <c r="AF20">
        <v>19</v>
      </c>
      <c r="AH20" t="s">
        <v>390</v>
      </c>
      <c r="AJ20">
        <v>903</v>
      </c>
      <c r="AK20" t="s">
        <v>208</v>
      </c>
      <c r="AM20">
        <v>1120</v>
      </c>
      <c r="AN20">
        <v>729</v>
      </c>
    </row>
    <row r="21" spans="2:40" x14ac:dyDescent="0.25">
      <c r="B21" t="s">
        <v>333</v>
      </c>
      <c r="C21" t="s">
        <v>334</v>
      </c>
      <c r="D21" t="s">
        <v>335</v>
      </c>
      <c r="H21" t="s">
        <v>447</v>
      </c>
      <c r="AC21" t="s">
        <v>449</v>
      </c>
      <c r="AD21" t="s">
        <v>448</v>
      </c>
      <c r="AE21">
        <v>64</v>
      </c>
      <c r="AF21">
        <v>20</v>
      </c>
      <c r="AH21" t="s">
        <v>391</v>
      </c>
      <c r="AJ21">
        <v>604</v>
      </c>
      <c r="AK21" t="s">
        <v>205</v>
      </c>
      <c r="AM21">
        <v>1324</v>
      </c>
      <c r="AN21">
        <v>729</v>
      </c>
    </row>
    <row r="22" spans="2:40" x14ac:dyDescent="0.25">
      <c r="B22" t="s">
        <v>333</v>
      </c>
      <c r="C22" t="s">
        <v>334</v>
      </c>
      <c r="D22" t="s">
        <v>335</v>
      </c>
      <c r="H22" t="s">
        <v>447</v>
      </c>
      <c r="AC22" t="s">
        <v>449</v>
      </c>
      <c r="AD22" t="s">
        <v>448</v>
      </c>
      <c r="AE22">
        <v>64</v>
      </c>
      <c r="AF22">
        <v>21</v>
      </c>
      <c r="AH22" t="s">
        <v>389</v>
      </c>
      <c r="AJ22">
        <v>501</v>
      </c>
      <c r="AK22" t="s">
        <v>204</v>
      </c>
      <c r="AM22">
        <v>1529</v>
      </c>
      <c r="AN22">
        <v>729</v>
      </c>
    </row>
    <row r="23" spans="2:40" x14ac:dyDescent="0.25">
      <c r="B23" t="s">
        <v>333</v>
      </c>
      <c r="C23" t="s">
        <v>334</v>
      </c>
      <c r="D23" t="s">
        <v>335</v>
      </c>
      <c r="H23" t="s">
        <v>447</v>
      </c>
      <c r="AC23" t="s">
        <v>449</v>
      </c>
      <c r="AD23" t="s">
        <v>448</v>
      </c>
      <c r="AE23">
        <v>64</v>
      </c>
      <c r="AF23">
        <v>22</v>
      </c>
      <c r="AH23" t="s">
        <v>360</v>
      </c>
      <c r="AJ23">
        <v>102</v>
      </c>
      <c r="AK23" t="s">
        <v>200</v>
      </c>
      <c r="AM23">
        <v>1733</v>
      </c>
      <c r="AN23">
        <v>729</v>
      </c>
    </row>
    <row r="24" spans="2:40" x14ac:dyDescent="0.25">
      <c r="B24" t="s">
        <v>333</v>
      </c>
      <c r="C24" t="s">
        <v>334</v>
      </c>
      <c r="D24" t="s">
        <v>335</v>
      </c>
      <c r="H24" t="s">
        <v>447</v>
      </c>
      <c r="AC24" t="s">
        <v>449</v>
      </c>
      <c r="AD24" t="s">
        <v>448</v>
      </c>
      <c r="AE24">
        <v>64</v>
      </c>
      <c r="AF24">
        <v>23</v>
      </c>
      <c r="AH24" t="s">
        <v>389</v>
      </c>
      <c r="AJ24">
        <v>501</v>
      </c>
      <c r="AK24" t="s">
        <v>204</v>
      </c>
      <c r="AM24">
        <v>1938</v>
      </c>
      <c r="AN24">
        <v>729</v>
      </c>
    </row>
    <row r="25" spans="2:40" x14ac:dyDescent="0.25">
      <c r="B25" t="s">
        <v>333</v>
      </c>
      <c r="C25" t="s">
        <v>334</v>
      </c>
      <c r="D25" t="s">
        <v>335</v>
      </c>
      <c r="H25" t="s">
        <v>447</v>
      </c>
      <c r="AC25" t="s">
        <v>449</v>
      </c>
      <c r="AD25" t="s">
        <v>448</v>
      </c>
      <c r="AE25">
        <v>64</v>
      </c>
      <c r="AF25">
        <v>24</v>
      </c>
      <c r="AH25" t="s">
        <v>396</v>
      </c>
      <c r="AJ25">
        <v>303</v>
      </c>
      <c r="AK25" t="s">
        <v>202</v>
      </c>
      <c r="AM25">
        <v>2142</v>
      </c>
      <c r="AN25">
        <v>729</v>
      </c>
    </row>
    <row r="26" spans="2:40" x14ac:dyDescent="0.25">
      <c r="B26" t="s">
        <v>333</v>
      </c>
      <c r="C26" t="s">
        <v>334</v>
      </c>
      <c r="D26" t="s">
        <v>335</v>
      </c>
      <c r="H26" t="s">
        <v>447</v>
      </c>
      <c r="AC26" t="s">
        <v>449</v>
      </c>
      <c r="AD26" t="s">
        <v>448</v>
      </c>
      <c r="AE26">
        <v>64</v>
      </c>
      <c r="AF26">
        <v>25</v>
      </c>
      <c r="AH26" t="s">
        <v>396</v>
      </c>
      <c r="AJ26">
        <v>303</v>
      </c>
      <c r="AK26" t="s">
        <v>202</v>
      </c>
      <c r="AM26">
        <v>711</v>
      </c>
      <c r="AN26">
        <v>933</v>
      </c>
    </row>
    <row r="27" spans="2:40" x14ac:dyDescent="0.25">
      <c r="B27" t="s">
        <v>333</v>
      </c>
      <c r="C27" t="s">
        <v>334</v>
      </c>
      <c r="D27" t="s">
        <v>335</v>
      </c>
      <c r="H27" t="s">
        <v>447</v>
      </c>
      <c r="AC27" t="s">
        <v>449</v>
      </c>
      <c r="AD27" t="s">
        <v>448</v>
      </c>
      <c r="AE27">
        <v>64</v>
      </c>
      <c r="AF27">
        <v>26</v>
      </c>
      <c r="AH27" t="s">
        <v>389</v>
      </c>
      <c r="AJ27">
        <v>501</v>
      </c>
      <c r="AK27" t="s">
        <v>204</v>
      </c>
      <c r="AM27">
        <v>915</v>
      </c>
      <c r="AN27">
        <v>933</v>
      </c>
    </row>
    <row r="28" spans="2:40" x14ac:dyDescent="0.25">
      <c r="B28" t="s">
        <v>333</v>
      </c>
      <c r="C28" t="s">
        <v>334</v>
      </c>
      <c r="D28" t="s">
        <v>335</v>
      </c>
      <c r="H28" t="s">
        <v>447</v>
      </c>
      <c r="AC28" t="s">
        <v>449</v>
      </c>
      <c r="AD28" t="s">
        <v>448</v>
      </c>
      <c r="AE28">
        <v>64</v>
      </c>
      <c r="AF28">
        <v>27</v>
      </c>
      <c r="AH28" t="s">
        <v>389</v>
      </c>
      <c r="AJ28">
        <v>501</v>
      </c>
      <c r="AK28" t="s">
        <v>204</v>
      </c>
      <c r="AM28">
        <v>1120</v>
      </c>
      <c r="AN28">
        <v>933</v>
      </c>
    </row>
    <row r="29" spans="2:40" x14ac:dyDescent="0.25">
      <c r="B29" t="s">
        <v>333</v>
      </c>
      <c r="C29" t="s">
        <v>334</v>
      </c>
      <c r="D29" t="s">
        <v>335</v>
      </c>
      <c r="H29" t="s">
        <v>447</v>
      </c>
      <c r="AC29" t="s">
        <v>449</v>
      </c>
      <c r="AD29" t="s">
        <v>448</v>
      </c>
      <c r="AE29">
        <v>64</v>
      </c>
      <c r="AF29">
        <v>28</v>
      </c>
      <c r="AH29" t="s">
        <v>389</v>
      </c>
      <c r="AJ29">
        <v>501</v>
      </c>
      <c r="AK29" t="s">
        <v>204</v>
      </c>
      <c r="AM29">
        <v>1324</v>
      </c>
      <c r="AN29">
        <v>933</v>
      </c>
    </row>
    <row r="30" spans="2:40" x14ac:dyDescent="0.25">
      <c r="B30" t="s">
        <v>333</v>
      </c>
      <c r="C30" t="s">
        <v>334</v>
      </c>
      <c r="D30" t="s">
        <v>335</v>
      </c>
      <c r="H30" t="s">
        <v>447</v>
      </c>
      <c r="AC30" t="s">
        <v>449</v>
      </c>
      <c r="AD30" t="s">
        <v>448</v>
      </c>
      <c r="AE30">
        <v>64</v>
      </c>
      <c r="AF30">
        <v>29</v>
      </c>
      <c r="AH30" t="s">
        <v>389</v>
      </c>
      <c r="AJ30">
        <v>501</v>
      </c>
      <c r="AK30" t="s">
        <v>204</v>
      </c>
      <c r="AM30">
        <v>1529</v>
      </c>
      <c r="AN30">
        <v>933</v>
      </c>
    </row>
    <row r="31" spans="2:40" x14ac:dyDescent="0.25">
      <c r="B31" t="s">
        <v>333</v>
      </c>
      <c r="C31" t="s">
        <v>334</v>
      </c>
      <c r="D31" t="s">
        <v>335</v>
      </c>
      <c r="H31" t="s">
        <v>447</v>
      </c>
      <c r="AC31" t="s">
        <v>449</v>
      </c>
      <c r="AD31" t="s">
        <v>448</v>
      </c>
      <c r="AE31">
        <v>64</v>
      </c>
      <c r="AF31">
        <v>30</v>
      </c>
      <c r="AH31" t="s">
        <v>389</v>
      </c>
      <c r="AJ31">
        <v>501</v>
      </c>
      <c r="AK31" t="s">
        <v>204</v>
      </c>
      <c r="AM31">
        <v>1733</v>
      </c>
      <c r="AN31">
        <v>933</v>
      </c>
    </row>
    <row r="32" spans="2:40" x14ac:dyDescent="0.25">
      <c r="B32" t="s">
        <v>333</v>
      </c>
      <c r="C32" t="s">
        <v>334</v>
      </c>
      <c r="D32" t="s">
        <v>335</v>
      </c>
      <c r="H32" t="s">
        <v>447</v>
      </c>
      <c r="AC32" t="s">
        <v>449</v>
      </c>
      <c r="AD32" t="s">
        <v>448</v>
      </c>
      <c r="AE32">
        <v>64</v>
      </c>
      <c r="AF32">
        <v>31</v>
      </c>
      <c r="AH32" t="s">
        <v>389</v>
      </c>
      <c r="AJ32">
        <v>501</v>
      </c>
      <c r="AK32" t="s">
        <v>204</v>
      </c>
      <c r="AM32">
        <v>1938</v>
      </c>
      <c r="AN32">
        <v>933</v>
      </c>
    </row>
    <row r="33" spans="2:40" x14ac:dyDescent="0.25">
      <c r="B33" t="s">
        <v>333</v>
      </c>
      <c r="C33" t="s">
        <v>334</v>
      </c>
      <c r="D33" t="s">
        <v>335</v>
      </c>
      <c r="H33" t="s">
        <v>447</v>
      </c>
      <c r="AC33" t="s">
        <v>449</v>
      </c>
      <c r="AD33" t="s">
        <v>448</v>
      </c>
      <c r="AE33">
        <v>64</v>
      </c>
      <c r="AF33">
        <v>32</v>
      </c>
      <c r="AH33" t="s">
        <v>396</v>
      </c>
      <c r="AJ33">
        <v>303</v>
      </c>
      <c r="AK33" t="s">
        <v>202</v>
      </c>
      <c r="AM33">
        <v>2142</v>
      </c>
      <c r="AN33">
        <v>933</v>
      </c>
    </row>
    <row r="34" spans="2:40" x14ac:dyDescent="0.25">
      <c r="B34" t="s">
        <v>333</v>
      </c>
      <c r="C34" t="s">
        <v>334</v>
      </c>
      <c r="D34" t="s">
        <v>335</v>
      </c>
      <c r="H34" t="s">
        <v>447</v>
      </c>
      <c r="AC34" t="s">
        <v>449</v>
      </c>
      <c r="AD34" t="s">
        <v>448</v>
      </c>
      <c r="AE34">
        <v>64</v>
      </c>
      <c r="AF34">
        <v>33</v>
      </c>
      <c r="AH34" t="s">
        <v>396</v>
      </c>
      <c r="AJ34">
        <v>303</v>
      </c>
      <c r="AK34" t="s">
        <v>202</v>
      </c>
      <c r="AM34">
        <v>711</v>
      </c>
      <c r="AN34">
        <v>1138</v>
      </c>
    </row>
    <row r="35" spans="2:40" x14ac:dyDescent="0.25">
      <c r="B35" t="s">
        <v>333</v>
      </c>
      <c r="C35" t="s">
        <v>334</v>
      </c>
      <c r="D35" t="s">
        <v>335</v>
      </c>
      <c r="H35" t="s">
        <v>447</v>
      </c>
      <c r="AC35" t="s">
        <v>449</v>
      </c>
      <c r="AD35" t="s">
        <v>448</v>
      </c>
      <c r="AE35">
        <v>64</v>
      </c>
      <c r="AF35">
        <v>34</v>
      </c>
      <c r="AH35" t="s">
        <v>389</v>
      </c>
      <c r="AJ35">
        <v>501</v>
      </c>
      <c r="AK35" t="s">
        <v>204</v>
      </c>
      <c r="AM35">
        <v>915</v>
      </c>
      <c r="AN35">
        <v>1138</v>
      </c>
    </row>
    <row r="36" spans="2:40" x14ac:dyDescent="0.25">
      <c r="B36" t="s">
        <v>333</v>
      </c>
      <c r="C36" t="s">
        <v>334</v>
      </c>
      <c r="D36" t="s">
        <v>335</v>
      </c>
      <c r="H36" t="s">
        <v>447</v>
      </c>
      <c r="AC36" t="s">
        <v>449</v>
      </c>
      <c r="AD36" t="s">
        <v>448</v>
      </c>
      <c r="AE36">
        <v>64</v>
      </c>
      <c r="AF36">
        <v>35</v>
      </c>
      <c r="AH36" t="s">
        <v>360</v>
      </c>
      <c r="AJ36">
        <v>102</v>
      </c>
      <c r="AK36" t="s">
        <v>200</v>
      </c>
      <c r="AM36">
        <v>1120</v>
      </c>
      <c r="AN36">
        <v>1138</v>
      </c>
    </row>
    <row r="37" spans="2:40" x14ac:dyDescent="0.25">
      <c r="B37" t="s">
        <v>333</v>
      </c>
      <c r="C37" t="s">
        <v>334</v>
      </c>
      <c r="D37" t="s">
        <v>335</v>
      </c>
      <c r="H37" t="s">
        <v>447</v>
      </c>
      <c r="AC37" t="s">
        <v>449</v>
      </c>
      <c r="AD37" t="s">
        <v>448</v>
      </c>
      <c r="AE37">
        <v>64</v>
      </c>
      <c r="AF37">
        <v>36</v>
      </c>
      <c r="AH37" t="s">
        <v>389</v>
      </c>
      <c r="AJ37">
        <v>501</v>
      </c>
      <c r="AK37" t="s">
        <v>204</v>
      </c>
      <c r="AM37">
        <v>1324</v>
      </c>
      <c r="AN37">
        <v>1138</v>
      </c>
    </row>
    <row r="38" spans="2:40" x14ac:dyDescent="0.25">
      <c r="B38" t="s">
        <v>333</v>
      </c>
      <c r="C38" t="s">
        <v>334</v>
      </c>
      <c r="D38" t="s">
        <v>335</v>
      </c>
      <c r="H38" t="s">
        <v>447</v>
      </c>
      <c r="AC38" t="s">
        <v>449</v>
      </c>
      <c r="AD38" t="s">
        <v>448</v>
      </c>
      <c r="AE38">
        <v>64</v>
      </c>
      <c r="AF38">
        <v>37</v>
      </c>
      <c r="AH38" t="s">
        <v>391</v>
      </c>
      <c r="AJ38">
        <v>604</v>
      </c>
      <c r="AK38" t="s">
        <v>205</v>
      </c>
      <c r="AM38">
        <v>1529</v>
      </c>
      <c r="AN38">
        <v>1138</v>
      </c>
    </row>
    <row r="39" spans="2:40" x14ac:dyDescent="0.25">
      <c r="B39" t="s">
        <v>333</v>
      </c>
      <c r="C39" t="s">
        <v>334</v>
      </c>
      <c r="D39" t="s">
        <v>335</v>
      </c>
      <c r="H39" t="s">
        <v>447</v>
      </c>
      <c r="AC39" t="s">
        <v>449</v>
      </c>
      <c r="AD39" t="s">
        <v>448</v>
      </c>
      <c r="AE39">
        <v>64</v>
      </c>
      <c r="AF39">
        <v>38</v>
      </c>
      <c r="AH39" t="s">
        <v>391</v>
      </c>
      <c r="AJ39">
        <v>604</v>
      </c>
      <c r="AK39" t="s">
        <v>205</v>
      </c>
      <c r="AM39">
        <v>1733</v>
      </c>
      <c r="AN39">
        <v>1138</v>
      </c>
    </row>
    <row r="40" spans="2:40" x14ac:dyDescent="0.25">
      <c r="B40" t="s">
        <v>333</v>
      </c>
      <c r="C40" t="s">
        <v>334</v>
      </c>
      <c r="D40" t="s">
        <v>335</v>
      </c>
      <c r="H40" t="s">
        <v>447</v>
      </c>
      <c r="AC40" t="s">
        <v>449</v>
      </c>
      <c r="AD40" t="s">
        <v>448</v>
      </c>
      <c r="AE40">
        <v>64</v>
      </c>
      <c r="AF40">
        <v>39</v>
      </c>
      <c r="AH40" t="s">
        <v>389</v>
      </c>
      <c r="AJ40">
        <v>501</v>
      </c>
      <c r="AK40" t="s">
        <v>204</v>
      </c>
      <c r="AM40">
        <v>1938</v>
      </c>
      <c r="AN40">
        <v>1138</v>
      </c>
    </row>
    <row r="41" spans="2:40" x14ac:dyDescent="0.25">
      <c r="B41" t="s">
        <v>333</v>
      </c>
      <c r="C41" t="s">
        <v>334</v>
      </c>
      <c r="D41" t="s">
        <v>335</v>
      </c>
      <c r="H41" t="s">
        <v>447</v>
      </c>
      <c r="AC41" t="s">
        <v>449</v>
      </c>
      <c r="AD41" t="s">
        <v>448</v>
      </c>
      <c r="AE41">
        <v>64</v>
      </c>
      <c r="AF41">
        <v>40</v>
      </c>
      <c r="AH41" t="s">
        <v>396</v>
      </c>
      <c r="AJ41">
        <v>303</v>
      </c>
      <c r="AK41" t="s">
        <v>202</v>
      </c>
      <c r="AM41">
        <v>2142</v>
      </c>
      <c r="AN41">
        <v>1138</v>
      </c>
    </row>
    <row r="42" spans="2:40" x14ac:dyDescent="0.25">
      <c r="B42" t="s">
        <v>333</v>
      </c>
      <c r="C42" t="s">
        <v>334</v>
      </c>
      <c r="D42" t="s">
        <v>335</v>
      </c>
      <c r="H42" t="s">
        <v>447</v>
      </c>
      <c r="AC42" t="s">
        <v>449</v>
      </c>
      <c r="AD42" t="s">
        <v>448</v>
      </c>
      <c r="AE42">
        <v>64</v>
      </c>
      <c r="AF42">
        <v>41</v>
      </c>
      <c r="AH42" t="s">
        <v>396</v>
      </c>
      <c r="AJ42">
        <v>303</v>
      </c>
      <c r="AK42" t="s">
        <v>202</v>
      </c>
      <c r="AM42">
        <v>711</v>
      </c>
      <c r="AN42">
        <v>1342</v>
      </c>
    </row>
    <row r="43" spans="2:40" x14ac:dyDescent="0.25">
      <c r="B43" t="s">
        <v>333</v>
      </c>
      <c r="C43" t="s">
        <v>334</v>
      </c>
      <c r="D43" t="s">
        <v>335</v>
      </c>
      <c r="H43" t="s">
        <v>447</v>
      </c>
      <c r="AC43" t="s">
        <v>449</v>
      </c>
      <c r="AD43" t="s">
        <v>448</v>
      </c>
      <c r="AE43">
        <v>64</v>
      </c>
      <c r="AF43">
        <v>42</v>
      </c>
      <c r="AH43" t="s">
        <v>390</v>
      </c>
      <c r="AJ43">
        <v>903</v>
      </c>
      <c r="AK43" t="s">
        <v>208</v>
      </c>
      <c r="AM43">
        <v>915</v>
      </c>
      <c r="AN43">
        <v>1342</v>
      </c>
    </row>
    <row r="44" spans="2:40" x14ac:dyDescent="0.25">
      <c r="B44" t="s">
        <v>333</v>
      </c>
      <c r="C44" t="s">
        <v>334</v>
      </c>
      <c r="D44" t="s">
        <v>335</v>
      </c>
      <c r="H44" t="s">
        <v>447</v>
      </c>
      <c r="AC44" t="s">
        <v>449</v>
      </c>
      <c r="AD44" t="s">
        <v>448</v>
      </c>
      <c r="AE44">
        <v>64</v>
      </c>
      <c r="AF44">
        <v>43</v>
      </c>
      <c r="AH44" t="s">
        <v>389</v>
      </c>
      <c r="AJ44">
        <v>501</v>
      </c>
      <c r="AK44" t="s">
        <v>204</v>
      </c>
      <c r="AM44">
        <v>1120</v>
      </c>
      <c r="AN44">
        <v>1342</v>
      </c>
    </row>
    <row r="45" spans="2:40" x14ac:dyDescent="0.25">
      <c r="B45" t="s">
        <v>333</v>
      </c>
      <c r="C45" t="s">
        <v>334</v>
      </c>
      <c r="D45" t="s">
        <v>335</v>
      </c>
      <c r="H45" t="s">
        <v>447</v>
      </c>
      <c r="AC45" t="s">
        <v>449</v>
      </c>
      <c r="AD45" t="s">
        <v>448</v>
      </c>
      <c r="AE45">
        <v>64</v>
      </c>
      <c r="AF45">
        <v>44</v>
      </c>
      <c r="AH45" t="s">
        <v>389</v>
      </c>
      <c r="AJ45">
        <v>501</v>
      </c>
      <c r="AK45" t="s">
        <v>204</v>
      </c>
      <c r="AM45">
        <v>1324</v>
      </c>
      <c r="AN45">
        <v>1342</v>
      </c>
    </row>
    <row r="46" spans="2:40" x14ac:dyDescent="0.25">
      <c r="B46" t="s">
        <v>333</v>
      </c>
      <c r="C46" t="s">
        <v>334</v>
      </c>
      <c r="D46" t="s">
        <v>335</v>
      </c>
      <c r="H46" t="s">
        <v>447</v>
      </c>
      <c r="AC46" t="s">
        <v>449</v>
      </c>
      <c r="AD46" t="s">
        <v>448</v>
      </c>
      <c r="AE46">
        <v>64</v>
      </c>
      <c r="AF46">
        <v>45</v>
      </c>
      <c r="AH46" t="s">
        <v>402</v>
      </c>
      <c r="AJ46">
        <v>603</v>
      </c>
      <c r="AK46" t="s">
        <v>205</v>
      </c>
      <c r="AM46">
        <v>1529</v>
      </c>
      <c r="AN46">
        <v>1342</v>
      </c>
    </row>
    <row r="47" spans="2:40" x14ac:dyDescent="0.25">
      <c r="B47" t="s">
        <v>333</v>
      </c>
      <c r="C47" t="s">
        <v>334</v>
      </c>
      <c r="D47" t="s">
        <v>335</v>
      </c>
      <c r="H47" t="s">
        <v>447</v>
      </c>
      <c r="AC47" t="s">
        <v>449</v>
      </c>
      <c r="AD47" t="s">
        <v>448</v>
      </c>
      <c r="AE47">
        <v>64</v>
      </c>
      <c r="AF47">
        <v>46</v>
      </c>
      <c r="AH47" t="s">
        <v>391</v>
      </c>
      <c r="AJ47">
        <v>604</v>
      </c>
      <c r="AK47" t="s">
        <v>205</v>
      </c>
      <c r="AM47">
        <v>1733</v>
      </c>
      <c r="AN47">
        <v>1342</v>
      </c>
    </row>
    <row r="48" spans="2:40" x14ac:dyDescent="0.25">
      <c r="B48" t="s">
        <v>333</v>
      </c>
      <c r="C48" t="s">
        <v>334</v>
      </c>
      <c r="D48" t="s">
        <v>335</v>
      </c>
      <c r="H48" t="s">
        <v>447</v>
      </c>
      <c r="AC48" t="s">
        <v>449</v>
      </c>
      <c r="AD48" t="s">
        <v>448</v>
      </c>
      <c r="AE48">
        <v>64</v>
      </c>
      <c r="AF48">
        <v>47</v>
      </c>
      <c r="AH48" t="s">
        <v>389</v>
      </c>
      <c r="AJ48">
        <v>501</v>
      </c>
      <c r="AK48" t="s">
        <v>204</v>
      </c>
      <c r="AM48">
        <v>1938</v>
      </c>
      <c r="AN48">
        <v>1342</v>
      </c>
    </row>
    <row r="49" spans="2:40" x14ac:dyDescent="0.25">
      <c r="B49" t="s">
        <v>333</v>
      </c>
      <c r="C49" t="s">
        <v>334</v>
      </c>
      <c r="D49" t="s">
        <v>335</v>
      </c>
      <c r="H49" t="s">
        <v>447</v>
      </c>
      <c r="AC49" t="s">
        <v>449</v>
      </c>
      <c r="AD49" t="s">
        <v>448</v>
      </c>
      <c r="AE49">
        <v>64</v>
      </c>
      <c r="AF49">
        <v>48</v>
      </c>
      <c r="AH49" t="s">
        <v>389</v>
      </c>
      <c r="AJ49">
        <v>501</v>
      </c>
      <c r="AK49" t="s">
        <v>204</v>
      </c>
      <c r="AM49">
        <v>2142</v>
      </c>
      <c r="AN49">
        <v>1342</v>
      </c>
    </row>
    <row r="50" spans="2:40" x14ac:dyDescent="0.25">
      <c r="B50" t="s">
        <v>333</v>
      </c>
      <c r="C50" t="s">
        <v>334</v>
      </c>
      <c r="D50" t="s">
        <v>335</v>
      </c>
      <c r="H50" t="s">
        <v>447</v>
      </c>
      <c r="AC50" t="s">
        <v>449</v>
      </c>
      <c r="AD50" t="s">
        <v>448</v>
      </c>
      <c r="AE50">
        <v>64</v>
      </c>
      <c r="AF50">
        <v>49</v>
      </c>
      <c r="AH50" t="s">
        <v>396</v>
      </c>
      <c r="AJ50">
        <v>303</v>
      </c>
      <c r="AK50" t="s">
        <v>202</v>
      </c>
      <c r="AM50">
        <v>711</v>
      </c>
      <c r="AN50">
        <v>1547</v>
      </c>
    </row>
    <row r="51" spans="2:40" x14ac:dyDescent="0.25">
      <c r="B51" t="s">
        <v>333</v>
      </c>
      <c r="C51" t="s">
        <v>334</v>
      </c>
      <c r="D51" t="s">
        <v>335</v>
      </c>
      <c r="H51" t="s">
        <v>447</v>
      </c>
      <c r="AC51" t="s">
        <v>449</v>
      </c>
      <c r="AD51" t="s">
        <v>448</v>
      </c>
      <c r="AE51">
        <v>64</v>
      </c>
      <c r="AF51">
        <v>50</v>
      </c>
      <c r="AH51" t="s">
        <v>389</v>
      </c>
      <c r="AJ51">
        <v>501</v>
      </c>
      <c r="AK51" t="s">
        <v>204</v>
      </c>
      <c r="AM51">
        <v>915</v>
      </c>
      <c r="AN51">
        <v>1547</v>
      </c>
    </row>
    <row r="52" spans="2:40" x14ac:dyDescent="0.25">
      <c r="B52" t="s">
        <v>333</v>
      </c>
      <c r="C52" t="s">
        <v>334</v>
      </c>
      <c r="D52" t="s">
        <v>335</v>
      </c>
      <c r="H52" t="s">
        <v>447</v>
      </c>
      <c r="AC52" t="s">
        <v>449</v>
      </c>
      <c r="AD52" t="s">
        <v>448</v>
      </c>
      <c r="AE52">
        <v>64</v>
      </c>
      <c r="AF52">
        <v>51</v>
      </c>
      <c r="AH52" t="s">
        <v>389</v>
      </c>
      <c r="AJ52">
        <v>501</v>
      </c>
      <c r="AK52" t="s">
        <v>204</v>
      </c>
      <c r="AM52">
        <v>1120</v>
      </c>
      <c r="AN52">
        <v>1547</v>
      </c>
    </row>
    <row r="53" spans="2:40" x14ac:dyDescent="0.25">
      <c r="B53" t="s">
        <v>333</v>
      </c>
      <c r="C53" t="s">
        <v>334</v>
      </c>
      <c r="D53" t="s">
        <v>335</v>
      </c>
      <c r="H53" t="s">
        <v>447</v>
      </c>
      <c r="AC53" t="s">
        <v>449</v>
      </c>
      <c r="AD53" t="s">
        <v>448</v>
      </c>
      <c r="AE53">
        <v>64</v>
      </c>
      <c r="AF53">
        <v>52</v>
      </c>
      <c r="AH53" t="s">
        <v>389</v>
      </c>
      <c r="AJ53">
        <v>501</v>
      </c>
      <c r="AK53" t="s">
        <v>204</v>
      </c>
      <c r="AM53">
        <v>1324</v>
      </c>
      <c r="AN53">
        <v>1547</v>
      </c>
    </row>
    <row r="54" spans="2:40" x14ac:dyDescent="0.25">
      <c r="B54" t="s">
        <v>333</v>
      </c>
      <c r="C54" t="s">
        <v>334</v>
      </c>
      <c r="D54" t="s">
        <v>335</v>
      </c>
      <c r="H54" t="s">
        <v>447</v>
      </c>
      <c r="AC54" t="s">
        <v>449</v>
      </c>
      <c r="AD54" t="s">
        <v>448</v>
      </c>
      <c r="AE54">
        <v>64</v>
      </c>
      <c r="AF54">
        <v>53</v>
      </c>
      <c r="AH54" t="s">
        <v>391</v>
      </c>
      <c r="AJ54">
        <v>604</v>
      </c>
      <c r="AK54" t="s">
        <v>205</v>
      </c>
      <c r="AM54">
        <v>1529</v>
      </c>
      <c r="AN54">
        <v>1547</v>
      </c>
    </row>
    <row r="55" spans="2:40" x14ac:dyDescent="0.25">
      <c r="B55" t="s">
        <v>333</v>
      </c>
      <c r="C55" t="s">
        <v>334</v>
      </c>
      <c r="D55" t="s">
        <v>335</v>
      </c>
      <c r="H55" t="s">
        <v>447</v>
      </c>
      <c r="AC55" t="s">
        <v>449</v>
      </c>
      <c r="AD55" t="s">
        <v>448</v>
      </c>
      <c r="AE55">
        <v>64</v>
      </c>
      <c r="AF55">
        <v>54</v>
      </c>
      <c r="AH55" t="s">
        <v>390</v>
      </c>
      <c r="AJ55">
        <v>903</v>
      </c>
      <c r="AK55" t="s">
        <v>208</v>
      </c>
      <c r="AM55">
        <v>1733</v>
      </c>
      <c r="AN55">
        <v>1547</v>
      </c>
    </row>
    <row r="56" spans="2:40" x14ac:dyDescent="0.25">
      <c r="B56" t="s">
        <v>333</v>
      </c>
      <c r="C56" t="s">
        <v>334</v>
      </c>
      <c r="D56" t="s">
        <v>335</v>
      </c>
      <c r="H56" t="s">
        <v>447</v>
      </c>
      <c r="AC56" t="s">
        <v>449</v>
      </c>
      <c r="AD56" t="s">
        <v>448</v>
      </c>
      <c r="AE56">
        <v>64</v>
      </c>
      <c r="AF56">
        <v>55</v>
      </c>
      <c r="AH56" t="s">
        <v>389</v>
      </c>
      <c r="AJ56">
        <v>501</v>
      </c>
      <c r="AK56" t="s">
        <v>204</v>
      </c>
      <c r="AM56">
        <v>1938</v>
      </c>
      <c r="AN56">
        <v>1547</v>
      </c>
    </row>
    <row r="57" spans="2:40" x14ac:dyDescent="0.25">
      <c r="B57" t="s">
        <v>333</v>
      </c>
      <c r="C57" t="s">
        <v>334</v>
      </c>
      <c r="D57" t="s">
        <v>335</v>
      </c>
      <c r="H57" t="s">
        <v>447</v>
      </c>
      <c r="AC57" t="s">
        <v>449</v>
      </c>
      <c r="AD57" t="s">
        <v>448</v>
      </c>
      <c r="AE57">
        <v>64</v>
      </c>
      <c r="AF57">
        <v>56</v>
      </c>
      <c r="AH57" t="s">
        <v>396</v>
      </c>
      <c r="AJ57">
        <v>303</v>
      </c>
      <c r="AK57" t="s">
        <v>202</v>
      </c>
      <c r="AM57">
        <v>2142</v>
      </c>
      <c r="AN57">
        <v>1547</v>
      </c>
    </row>
    <row r="58" spans="2:40" x14ac:dyDescent="0.25">
      <c r="B58" t="s">
        <v>333</v>
      </c>
      <c r="C58" t="s">
        <v>334</v>
      </c>
      <c r="D58" t="s">
        <v>335</v>
      </c>
      <c r="H58" t="s">
        <v>447</v>
      </c>
      <c r="AC58" t="s">
        <v>449</v>
      </c>
      <c r="AD58" t="s">
        <v>448</v>
      </c>
      <c r="AE58">
        <v>64</v>
      </c>
      <c r="AF58">
        <v>57</v>
      </c>
      <c r="AH58" t="s">
        <v>396</v>
      </c>
      <c r="AJ58">
        <v>303</v>
      </c>
      <c r="AK58" t="s">
        <v>202</v>
      </c>
      <c r="AM58">
        <v>711</v>
      </c>
      <c r="AN58">
        <v>1751</v>
      </c>
    </row>
    <row r="59" spans="2:40" x14ac:dyDescent="0.25">
      <c r="B59" t="s">
        <v>333</v>
      </c>
      <c r="C59" t="s">
        <v>334</v>
      </c>
      <c r="D59" t="s">
        <v>335</v>
      </c>
      <c r="H59" t="s">
        <v>447</v>
      </c>
      <c r="AC59" t="s">
        <v>449</v>
      </c>
      <c r="AD59" t="s">
        <v>448</v>
      </c>
      <c r="AE59">
        <v>64</v>
      </c>
      <c r="AF59">
        <v>58</v>
      </c>
      <c r="AH59" t="s">
        <v>396</v>
      </c>
      <c r="AJ59">
        <v>303</v>
      </c>
      <c r="AK59" t="s">
        <v>202</v>
      </c>
      <c r="AM59">
        <v>915</v>
      </c>
      <c r="AN59">
        <v>1751</v>
      </c>
    </row>
    <row r="60" spans="2:40" x14ac:dyDescent="0.25">
      <c r="B60" t="s">
        <v>333</v>
      </c>
      <c r="C60" t="s">
        <v>334</v>
      </c>
      <c r="D60" t="s">
        <v>335</v>
      </c>
      <c r="H60" t="s">
        <v>447</v>
      </c>
      <c r="AC60" t="s">
        <v>449</v>
      </c>
      <c r="AD60" t="s">
        <v>448</v>
      </c>
      <c r="AE60">
        <v>64</v>
      </c>
      <c r="AF60">
        <v>59</v>
      </c>
      <c r="AH60" t="s">
        <v>396</v>
      </c>
      <c r="AJ60">
        <v>303</v>
      </c>
      <c r="AK60" t="s">
        <v>202</v>
      </c>
      <c r="AM60">
        <v>1120</v>
      </c>
      <c r="AN60">
        <v>1751</v>
      </c>
    </row>
    <row r="61" spans="2:40" x14ac:dyDescent="0.25">
      <c r="B61" t="s">
        <v>333</v>
      </c>
      <c r="C61" t="s">
        <v>334</v>
      </c>
      <c r="D61" t="s">
        <v>335</v>
      </c>
      <c r="H61" t="s">
        <v>447</v>
      </c>
      <c r="AC61" t="s">
        <v>449</v>
      </c>
      <c r="AD61" t="s">
        <v>448</v>
      </c>
      <c r="AE61">
        <v>64</v>
      </c>
      <c r="AF61">
        <v>60</v>
      </c>
      <c r="AH61" t="s">
        <v>396</v>
      </c>
      <c r="AJ61">
        <v>303</v>
      </c>
      <c r="AK61" t="s">
        <v>202</v>
      </c>
      <c r="AM61">
        <v>1324</v>
      </c>
      <c r="AN61">
        <v>1751</v>
      </c>
    </row>
    <row r="62" spans="2:40" x14ac:dyDescent="0.25">
      <c r="B62" t="s">
        <v>333</v>
      </c>
      <c r="C62" t="s">
        <v>334</v>
      </c>
      <c r="D62" t="s">
        <v>335</v>
      </c>
      <c r="H62" t="s">
        <v>447</v>
      </c>
      <c r="AC62" t="s">
        <v>449</v>
      </c>
      <c r="AD62" t="s">
        <v>448</v>
      </c>
      <c r="AE62">
        <v>64</v>
      </c>
      <c r="AF62">
        <v>61</v>
      </c>
      <c r="AH62" t="s">
        <v>450</v>
      </c>
      <c r="AJ62">
        <v>502</v>
      </c>
      <c r="AK62" t="s">
        <v>204</v>
      </c>
      <c r="AM62">
        <v>1529</v>
      </c>
      <c r="AN62">
        <v>1751</v>
      </c>
    </row>
    <row r="63" spans="2:40" x14ac:dyDescent="0.25">
      <c r="B63" t="s">
        <v>333</v>
      </c>
      <c r="C63" t="s">
        <v>334</v>
      </c>
      <c r="D63" t="s">
        <v>335</v>
      </c>
      <c r="H63" t="s">
        <v>447</v>
      </c>
      <c r="AC63" t="s">
        <v>449</v>
      </c>
      <c r="AD63" t="s">
        <v>448</v>
      </c>
      <c r="AE63">
        <v>64</v>
      </c>
      <c r="AF63">
        <v>62</v>
      </c>
      <c r="AH63" t="s">
        <v>450</v>
      </c>
      <c r="AJ63">
        <v>502</v>
      </c>
      <c r="AK63" t="s">
        <v>204</v>
      </c>
      <c r="AM63">
        <v>1733</v>
      </c>
      <c r="AN63">
        <v>1751</v>
      </c>
    </row>
    <row r="64" spans="2:40" x14ac:dyDescent="0.25">
      <c r="B64" t="s">
        <v>333</v>
      </c>
      <c r="C64" t="s">
        <v>334</v>
      </c>
      <c r="D64" t="s">
        <v>335</v>
      </c>
      <c r="H64" t="s">
        <v>447</v>
      </c>
      <c r="AC64" t="s">
        <v>449</v>
      </c>
      <c r="AD64" t="s">
        <v>448</v>
      </c>
      <c r="AE64">
        <v>64</v>
      </c>
      <c r="AF64">
        <v>63</v>
      </c>
      <c r="AH64" t="s">
        <v>396</v>
      </c>
      <c r="AJ64">
        <v>303</v>
      </c>
      <c r="AK64" t="s">
        <v>202</v>
      </c>
      <c r="AM64">
        <v>1938</v>
      </c>
      <c r="AN64">
        <v>1751</v>
      </c>
    </row>
    <row r="65" spans="2:40" x14ac:dyDescent="0.25">
      <c r="B65" t="s">
        <v>333</v>
      </c>
      <c r="C65" t="s">
        <v>334</v>
      </c>
      <c r="D65" t="s">
        <v>335</v>
      </c>
      <c r="H65" t="s">
        <v>447</v>
      </c>
      <c r="AC65" t="s">
        <v>449</v>
      </c>
      <c r="AD65" t="s">
        <v>448</v>
      </c>
      <c r="AE65">
        <v>64</v>
      </c>
      <c r="AF65">
        <v>64</v>
      </c>
      <c r="AH65" t="s">
        <v>420</v>
      </c>
      <c r="AJ65">
        <v>104</v>
      </c>
      <c r="AK65" t="s">
        <v>200</v>
      </c>
      <c r="AM65">
        <v>2142</v>
      </c>
      <c r="AN65">
        <v>1751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28515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42578125" bestFit="1" customWidth="1"/>
    <col min="30" max="30" width="43.5703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453</v>
      </c>
      <c r="AC2" t="s">
        <v>455</v>
      </c>
      <c r="AD2" t="s">
        <v>454</v>
      </c>
      <c r="AE2">
        <v>64</v>
      </c>
      <c r="AF2">
        <v>1</v>
      </c>
      <c r="AH2" t="s">
        <v>361</v>
      </c>
      <c r="AJ2">
        <v>109</v>
      </c>
      <c r="AK2" t="s">
        <v>200</v>
      </c>
      <c r="AM2">
        <v>667</v>
      </c>
      <c r="AN2">
        <v>290</v>
      </c>
    </row>
    <row r="3" spans="1:40" x14ac:dyDescent="0.25">
      <c r="B3" t="s">
        <v>333</v>
      </c>
      <c r="C3" t="s">
        <v>334</v>
      </c>
      <c r="D3" t="s">
        <v>335</v>
      </c>
      <c r="H3" t="s">
        <v>453</v>
      </c>
      <c r="AC3" t="s">
        <v>455</v>
      </c>
      <c r="AD3" t="s">
        <v>454</v>
      </c>
      <c r="AE3">
        <v>64</v>
      </c>
      <c r="AF3">
        <v>2</v>
      </c>
      <c r="AH3" t="s">
        <v>391</v>
      </c>
      <c r="AJ3">
        <v>604</v>
      </c>
      <c r="AK3" t="s">
        <v>205</v>
      </c>
      <c r="AM3">
        <v>873</v>
      </c>
      <c r="AN3">
        <v>290</v>
      </c>
    </row>
    <row r="4" spans="1:40" x14ac:dyDescent="0.25">
      <c r="B4" t="s">
        <v>333</v>
      </c>
      <c r="C4" t="s">
        <v>334</v>
      </c>
      <c r="D4" t="s">
        <v>335</v>
      </c>
      <c r="H4" t="s">
        <v>453</v>
      </c>
      <c r="AC4" t="s">
        <v>455</v>
      </c>
      <c r="AD4" t="s">
        <v>454</v>
      </c>
      <c r="AE4">
        <v>64</v>
      </c>
      <c r="AF4">
        <v>3</v>
      </c>
      <c r="AH4" t="s">
        <v>389</v>
      </c>
      <c r="AJ4">
        <v>501</v>
      </c>
      <c r="AK4" t="s">
        <v>204</v>
      </c>
      <c r="AM4">
        <v>1080</v>
      </c>
      <c r="AN4">
        <v>290</v>
      </c>
    </row>
    <row r="5" spans="1:40" x14ac:dyDescent="0.25">
      <c r="B5" t="s">
        <v>333</v>
      </c>
      <c r="C5" t="s">
        <v>334</v>
      </c>
      <c r="D5" t="s">
        <v>335</v>
      </c>
      <c r="H5" t="s">
        <v>453</v>
      </c>
      <c r="AC5" t="s">
        <v>455</v>
      </c>
      <c r="AD5" t="s">
        <v>454</v>
      </c>
      <c r="AE5">
        <v>64</v>
      </c>
      <c r="AF5">
        <v>4</v>
      </c>
      <c r="AH5" t="s">
        <v>389</v>
      </c>
      <c r="AJ5">
        <v>501</v>
      </c>
      <c r="AK5" t="s">
        <v>204</v>
      </c>
      <c r="AM5">
        <v>1287</v>
      </c>
      <c r="AN5">
        <v>290</v>
      </c>
    </row>
    <row r="6" spans="1:40" x14ac:dyDescent="0.25">
      <c r="B6" t="s">
        <v>333</v>
      </c>
      <c r="C6" t="s">
        <v>334</v>
      </c>
      <c r="D6" t="s">
        <v>335</v>
      </c>
      <c r="H6" t="s">
        <v>453</v>
      </c>
      <c r="AC6" t="s">
        <v>455</v>
      </c>
      <c r="AD6" t="s">
        <v>454</v>
      </c>
      <c r="AE6">
        <v>64</v>
      </c>
      <c r="AF6">
        <v>5</v>
      </c>
      <c r="AH6" t="s">
        <v>389</v>
      </c>
      <c r="AJ6">
        <v>501</v>
      </c>
      <c r="AK6" t="s">
        <v>204</v>
      </c>
      <c r="AM6">
        <v>1494</v>
      </c>
      <c r="AN6">
        <v>290</v>
      </c>
    </row>
    <row r="7" spans="1:40" x14ac:dyDescent="0.25">
      <c r="B7" t="s">
        <v>333</v>
      </c>
      <c r="C7" t="s">
        <v>334</v>
      </c>
      <c r="D7" t="s">
        <v>335</v>
      </c>
      <c r="H7" t="s">
        <v>453</v>
      </c>
      <c r="AC7" t="s">
        <v>455</v>
      </c>
      <c r="AD7" t="s">
        <v>454</v>
      </c>
      <c r="AE7">
        <v>64</v>
      </c>
      <c r="AF7">
        <v>6</v>
      </c>
      <c r="AH7" t="s">
        <v>360</v>
      </c>
      <c r="AJ7">
        <v>102</v>
      </c>
      <c r="AK7" t="s">
        <v>200</v>
      </c>
      <c r="AM7">
        <v>1701</v>
      </c>
      <c r="AN7">
        <v>290</v>
      </c>
    </row>
    <row r="8" spans="1:40" x14ac:dyDescent="0.25">
      <c r="B8" t="s">
        <v>333</v>
      </c>
      <c r="C8" t="s">
        <v>334</v>
      </c>
      <c r="D8" t="s">
        <v>335</v>
      </c>
      <c r="H8" t="s">
        <v>453</v>
      </c>
      <c r="AC8" t="s">
        <v>455</v>
      </c>
      <c r="AD8" t="s">
        <v>454</v>
      </c>
      <c r="AE8">
        <v>64</v>
      </c>
      <c r="AF8">
        <v>7</v>
      </c>
      <c r="AH8" t="s">
        <v>389</v>
      </c>
      <c r="AJ8">
        <v>501</v>
      </c>
      <c r="AK8" t="s">
        <v>204</v>
      </c>
      <c r="AM8">
        <v>1908</v>
      </c>
      <c r="AN8">
        <v>290</v>
      </c>
    </row>
    <row r="9" spans="1:40" x14ac:dyDescent="0.25">
      <c r="B9" t="s">
        <v>333</v>
      </c>
      <c r="C9" t="s">
        <v>334</v>
      </c>
      <c r="D9" t="s">
        <v>335</v>
      </c>
      <c r="H9" t="s">
        <v>453</v>
      </c>
      <c r="AC9" t="s">
        <v>455</v>
      </c>
      <c r="AD9" t="s">
        <v>454</v>
      </c>
      <c r="AE9">
        <v>64</v>
      </c>
      <c r="AF9">
        <v>8</v>
      </c>
      <c r="AH9" t="s">
        <v>420</v>
      </c>
      <c r="AJ9">
        <v>104</v>
      </c>
      <c r="AK9" t="s">
        <v>200</v>
      </c>
      <c r="AM9">
        <v>2115</v>
      </c>
      <c r="AN9">
        <v>290</v>
      </c>
    </row>
    <row r="10" spans="1:40" x14ac:dyDescent="0.25">
      <c r="B10" t="s">
        <v>333</v>
      </c>
      <c r="C10" t="s">
        <v>334</v>
      </c>
      <c r="D10" t="s">
        <v>335</v>
      </c>
      <c r="H10" t="s">
        <v>453</v>
      </c>
      <c r="AC10" t="s">
        <v>455</v>
      </c>
      <c r="AD10" t="s">
        <v>454</v>
      </c>
      <c r="AE10">
        <v>64</v>
      </c>
      <c r="AF10">
        <v>9</v>
      </c>
      <c r="AH10" t="s">
        <v>360</v>
      </c>
      <c r="AJ10">
        <v>102</v>
      </c>
      <c r="AK10" t="s">
        <v>200</v>
      </c>
      <c r="AM10">
        <v>667</v>
      </c>
      <c r="AN10">
        <v>497</v>
      </c>
    </row>
    <row r="11" spans="1:40" x14ac:dyDescent="0.25">
      <c r="B11" t="s">
        <v>333</v>
      </c>
      <c r="C11" t="s">
        <v>334</v>
      </c>
      <c r="D11" t="s">
        <v>335</v>
      </c>
      <c r="H11" t="s">
        <v>453</v>
      </c>
      <c r="AC11" t="s">
        <v>455</v>
      </c>
      <c r="AD11" t="s">
        <v>454</v>
      </c>
      <c r="AE11">
        <v>64</v>
      </c>
      <c r="AF11">
        <v>10</v>
      </c>
      <c r="AH11" t="s">
        <v>361</v>
      </c>
      <c r="AJ11">
        <v>109</v>
      </c>
      <c r="AK11" t="s">
        <v>200</v>
      </c>
      <c r="AM11">
        <v>873</v>
      </c>
      <c r="AN11">
        <v>497</v>
      </c>
    </row>
    <row r="12" spans="1:40" x14ac:dyDescent="0.25">
      <c r="B12" t="s">
        <v>333</v>
      </c>
      <c r="C12" t="s">
        <v>334</v>
      </c>
      <c r="D12" t="s">
        <v>335</v>
      </c>
      <c r="H12" t="s">
        <v>453</v>
      </c>
      <c r="AC12" t="s">
        <v>455</v>
      </c>
      <c r="AD12" t="s">
        <v>454</v>
      </c>
      <c r="AE12">
        <v>64</v>
      </c>
      <c r="AF12">
        <v>11</v>
      </c>
      <c r="AH12" t="s">
        <v>389</v>
      </c>
      <c r="AJ12">
        <v>501</v>
      </c>
      <c r="AK12" t="s">
        <v>204</v>
      </c>
      <c r="AM12">
        <v>1080</v>
      </c>
      <c r="AN12">
        <v>497</v>
      </c>
    </row>
    <row r="13" spans="1:40" x14ac:dyDescent="0.25">
      <c r="B13" t="s">
        <v>333</v>
      </c>
      <c r="C13" t="s">
        <v>334</v>
      </c>
      <c r="D13" t="s">
        <v>335</v>
      </c>
      <c r="H13" t="s">
        <v>453</v>
      </c>
      <c r="AC13" t="s">
        <v>455</v>
      </c>
      <c r="AD13" t="s">
        <v>454</v>
      </c>
      <c r="AE13">
        <v>64</v>
      </c>
      <c r="AF13">
        <v>12</v>
      </c>
      <c r="AH13" t="s">
        <v>390</v>
      </c>
      <c r="AJ13">
        <v>903</v>
      </c>
      <c r="AK13" t="s">
        <v>208</v>
      </c>
      <c r="AM13">
        <v>1287</v>
      </c>
      <c r="AN13">
        <v>497</v>
      </c>
    </row>
    <row r="14" spans="1:40" x14ac:dyDescent="0.25">
      <c r="B14" t="s">
        <v>333</v>
      </c>
      <c r="C14" t="s">
        <v>334</v>
      </c>
      <c r="D14" t="s">
        <v>335</v>
      </c>
      <c r="H14" t="s">
        <v>453</v>
      </c>
      <c r="AC14" t="s">
        <v>455</v>
      </c>
      <c r="AD14" t="s">
        <v>454</v>
      </c>
      <c r="AE14">
        <v>64</v>
      </c>
      <c r="AF14">
        <v>13</v>
      </c>
      <c r="AH14" t="s">
        <v>389</v>
      </c>
      <c r="AJ14">
        <v>501</v>
      </c>
      <c r="AK14" t="s">
        <v>204</v>
      </c>
      <c r="AM14">
        <v>1494</v>
      </c>
      <c r="AN14">
        <v>497</v>
      </c>
    </row>
    <row r="15" spans="1:40" x14ac:dyDescent="0.25">
      <c r="B15" t="s">
        <v>333</v>
      </c>
      <c r="C15" t="s">
        <v>334</v>
      </c>
      <c r="D15" t="s">
        <v>335</v>
      </c>
      <c r="H15" t="s">
        <v>453</v>
      </c>
      <c r="AC15" t="s">
        <v>455</v>
      </c>
      <c r="AD15" t="s">
        <v>454</v>
      </c>
      <c r="AE15">
        <v>64</v>
      </c>
      <c r="AF15">
        <v>14</v>
      </c>
      <c r="AH15" t="s">
        <v>402</v>
      </c>
      <c r="AJ15">
        <v>603</v>
      </c>
      <c r="AK15" t="s">
        <v>205</v>
      </c>
      <c r="AM15">
        <v>1701</v>
      </c>
      <c r="AN15">
        <v>497</v>
      </c>
    </row>
    <row r="16" spans="1:40" x14ac:dyDescent="0.25">
      <c r="B16" t="s">
        <v>333</v>
      </c>
      <c r="C16" t="s">
        <v>334</v>
      </c>
      <c r="D16" t="s">
        <v>335</v>
      </c>
      <c r="H16" t="s">
        <v>453</v>
      </c>
      <c r="AC16" t="s">
        <v>455</v>
      </c>
      <c r="AD16" t="s">
        <v>454</v>
      </c>
      <c r="AE16">
        <v>64</v>
      </c>
      <c r="AF16">
        <v>15</v>
      </c>
      <c r="AH16" t="s">
        <v>361</v>
      </c>
      <c r="AJ16">
        <v>109</v>
      </c>
      <c r="AK16" t="s">
        <v>200</v>
      </c>
      <c r="AM16">
        <v>1908</v>
      </c>
      <c r="AN16">
        <v>497</v>
      </c>
    </row>
    <row r="17" spans="2:40" x14ac:dyDescent="0.25">
      <c r="B17" t="s">
        <v>333</v>
      </c>
      <c r="C17" t="s">
        <v>334</v>
      </c>
      <c r="D17" t="s">
        <v>335</v>
      </c>
      <c r="H17" t="s">
        <v>453</v>
      </c>
      <c r="AC17" t="s">
        <v>455</v>
      </c>
      <c r="AD17" t="s">
        <v>454</v>
      </c>
      <c r="AE17">
        <v>64</v>
      </c>
      <c r="AF17">
        <v>16</v>
      </c>
      <c r="AH17" t="s">
        <v>389</v>
      </c>
      <c r="AJ17">
        <v>501</v>
      </c>
      <c r="AK17" t="s">
        <v>204</v>
      </c>
      <c r="AM17">
        <v>2115</v>
      </c>
      <c r="AN17">
        <v>497</v>
      </c>
    </row>
    <row r="18" spans="2:40" x14ac:dyDescent="0.25">
      <c r="B18" t="s">
        <v>333</v>
      </c>
      <c r="C18" t="s">
        <v>334</v>
      </c>
      <c r="D18" t="s">
        <v>335</v>
      </c>
      <c r="H18" t="s">
        <v>453</v>
      </c>
      <c r="AC18" t="s">
        <v>455</v>
      </c>
      <c r="AD18" t="s">
        <v>454</v>
      </c>
      <c r="AE18">
        <v>64</v>
      </c>
      <c r="AF18">
        <v>17</v>
      </c>
      <c r="AH18" t="s">
        <v>389</v>
      </c>
      <c r="AJ18">
        <v>501</v>
      </c>
      <c r="AK18" t="s">
        <v>204</v>
      </c>
      <c r="AM18">
        <v>667</v>
      </c>
      <c r="AN18">
        <v>704</v>
      </c>
    </row>
    <row r="19" spans="2:40" x14ac:dyDescent="0.25">
      <c r="B19" t="s">
        <v>333</v>
      </c>
      <c r="C19" t="s">
        <v>334</v>
      </c>
      <c r="D19" t="s">
        <v>335</v>
      </c>
      <c r="H19" t="s">
        <v>453</v>
      </c>
      <c r="AC19" t="s">
        <v>455</v>
      </c>
      <c r="AD19" t="s">
        <v>454</v>
      </c>
      <c r="AE19">
        <v>64</v>
      </c>
      <c r="AF19">
        <v>18</v>
      </c>
      <c r="AH19" t="s">
        <v>390</v>
      </c>
      <c r="AJ19">
        <v>903</v>
      </c>
      <c r="AK19" t="s">
        <v>208</v>
      </c>
      <c r="AM19">
        <v>873</v>
      </c>
      <c r="AN19">
        <v>704</v>
      </c>
    </row>
    <row r="20" spans="2:40" x14ac:dyDescent="0.25">
      <c r="B20" t="s">
        <v>333</v>
      </c>
      <c r="C20" t="s">
        <v>334</v>
      </c>
      <c r="D20" t="s">
        <v>335</v>
      </c>
      <c r="H20" t="s">
        <v>453</v>
      </c>
      <c r="AC20" t="s">
        <v>455</v>
      </c>
      <c r="AD20" t="s">
        <v>454</v>
      </c>
      <c r="AE20">
        <v>64</v>
      </c>
      <c r="AF20">
        <v>19</v>
      </c>
      <c r="AH20" t="s">
        <v>361</v>
      </c>
      <c r="AJ20">
        <v>109</v>
      </c>
      <c r="AK20" t="s">
        <v>200</v>
      </c>
      <c r="AM20">
        <v>1080</v>
      </c>
      <c r="AN20">
        <v>704</v>
      </c>
    </row>
    <row r="21" spans="2:40" x14ac:dyDescent="0.25">
      <c r="B21" t="s">
        <v>333</v>
      </c>
      <c r="C21" t="s">
        <v>334</v>
      </c>
      <c r="D21" t="s">
        <v>335</v>
      </c>
      <c r="H21" t="s">
        <v>453</v>
      </c>
      <c r="AC21" t="s">
        <v>455</v>
      </c>
      <c r="AD21" t="s">
        <v>454</v>
      </c>
      <c r="AE21">
        <v>64</v>
      </c>
      <c r="AF21">
        <v>20</v>
      </c>
      <c r="AH21" t="s">
        <v>390</v>
      </c>
      <c r="AJ21">
        <v>903</v>
      </c>
      <c r="AK21" t="s">
        <v>208</v>
      </c>
      <c r="AM21">
        <v>1287</v>
      </c>
      <c r="AN21">
        <v>704</v>
      </c>
    </row>
    <row r="22" spans="2:40" x14ac:dyDescent="0.25">
      <c r="B22" t="s">
        <v>333</v>
      </c>
      <c r="C22" t="s">
        <v>334</v>
      </c>
      <c r="D22" t="s">
        <v>335</v>
      </c>
      <c r="H22" t="s">
        <v>453</v>
      </c>
      <c r="AC22" t="s">
        <v>455</v>
      </c>
      <c r="AD22" t="s">
        <v>454</v>
      </c>
      <c r="AE22">
        <v>64</v>
      </c>
      <c r="AF22">
        <v>21</v>
      </c>
      <c r="AH22" t="s">
        <v>390</v>
      </c>
      <c r="AJ22">
        <v>903</v>
      </c>
      <c r="AK22" t="s">
        <v>208</v>
      </c>
      <c r="AM22">
        <v>1494</v>
      </c>
      <c r="AN22">
        <v>704</v>
      </c>
    </row>
    <row r="23" spans="2:40" x14ac:dyDescent="0.25">
      <c r="B23" t="s">
        <v>333</v>
      </c>
      <c r="C23" t="s">
        <v>334</v>
      </c>
      <c r="D23" t="s">
        <v>335</v>
      </c>
      <c r="H23" t="s">
        <v>453</v>
      </c>
      <c r="AC23" t="s">
        <v>455</v>
      </c>
      <c r="AD23" t="s">
        <v>454</v>
      </c>
      <c r="AE23">
        <v>64</v>
      </c>
      <c r="AF23">
        <v>22</v>
      </c>
      <c r="AH23" t="s">
        <v>361</v>
      </c>
      <c r="AJ23">
        <v>109</v>
      </c>
      <c r="AK23" t="s">
        <v>200</v>
      </c>
      <c r="AM23">
        <v>1701</v>
      </c>
      <c r="AN23">
        <v>704</v>
      </c>
    </row>
    <row r="24" spans="2:40" x14ac:dyDescent="0.25">
      <c r="B24" t="s">
        <v>333</v>
      </c>
      <c r="C24" t="s">
        <v>334</v>
      </c>
      <c r="D24" t="s">
        <v>335</v>
      </c>
      <c r="H24" t="s">
        <v>453</v>
      </c>
      <c r="AC24" t="s">
        <v>455</v>
      </c>
      <c r="AD24" t="s">
        <v>454</v>
      </c>
      <c r="AE24">
        <v>64</v>
      </c>
      <c r="AF24">
        <v>23</v>
      </c>
      <c r="AH24" t="s">
        <v>389</v>
      </c>
      <c r="AJ24">
        <v>501</v>
      </c>
      <c r="AK24" t="s">
        <v>204</v>
      </c>
      <c r="AM24">
        <v>1908</v>
      </c>
      <c r="AN24">
        <v>704</v>
      </c>
    </row>
    <row r="25" spans="2:40" x14ac:dyDescent="0.25">
      <c r="B25" t="s">
        <v>333</v>
      </c>
      <c r="C25" t="s">
        <v>334</v>
      </c>
      <c r="D25" t="s">
        <v>335</v>
      </c>
      <c r="H25" t="s">
        <v>453</v>
      </c>
      <c r="AC25" t="s">
        <v>455</v>
      </c>
      <c r="AD25" t="s">
        <v>454</v>
      </c>
      <c r="AE25">
        <v>64</v>
      </c>
      <c r="AF25">
        <v>24</v>
      </c>
      <c r="AH25" t="s">
        <v>402</v>
      </c>
      <c r="AJ25">
        <v>603</v>
      </c>
      <c r="AK25" t="s">
        <v>205</v>
      </c>
      <c r="AM25">
        <v>2115</v>
      </c>
      <c r="AN25">
        <v>704</v>
      </c>
    </row>
    <row r="26" spans="2:40" x14ac:dyDescent="0.25">
      <c r="B26" t="s">
        <v>333</v>
      </c>
      <c r="C26" t="s">
        <v>334</v>
      </c>
      <c r="D26" t="s">
        <v>335</v>
      </c>
      <c r="H26" t="s">
        <v>453</v>
      </c>
      <c r="AC26" t="s">
        <v>455</v>
      </c>
      <c r="AD26" t="s">
        <v>454</v>
      </c>
      <c r="AE26">
        <v>64</v>
      </c>
      <c r="AF26">
        <v>25</v>
      </c>
      <c r="AH26" t="s">
        <v>389</v>
      </c>
      <c r="AJ26">
        <v>501</v>
      </c>
      <c r="AK26" t="s">
        <v>204</v>
      </c>
      <c r="AM26">
        <v>667</v>
      </c>
      <c r="AN26">
        <v>911</v>
      </c>
    </row>
    <row r="27" spans="2:40" x14ac:dyDescent="0.25">
      <c r="B27" t="s">
        <v>333</v>
      </c>
      <c r="C27" t="s">
        <v>334</v>
      </c>
      <c r="D27" t="s">
        <v>335</v>
      </c>
      <c r="H27" t="s">
        <v>453</v>
      </c>
      <c r="AC27" t="s">
        <v>455</v>
      </c>
      <c r="AD27" t="s">
        <v>454</v>
      </c>
      <c r="AE27">
        <v>64</v>
      </c>
      <c r="AF27">
        <v>26</v>
      </c>
      <c r="AH27" t="s">
        <v>389</v>
      </c>
      <c r="AJ27">
        <v>501</v>
      </c>
      <c r="AK27" t="s">
        <v>204</v>
      </c>
      <c r="AM27">
        <v>873</v>
      </c>
      <c r="AN27">
        <v>911</v>
      </c>
    </row>
    <row r="28" spans="2:40" x14ac:dyDescent="0.25">
      <c r="B28" t="s">
        <v>333</v>
      </c>
      <c r="C28" t="s">
        <v>334</v>
      </c>
      <c r="D28" t="s">
        <v>335</v>
      </c>
      <c r="H28" t="s">
        <v>453</v>
      </c>
      <c r="AC28" t="s">
        <v>455</v>
      </c>
      <c r="AD28" t="s">
        <v>454</v>
      </c>
      <c r="AE28">
        <v>64</v>
      </c>
      <c r="AF28">
        <v>27</v>
      </c>
      <c r="AH28" t="s">
        <v>402</v>
      </c>
      <c r="AJ28">
        <v>603</v>
      </c>
      <c r="AK28" t="s">
        <v>205</v>
      </c>
      <c r="AM28">
        <v>1080</v>
      </c>
      <c r="AN28">
        <v>911</v>
      </c>
    </row>
    <row r="29" spans="2:40" x14ac:dyDescent="0.25">
      <c r="B29" t="s">
        <v>333</v>
      </c>
      <c r="C29" t="s">
        <v>334</v>
      </c>
      <c r="D29" t="s">
        <v>335</v>
      </c>
      <c r="H29" t="s">
        <v>453</v>
      </c>
      <c r="AC29" t="s">
        <v>455</v>
      </c>
      <c r="AD29" t="s">
        <v>454</v>
      </c>
      <c r="AE29">
        <v>64</v>
      </c>
      <c r="AF29">
        <v>28</v>
      </c>
      <c r="AH29" t="s">
        <v>361</v>
      </c>
      <c r="AJ29">
        <v>109</v>
      </c>
      <c r="AK29" t="s">
        <v>200</v>
      </c>
      <c r="AM29">
        <v>1287</v>
      </c>
      <c r="AN29">
        <v>911</v>
      </c>
    </row>
    <row r="30" spans="2:40" x14ac:dyDescent="0.25">
      <c r="B30" t="s">
        <v>333</v>
      </c>
      <c r="C30" t="s">
        <v>334</v>
      </c>
      <c r="D30" t="s">
        <v>335</v>
      </c>
      <c r="H30" t="s">
        <v>453</v>
      </c>
      <c r="AC30" t="s">
        <v>455</v>
      </c>
      <c r="AD30" t="s">
        <v>454</v>
      </c>
      <c r="AE30">
        <v>64</v>
      </c>
      <c r="AF30">
        <v>29</v>
      </c>
      <c r="AH30" t="s">
        <v>361</v>
      </c>
      <c r="AJ30">
        <v>109</v>
      </c>
      <c r="AK30" t="s">
        <v>200</v>
      </c>
      <c r="AM30">
        <v>1494</v>
      </c>
      <c r="AN30">
        <v>911</v>
      </c>
    </row>
    <row r="31" spans="2:40" x14ac:dyDescent="0.25">
      <c r="B31" t="s">
        <v>333</v>
      </c>
      <c r="C31" t="s">
        <v>334</v>
      </c>
      <c r="D31" t="s">
        <v>335</v>
      </c>
      <c r="H31" t="s">
        <v>453</v>
      </c>
      <c r="AC31" t="s">
        <v>455</v>
      </c>
      <c r="AD31" t="s">
        <v>454</v>
      </c>
      <c r="AE31">
        <v>64</v>
      </c>
      <c r="AF31">
        <v>30</v>
      </c>
      <c r="AH31" t="s">
        <v>390</v>
      </c>
      <c r="AJ31">
        <v>903</v>
      </c>
      <c r="AK31" t="s">
        <v>208</v>
      </c>
      <c r="AM31">
        <v>1701</v>
      </c>
      <c r="AN31">
        <v>911</v>
      </c>
    </row>
    <row r="32" spans="2:40" x14ac:dyDescent="0.25">
      <c r="B32" t="s">
        <v>333</v>
      </c>
      <c r="C32" t="s">
        <v>334</v>
      </c>
      <c r="D32" t="s">
        <v>335</v>
      </c>
      <c r="H32" t="s">
        <v>453</v>
      </c>
      <c r="AC32" t="s">
        <v>455</v>
      </c>
      <c r="AD32" t="s">
        <v>454</v>
      </c>
      <c r="AE32">
        <v>64</v>
      </c>
      <c r="AF32">
        <v>31</v>
      </c>
      <c r="AH32" t="s">
        <v>390</v>
      </c>
      <c r="AJ32">
        <v>903</v>
      </c>
      <c r="AK32" t="s">
        <v>208</v>
      </c>
      <c r="AM32">
        <v>1908</v>
      </c>
      <c r="AN32">
        <v>911</v>
      </c>
    </row>
    <row r="33" spans="2:40" x14ac:dyDescent="0.25">
      <c r="B33" t="s">
        <v>333</v>
      </c>
      <c r="C33" t="s">
        <v>334</v>
      </c>
      <c r="D33" t="s">
        <v>335</v>
      </c>
      <c r="H33" t="s">
        <v>453</v>
      </c>
      <c r="AC33" t="s">
        <v>455</v>
      </c>
      <c r="AD33" t="s">
        <v>454</v>
      </c>
      <c r="AE33">
        <v>64</v>
      </c>
      <c r="AF33">
        <v>32</v>
      </c>
      <c r="AH33" t="s">
        <v>389</v>
      </c>
      <c r="AJ33">
        <v>501</v>
      </c>
      <c r="AK33" t="s">
        <v>204</v>
      </c>
      <c r="AM33">
        <v>2115</v>
      </c>
      <c r="AN33">
        <v>911</v>
      </c>
    </row>
    <row r="34" spans="2:40" x14ac:dyDescent="0.25">
      <c r="B34" t="s">
        <v>333</v>
      </c>
      <c r="C34" t="s">
        <v>334</v>
      </c>
      <c r="D34" t="s">
        <v>335</v>
      </c>
      <c r="H34" t="s">
        <v>453</v>
      </c>
      <c r="AC34" t="s">
        <v>455</v>
      </c>
      <c r="AD34" t="s">
        <v>454</v>
      </c>
      <c r="AE34">
        <v>64</v>
      </c>
      <c r="AF34">
        <v>33</v>
      </c>
      <c r="AH34" t="s">
        <v>396</v>
      </c>
      <c r="AJ34">
        <v>303</v>
      </c>
      <c r="AK34" t="s">
        <v>202</v>
      </c>
      <c r="AM34">
        <v>667</v>
      </c>
      <c r="AN34">
        <v>1117</v>
      </c>
    </row>
    <row r="35" spans="2:40" x14ac:dyDescent="0.25">
      <c r="B35" t="s">
        <v>333</v>
      </c>
      <c r="C35" t="s">
        <v>334</v>
      </c>
      <c r="D35" t="s">
        <v>335</v>
      </c>
      <c r="H35" t="s">
        <v>453</v>
      </c>
      <c r="AC35" t="s">
        <v>455</v>
      </c>
      <c r="AD35" t="s">
        <v>454</v>
      </c>
      <c r="AE35">
        <v>64</v>
      </c>
      <c r="AF35">
        <v>34</v>
      </c>
      <c r="AH35" t="s">
        <v>402</v>
      </c>
      <c r="AJ35">
        <v>603</v>
      </c>
      <c r="AK35" t="s">
        <v>205</v>
      </c>
      <c r="AM35">
        <v>873</v>
      </c>
      <c r="AN35">
        <v>1117</v>
      </c>
    </row>
    <row r="36" spans="2:40" x14ac:dyDescent="0.25">
      <c r="B36" t="s">
        <v>333</v>
      </c>
      <c r="C36" t="s">
        <v>334</v>
      </c>
      <c r="D36" t="s">
        <v>335</v>
      </c>
      <c r="H36" t="s">
        <v>453</v>
      </c>
      <c r="AC36" t="s">
        <v>455</v>
      </c>
      <c r="AD36" t="s">
        <v>454</v>
      </c>
      <c r="AE36">
        <v>64</v>
      </c>
      <c r="AF36">
        <v>35</v>
      </c>
      <c r="AH36" t="s">
        <v>402</v>
      </c>
      <c r="AJ36">
        <v>603</v>
      </c>
      <c r="AK36" t="s">
        <v>205</v>
      </c>
      <c r="AM36">
        <v>1080</v>
      </c>
      <c r="AN36">
        <v>1117</v>
      </c>
    </row>
    <row r="37" spans="2:40" x14ac:dyDescent="0.25">
      <c r="B37" t="s">
        <v>333</v>
      </c>
      <c r="C37" t="s">
        <v>334</v>
      </c>
      <c r="D37" t="s">
        <v>335</v>
      </c>
      <c r="H37" t="s">
        <v>453</v>
      </c>
      <c r="AC37" t="s">
        <v>455</v>
      </c>
      <c r="AD37" t="s">
        <v>454</v>
      </c>
      <c r="AE37">
        <v>64</v>
      </c>
      <c r="AF37">
        <v>36</v>
      </c>
      <c r="AH37" t="s">
        <v>361</v>
      </c>
      <c r="AJ37">
        <v>109</v>
      </c>
      <c r="AK37" t="s">
        <v>200</v>
      </c>
      <c r="AM37">
        <v>1287</v>
      </c>
      <c r="AN37">
        <v>1117</v>
      </c>
    </row>
    <row r="38" spans="2:40" x14ac:dyDescent="0.25">
      <c r="B38" t="s">
        <v>333</v>
      </c>
      <c r="C38" t="s">
        <v>334</v>
      </c>
      <c r="D38" t="s">
        <v>335</v>
      </c>
      <c r="H38" t="s">
        <v>453</v>
      </c>
      <c r="AC38" t="s">
        <v>455</v>
      </c>
      <c r="AD38" t="s">
        <v>454</v>
      </c>
      <c r="AE38">
        <v>64</v>
      </c>
      <c r="AF38">
        <v>37</v>
      </c>
      <c r="AH38" t="s">
        <v>361</v>
      </c>
      <c r="AJ38">
        <v>109</v>
      </c>
      <c r="AK38" t="s">
        <v>200</v>
      </c>
      <c r="AM38">
        <v>1494</v>
      </c>
      <c r="AN38">
        <v>1117</v>
      </c>
    </row>
    <row r="39" spans="2:40" x14ac:dyDescent="0.25">
      <c r="B39" t="s">
        <v>333</v>
      </c>
      <c r="C39" t="s">
        <v>334</v>
      </c>
      <c r="D39" t="s">
        <v>335</v>
      </c>
      <c r="H39" t="s">
        <v>453</v>
      </c>
      <c r="AC39" t="s">
        <v>455</v>
      </c>
      <c r="AD39" t="s">
        <v>454</v>
      </c>
      <c r="AE39">
        <v>64</v>
      </c>
      <c r="AF39">
        <v>38</v>
      </c>
      <c r="AH39" t="s">
        <v>390</v>
      </c>
      <c r="AJ39">
        <v>903</v>
      </c>
      <c r="AK39" t="s">
        <v>208</v>
      </c>
      <c r="AM39">
        <v>1701</v>
      </c>
      <c r="AN39">
        <v>1117</v>
      </c>
    </row>
    <row r="40" spans="2:40" x14ac:dyDescent="0.25">
      <c r="B40" t="s">
        <v>333</v>
      </c>
      <c r="C40" t="s">
        <v>334</v>
      </c>
      <c r="D40" t="s">
        <v>335</v>
      </c>
      <c r="H40" t="s">
        <v>453</v>
      </c>
      <c r="AC40" t="s">
        <v>455</v>
      </c>
      <c r="AD40" t="s">
        <v>454</v>
      </c>
      <c r="AE40">
        <v>64</v>
      </c>
      <c r="AF40">
        <v>39</v>
      </c>
      <c r="AH40" t="s">
        <v>390</v>
      </c>
      <c r="AJ40">
        <v>903</v>
      </c>
      <c r="AK40" t="s">
        <v>208</v>
      </c>
      <c r="AM40">
        <v>1908</v>
      </c>
      <c r="AN40">
        <v>1117</v>
      </c>
    </row>
    <row r="41" spans="2:40" x14ac:dyDescent="0.25">
      <c r="B41" t="s">
        <v>333</v>
      </c>
      <c r="C41" t="s">
        <v>334</v>
      </c>
      <c r="D41" t="s">
        <v>335</v>
      </c>
      <c r="H41" t="s">
        <v>453</v>
      </c>
      <c r="AC41" t="s">
        <v>455</v>
      </c>
      <c r="AD41" t="s">
        <v>454</v>
      </c>
      <c r="AE41">
        <v>64</v>
      </c>
      <c r="AF41">
        <v>40</v>
      </c>
      <c r="AH41" t="s">
        <v>389</v>
      </c>
      <c r="AJ41">
        <v>501</v>
      </c>
      <c r="AK41" t="s">
        <v>204</v>
      </c>
      <c r="AM41">
        <v>2115</v>
      </c>
      <c r="AN41">
        <v>1117</v>
      </c>
    </row>
    <row r="42" spans="2:40" x14ac:dyDescent="0.25">
      <c r="B42" t="s">
        <v>333</v>
      </c>
      <c r="C42" t="s">
        <v>334</v>
      </c>
      <c r="D42" t="s">
        <v>335</v>
      </c>
      <c r="H42" t="s">
        <v>453</v>
      </c>
      <c r="AC42" t="s">
        <v>455</v>
      </c>
      <c r="AD42" t="s">
        <v>454</v>
      </c>
      <c r="AE42">
        <v>64</v>
      </c>
      <c r="AF42">
        <v>41</v>
      </c>
      <c r="AH42" t="s">
        <v>420</v>
      </c>
      <c r="AJ42">
        <v>104</v>
      </c>
      <c r="AK42" t="s">
        <v>200</v>
      </c>
      <c r="AM42">
        <v>667</v>
      </c>
      <c r="AN42">
        <v>1324</v>
      </c>
    </row>
    <row r="43" spans="2:40" x14ac:dyDescent="0.25">
      <c r="B43" t="s">
        <v>333</v>
      </c>
      <c r="C43" t="s">
        <v>334</v>
      </c>
      <c r="D43" t="s">
        <v>335</v>
      </c>
      <c r="H43" t="s">
        <v>453</v>
      </c>
      <c r="AC43" t="s">
        <v>455</v>
      </c>
      <c r="AD43" t="s">
        <v>454</v>
      </c>
      <c r="AE43">
        <v>64</v>
      </c>
      <c r="AF43">
        <v>42</v>
      </c>
      <c r="AH43" t="s">
        <v>389</v>
      </c>
      <c r="AJ43">
        <v>501</v>
      </c>
      <c r="AK43" t="s">
        <v>204</v>
      </c>
      <c r="AM43">
        <v>873</v>
      </c>
      <c r="AN43">
        <v>1324</v>
      </c>
    </row>
    <row r="44" spans="2:40" x14ac:dyDescent="0.25">
      <c r="B44" t="s">
        <v>333</v>
      </c>
      <c r="C44" t="s">
        <v>334</v>
      </c>
      <c r="D44" t="s">
        <v>335</v>
      </c>
      <c r="H44" t="s">
        <v>453</v>
      </c>
      <c r="AC44" t="s">
        <v>455</v>
      </c>
      <c r="AD44" t="s">
        <v>454</v>
      </c>
      <c r="AE44">
        <v>64</v>
      </c>
      <c r="AF44">
        <v>43</v>
      </c>
      <c r="AH44" t="s">
        <v>361</v>
      </c>
      <c r="AJ44">
        <v>109</v>
      </c>
      <c r="AK44" t="s">
        <v>200</v>
      </c>
      <c r="AM44">
        <v>1080</v>
      </c>
      <c r="AN44">
        <v>1324</v>
      </c>
    </row>
    <row r="45" spans="2:40" x14ac:dyDescent="0.25">
      <c r="B45" t="s">
        <v>333</v>
      </c>
      <c r="C45" t="s">
        <v>334</v>
      </c>
      <c r="D45" t="s">
        <v>335</v>
      </c>
      <c r="H45" t="s">
        <v>453</v>
      </c>
      <c r="AC45" t="s">
        <v>455</v>
      </c>
      <c r="AD45" t="s">
        <v>454</v>
      </c>
      <c r="AE45">
        <v>64</v>
      </c>
      <c r="AF45">
        <v>44</v>
      </c>
      <c r="AH45" t="s">
        <v>390</v>
      </c>
      <c r="AJ45">
        <v>903</v>
      </c>
      <c r="AK45" t="s">
        <v>208</v>
      </c>
      <c r="AM45">
        <v>1287</v>
      </c>
      <c r="AN45">
        <v>1324</v>
      </c>
    </row>
    <row r="46" spans="2:40" x14ac:dyDescent="0.25">
      <c r="B46" t="s">
        <v>333</v>
      </c>
      <c r="C46" t="s">
        <v>334</v>
      </c>
      <c r="D46" t="s">
        <v>335</v>
      </c>
      <c r="H46" t="s">
        <v>453</v>
      </c>
      <c r="AC46" t="s">
        <v>455</v>
      </c>
      <c r="AD46" t="s">
        <v>454</v>
      </c>
      <c r="AE46">
        <v>64</v>
      </c>
      <c r="AF46">
        <v>45</v>
      </c>
      <c r="AH46" t="s">
        <v>389</v>
      </c>
      <c r="AJ46">
        <v>501</v>
      </c>
      <c r="AK46" t="s">
        <v>204</v>
      </c>
      <c r="AM46">
        <v>1494</v>
      </c>
      <c r="AN46">
        <v>1324</v>
      </c>
    </row>
    <row r="47" spans="2:40" x14ac:dyDescent="0.25">
      <c r="B47" t="s">
        <v>333</v>
      </c>
      <c r="C47" t="s">
        <v>334</v>
      </c>
      <c r="D47" t="s">
        <v>335</v>
      </c>
      <c r="H47" t="s">
        <v>453</v>
      </c>
      <c r="AC47" t="s">
        <v>455</v>
      </c>
      <c r="AD47" t="s">
        <v>454</v>
      </c>
      <c r="AE47">
        <v>64</v>
      </c>
      <c r="AF47">
        <v>46</v>
      </c>
      <c r="AH47" t="s">
        <v>361</v>
      </c>
      <c r="AJ47">
        <v>109</v>
      </c>
      <c r="AK47" t="s">
        <v>200</v>
      </c>
      <c r="AM47">
        <v>1701</v>
      </c>
      <c r="AN47">
        <v>1324</v>
      </c>
    </row>
    <row r="48" spans="2:40" x14ac:dyDescent="0.25">
      <c r="B48" t="s">
        <v>333</v>
      </c>
      <c r="C48" t="s">
        <v>334</v>
      </c>
      <c r="D48" t="s">
        <v>335</v>
      </c>
      <c r="H48" t="s">
        <v>453</v>
      </c>
      <c r="AC48" t="s">
        <v>455</v>
      </c>
      <c r="AD48" t="s">
        <v>454</v>
      </c>
      <c r="AE48">
        <v>64</v>
      </c>
      <c r="AF48">
        <v>47</v>
      </c>
      <c r="AH48" t="s">
        <v>389</v>
      </c>
      <c r="AJ48">
        <v>501</v>
      </c>
      <c r="AK48" t="s">
        <v>204</v>
      </c>
      <c r="AM48">
        <v>1908</v>
      </c>
      <c r="AN48">
        <v>1324</v>
      </c>
    </row>
    <row r="49" spans="2:40" x14ac:dyDescent="0.25">
      <c r="B49" t="s">
        <v>333</v>
      </c>
      <c r="C49" t="s">
        <v>334</v>
      </c>
      <c r="D49" t="s">
        <v>335</v>
      </c>
      <c r="H49" t="s">
        <v>453</v>
      </c>
      <c r="AC49" t="s">
        <v>455</v>
      </c>
      <c r="AD49" t="s">
        <v>454</v>
      </c>
      <c r="AE49">
        <v>64</v>
      </c>
      <c r="AF49">
        <v>48</v>
      </c>
      <c r="AH49" t="s">
        <v>390</v>
      </c>
      <c r="AJ49">
        <v>903</v>
      </c>
      <c r="AK49" t="s">
        <v>208</v>
      </c>
      <c r="AM49">
        <v>2115</v>
      </c>
      <c r="AN49">
        <v>1324</v>
      </c>
    </row>
    <row r="50" spans="2:40" x14ac:dyDescent="0.25">
      <c r="B50" t="s">
        <v>333</v>
      </c>
      <c r="C50" t="s">
        <v>334</v>
      </c>
      <c r="D50" t="s">
        <v>335</v>
      </c>
      <c r="H50" t="s">
        <v>453</v>
      </c>
      <c r="AC50" t="s">
        <v>455</v>
      </c>
      <c r="AD50" t="s">
        <v>454</v>
      </c>
      <c r="AE50">
        <v>64</v>
      </c>
      <c r="AF50">
        <v>49</v>
      </c>
      <c r="AH50" t="s">
        <v>420</v>
      </c>
      <c r="AJ50">
        <v>104</v>
      </c>
      <c r="AK50" t="s">
        <v>200</v>
      </c>
      <c r="AM50">
        <v>667</v>
      </c>
      <c r="AN50">
        <v>1531</v>
      </c>
    </row>
    <row r="51" spans="2:40" x14ac:dyDescent="0.25">
      <c r="B51" t="s">
        <v>333</v>
      </c>
      <c r="C51" t="s">
        <v>334</v>
      </c>
      <c r="D51" t="s">
        <v>335</v>
      </c>
      <c r="H51" t="s">
        <v>453</v>
      </c>
      <c r="AC51" t="s">
        <v>455</v>
      </c>
      <c r="AD51" t="s">
        <v>454</v>
      </c>
      <c r="AE51">
        <v>64</v>
      </c>
      <c r="AF51">
        <v>50</v>
      </c>
      <c r="AH51" t="s">
        <v>361</v>
      </c>
      <c r="AJ51">
        <v>109</v>
      </c>
      <c r="AK51" t="s">
        <v>200</v>
      </c>
      <c r="AM51">
        <v>873</v>
      </c>
      <c r="AN51">
        <v>1531</v>
      </c>
    </row>
    <row r="52" spans="2:40" x14ac:dyDescent="0.25">
      <c r="B52" t="s">
        <v>333</v>
      </c>
      <c r="C52" t="s">
        <v>334</v>
      </c>
      <c r="D52" t="s">
        <v>335</v>
      </c>
      <c r="H52" t="s">
        <v>453</v>
      </c>
      <c r="AC52" t="s">
        <v>455</v>
      </c>
      <c r="AD52" t="s">
        <v>454</v>
      </c>
      <c r="AE52">
        <v>64</v>
      </c>
      <c r="AF52">
        <v>51</v>
      </c>
      <c r="AH52" t="s">
        <v>360</v>
      </c>
      <c r="AJ52">
        <v>102</v>
      </c>
      <c r="AK52" t="s">
        <v>200</v>
      </c>
      <c r="AM52">
        <v>1080</v>
      </c>
      <c r="AN52">
        <v>1531</v>
      </c>
    </row>
    <row r="53" spans="2:40" x14ac:dyDescent="0.25">
      <c r="B53" t="s">
        <v>333</v>
      </c>
      <c r="C53" t="s">
        <v>334</v>
      </c>
      <c r="D53" t="s">
        <v>335</v>
      </c>
      <c r="H53" t="s">
        <v>453</v>
      </c>
      <c r="AC53" t="s">
        <v>455</v>
      </c>
      <c r="AD53" t="s">
        <v>454</v>
      </c>
      <c r="AE53">
        <v>64</v>
      </c>
      <c r="AF53">
        <v>52</v>
      </c>
      <c r="AH53" t="s">
        <v>389</v>
      </c>
      <c r="AJ53">
        <v>501</v>
      </c>
      <c r="AK53" t="s">
        <v>204</v>
      </c>
      <c r="AM53">
        <v>1287</v>
      </c>
      <c r="AN53">
        <v>1531</v>
      </c>
    </row>
    <row r="54" spans="2:40" x14ac:dyDescent="0.25">
      <c r="B54" t="s">
        <v>333</v>
      </c>
      <c r="C54" t="s">
        <v>334</v>
      </c>
      <c r="D54" t="s">
        <v>335</v>
      </c>
      <c r="H54" t="s">
        <v>453</v>
      </c>
      <c r="AC54" t="s">
        <v>455</v>
      </c>
      <c r="AD54" t="s">
        <v>454</v>
      </c>
      <c r="AE54">
        <v>64</v>
      </c>
      <c r="AF54">
        <v>53</v>
      </c>
      <c r="AH54" t="s">
        <v>389</v>
      </c>
      <c r="AJ54">
        <v>501</v>
      </c>
      <c r="AK54" t="s">
        <v>204</v>
      </c>
      <c r="AM54">
        <v>1494</v>
      </c>
      <c r="AN54">
        <v>1531</v>
      </c>
    </row>
    <row r="55" spans="2:40" x14ac:dyDescent="0.25">
      <c r="B55" t="s">
        <v>333</v>
      </c>
      <c r="C55" t="s">
        <v>334</v>
      </c>
      <c r="D55" t="s">
        <v>335</v>
      </c>
      <c r="H55" t="s">
        <v>453</v>
      </c>
      <c r="AC55" t="s">
        <v>455</v>
      </c>
      <c r="AD55" t="s">
        <v>454</v>
      </c>
      <c r="AE55">
        <v>64</v>
      </c>
      <c r="AF55">
        <v>54</v>
      </c>
      <c r="AH55" t="s">
        <v>389</v>
      </c>
      <c r="AJ55">
        <v>501</v>
      </c>
      <c r="AK55" t="s">
        <v>204</v>
      </c>
      <c r="AM55">
        <v>1701</v>
      </c>
      <c r="AN55">
        <v>1531</v>
      </c>
    </row>
    <row r="56" spans="2:40" x14ac:dyDescent="0.25">
      <c r="B56" t="s">
        <v>333</v>
      </c>
      <c r="C56" t="s">
        <v>334</v>
      </c>
      <c r="D56" t="s">
        <v>335</v>
      </c>
      <c r="H56" t="s">
        <v>453</v>
      </c>
      <c r="AC56" t="s">
        <v>455</v>
      </c>
      <c r="AD56" t="s">
        <v>454</v>
      </c>
      <c r="AE56">
        <v>64</v>
      </c>
      <c r="AF56">
        <v>55</v>
      </c>
      <c r="AH56" t="s">
        <v>361</v>
      </c>
      <c r="AJ56">
        <v>109</v>
      </c>
      <c r="AK56" t="s">
        <v>200</v>
      </c>
      <c r="AM56">
        <v>1908</v>
      </c>
      <c r="AN56">
        <v>1531</v>
      </c>
    </row>
    <row r="57" spans="2:40" x14ac:dyDescent="0.25">
      <c r="B57" t="s">
        <v>333</v>
      </c>
      <c r="C57" t="s">
        <v>334</v>
      </c>
      <c r="D57" t="s">
        <v>335</v>
      </c>
      <c r="H57" t="s">
        <v>453</v>
      </c>
      <c r="AC57" t="s">
        <v>455</v>
      </c>
      <c r="AD57" t="s">
        <v>454</v>
      </c>
      <c r="AE57">
        <v>64</v>
      </c>
      <c r="AF57">
        <v>56</v>
      </c>
      <c r="AH57" t="s">
        <v>389</v>
      </c>
      <c r="AJ57">
        <v>501</v>
      </c>
      <c r="AK57" t="s">
        <v>204</v>
      </c>
      <c r="AM57">
        <v>2115</v>
      </c>
      <c r="AN57">
        <v>1531</v>
      </c>
    </row>
    <row r="58" spans="2:40" x14ac:dyDescent="0.25">
      <c r="B58" t="s">
        <v>333</v>
      </c>
      <c r="C58" t="s">
        <v>334</v>
      </c>
      <c r="D58" t="s">
        <v>335</v>
      </c>
      <c r="H58" t="s">
        <v>453</v>
      </c>
      <c r="AC58" t="s">
        <v>455</v>
      </c>
      <c r="AD58" t="s">
        <v>454</v>
      </c>
      <c r="AE58">
        <v>64</v>
      </c>
      <c r="AF58">
        <v>57</v>
      </c>
      <c r="AH58" t="s">
        <v>420</v>
      </c>
      <c r="AJ58">
        <v>104</v>
      </c>
      <c r="AK58" t="s">
        <v>200</v>
      </c>
      <c r="AM58">
        <v>667</v>
      </c>
      <c r="AN58">
        <v>1738</v>
      </c>
    </row>
    <row r="59" spans="2:40" x14ac:dyDescent="0.25">
      <c r="B59" t="s">
        <v>333</v>
      </c>
      <c r="C59" t="s">
        <v>334</v>
      </c>
      <c r="D59" t="s">
        <v>335</v>
      </c>
      <c r="H59" t="s">
        <v>453</v>
      </c>
      <c r="AC59" t="s">
        <v>455</v>
      </c>
      <c r="AD59" t="s">
        <v>454</v>
      </c>
      <c r="AE59">
        <v>64</v>
      </c>
      <c r="AF59">
        <v>58</v>
      </c>
      <c r="AH59" t="s">
        <v>389</v>
      </c>
      <c r="AJ59">
        <v>501</v>
      </c>
      <c r="AK59" t="s">
        <v>204</v>
      </c>
      <c r="AM59">
        <v>873</v>
      </c>
      <c r="AN59">
        <v>1738</v>
      </c>
    </row>
    <row r="60" spans="2:40" x14ac:dyDescent="0.25">
      <c r="B60" t="s">
        <v>333</v>
      </c>
      <c r="C60" t="s">
        <v>334</v>
      </c>
      <c r="D60" t="s">
        <v>335</v>
      </c>
      <c r="H60" t="s">
        <v>453</v>
      </c>
      <c r="AC60" t="s">
        <v>455</v>
      </c>
      <c r="AD60" t="s">
        <v>454</v>
      </c>
      <c r="AE60">
        <v>64</v>
      </c>
      <c r="AF60">
        <v>59</v>
      </c>
      <c r="AH60" t="s">
        <v>389</v>
      </c>
      <c r="AJ60">
        <v>501</v>
      </c>
      <c r="AK60" t="s">
        <v>204</v>
      </c>
      <c r="AM60">
        <v>1080</v>
      </c>
      <c r="AN60">
        <v>1738</v>
      </c>
    </row>
    <row r="61" spans="2:40" x14ac:dyDescent="0.25">
      <c r="B61" t="s">
        <v>333</v>
      </c>
      <c r="C61" t="s">
        <v>334</v>
      </c>
      <c r="D61" t="s">
        <v>335</v>
      </c>
      <c r="H61" t="s">
        <v>453</v>
      </c>
      <c r="AC61" t="s">
        <v>455</v>
      </c>
      <c r="AD61" t="s">
        <v>454</v>
      </c>
      <c r="AE61">
        <v>64</v>
      </c>
      <c r="AF61">
        <v>60</v>
      </c>
      <c r="AH61" t="s">
        <v>389</v>
      </c>
      <c r="AJ61">
        <v>501</v>
      </c>
      <c r="AK61" t="s">
        <v>204</v>
      </c>
      <c r="AM61">
        <v>1287</v>
      </c>
      <c r="AN61">
        <v>1738</v>
      </c>
    </row>
    <row r="62" spans="2:40" x14ac:dyDescent="0.25">
      <c r="B62" t="s">
        <v>333</v>
      </c>
      <c r="C62" t="s">
        <v>334</v>
      </c>
      <c r="D62" t="s">
        <v>335</v>
      </c>
      <c r="H62" t="s">
        <v>453</v>
      </c>
      <c r="AC62" t="s">
        <v>455</v>
      </c>
      <c r="AD62" t="s">
        <v>454</v>
      </c>
      <c r="AE62">
        <v>64</v>
      </c>
      <c r="AF62">
        <v>61</v>
      </c>
      <c r="AH62" t="s">
        <v>389</v>
      </c>
      <c r="AJ62">
        <v>501</v>
      </c>
      <c r="AK62" t="s">
        <v>204</v>
      </c>
      <c r="AM62">
        <v>1494</v>
      </c>
      <c r="AN62">
        <v>1738</v>
      </c>
    </row>
    <row r="63" spans="2:40" x14ac:dyDescent="0.25">
      <c r="B63" t="s">
        <v>333</v>
      </c>
      <c r="C63" t="s">
        <v>334</v>
      </c>
      <c r="D63" t="s">
        <v>335</v>
      </c>
      <c r="H63" t="s">
        <v>453</v>
      </c>
      <c r="AC63" t="s">
        <v>455</v>
      </c>
      <c r="AD63" t="s">
        <v>454</v>
      </c>
      <c r="AE63">
        <v>64</v>
      </c>
      <c r="AF63">
        <v>62</v>
      </c>
      <c r="AH63" t="s">
        <v>391</v>
      </c>
      <c r="AJ63">
        <v>604</v>
      </c>
      <c r="AK63" t="s">
        <v>205</v>
      </c>
      <c r="AM63">
        <v>1701</v>
      </c>
      <c r="AN63">
        <v>1738</v>
      </c>
    </row>
    <row r="64" spans="2:40" x14ac:dyDescent="0.25">
      <c r="B64" t="s">
        <v>333</v>
      </c>
      <c r="C64" t="s">
        <v>334</v>
      </c>
      <c r="D64" t="s">
        <v>335</v>
      </c>
      <c r="H64" t="s">
        <v>453</v>
      </c>
      <c r="AC64" t="s">
        <v>455</v>
      </c>
      <c r="AD64" t="s">
        <v>454</v>
      </c>
      <c r="AE64">
        <v>64</v>
      </c>
      <c r="AF64">
        <v>63</v>
      </c>
      <c r="AH64" t="s">
        <v>360</v>
      </c>
      <c r="AJ64">
        <v>102</v>
      </c>
      <c r="AK64" t="s">
        <v>200</v>
      </c>
      <c r="AM64">
        <v>1908</v>
      </c>
      <c r="AN64">
        <v>1738</v>
      </c>
    </row>
    <row r="65" spans="2:40" x14ac:dyDescent="0.25">
      <c r="B65" t="s">
        <v>333</v>
      </c>
      <c r="C65" t="s">
        <v>334</v>
      </c>
      <c r="D65" t="s">
        <v>335</v>
      </c>
      <c r="H65" t="s">
        <v>453</v>
      </c>
      <c r="AC65" t="s">
        <v>455</v>
      </c>
      <c r="AD65" t="s">
        <v>454</v>
      </c>
      <c r="AE65">
        <v>64</v>
      </c>
      <c r="AF65">
        <v>64</v>
      </c>
      <c r="AH65" t="s">
        <v>360</v>
      </c>
      <c r="AJ65">
        <v>102</v>
      </c>
      <c r="AK65" t="s">
        <v>200</v>
      </c>
      <c r="AM65">
        <v>2115</v>
      </c>
      <c r="AN65">
        <v>1738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5"/>
  <sheetViews>
    <sheetView workbookViewId="0"/>
  </sheetViews>
  <sheetFormatPr baseColWidth="10" defaultRowHeight="15" x14ac:dyDescent="0.25"/>
  <cols>
    <col min="1" max="1" width="10.28515625" bestFit="1" customWidth="1"/>
    <col min="2" max="2" width="13" bestFit="1" customWidth="1"/>
    <col min="3" max="3" width="8.140625" bestFit="1" customWidth="1"/>
    <col min="4" max="4" width="8.42578125" bestFit="1" customWidth="1"/>
    <col min="5" max="5" width="8" bestFit="1" customWidth="1"/>
    <col min="6" max="6" width="10.140625" bestFit="1" customWidth="1"/>
    <col min="7" max="7" width="6.7109375" bestFit="1" customWidth="1"/>
    <col min="8" max="8" width="13.140625" bestFit="1" customWidth="1"/>
    <col min="9" max="9" width="8.28515625" bestFit="1" customWidth="1"/>
    <col min="10" max="10" width="9.85546875" bestFit="1" customWidth="1"/>
    <col min="11" max="11" width="7.28515625" bestFit="1" customWidth="1"/>
    <col min="12" max="12" width="8.85546875" bestFit="1" customWidth="1"/>
    <col min="13" max="13" width="10.140625" bestFit="1" customWidth="1"/>
    <col min="14" max="14" width="6.85546875" bestFit="1" customWidth="1"/>
    <col min="15" max="15" width="8.42578125" bestFit="1" customWidth="1"/>
    <col min="16" max="16" width="12" bestFit="1" customWidth="1"/>
    <col min="17" max="17" width="14.85546875" bestFit="1" customWidth="1"/>
    <col min="18" max="18" width="6.42578125" bestFit="1" customWidth="1"/>
    <col min="19" max="19" width="5.7109375" bestFit="1" customWidth="1"/>
    <col min="20" max="20" width="7.42578125" bestFit="1" customWidth="1"/>
    <col min="21" max="21" width="11.7109375" bestFit="1" customWidth="1"/>
    <col min="22" max="22" width="11" bestFit="1" customWidth="1"/>
    <col min="23" max="23" width="11.28515625" bestFit="1" customWidth="1"/>
    <col min="24" max="24" width="13.140625" bestFit="1" customWidth="1"/>
    <col min="25" max="25" width="7.7109375" bestFit="1" customWidth="1"/>
    <col min="26" max="26" width="5" bestFit="1" customWidth="1"/>
    <col min="27" max="27" width="12.85546875" bestFit="1" customWidth="1"/>
    <col min="28" max="28" width="13.42578125" bestFit="1" customWidth="1"/>
    <col min="29" max="29" width="43.28515625" bestFit="1" customWidth="1"/>
    <col min="30" max="30" width="43.42578125" bestFit="1" customWidth="1"/>
    <col min="32" max="32" width="7.140625" bestFit="1" customWidth="1"/>
    <col min="33" max="33" width="7.7109375" bestFit="1" customWidth="1"/>
    <col min="34" max="34" width="23.42578125" bestFit="1" customWidth="1"/>
    <col min="35" max="35" width="7.85546875" bestFit="1" customWidth="1"/>
    <col min="36" max="36" width="11.85546875" bestFit="1" customWidth="1"/>
    <col min="37" max="37" width="22.7109375" bestFit="1" customWidth="1"/>
    <col min="38" max="38" width="6.28515625" bestFit="1" customWidth="1"/>
    <col min="39" max="40" width="5" bestFit="1" customWidth="1"/>
  </cols>
  <sheetData>
    <row r="1" spans="1:40" x14ac:dyDescent="0.25">
      <c r="A1" s="1" t="s">
        <v>291</v>
      </c>
      <c r="B1" s="1" t="s">
        <v>341</v>
      </c>
      <c r="C1" s="1" t="s">
        <v>293</v>
      </c>
      <c r="D1" s="1" t="s">
        <v>294</v>
      </c>
      <c r="E1" s="1" t="s">
        <v>295</v>
      </c>
      <c r="F1" s="1" t="s">
        <v>342</v>
      </c>
      <c r="G1" s="1" t="s">
        <v>297</v>
      </c>
      <c r="H1" s="1" t="s">
        <v>298</v>
      </c>
      <c r="I1" s="1" t="s">
        <v>299</v>
      </c>
      <c r="J1" s="1" t="s">
        <v>343</v>
      </c>
      <c r="K1" s="1" t="s">
        <v>301</v>
      </c>
      <c r="L1" s="1" t="s">
        <v>302</v>
      </c>
      <c r="M1" s="1" t="s">
        <v>303</v>
      </c>
      <c r="N1" s="1" t="s">
        <v>304</v>
      </c>
      <c r="O1" s="1" t="s">
        <v>305</v>
      </c>
      <c r="P1" s="1" t="s">
        <v>344</v>
      </c>
      <c r="Q1" s="1" t="s">
        <v>307</v>
      </c>
      <c r="R1" s="1" t="s">
        <v>308</v>
      </c>
      <c r="S1" s="1" t="s">
        <v>309</v>
      </c>
      <c r="T1" s="1" t="s">
        <v>310</v>
      </c>
      <c r="U1" s="1" t="s">
        <v>345</v>
      </c>
      <c r="V1" s="1" t="s">
        <v>346</v>
      </c>
      <c r="W1" s="1" t="s">
        <v>347</v>
      </c>
      <c r="X1" s="1" t="s">
        <v>314</v>
      </c>
      <c r="Y1" s="1" t="s">
        <v>315</v>
      </c>
      <c r="Z1" s="1" t="s">
        <v>316</v>
      </c>
      <c r="AA1" s="1" t="s">
        <v>348</v>
      </c>
      <c r="AB1" s="1" t="s">
        <v>349</v>
      </c>
      <c r="AC1" s="1" t="s">
        <v>350</v>
      </c>
      <c r="AD1" s="1" t="s">
        <v>351</v>
      </c>
      <c r="AE1" s="1" t="s">
        <v>352</v>
      </c>
      <c r="AF1" s="1" t="s">
        <v>353</v>
      </c>
      <c r="AG1" s="1" t="s">
        <v>354</v>
      </c>
      <c r="AH1" s="1" t="s">
        <v>355</v>
      </c>
      <c r="AI1" s="1" t="s">
        <v>356</v>
      </c>
      <c r="AJ1" s="1" t="s">
        <v>357</v>
      </c>
      <c r="AK1" s="1" t="s">
        <v>287</v>
      </c>
      <c r="AL1" s="1" t="s">
        <v>134</v>
      </c>
      <c r="AM1" s="1" t="s">
        <v>1</v>
      </c>
      <c r="AN1" s="1" t="s">
        <v>2</v>
      </c>
    </row>
    <row r="2" spans="1:40" x14ac:dyDescent="0.25">
      <c r="B2" t="s">
        <v>333</v>
      </c>
      <c r="C2" t="s">
        <v>334</v>
      </c>
      <c r="D2" t="s">
        <v>335</v>
      </c>
      <c r="H2" t="s">
        <v>457</v>
      </c>
      <c r="AC2" t="s">
        <v>459</v>
      </c>
      <c r="AD2" t="s">
        <v>458</v>
      </c>
      <c r="AE2">
        <v>64</v>
      </c>
      <c r="AF2">
        <v>1</v>
      </c>
      <c r="AH2" t="s">
        <v>396</v>
      </c>
      <c r="AJ2">
        <v>303</v>
      </c>
      <c r="AK2" t="s">
        <v>202</v>
      </c>
      <c r="AM2">
        <v>712</v>
      </c>
      <c r="AN2">
        <v>357</v>
      </c>
    </row>
    <row r="3" spans="1:40" x14ac:dyDescent="0.25">
      <c r="B3" t="s">
        <v>333</v>
      </c>
      <c r="C3" t="s">
        <v>334</v>
      </c>
      <c r="D3" t="s">
        <v>335</v>
      </c>
      <c r="H3" t="s">
        <v>457</v>
      </c>
      <c r="AC3" t="s">
        <v>459</v>
      </c>
      <c r="AD3" t="s">
        <v>458</v>
      </c>
      <c r="AE3">
        <v>64</v>
      </c>
      <c r="AF3">
        <v>2</v>
      </c>
      <c r="AH3" t="s">
        <v>360</v>
      </c>
      <c r="AJ3">
        <v>102</v>
      </c>
      <c r="AK3" t="s">
        <v>200</v>
      </c>
      <c r="AM3">
        <v>916</v>
      </c>
      <c r="AN3">
        <v>357</v>
      </c>
    </row>
    <row r="4" spans="1:40" x14ac:dyDescent="0.25">
      <c r="B4" t="s">
        <v>333</v>
      </c>
      <c r="C4" t="s">
        <v>334</v>
      </c>
      <c r="D4" t="s">
        <v>335</v>
      </c>
      <c r="H4" t="s">
        <v>457</v>
      </c>
      <c r="AC4" t="s">
        <v>459</v>
      </c>
      <c r="AD4" t="s">
        <v>458</v>
      </c>
      <c r="AE4">
        <v>64</v>
      </c>
      <c r="AF4">
        <v>3</v>
      </c>
      <c r="AH4" t="s">
        <v>360</v>
      </c>
      <c r="AJ4">
        <v>102</v>
      </c>
      <c r="AK4" t="s">
        <v>200</v>
      </c>
      <c r="AM4">
        <v>1120</v>
      </c>
      <c r="AN4">
        <v>357</v>
      </c>
    </row>
    <row r="5" spans="1:40" x14ac:dyDescent="0.25">
      <c r="B5" t="s">
        <v>333</v>
      </c>
      <c r="C5" t="s">
        <v>334</v>
      </c>
      <c r="D5" t="s">
        <v>335</v>
      </c>
      <c r="H5" t="s">
        <v>457</v>
      </c>
      <c r="AC5" t="s">
        <v>459</v>
      </c>
      <c r="AD5" t="s">
        <v>458</v>
      </c>
      <c r="AE5">
        <v>64</v>
      </c>
      <c r="AF5">
        <v>4</v>
      </c>
      <c r="AH5" t="s">
        <v>396</v>
      </c>
      <c r="AJ5">
        <v>303</v>
      </c>
      <c r="AK5" t="s">
        <v>202</v>
      </c>
      <c r="AM5">
        <v>1324</v>
      </c>
      <c r="AN5">
        <v>357</v>
      </c>
    </row>
    <row r="6" spans="1:40" x14ac:dyDescent="0.25">
      <c r="B6" t="s">
        <v>333</v>
      </c>
      <c r="C6" t="s">
        <v>334</v>
      </c>
      <c r="D6" t="s">
        <v>335</v>
      </c>
      <c r="H6" t="s">
        <v>457</v>
      </c>
      <c r="AC6" t="s">
        <v>459</v>
      </c>
      <c r="AD6" t="s">
        <v>458</v>
      </c>
      <c r="AE6">
        <v>64</v>
      </c>
      <c r="AF6">
        <v>5</v>
      </c>
      <c r="AH6" t="s">
        <v>396</v>
      </c>
      <c r="AJ6">
        <v>303</v>
      </c>
      <c r="AK6" t="s">
        <v>202</v>
      </c>
      <c r="AM6">
        <v>1527</v>
      </c>
      <c r="AN6">
        <v>357</v>
      </c>
    </row>
    <row r="7" spans="1:40" x14ac:dyDescent="0.25">
      <c r="B7" t="s">
        <v>333</v>
      </c>
      <c r="C7" t="s">
        <v>334</v>
      </c>
      <c r="D7" t="s">
        <v>335</v>
      </c>
      <c r="H7" t="s">
        <v>457</v>
      </c>
      <c r="AC7" t="s">
        <v>459</v>
      </c>
      <c r="AD7" t="s">
        <v>458</v>
      </c>
      <c r="AE7">
        <v>64</v>
      </c>
      <c r="AF7">
        <v>6</v>
      </c>
      <c r="AH7" t="s">
        <v>360</v>
      </c>
      <c r="AJ7">
        <v>102</v>
      </c>
      <c r="AK7" t="s">
        <v>200</v>
      </c>
      <c r="AM7">
        <v>1731</v>
      </c>
      <c r="AN7">
        <v>357</v>
      </c>
    </row>
    <row r="8" spans="1:40" x14ac:dyDescent="0.25">
      <c r="B8" t="s">
        <v>333</v>
      </c>
      <c r="C8" t="s">
        <v>334</v>
      </c>
      <c r="D8" t="s">
        <v>335</v>
      </c>
      <c r="H8" t="s">
        <v>457</v>
      </c>
      <c r="AC8" t="s">
        <v>459</v>
      </c>
      <c r="AD8" t="s">
        <v>458</v>
      </c>
      <c r="AE8">
        <v>64</v>
      </c>
      <c r="AF8">
        <v>7</v>
      </c>
      <c r="AH8" t="s">
        <v>396</v>
      </c>
      <c r="AJ8">
        <v>303</v>
      </c>
      <c r="AK8" t="s">
        <v>202</v>
      </c>
      <c r="AM8">
        <v>1935</v>
      </c>
      <c r="AN8">
        <v>357</v>
      </c>
    </row>
    <row r="9" spans="1:40" x14ac:dyDescent="0.25">
      <c r="B9" t="s">
        <v>333</v>
      </c>
      <c r="C9" t="s">
        <v>334</v>
      </c>
      <c r="D9" t="s">
        <v>335</v>
      </c>
      <c r="H9" t="s">
        <v>457</v>
      </c>
      <c r="AC9" t="s">
        <v>459</v>
      </c>
      <c r="AD9" t="s">
        <v>458</v>
      </c>
      <c r="AE9">
        <v>64</v>
      </c>
      <c r="AF9">
        <v>8</v>
      </c>
      <c r="AH9" t="s">
        <v>420</v>
      </c>
      <c r="AJ9">
        <v>104</v>
      </c>
      <c r="AK9" t="s">
        <v>200</v>
      </c>
      <c r="AM9">
        <v>2139</v>
      </c>
      <c r="AN9">
        <v>357</v>
      </c>
    </row>
    <row r="10" spans="1:40" x14ac:dyDescent="0.25">
      <c r="B10" t="s">
        <v>333</v>
      </c>
      <c r="C10" t="s">
        <v>334</v>
      </c>
      <c r="D10" t="s">
        <v>335</v>
      </c>
      <c r="H10" t="s">
        <v>457</v>
      </c>
      <c r="AC10" t="s">
        <v>459</v>
      </c>
      <c r="AD10" t="s">
        <v>458</v>
      </c>
      <c r="AE10">
        <v>64</v>
      </c>
      <c r="AF10">
        <v>9</v>
      </c>
      <c r="AH10" t="s">
        <v>450</v>
      </c>
      <c r="AJ10">
        <v>502</v>
      </c>
      <c r="AK10" t="s">
        <v>204</v>
      </c>
      <c r="AM10">
        <v>712</v>
      </c>
      <c r="AN10">
        <v>561</v>
      </c>
    </row>
    <row r="11" spans="1:40" x14ac:dyDescent="0.25">
      <c r="B11" t="s">
        <v>333</v>
      </c>
      <c r="C11" t="s">
        <v>334</v>
      </c>
      <c r="D11" t="s">
        <v>335</v>
      </c>
      <c r="H11" t="s">
        <v>457</v>
      </c>
      <c r="AC11" t="s">
        <v>459</v>
      </c>
      <c r="AD11" t="s">
        <v>458</v>
      </c>
      <c r="AE11">
        <v>64</v>
      </c>
      <c r="AF11">
        <v>10</v>
      </c>
      <c r="AH11" t="s">
        <v>361</v>
      </c>
      <c r="AJ11">
        <v>109</v>
      </c>
      <c r="AK11" t="s">
        <v>200</v>
      </c>
      <c r="AM11">
        <v>916</v>
      </c>
      <c r="AN11">
        <v>561</v>
      </c>
    </row>
    <row r="12" spans="1:40" x14ac:dyDescent="0.25">
      <c r="B12" t="s">
        <v>333</v>
      </c>
      <c r="C12" t="s">
        <v>334</v>
      </c>
      <c r="D12" t="s">
        <v>335</v>
      </c>
      <c r="H12" t="s">
        <v>457</v>
      </c>
      <c r="AC12" t="s">
        <v>459</v>
      </c>
      <c r="AD12" t="s">
        <v>458</v>
      </c>
      <c r="AE12">
        <v>64</v>
      </c>
      <c r="AF12">
        <v>11</v>
      </c>
      <c r="AH12" t="s">
        <v>390</v>
      </c>
      <c r="AJ12">
        <v>903</v>
      </c>
      <c r="AK12" t="s">
        <v>208</v>
      </c>
      <c r="AM12">
        <v>1120</v>
      </c>
      <c r="AN12">
        <v>561</v>
      </c>
    </row>
    <row r="13" spans="1:40" x14ac:dyDescent="0.25">
      <c r="B13" t="s">
        <v>333</v>
      </c>
      <c r="C13" t="s">
        <v>334</v>
      </c>
      <c r="D13" t="s">
        <v>335</v>
      </c>
      <c r="H13" t="s">
        <v>457</v>
      </c>
      <c r="AC13" t="s">
        <v>459</v>
      </c>
      <c r="AD13" t="s">
        <v>458</v>
      </c>
      <c r="AE13">
        <v>64</v>
      </c>
      <c r="AF13">
        <v>12</v>
      </c>
      <c r="AH13" t="s">
        <v>360</v>
      </c>
      <c r="AJ13">
        <v>102</v>
      </c>
      <c r="AK13" t="s">
        <v>200</v>
      </c>
      <c r="AM13">
        <v>1324</v>
      </c>
      <c r="AN13">
        <v>561</v>
      </c>
    </row>
    <row r="14" spans="1:40" x14ac:dyDescent="0.25">
      <c r="B14" t="s">
        <v>333</v>
      </c>
      <c r="C14" t="s">
        <v>334</v>
      </c>
      <c r="D14" t="s">
        <v>335</v>
      </c>
      <c r="H14" t="s">
        <v>457</v>
      </c>
      <c r="AC14" t="s">
        <v>459</v>
      </c>
      <c r="AD14" t="s">
        <v>458</v>
      </c>
      <c r="AE14">
        <v>64</v>
      </c>
      <c r="AF14">
        <v>13</v>
      </c>
      <c r="AH14" t="s">
        <v>389</v>
      </c>
      <c r="AJ14">
        <v>501</v>
      </c>
      <c r="AK14" t="s">
        <v>204</v>
      </c>
      <c r="AM14">
        <v>1527</v>
      </c>
      <c r="AN14">
        <v>561</v>
      </c>
    </row>
    <row r="15" spans="1:40" x14ac:dyDescent="0.25">
      <c r="B15" t="s">
        <v>333</v>
      </c>
      <c r="C15" t="s">
        <v>334</v>
      </c>
      <c r="D15" t="s">
        <v>335</v>
      </c>
      <c r="H15" t="s">
        <v>457</v>
      </c>
      <c r="AC15" t="s">
        <v>459</v>
      </c>
      <c r="AD15" t="s">
        <v>458</v>
      </c>
      <c r="AE15">
        <v>64</v>
      </c>
      <c r="AF15">
        <v>14</v>
      </c>
      <c r="AH15" t="s">
        <v>390</v>
      </c>
      <c r="AJ15">
        <v>903</v>
      </c>
      <c r="AK15" t="s">
        <v>208</v>
      </c>
      <c r="AM15">
        <v>1731</v>
      </c>
      <c r="AN15">
        <v>561</v>
      </c>
    </row>
    <row r="16" spans="1:40" x14ac:dyDescent="0.25">
      <c r="B16" t="s">
        <v>333</v>
      </c>
      <c r="C16" t="s">
        <v>334</v>
      </c>
      <c r="D16" t="s">
        <v>335</v>
      </c>
      <c r="H16" t="s">
        <v>457</v>
      </c>
      <c r="AC16" t="s">
        <v>459</v>
      </c>
      <c r="AD16" t="s">
        <v>458</v>
      </c>
      <c r="AE16">
        <v>64</v>
      </c>
      <c r="AF16">
        <v>15</v>
      </c>
      <c r="AH16" t="s">
        <v>361</v>
      </c>
      <c r="AJ16">
        <v>109</v>
      </c>
      <c r="AK16" t="s">
        <v>200</v>
      </c>
      <c r="AM16">
        <v>1935</v>
      </c>
      <c r="AN16">
        <v>561</v>
      </c>
    </row>
    <row r="17" spans="2:40" x14ac:dyDescent="0.25">
      <c r="B17" t="s">
        <v>333</v>
      </c>
      <c r="C17" t="s">
        <v>334</v>
      </c>
      <c r="D17" t="s">
        <v>335</v>
      </c>
      <c r="H17" t="s">
        <v>457</v>
      </c>
      <c r="AC17" t="s">
        <v>459</v>
      </c>
      <c r="AD17" t="s">
        <v>458</v>
      </c>
      <c r="AE17">
        <v>64</v>
      </c>
      <c r="AF17">
        <v>16</v>
      </c>
      <c r="AH17" t="s">
        <v>360</v>
      </c>
      <c r="AJ17">
        <v>102</v>
      </c>
      <c r="AK17" t="s">
        <v>200</v>
      </c>
      <c r="AM17">
        <v>2139</v>
      </c>
      <c r="AN17">
        <v>561</v>
      </c>
    </row>
    <row r="18" spans="2:40" x14ac:dyDescent="0.25">
      <c r="B18" t="s">
        <v>333</v>
      </c>
      <c r="C18" t="s">
        <v>334</v>
      </c>
      <c r="D18" t="s">
        <v>335</v>
      </c>
      <c r="H18" t="s">
        <v>457</v>
      </c>
      <c r="AC18" t="s">
        <v>459</v>
      </c>
      <c r="AD18" t="s">
        <v>458</v>
      </c>
      <c r="AE18">
        <v>64</v>
      </c>
      <c r="AF18">
        <v>17</v>
      </c>
      <c r="AH18" t="s">
        <v>450</v>
      </c>
      <c r="AJ18">
        <v>502</v>
      </c>
      <c r="AK18" t="s">
        <v>204</v>
      </c>
      <c r="AM18">
        <v>712</v>
      </c>
      <c r="AN18">
        <v>765</v>
      </c>
    </row>
    <row r="19" spans="2:40" x14ac:dyDescent="0.25">
      <c r="B19" t="s">
        <v>333</v>
      </c>
      <c r="C19" t="s">
        <v>334</v>
      </c>
      <c r="D19" t="s">
        <v>335</v>
      </c>
      <c r="H19" t="s">
        <v>457</v>
      </c>
      <c r="AC19" t="s">
        <v>459</v>
      </c>
      <c r="AD19" t="s">
        <v>458</v>
      </c>
      <c r="AE19">
        <v>64</v>
      </c>
      <c r="AF19">
        <v>18</v>
      </c>
      <c r="AH19" t="s">
        <v>360</v>
      </c>
      <c r="AJ19">
        <v>102</v>
      </c>
      <c r="AK19" t="s">
        <v>200</v>
      </c>
      <c r="AM19">
        <v>916</v>
      </c>
      <c r="AN19">
        <v>765</v>
      </c>
    </row>
    <row r="20" spans="2:40" x14ac:dyDescent="0.25">
      <c r="B20" t="s">
        <v>333</v>
      </c>
      <c r="C20" t="s">
        <v>334</v>
      </c>
      <c r="D20" t="s">
        <v>335</v>
      </c>
      <c r="H20" t="s">
        <v>457</v>
      </c>
      <c r="AC20" t="s">
        <v>459</v>
      </c>
      <c r="AD20" t="s">
        <v>458</v>
      </c>
      <c r="AE20">
        <v>64</v>
      </c>
      <c r="AF20">
        <v>19</v>
      </c>
      <c r="AH20" t="s">
        <v>361</v>
      </c>
      <c r="AJ20">
        <v>109</v>
      </c>
      <c r="AK20" t="s">
        <v>200</v>
      </c>
      <c r="AM20">
        <v>1120</v>
      </c>
      <c r="AN20">
        <v>765</v>
      </c>
    </row>
    <row r="21" spans="2:40" x14ac:dyDescent="0.25">
      <c r="B21" t="s">
        <v>333</v>
      </c>
      <c r="C21" t="s">
        <v>334</v>
      </c>
      <c r="D21" t="s">
        <v>335</v>
      </c>
      <c r="H21" t="s">
        <v>457</v>
      </c>
      <c r="AC21" t="s">
        <v>459</v>
      </c>
      <c r="AD21" t="s">
        <v>458</v>
      </c>
      <c r="AE21">
        <v>64</v>
      </c>
      <c r="AF21">
        <v>20</v>
      </c>
      <c r="AH21" t="s">
        <v>389</v>
      </c>
      <c r="AJ21">
        <v>501</v>
      </c>
      <c r="AK21" t="s">
        <v>204</v>
      </c>
      <c r="AM21">
        <v>1324</v>
      </c>
      <c r="AN21">
        <v>765</v>
      </c>
    </row>
    <row r="22" spans="2:40" x14ac:dyDescent="0.25">
      <c r="B22" t="s">
        <v>333</v>
      </c>
      <c r="C22" t="s">
        <v>334</v>
      </c>
      <c r="D22" t="s">
        <v>335</v>
      </c>
      <c r="H22" t="s">
        <v>457</v>
      </c>
      <c r="AC22" t="s">
        <v>459</v>
      </c>
      <c r="AD22" t="s">
        <v>458</v>
      </c>
      <c r="AE22">
        <v>64</v>
      </c>
      <c r="AF22">
        <v>21</v>
      </c>
      <c r="AH22" t="s">
        <v>389</v>
      </c>
      <c r="AJ22">
        <v>501</v>
      </c>
      <c r="AK22" t="s">
        <v>204</v>
      </c>
      <c r="AM22">
        <v>1527</v>
      </c>
      <c r="AN22">
        <v>765</v>
      </c>
    </row>
    <row r="23" spans="2:40" x14ac:dyDescent="0.25">
      <c r="B23" t="s">
        <v>333</v>
      </c>
      <c r="C23" t="s">
        <v>334</v>
      </c>
      <c r="D23" t="s">
        <v>335</v>
      </c>
      <c r="H23" t="s">
        <v>457</v>
      </c>
      <c r="AC23" t="s">
        <v>459</v>
      </c>
      <c r="AD23" t="s">
        <v>458</v>
      </c>
      <c r="AE23">
        <v>64</v>
      </c>
      <c r="AF23">
        <v>22</v>
      </c>
      <c r="AH23" t="s">
        <v>361</v>
      </c>
      <c r="AJ23">
        <v>109</v>
      </c>
      <c r="AK23" t="s">
        <v>200</v>
      </c>
      <c r="AM23">
        <v>1731</v>
      </c>
      <c r="AN23">
        <v>765</v>
      </c>
    </row>
    <row r="24" spans="2:40" x14ac:dyDescent="0.25">
      <c r="B24" t="s">
        <v>333</v>
      </c>
      <c r="C24" t="s">
        <v>334</v>
      </c>
      <c r="D24" t="s">
        <v>335</v>
      </c>
      <c r="H24" t="s">
        <v>457</v>
      </c>
      <c r="AC24" t="s">
        <v>459</v>
      </c>
      <c r="AD24" t="s">
        <v>458</v>
      </c>
      <c r="AE24">
        <v>64</v>
      </c>
      <c r="AF24">
        <v>23</v>
      </c>
      <c r="AH24" t="s">
        <v>389</v>
      </c>
      <c r="AJ24">
        <v>501</v>
      </c>
      <c r="AK24" t="s">
        <v>204</v>
      </c>
      <c r="AM24">
        <v>1935</v>
      </c>
      <c r="AN24">
        <v>765</v>
      </c>
    </row>
    <row r="25" spans="2:40" x14ac:dyDescent="0.25">
      <c r="B25" t="s">
        <v>333</v>
      </c>
      <c r="C25" t="s">
        <v>334</v>
      </c>
      <c r="D25" t="s">
        <v>335</v>
      </c>
      <c r="H25" t="s">
        <v>457</v>
      </c>
      <c r="AC25" t="s">
        <v>459</v>
      </c>
      <c r="AD25" t="s">
        <v>458</v>
      </c>
      <c r="AE25">
        <v>64</v>
      </c>
      <c r="AF25">
        <v>24</v>
      </c>
      <c r="AH25" t="s">
        <v>389</v>
      </c>
      <c r="AJ25">
        <v>501</v>
      </c>
      <c r="AK25" t="s">
        <v>204</v>
      </c>
      <c r="AM25">
        <v>2139</v>
      </c>
      <c r="AN25">
        <v>765</v>
      </c>
    </row>
    <row r="26" spans="2:40" x14ac:dyDescent="0.25">
      <c r="B26" t="s">
        <v>333</v>
      </c>
      <c r="C26" t="s">
        <v>334</v>
      </c>
      <c r="D26" t="s">
        <v>335</v>
      </c>
      <c r="H26" t="s">
        <v>457</v>
      </c>
      <c r="AC26" t="s">
        <v>459</v>
      </c>
      <c r="AD26" t="s">
        <v>458</v>
      </c>
      <c r="AE26">
        <v>64</v>
      </c>
      <c r="AF26">
        <v>25</v>
      </c>
      <c r="AH26" t="s">
        <v>360</v>
      </c>
      <c r="AJ26">
        <v>102</v>
      </c>
      <c r="AK26" t="s">
        <v>200</v>
      </c>
      <c r="AM26">
        <v>712</v>
      </c>
      <c r="AN26">
        <v>969</v>
      </c>
    </row>
    <row r="27" spans="2:40" x14ac:dyDescent="0.25">
      <c r="B27" t="s">
        <v>333</v>
      </c>
      <c r="C27" t="s">
        <v>334</v>
      </c>
      <c r="D27" t="s">
        <v>335</v>
      </c>
      <c r="H27" t="s">
        <v>457</v>
      </c>
      <c r="AC27" t="s">
        <v>459</v>
      </c>
      <c r="AD27" t="s">
        <v>458</v>
      </c>
      <c r="AE27">
        <v>64</v>
      </c>
      <c r="AF27">
        <v>26</v>
      </c>
      <c r="AH27" t="s">
        <v>389</v>
      </c>
      <c r="AJ27">
        <v>501</v>
      </c>
      <c r="AK27" t="s">
        <v>204</v>
      </c>
      <c r="AM27">
        <v>916</v>
      </c>
      <c r="AN27">
        <v>969</v>
      </c>
    </row>
    <row r="28" spans="2:40" x14ac:dyDescent="0.25">
      <c r="B28" t="s">
        <v>333</v>
      </c>
      <c r="C28" t="s">
        <v>334</v>
      </c>
      <c r="D28" t="s">
        <v>335</v>
      </c>
      <c r="H28" t="s">
        <v>457</v>
      </c>
      <c r="AC28" t="s">
        <v>459</v>
      </c>
      <c r="AD28" t="s">
        <v>458</v>
      </c>
      <c r="AE28">
        <v>64</v>
      </c>
      <c r="AF28">
        <v>27</v>
      </c>
      <c r="AH28" t="s">
        <v>390</v>
      </c>
      <c r="AJ28">
        <v>903</v>
      </c>
      <c r="AK28" t="s">
        <v>208</v>
      </c>
      <c r="AM28">
        <v>1120</v>
      </c>
      <c r="AN28">
        <v>969</v>
      </c>
    </row>
    <row r="29" spans="2:40" x14ac:dyDescent="0.25">
      <c r="B29" t="s">
        <v>333</v>
      </c>
      <c r="C29" t="s">
        <v>334</v>
      </c>
      <c r="D29" t="s">
        <v>335</v>
      </c>
      <c r="H29" t="s">
        <v>457</v>
      </c>
      <c r="AC29" t="s">
        <v>459</v>
      </c>
      <c r="AD29" t="s">
        <v>458</v>
      </c>
      <c r="AE29">
        <v>64</v>
      </c>
      <c r="AF29">
        <v>28</v>
      </c>
      <c r="AH29" t="s">
        <v>361</v>
      </c>
      <c r="AJ29">
        <v>109</v>
      </c>
      <c r="AK29" t="s">
        <v>200</v>
      </c>
      <c r="AM29">
        <v>1324</v>
      </c>
      <c r="AN29">
        <v>969</v>
      </c>
    </row>
    <row r="30" spans="2:40" x14ac:dyDescent="0.25">
      <c r="B30" t="s">
        <v>333</v>
      </c>
      <c r="C30" t="s">
        <v>334</v>
      </c>
      <c r="D30" t="s">
        <v>335</v>
      </c>
      <c r="H30" t="s">
        <v>457</v>
      </c>
      <c r="AC30" t="s">
        <v>459</v>
      </c>
      <c r="AD30" t="s">
        <v>458</v>
      </c>
      <c r="AE30">
        <v>64</v>
      </c>
      <c r="AF30">
        <v>29</v>
      </c>
      <c r="AH30" t="s">
        <v>361</v>
      </c>
      <c r="AJ30">
        <v>109</v>
      </c>
      <c r="AK30" t="s">
        <v>200</v>
      </c>
      <c r="AM30">
        <v>1527</v>
      </c>
      <c r="AN30">
        <v>969</v>
      </c>
    </row>
    <row r="31" spans="2:40" x14ac:dyDescent="0.25">
      <c r="B31" t="s">
        <v>333</v>
      </c>
      <c r="C31" t="s">
        <v>334</v>
      </c>
      <c r="D31" t="s">
        <v>335</v>
      </c>
      <c r="H31" t="s">
        <v>457</v>
      </c>
      <c r="AC31" t="s">
        <v>459</v>
      </c>
      <c r="AD31" t="s">
        <v>458</v>
      </c>
      <c r="AE31">
        <v>64</v>
      </c>
      <c r="AF31">
        <v>30</v>
      </c>
      <c r="AH31" t="s">
        <v>360</v>
      </c>
      <c r="AJ31">
        <v>102</v>
      </c>
      <c r="AK31" t="s">
        <v>200</v>
      </c>
      <c r="AM31">
        <v>1731</v>
      </c>
      <c r="AN31">
        <v>969</v>
      </c>
    </row>
    <row r="32" spans="2:40" x14ac:dyDescent="0.25">
      <c r="B32" t="s">
        <v>333</v>
      </c>
      <c r="C32" t="s">
        <v>334</v>
      </c>
      <c r="D32" t="s">
        <v>335</v>
      </c>
      <c r="H32" t="s">
        <v>457</v>
      </c>
      <c r="AC32" t="s">
        <v>459</v>
      </c>
      <c r="AD32" t="s">
        <v>458</v>
      </c>
      <c r="AE32">
        <v>64</v>
      </c>
      <c r="AF32">
        <v>31</v>
      </c>
      <c r="AH32" t="s">
        <v>360</v>
      </c>
      <c r="AJ32">
        <v>102</v>
      </c>
      <c r="AK32" t="s">
        <v>200</v>
      </c>
      <c r="AM32">
        <v>1935</v>
      </c>
      <c r="AN32">
        <v>969</v>
      </c>
    </row>
    <row r="33" spans="2:40" x14ac:dyDescent="0.25">
      <c r="B33" t="s">
        <v>333</v>
      </c>
      <c r="C33" t="s">
        <v>334</v>
      </c>
      <c r="D33" t="s">
        <v>335</v>
      </c>
      <c r="H33" t="s">
        <v>457</v>
      </c>
      <c r="AC33" t="s">
        <v>459</v>
      </c>
      <c r="AD33" t="s">
        <v>458</v>
      </c>
      <c r="AE33">
        <v>64</v>
      </c>
      <c r="AF33">
        <v>32</v>
      </c>
      <c r="AH33" t="s">
        <v>360</v>
      </c>
      <c r="AJ33">
        <v>102</v>
      </c>
      <c r="AK33" t="s">
        <v>200</v>
      </c>
      <c r="AM33">
        <v>2139</v>
      </c>
      <c r="AN33">
        <v>969</v>
      </c>
    </row>
    <row r="34" spans="2:40" x14ac:dyDescent="0.25">
      <c r="B34" t="s">
        <v>333</v>
      </c>
      <c r="C34" t="s">
        <v>334</v>
      </c>
      <c r="D34" t="s">
        <v>335</v>
      </c>
      <c r="H34" t="s">
        <v>457</v>
      </c>
      <c r="AC34" t="s">
        <v>459</v>
      </c>
      <c r="AD34" t="s">
        <v>458</v>
      </c>
      <c r="AE34">
        <v>64</v>
      </c>
      <c r="AF34">
        <v>33</v>
      </c>
      <c r="AH34" t="s">
        <v>360</v>
      </c>
      <c r="AJ34">
        <v>102</v>
      </c>
      <c r="AK34" t="s">
        <v>200</v>
      </c>
      <c r="AM34">
        <v>712</v>
      </c>
      <c r="AN34">
        <v>1172</v>
      </c>
    </row>
    <row r="35" spans="2:40" x14ac:dyDescent="0.25">
      <c r="B35" t="s">
        <v>333</v>
      </c>
      <c r="C35" t="s">
        <v>334</v>
      </c>
      <c r="D35" t="s">
        <v>335</v>
      </c>
      <c r="H35" t="s">
        <v>457</v>
      </c>
      <c r="AC35" t="s">
        <v>459</v>
      </c>
      <c r="AD35" t="s">
        <v>458</v>
      </c>
      <c r="AE35">
        <v>64</v>
      </c>
      <c r="AF35">
        <v>34</v>
      </c>
      <c r="AH35" t="s">
        <v>360</v>
      </c>
      <c r="AJ35">
        <v>102</v>
      </c>
      <c r="AK35" t="s">
        <v>200</v>
      </c>
      <c r="AM35">
        <v>916</v>
      </c>
      <c r="AN35">
        <v>1172</v>
      </c>
    </row>
    <row r="36" spans="2:40" x14ac:dyDescent="0.25">
      <c r="B36" t="s">
        <v>333</v>
      </c>
      <c r="C36" t="s">
        <v>334</v>
      </c>
      <c r="D36" t="s">
        <v>335</v>
      </c>
      <c r="H36" t="s">
        <v>457</v>
      </c>
      <c r="AC36" t="s">
        <v>459</v>
      </c>
      <c r="AD36" t="s">
        <v>458</v>
      </c>
      <c r="AE36">
        <v>64</v>
      </c>
      <c r="AF36">
        <v>35</v>
      </c>
      <c r="AH36" t="s">
        <v>360</v>
      </c>
      <c r="AJ36">
        <v>102</v>
      </c>
      <c r="AK36" t="s">
        <v>200</v>
      </c>
      <c r="AM36">
        <v>1120</v>
      </c>
      <c r="AN36">
        <v>1172</v>
      </c>
    </row>
    <row r="37" spans="2:40" x14ac:dyDescent="0.25">
      <c r="B37" t="s">
        <v>333</v>
      </c>
      <c r="C37" t="s">
        <v>334</v>
      </c>
      <c r="D37" t="s">
        <v>335</v>
      </c>
      <c r="H37" t="s">
        <v>457</v>
      </c>
      <c r="AC37" t="s">
        <v>459</v>
      </c>
      <c r="AD37" t="s">
        <v>458</v>
      </c>
      <c r="AE37">
        <v>64</v>
      </c>
      <c r="AF37">
        <v>36</v>
      </c>
      <c r="AH37" t="s">
        <v>361</v>
      </c>
      <c r="AJ37">
        <v>109</v>
      </c>
      <c r="AK37" t="s">
        <v>200</v>
      </c>
      <c r="AM37">
        <v>1324</v>
      </c>
      <c r="AN37">
        <v>1172</v>
      </c>
    </row>
    <row r="38" spans="2:40" x14ac:dyDescent="0.25">
      <c r="B38" t="s">
        <v>333</v>
      </c>
      <c r="C38" t="s">
        <v>334</v>
      </c>
      <c r="D38" t="s">
        <v>335</v>
      </c>
      <c r="H38" t="s">
        <v>457</v>
      </c>
      <c r="AC38" t="s">
        <v>459</v>
      </c>
      <c r="AD38" t="s">
        <v>458</v>
      </c>
      <c r="AE38">
        <v>64</v>
      </c>
      <c r="AF38">
        <v>37</v>
      </c>
      <c r="AH38" t="s">
        <v>361</v>
      </c>
      <c r="AJ38">
        <v>109</v>
      </c>
      <c r="AK38" t="s">
        <v>200</v>
      </c>
      <c r="AM38">
        <v>1527</v>
      </c>
      <c r="AN38">
        <v>1172</v>
      </c>
    </row>
    <row r="39" spans="2:40" x14ac:dyDescent="0.25">
      <c r="B39" t="s">
        <v>333</v>
      </c>
      <c r="C39" t="s">
        <v>334</v>
      </c>
      <c r="D39" t="s">
        <v>335</v>
      </c>
      <c r="H39" t="s">
        <v>457</v>
      </c>
      <c r="AC39" t="s">
        <v>459</v>
      </c>
      <c r="AD39" t="s">
        <v>458</v>
      </c>
      <c r="AE39">
        <v>64</v>
      </c>
      <c r="AF39">
        <v>38</v>
      </c>
      <c r="AH39" t="s">
        <v>360</v>
      </c>
      <c r="AJ39">
        <v>102</v>
      </c>
      <c r="AK39" t="s">
        <v>200</v>
      </c>
      <c r="AM39">
        <v>1731</v>
      </c>
      <c r="AN39">
        <v>1172</v>
      </c>
    </row>
    <row r="40" spans="2:40" x14ac:dyDescent="0.25">
      <c r="B40" t="s">
        <v>333</v>
      </c>
      <c r="C40" t="s">
        <v>334</v>
      </c>
      <c r="D40" t="s">
        <v>335</v>
      </c>
      <c r="H40" t="s">
        <v>457</v>
      </c>
      <c r="AC40" t="s">
        <v>459</v>
      </c>
      <c r="AD40" t="s">
        <v>458</v>
      </c>
      <c r="AE40">
        <v>64</v>
      </c>
      <c r="AF40">
        <v>39</v>
      </c>
      <c r="AH40" t="s">
        <v>360</v>
      </c>
      <c r="AJ40">
        <v>102</v>
      </c>
      <c r="AK40" t="s">
        <v>200</v>
      </c>
      <c r="AM40">
        <v>1935</v>
      </c>
      <c r="AN40">
        <v>1172</v>
      </c>
    </row>
    <row r="41" spans="2:40" x14ac:dyDescent="0.25">
      <c r="B41" t="s">
        <v>333</v>
      </c>
      <c r="C41" t="s">
        <v>334</v>
      </c>
      <c r="D41" t="s">
        <v>335</v>
      </c>
      <c r="H41" t="s">
        <v>457</v>
      </c>
      <c r="AC41" t="s">
        <v>459</v>
      </c>
      <c r="AD41" t="s">
        <v>458</v>
      </c>
      <c r="AE41">
        <v>64</v>
      </c>
      <c r="AF41">
        <v>40</v>
      </c>
      <c r="AH41" t="s">
        <v>396</v>
      </c>
      <c r="AJ41">
        <v>303</v>
      </c>
      <c r="AK41" t="s">
        <v>202</v>
      </c>
      <c r="AM41">
        <v>2139</v>
      </c>
      <c r="AN41">
        <v>1172</v>
      </c>
    </row>
    <row r="42" spans="2:40" x14ac:dyDescent="0.25">
      <c r="B42" t="s">
        <v>333</v>
      </c>
      <c r="C42" t="s">
        <v>334</v>
      </c>
      <c r="D42" t="s">
        <v>335</v>
      </c>
      <c r="H42" t="s">
        <v>457</v>
      </c>
      <c r="AC42" t="s">
        <v>459</v>
      </c>
      <c r="AD42" t="s">
        <v>458</v>
      </c>
      <c r="AE42">
        <v>64</v>
      </c>
      <c r="AF42">
        <v>41</v>
      </c>
      <c r="AH42" t="s">
        <v>396</v>
      </c>
      <c r="AJ42">
        <v>303</v>
      </c>
      <c r="AK42" t="s">
        <v>202</v>
      </c>
      <c r="AM42">
        <v>712</v>
      </c>
      <c r="AN42">
        <v>1376</v>
      </c>
    </row>
    <row r="43" spans="2:40" x14ac:dyDescent="0.25">
      <c r="B43" t="s">
        <v>333</v>
      </c>
      <c r="C43" t="s">
        <v>334</v>
      </c>
      <c r="D43" t="s">
        <v>335</v>
      </c>
      <c r="H43" t="s">
        <v>457</v>
      </c>
      <c r="AC43" t="s">
        <v>459</v>
      </c>
      <c r="AD43" t="s">
        <v>458</v>
      </c>
      <c r="AE43">
        <v>64</v>
      </c>
      <c r="AF43">
        <v>42</v>
      </c>
      <c r="AH43" t="s">
        <v>360</v>
      </c>
      <c r="AJ43">
        <v>102</v>
      </c>
      <c r="AK43" t="s">
        <v>200</v>
      </c>
      <c r="AM43">
        <v>916</v>
      </c>
      <c r="AN43">
        <v>1376</v>
      </c>
    </row>
    <row r="44" spans="2:40" x14ac:dyDescent="0.25">
      <c r="B44" t="s">
        <v>333</v>
      </c>
      <c r="C44" t="s">
        <v>334</v>
      </c>
      <c r="D44" t="s">
        <v>335</v>
      </c>
      <c r="H44" t="s">
        <v>457</v>
      </c>
      <c r="AC44" t="s">
        <v>459</v>
      </c>
      <c r="AD44" t="s">
        <v>458</v>
      </c>
      <c r="AE44">
        <v>64</v>
      </c>
      <c r="AF44">
        <v>43</v>
      </c>
      <c r="AH44" t="s">
        <v>361</v>
      </c>
      <c r="AJ44">
        <v>109</v>
      </c>
      <c r="AK44" t="s">
        <v>200</v>
      </c>
      <c r="AM44">
        <v>1120</v>
      </c>
      <c r="AN44">
        <v>1376</v>
      </c>
    </row>
    <row r="45" spans="2:40" x14ac:dyDescent="0.25">
      <c r="B45" t="s">
        <v>333</v>
      </c>
      <c r="C45" t="s">
        <v>334</v>
      </c>
      <c r="D45" t="s">
        <v>335</v>
      </c>
      <c r="H45" t="s">
        <v>457</v>
      </c>
      <c r="AC45" t="s">
        <v>459</v>
      </c>
      <c r="AD45" t="s">
        <v>458</v>
      </c>
      <c r="AE45">
        <v>64</v>
      </c>
      <c r="AF45">
        <v>44</v>
      </c>
      <c r="AH45" t="s">
        <v>389</v>
      </c>
      <c r="AJ45">
        <v>501</v>
      </c>
      <c r="AK45" t="s">
        <v>204</v>
      </c>
      <c r="AM45">
        <v>1324</v>
      </c>
      <c r="AN45">
        <v>1376</v>
      </c>
    </row>
    <row r="46" spans="2:40" x14ac:dyDescent="0.25">
      <c r="B46" t="s">
        <v>333</v>
      </c>
      <c r="C46" t="s">
        <v>334</v>
      </c>
      <c r="D46" t="s">
        <v>335</v>
      </c>
      <c r="H46" t="s">
        <v>457</v>
      </c>
      <c r="AC46" t="s">
        <v>459</v>
      </c>
      <c r="AD46" t="s">
        <v>458</v>
      </c>
      <c r="AE46">
        <v>64</v>
      </c>
      <c r="AF46">
        <v>45</v>
      </c>
      <c r="AH46" t="s">
        <v>389</v>
      </c>
      <c r="AJ46">
        <v>501</v>
      </c>
      <c r="AK46" t="s">
        <v>204</v>
      </c>
      <c r="AM46">
        <v>1527</v>
      </c>
      <c r="AN46">
        <v>1376</v>
      </c>
    </row>
    <row r="47" spans="2:40" x14ac:dyDescent="0.25">
      <c r="B47" t="s">
        <v>333</v>
      </c>
      <c r="C47" t="s">
        <v>334</v>
      </c>
      <c r="D47" t="s">
        <v>335</v>
      </c>
      <c r="H47" t="s">
        <v>457</v>
      </c>
      <c r="AC47" t="s">
        <v>459</v>
      </c>
      <c r="AD47" t="s">
        <v>458</v>
      </c>
      <c r="AE47">
        <v>64</v>
      </c>
      <c r="AF47">
        <v>46</v>
      </c>
      <c r="AH47" t="s">
        <v>361</v>
      </c>
      <c r="AJ47">
        <v>109</v>
      </c>
      <c r="AK47" t="s">
        <v>200</v>
      </c>
      <c r="AM47">
        <v>1731</v>
      </c>
      <c r="AN47">
        <v>1376</v>
      </c>
    </row>
    <row r="48" spans="2:40" x14ac:dyDescent="0.25">
      <c r="B48" t="s">
        <v>333</v>
      </c>
      <c r="C48" t="s">
        <v>334</v>
      </c>
      <c r="D48" t="s">
        <v>335</v>
      </c>
      <c r="H48" t="s">
        <v>457</v>
      </c>
      <c r="AC48" t="s">
        <v>459</v>
      </c>
      <c r="AD48" t="s">
        <v>458</v>
      </c>
      <c r="AE48">
        <v>64</v>
      </c>
      <c r="AF48">
        <v>47</v>
      </c>
      <c r="AH48" t="s">
        <v>389</v>
      </c>
      <c r="AJ48">
        <v>501</v>
      </c>
      <c r="AK48" t="s">
        <v>204</v>
      </c>
      <c r="AM48">
        <v>1935</v>
      </c>
      <c r="AN48">
        <v>1376</v>
      </c>
    </row>
    <row r="49" spans="2:40" x14ac:dyDescent="0.25">
      <c r="B49" t="s">
        <v>333</v>
      </c>
      <c r="C49" t="s">
        <v>334</v>
      </c>
      <c r="D49" t="s">
        <v>335</v>
      </c>
      <c r="H49" t="s">
        <v>457</v>
      </c>
      <c r="AC49" t="s">
        <v>459</v>
      </c>
      <c r="AD49" t="s">
        <v>458</v>
      </c>
      <c r="AE49">
        <v>64</v>
      </c>
      <c r="AF49">
        <v>48</v>
      </c>
      <c r="AH49" t="s">
        <v>389</v>
      </c>
      <c r="AJ49">
        <v>501</v>
      </c>
      <c r="AK49" t="s">
        <v>204</v>
      </c>
      <c r="AM49">
        <v>2139</v>
      </c>
      <c r="AN49">
        <v>1376</v>
      </c>
    </row>
    <row r="50" spans="2:40" x14ac:dyDescent="0.25">
      <c r="B50" t="s">
        <v>333</v>
      </c>
      <c r="C50" t="s">
        <v>334</v>
      </c>
      <c r="D50" t="s">
        <v>335</v>
      </c>
      <c r="H50" t="s">
        <v>457</v>
      </c>
      <c r="AC50" t="s">
        <v>459</v>
      </c>
      <c r="AD50" t="s">
        <v>458</v>
      </c>
      <c r="AE50">
        <v>64</v>
      </c>
      <c r="AF50">
        <v>49</v>
      </c>
      <c r="AH50" t="s">
        <v>396</v>
      </c>
      <c r="AJ50">
        <v>303</v>
      </c>
      <c r="AK50" t="s">
        <v>202</v>
      </c>
      <c r="AM50">
        <v>712</v>
      </c>
      <c r="AN50">
        <v>1580</v>
      </c>
    </row>
    <row r="51" spans="2:40" x14ac:dyDescent="0.25">
      <c r="B51" t="s">
        <v>333</v>
      </c>
      <c r="C51" t="s">
        <v>334</v>
      </c>
      <c r="D51" t="s">
        <v>335</v>
      </c>
      <c r="H51" t="s">
        <v>457</v>
      </c>
      <c r="AC51" t="s">
        <v>459</v>
      </c>
      <c r="AD51" t="s">
        <v>458</v>
      </c>
      <c r="AE51">
        <v>64</v>
      </c>
      <c r="AF51">
        <v>50</v>
      </c>
      <c r="AH51" t="s">
        <v>361</v>
      </c>
      <c r="AJ51">
        <v>109</v>
      </c>
      <c r="AK51" t="s">
        <v>200</v>
      </c>
      <c r="AM51">
        <v>916</v>
      </c>
      <c r="AN51">
        <v>1580</v>
      </c>
    </row>
    <row r="52" spans="2:40" x14ac:dyDescent="0.25">
      <c r="B52" t="s">
        <v>333</v>
      </c>
      <c r="C52" t="s">
        <v>334</v>
      </c>
      <c r="D52" t="s">
        <v>335</v>
      </c>
      <c r="H52" t="s">
        <v>457</v>
      </c>
      <c r="AC52" t="s">
        <v>459</v>
      </c>
      <c r="AD52" t="s">
        <v>458</v>
      </c>
      <c r="AE52">
        <v>64</v>
      </c>
      <c r="AF52">
        <v>51</v>
      </c>
      <c r="AH52" t="s">
        <v>360</v>
      </c>
      <c r="AJ52">
        <v>102</v>
      </c>
      <c r="AK52" t="s">
        <v>200</v>
      </c>
      <c r="AM52">
        <v>1120</v>
      </c>
      <c r="AN52">
        <v>1580</v>
      </c>
    </row>
    <row r="53" spans="2:40" x14ac:dyDescent="0.25">
      <c r="B53" t="s">
        <v>333</v>
      </c>
      <c r="C53" t="s">
        <v>334</v>
      </c>
      <c r="D53" t="s">
        <v>335</v>
      </c>
      <c r="H53" t="s">
        <v>457</v>
      </c>
      <c r="AC53" t="s">
        <v>459</v>
      </c>
      <c r="AD53" t="s">
        <v>458</v>
      </c>
      <c r="AE53">
        <v>64</v>
      </c>
      <c r="AF53">
        <v>52</v>
      </c>
      <c r="AH53" t="s">
        <v>360</v>
      </c>
      <c r="AJ53">
        <v>102</v>
      </c>
      <c r="AK53" t="s">
        <v>200</v>
      </c>
      <c r="AM53">
        <v>1324</v>
      </c>
      <c r="AN53">
        <v>1580</v>
      </c>
    </row>
    <row r="54" spans="2:40" x14ac:dyDescent="0.25">
      <c r="B54" t="s">
        <v>333</v>
      </c>
      <c r="C54" t="s">
        <v>334</v>
      </c>
      <c r="D54" t="s">
        <v>335</v>
      </c>
      <c r="H54" t="s">
        <v>457</v>
      </c>
      <c r="AC54" t="s">
        <v>459</v>
      </c>
      <c r="AD54" t="s">
        <v>458</v>
      </c>
      <c r="AE54">
        <v>64</v>
      </c>
      <c r="AF54">
        <v>53</v>
      </c>
      <c r="AH54" t="s">
        <v>389</v>
      </c>
      <c r="AJ54">
        <v>501</v>
      </c>
      <c r="AK54" t="s">
        <v>204</v>
      </c>
      <c r="AM54">
        <v>1527</v>
      </c>
      <c r="AN54">
        <v>1580</v>
      </c>
    </row>
    <row r="55" spans="2:40" x14ac:dyDescent="0.25">
      <c r="B55" t="s">
        <v>333</v>
      </c>
      <c r="C55" t="s">
        <v>334</v>
      </c>
      <c r="D55" t="s">
        <v>335</v>
      </c>
      <c r="H55" t="s">
        <v>457</v>
      </c>
      <c r="AC55" t="s">
        <v>459</v>
      </c>
      <c r="AD55" t="s">
        <v>458</v>
      </c>
      <c r="AE55">
        <v>64</v>
      </c>
      <c r="AF55">
        <v>54</v>
      </c>
      <c r="AH55" t="s">
        <v>389</v>
      </c>
      <c r="AJ55">
        <v>501</v>
      </c>
      <c r="AK55" t="s">
        <v>204</v>
      </c>
      <c r="AM55">
        <v>1731</v>
      </c>
      <c r="AN55">
        <v>1580</v>
      </c>
    </row>
    <row r="56" spans="2:40" x14ac:dyDescent="0.25">
      <c r="B56" t="s">
        <v>333</v>
      </c>
      <c r="C56" t="s">
        <v>334</v>
      </c>
      <c r="D56" t="s">
        <v>335</v>
      </c>
      <c r="H56" t="s">
        <v>457</v>
      </c>
      <c r="AC56" t="s">
        <v>459</v>
      </c>
      <c r="AD56" t="s">
        <v>458</v>
      </c>
      <c r="AE56">
        <v>64</v>
      </c>
      <c r="AF56">
        <v>55</v>
      </c>
      <c r="AH56" t="s">
        <v>361</v>
      </c>
      <c r="AJ56">
        <v>109</v>
      </c>
      <c r="AK56" t="s">
        <v>200</v>
      </c>
      <c r="AM56">
        <v>1935</v>
      </c>
      <c r="AN56">
        <v>1580</v>
      </c>
    </row>
    <row r="57" spans="2:40" x14ac:dyDescent="0.25">
      <c r="B57" t="s">
        <v>333</v>
      </c>
      <c r="C57" t="s">
        <v>334</v>
      </c>
      <c r="D57" t="s">
        <v>335</v>
      </c>
      <c r="H57" t="s">
        <v>457</v>
      </c>
      <c r="AC57" t="s">
        <v>459</v>
      </c>
      <c r="AD57" t="s">
        <v>458</v>
      </c>
      <c r="AE57">
        <v>64</v>
      </c>
      <c r="AF57">
        <v>56</v>
      </c>
      <c r="AH57" t="s">
        <v>389</v>
      </c>
      <c r="AJ57">
        <v>501</v>
      </c>
      <c r="AK57" t="s">
        <v>204</v>
      </c>
      <c r="AM57">
        <v>2139</v>
      </c>
      <c r="AN57">
        <v>1580</v>
      </c>
    </row>
    <row r="58" spans="2:40" x14ac:dyDescent="0.25">
      <c r="B58" t="s">
        <v>333</v>
      </c>
      <c r="C58" t="s">
        <v>334</v>
      </c>
      <c r="D58" t="s">
        <v>335</v>
      </c>
      <c r="H58" t="s">
        <v>457</v>
      </c>
      <c r="AC58" t="s">
        <v>459</v>
      </c>
      <c r="AD58" t="s">
        <v>458</v>
      </c>
      <c r="AE58">
        <v>64</v>
      </c>
      <c r="AF58">
        <v>57</v>
      </c>
      <c r="AH58" t="s">
        <v>396</v>
      </c>
      <c r="AJ58">
        <v>303</v>
      </c>
      <c r="AK58" t="s">
        <v>202</v>
      </c>
      <c r="AM58">
        <v>712</v>
      </c>
      <c r="AN58">
        <v>1784</v>
      </c>
    </row>
    <row r="59" spans="2:40" x14ac:dyDescent="0.25">
      <c r="B59" t="s">
        <v>333</v>
      </c>
      <c r="C59" t="s">
        <v>334</v>
      </c>
      <c r="D59" t="s">
        <v>335</v>
      </c>
      <c r="H59" t="s">
        <v>457</v>
      </c>
      <c r="AC59" t="s">
        <v>459</v>
      </c>
      <c r="AD59" t="s">
        <v>458</v>
      </c>
      <c r="AE59">
        <v>64</v>
      </c>
      <c r="AF59">
        <v>58</v>
      </c>
      <c r="AH59" t="s">
        <v>396</v>
      </c>
      <c r="AJ59">
        <v>303</v>
      </c>
      <c r="AK59" t="s">
        <v>202</v>
      </c>
      <c r="AM59">
        <v>916</v>
      </c>
      <c r="AN59">
        <v>1784</v>
      </c>
    </row>
    <row r="60" spans="2:40" x14ac:dyDescent="0.25">
      <c r="B60" t="s">
        <v>333</v>
      </c>
      <c r="C60" t="s">
        <v>334</v>
      </c>
      <c r="D60" t="s">
        <v>335</v>
      </c>
      <c r="H60" t="s">
        <v>457</v>
      </c>
      <c r="AC60" t="s">
        <v>459</v>
      </c>
      <c r="AD60" t="s">
        <v>458</v>
      </c>
      <c r="AE60">
        <v>64</v>
      </c>
      <c r="AF60">
        <v>59</v>
      </c>
      <c r="AH60" t="s">
        <v>396</v>
      </c>
      <c r="AJ60">
        <v>303</v>
      </c>
      <c r="AK60" t="s">
        <v>202</v>
      </c>
      <c r="AM60">
        <v>1120</v>
      </c>
      <c r="AN60">
        <v>1784</v>
      </c>
    </row>
    <row r="61" spans="2:40" x14ac:dyDescent="0.25">
      <c r="B61" t="s">
        <v>333</v>
      </c>
      <c r="C61" t="s">
        <v>334</v>
      </c>
      <c r="D61" t="s">
        <v>335</v>
      </c>
      <c r="H61" t="s">
        <v>457</v>
      </c>
      <c r="AC61" t="s">
        <v>459</v>
      </c>
      <c r="AD61" t="s">
        <v>458</v>
      </c>
      <c r="AE61">
        <v>64</v>
      </c>
      <c r="AF61">
        <v>60</v>
      </c>
      <c r="AH61" t="s">
        <v>396</v>
      </c>
      <c r="AJ61">
        <v>303</v>
      </c>
      <c r="AK61" t="s">
        <v>202</v>
      </c>
      <c r="AM61">
        <v>1324</v>
      </c>
      <c r="AN61">
        <v>1784</v>
      </c>
    </row>
    <row r="62" spans="2:40" x14ac:dyDescent="0.25">
      <c r="B62" t="s">
        <v>333</v>
      </c>
      <c r="C62" t="s">
        <v>334</v>
      </c>
      <c r="D62" t="s">
        <v>335</v>
      </c>
      <c r="H62" t="s">
        <v>457</v>
      </c>
      <c r="AC62" t="s">
        <v>459</v>
      </c>
      <c r="AD62" t="s">
        <v>458</v>
      </c>
      <c r="AE62">
        <v>64</v>
      </c>
      <c r="AF62">
        <v>61</v>
      </c>
      <c r="AH62" t="s">
        <v>396</v>
      </c>
      <c r="AJ62">
        <v>303</v>
      </c>
      <c r="AK62" t="s">
        <v>202</v>
      </c>
      <c r="AM62">
        <v>1527</v>
      </c>
      <c r="AN62">
        <v>1784</v>
      </c>
    </row>
    <row r="63" spans="2:40" x14ac:dyDescent="0.25">
      <c r="B63" t="s">
        <v>333</v>
      </c>
      <c r="C63" t="s">
        <v>334</v>
      </c>
      <c r="D63" t="s">
        <v>335</v>
      </c>
      <c r="H63" t="s">
        <v>457</v>
      </c>
      <c r="AC63" t="s">
        <v>459</v>
      </c>
      <c r="AD63" t="s">
        <v>458</v>
      </c>
      <c r="AE63">
        <v>64</v>
      </c>
      <c r="AF63">
        <v>62</v>
      </c>
      <c r="AH63" t="s">
        <v>396</v>
      </c>
      <c r="AJ63">
        <v>303</v>
      </c>
      <c r="AK63" t="s">
        <v>202</v>
      </c>
      <c r="AM63">
        <v>1731</v>
      </c>
      <c r="AN63">
        <v>1784</v>
      </c>
    </row>
    <row r="64" spans="2:40" x14ac:dyDescent="0.25">
      <c r="B64" t="s">
        <v>333</v>
      </c>
      <c r="C64" t="s">
        <v>334</v>
      </c>
      <c r="D64" t="s">
        <v>335</v>
      </c>
      <c r="H64" t="s">
        <v>457</v>
      </c>
      <c r="AC64" t="s">
        <v>459</v>
      </c>
      <c r="AD64" t="s">
        <v>458</v>
      </c>
      <c r="AE64">
        <v>64</v>
      </c>
      <c r="AF64">
        <v>63</v>
      </c>
      <c r="AH64" t="s">
        <v>396</v>
      </c>
      <c r="AJ64">
        <v>303</v>
      </c>
      <c r="AK64" t="s">
        <v>202</v>
      </c>
      <c r="AM64">
        <v>1935</v>
      </c>
      <c r="AN64">
        <v>1784</v>
      </c>
    </row>
    <row r="65" spans="2:40" x14ac:dyDescent="0.25">
      <c r="B65" t="s">
        <v>333</v>
      </c>
      <c r="C65" t="s">
        <v>334</v>
      </c>
      <c r="D65" t="s">
        <v>335</v>
      </c>
      <c r="H65" t="s">
        <v>457</v>
      </c>
      <c r="AC65" t="s">
        <v>459</v>
      </c>
      <c r="AD65" t="s">
        <v>458</v>
      </c>
      <c r="AE65">
        <v>64</v>
      </c>
      <c r="AF65">
        <v>64</v>
      </c>
      <c r="AH65" t="s">
        <v>450</v>
      </c>
      <c r="AJ65">
        <v>502</v>
      </c>
      <c r="AK65" t="s">
        <v>204</v>
      </c>
      <c r="AM65">
        <v>2139</v>
      </c>
      <c r="AN65">
        <v>1784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6"/>
  <sheetViews>
    <sheetView tabSelected="1" workbookViewId="0"/>
  </sheetViews>
  <sheetFormatPr baseColWidth="10" defaultRowHeight="15" x14ac:dyDescent="0.25"/>
  <cols>
    <col min="1" max="1" width="38.85546875" style="55" bestFit="1" customWidth="1"/>
    <col min="2" max="13" width="11.42578125" style="55"/>
    <col min="14" max="18" width="11.85546875" bestFit="1" customWidth="1"/>
  </cols>
  <sheetData>
    <row r="1" spans="1:24" x14ac:dyDescent="0.25">
      <c r="A1" s="55" t="s">
        <v>262</v>
      </c>
      <c r="F1" s="55" t="s">
        <v>363</v>
      </c>
    </row>
    <row r="2" spans="1:24" x14ac:dyDescent="0.25">
      <c r="A2" s="55" t="s">
        <v>362</v>
      </c>
      <c r="F2" s="55" t="s">
        <v>277</v>
      </c>
    </row>
    <row r="3" spans="1:24" x14ac:dyDescent="0.25">
      <c r="A3" s="55" t="s">
        <v>263</v>
      </c>
      <c r="C3" s="55" t="s">
        <v>264</v>
      </c>
      <c r="D3" s="55" t="s">
        <v>265</v>
      </c>
      <c r="F3" s="56" t="s">
        <v>271</v>
      </c>
      <c r="G3" s="55" t="s">
        <v>272</v>
      </c>
    </row>
    <row r="4" spans="1:24" x14ac:dyDescent="0.25">
      <c r="A4" s="55" t="s">
        <v>279</v>
      </c>
    </row>
    <row r="5" spans="1:24" ht="15.75" thickBot="1" x14ac:dyDescent="0.3"/>
    <row r="6" spans="1:24" ht="16.5" thickTop="1" thickBot="1" x14ac:dyDescent="0.3">
      <c r="A6" s="271" t="s">
        <v>364</v>
      </c>
      <c r="B6" s="66" t="s">
        <v>336</v>
      </c>
      <c r="C6" s="66" t="s">
        <v>385</v>
      </c>
      <c r="D6" s="66" t="s">
        <v>393</v>
      </c>
      <c r="E6" s="66" t="s">
        <v>399</v>
      </c>
      <c r="F6" s="66" t="s">
        <v>404</v>
      </c>
      <c r="G6" s="66" t="s">
        <v>408</v>
      </c>
      <c r="H6" s="66" t="s">
        <v>415</v>
      </c>
      <c r="I6" s="66" t="s">
        <v>417</v>
      </c>
      <c r="J6" s="66" t="s">
        <v>422</v>
      </c>
      <c r="K6" s="66" t="s">
        <v>426</v>
      </c>
      <c r="L6" s="66" t="s">
        <v>430</v>
      </c>
      <c r="M6" s="66" t="s">
        <v>434</v>
      </c>
      <c r="N6" s="212" t="s">
        <v>439</v>
      </c>
      <c r="O6" s="212" t="s">
        <v>443</v>
      </c>
      <c r="P6" s="212" t="s">
        <v>451</v>
      </c>
      <c r="Q6" s="212" t="s">
        <v>453</v>
      </c>
      <c r="R6" s="212" t="s">
        <v>457</v>
      </c>
      <c r="S6" s="154"/>
      <c r="T6" s="154"/>
      <c r="U6" s="154"/>
      <c r="V6" s="154"/>
      <c r="W6" s="154"/>
      <c r="X6" s="279"/>
    </row>
    <row r="7" spans="1:24" ht="15.75" thickTop="1" x14ac:dyDescent="0.25">
      <c r="A7" s="272" t="s">
        <v>365</v>
      </c>
      <c r="B7" s="67">
        <f>Lekeitio_2_1a!B8</f>
        <v>1</v>
      </c>
      <c r="C7" s="67">
        <f>Lekeitio_2_1b!B8</f>
        <v>1</v>
      </c>
      <c r="D7" s="67">
        <f>Lekeitio_2_2a!B8</f>
        <v>1</v>
      </c>
      <c r="E7" s="67">
        <f>Lekeitio_2_2b!B8</f>
        <v>1</v>
      </c>
      <c r="F7" s="67">
        <f>Lekeitio_2_3a!B8</f>
        <v>1</v>
      </c>
      <c r="G7" s="67">
        <f>Lekeitio_2_3b!B8</f>
        <v>1</v>
      </c>
      <c r="H7" s="67">
        <f>Lekeitio_2_4a!B8</f>
        <v>1</v>
      </c>
      <c r="I7" s="67">
        <f>Lekeitio_2_4b!B8</f>
        <v>1</v>
      </c>
      <c r="J7" s="67">
        <f>Lekeitio_2_5a!B8</f>
        <v>1</v>
      </c>
      <c r="K7" s="67">
        <f>Lekeitio_2_5b!B8</f>
        <v>1</v>
      </c>
      <c r="L7" s="67">
        <f>Lekeitio_2_6a!B8</f>
        <v>1</v>
      </c>
      <c r="M7" s="67">
        <f>Lekeitio_2_6b!B8</f>
        <v>1</v>
      </c>
      <c r="N7" s="220">
        <f>Lekeitio_2_7a!B8</f>
        <v>1</v>
      </c>
      <c r="O7" s="220">
        <f>Lekeitio_2_7b!B8</f>
        <v>1</v>
      </c>
      <c r="P7" s="220">
        <f>Lekeitio_2_8a!B8</f>
        <v>1</v>
      </c>
      <c r="Q7" s="220">
        <f>Lekeitio_2_8b!B8</f>
        <v>1</v>
      </c>
      <c r="R7" s="220">
        <f>Lekeitio_2_9a!B8</f>
        <v>1</v>
      </c>
      <c r="S7" s="53"/>
      <c r="T7" s="53"/>
      <c r="U7" s="53"/>
      <c r="V7" s="53"/>
      <c r="W7" s="53"/>
      <c r="X7" s="280"/>
    </row>
    <row r="8" spans="1:24" x14ac:dyDescent="0.25">
      <c r="A8" s="273" t="s">
        <v>366</v>
      </c>
      <c r="B8" s="58">
        <f ca="1">Lekeitio_2_1a!B26</f>
        <v>64</v>
      </c>
      <c r="C8" s="58">
        <f ca="1">Lekeitio_2_1b!B26</f>
        <v>64</v>
      </c>
      <c r="D8" s="58">
        <f ca="1">Lekeitio_2_2a!B26</f>
        <v>64</v>
      </c>
      <c r="E8" s="58">
        <f ca="1">Lekeitio_2_2b!B26</f>
        <v>64</v>
      </c>
      <c r="F8" s="58">
        <f ca="1">Lekeitio_2_3a!B26</f>
        <v>64</v>
      </c>
      <c r="G8" s="58">
        <f ca="1">Lekeitio_2_3b!B26</f>
        <v>64</v>
      </c>
      <c r="H8" s="58">
        <f ca="1">Lekeitio_2_4a!B26</f>
        <v>64</v>
      </c>
      <c r="I8" s="58">
        <f ca="1">Lekeitio_2_4b!B26</f>
        <v>64</v>
      </c>
      <c r="J8" s="58">
        <f ca="1">Lekeitio_2_5a!B26</f>
        <v>64</v>
      </c>
      <c r="K8" s="58">
        <f ca="1">Lekeitio_2_5b!B26</f>
        <v>64</v>
      </c>
      <c r="L8" s="58">
        <f ca="1">Lekeitio_2_6a!B26</f>
        <v>64</v>
      </c>
      <c r="M8" s="58">
        <f ca="1">Lekeitio_2_6b!B26</f>
        <v>64</v>
      </c>
      <c r="N8" s="219">
        <f ca="1">Lekeitio_2_7a!B26</f>
        <v>64</v>
      </c>
      <c r="O8" s="219">
        <f ca="1">Lekeitio_2_7b!B26</f>
        <v>64</v>
      </c>
      <c r="P8" s="219">
        <f ca="1">Lekeitio_2_8a!B26</f>
        <v>64</v>
      </c>
      <c r="Q8" s="219">
        <f ca="1">Lekeitio_2_8b!B26</f>
        <v>64</v>
      </c>
      <c r="R8" s="219">
        <f ca="1">Lekeitio_2_9a!B26</f>
        <v>64</v>
      </c>
      <c r="X8" s="281"/>
    </row>
    <row r="9" spans="1:24" ht="15.75" thickBot="1" x14ac:dyDescent="0.3">
      <c r="A9" s="274" t="s">
        <v>367</v>
      </c>
      <c r="B9" s="68">
        <f ca="1">Lekeitio_2_1a!H75</f>
        <v>64</v>
      </c>
      <c r="C9" s="68">
        <f ca="1">Lekeitio_2_1b!H75</f>
        <v>64</v>
      </c>
      <c r="D9" s="68">
        <f ca="1">Lekeitio_2_2a!H75</f>
        <v>64</v>
      </c>
      <c r="E9" s="68">
        <f ca="1">Lekeitio_2_2b!H75</f>
        <v>64</v>
      </c>
      <c r="F9" s="68">
        <f ca="1">Lekeitio_2_3a!H75</f>
        <v>64</v>
      </c>
      <c r="G9" s="68">
        <f ca="1">Lekeitio_2_3b!H75</f>
        <v>64</v>
      </c>
      <c r="H9" s="68">
        <f ca="1">Lekeitio_2_4a!H75</f>
        <v>64</v>
      </c>
      <c r="I9" s="68">
        <f ca="1">Lekeitio_2_4b!H75</f>
        <v>64</v>
      </c>
      <c r="J9" s="68">
        <f ca="1">Lekeitio_2_5a!H75</f>
        <v>64</v>
      </c>
      <c r="K9" s="68">
        <f ca="1">Lekeitio_2_5b!H75</f>
        <v>64</v>
      </c>
      <c r="L9" s="68">
        <f ca="1">Lekeitio_2_6a!H75</f>
        <v>64</v>
      </c>
      <c r="M9" s="68">
        <f ca="1">Lekeitio_2_6b!H75</f>
        <v>64</v>
      </c>
      <c r="N9" s="221">
        <f ca="1">Lekeitio_2_7a!H75</f>
        <v>64</v>
      </c>
      <c r="O9" s="221">
        <f ca="1">Lekeitio_2_7b!H75</f>
        <v>64</v>
      </c>
      <c r="P9" s="221">
        <f ca="1">Lekeitio_2_8a!H75</f>
        <v>64</v>
      </c>
      <c r="Q9" s="221">
        <f ca="1">Lekeitio_2_8b!H75</f>
        <v>64</v>
      </c>
      <c r="R9" s="221">
        <f ca="1">Lekeitio_2_9a!H75</f>
        <v>64</v>
      </c>
      <c r="S9" s="40"/>
      <c r="T9" s="40"/>
      <c r="U9" s="40"/>
      <c r="V9" s="40"/>
      <c r="W9" s="40"/>
      <c r="X9" s="282"/>
    </row>
    <row r="10" spans="1:24" ht="15.75" thickTop="1" x14ac:dyDescent="0.25">
      <c r="A10" s="273" t="s">
        <v>368</v>
      </c>
      <c r="T10" s="1" t="s">
        <v>369</v>
      </c>
      <c r="U10" s="1" t="s">
        <v>370</v>
      </c>
      <c r="V10" s="1" t="s">
        <v>371</v>
      </c>
      <c r="X10" s="281"/>
    </row>
    <row r="11" spans="1:24" x14ac:dyDescent="0.25">
      <c r="A11" s="275" t="s">
        <v>320</v>
      </c>
      <c r="B11" s="61">
        <f ca="1">Lekeitio_2_1a!C16</f>
        <v>35.9375</v>
      </c>
      <c r="C11" s="61">
        <f ca="1">Lekeitio_2_1b!C16</f>
        <v>39.0625</v>
      </c>
      <c r="D11" s="61">
        <f ca="1">Lekeitio_2_2a!C16</f>
        <v>15.625</v>
      </c>
      <c r="E11" s="61">
        <f ca="1">Lekeitio_2_2b!C16</f>
        <v>31.25</v>
      </c>
      <c r="F11" s="61">
        <f ca="1">Lekeitio_2_3a!C16</f>
        <v>43.75</v>
      </c>
      <c r="G11" s="61">
        <f ca="1">Lekeitio_2_3b!C16</f>
        <v>21.875</v>
      </c>
      <c r="H11" s="61">
        <f ca="1">Lekeitio_2_4a!C16</f>
        <v>15.625</v>
      </c>
      <c r="I11" s="61">
        <f ca="1">Lekeitio_2_4b!C16</f>
        <v>34.375</v>
      </c>
      <c r="J11" s="61">
        <f ca="1">Lekeitio_2_5a!C16</f>
        <v>34.375</v>
      </c>
      <c r="K11" s="61">
        <f ca="1">Lekeitio_2_5b!C16</f>
        <v>39.0625</v>
      </c>
      <c r="L11" s="61">
        <f ca="1">Lekeitio_2_6a!C16</f>
        <v>12.5</v>
      </c>
      <c r="M11" s="61">
        <f ca="1">Lekeitio_2_6b!C16</f>
        <v>39.0625</v>
      </c>
      <c r="N11" s="36">
        <f ca="1">Lekeitio_2_7a!C16</f>
        <v>43.75</v>
      </c>
      <c r="O11" s="36">
        <f ca="1">Lekeitio_2_7b!C16</f>
        <v>18.75</v>
      </c>
      <c r="P11" s="36">
        <f ca="1">Lekeitio_2_8a!C16</f>
        <v>7.8125</v>
      </c>
      <c r="Q11" s="36">
        <f ca="1">Lekeitio_2_8b!C16</f>
        <v>34.375</v>
      </c>
      <c r="R11" s="36">
        <f ca="1">Lekeitio_2_9a!C16</f>
        <v>48.4375</v>
      </c>
      <c r="S11" s="35"/>
      <c r="T11" s="36">
        <f t="shared" ref="T11:T20" ca="1" si="0">AVERAGE(B11:R11)</f>
        <v>30.330882352941178</v>
      </c>
      <c r="U11" s="36">
        <f t="shared" ref="U11:U20" ca="1" si="1">STDEV(B11:R11)</f>
        <v>12.402682986618021</v>
      </c>
      <c r="V11" s="36">
        <f t="shared" ref="V11:V20" ca="1" si="2">U11/SQRT(17)</f>
        <v>3.0080924702868947</v>
      </c>
      <c r="W11" s="35"/>
      <c r="X11" s="283"/>
    </row>
    <row r="12" spans="1:24" x14ac:dyDescent="0.25">
      <c r="A12" s="276" t="s">
        <v>321</v>
      </c>
      <c r="B12" s="59">
        <f ca="1">Lekeitio_2_1a!C17</f>
        <v>0</v>
      </c>
      <c r="C12" s="59">
        <f ca="1">Lekeitio_2_1b!C17</f>
        <v>0</v>
      </c>
      <c r="D12" s="59">
        <f ca="1">Lekeitio_2_2a!C17</f>
        <v>0</v>
      </c>
      <c r="E12" s="59">
        <f ca="1">Lekeitio_2_2b!C17</f>
        <v>0</v>
      </c>
      <c r="F12" s="59">
        <f ca="1">Lekeitio_2_3a!C17</f>
        <v>0</v>
      </c>
      <c r="G12" s="59">
        <f ca="1">Lekeitio_2_3b!C17</f>
        <v>0</v>
      </c>
      <c r="H12" s="59">
        <f ca="1">Lekeitio_2_4a!C17</f>
        <v>0</v>
      </c>
      <c r="I12" s="59">
        <f ca="1">Lekeitio_2_4b!C17</f>
        <v>0</v>
      </c>
      <c r="J12" s="59">
        <f ca="1">Lekeitio_2_5a!C17</f>
        <v>0</v>
      </c>
      <c r="K12" s="59">
        <f ca="1">Lekeitio_2_5b!C17</f>
        <v>0</v>
      </c>
      <c r="L12" s="59">
        <f ca="1">Lekeitio_2_6a!C17</f>
        <v>0</v>
      </c>
      <c r="M12" s="59">
        <f ca="1">Lekeitio_2_6b!C17</f>
        <v>0</v>
      </c>
      <c r="N12" s="32">
        <f ca="1">Lekeitio_2_7a!C17</f>
        <v>0</v>
      </c>
      <c r="O12" s="32">
        <f ca="1">Lekeitio_2_7b!C17</f>
        <v>0</v>
      </c>
      <c r="P12" s="32">
        <f ca="1">Lekeitio_2_8a!C17</f>
        <v>0</v>
      </c>
      <c r="Q12" s="32">
        <f ca="1">Lekeitio_2_8b!C17</f>
        <v>0</v>
      </c>
      <c r="R12" s="32">
        <f ca="1">Lekeitio_2_9a!C17</f>
        <v>0</v>
      </c>
      <c r="T12" s="32">
        <f t="shared" ca="1" si="0"/>
        <v>0</v>
      </c>
      <c r="U12" s="32">
        <f t="shared" ca="1" si="1"/>
        <v>0</v>
      </c>
      <c r="V12" s="32">
        <f t="shared" ca="1" si="2"/>
        <v>0</v>
      </c>
      <c r="X12" s="281"/>
    </row>
    <row r="13" spans="1:24" x14ac:dyDescent="0.25">
      <c r="A13" s="275" t="s">
        <v>322</v>
      </c>
      <c r="B13" s="61">
        <f ca="1">Lekeitio_2_1a!C18</f>
        <v>0</v>
      </c>
      <c r="C13" s="61">
        <f ca="1">Lekeitio_2_1b!C18</f>
        <v>0</v>
      </c>
      <c r="D13" s="61">
        <f ca="1">Lekeitio_2_2a!C18</f>
        <v>23.4375</v>
      </c>
      <c r="E13" s="61">
        <f ca="1">Lekeitio_2_2b!C18</f>
        <v>1.5625</v>
      </c>
      <c r="F13" s="61">
        <f ca="1">Lekeitio_2_3a!C18</f>
        <v>23.4375</v>
      </c>
      <c r="G13" s="61">
        <f ca="1">Lekeitio_2_3b!C18</f>
        <v>4.6875</v>
      </c>
      <c r="H13" s="61">
        <f ca="1">Lekeitio_2_4a!C18</f>
        <v>25</v>
      </c>
      <c r="I13" s="61">
        <f ca="1">Lekeitio_2_4b!C18</f>
        <v>0</v>
      </c>
      <c r="J13" s="61">
        <f ca="1">Lekeitio_2_5a!C18</f>
        <v>28.125</v>
      </c>
      <c r="K13" s="61">
        <f ca="1">Lekeitio_2_5b!C18</f>
        <v>4.6875</v>
      </c>
      <c r="L13" s="61">
        <f ca="1">Lekeitio_2_6a!C18</f>
        <v>31.25</v>
      </c>
      <c r="M13" s="61">
        <f ca="1">Lekeitio_2_6b!C18</f>
        <v>0</v>
      </c>
      <c r="N13" s="36">
        <f ca="1">Lekeitio_2_7a!C18</f>
        <v>26.5625</v>
      </c>
      <c r="O13" s="36">
        <f ca="1">Lekeitio_2_7b!C18</f>
        <v>0</v>
      </c>
      <c r="P13" s="36">
        <f ca="1">Lekeitio_2_8a!C18</f>
        <v>31.25</v>
      </c>
      <c r="Q13" s="36">
        <f ca="1">Lekeitio_2_8b!C18</f>
        <v>1.5625</v>
      </c>
      <c r="R13" s="36">
        <f ca="1">Lekeitio_2_9a!C18</f>
        <v>21.875</v>
      </c>
      <c r="S13" s="35"/>
      <c r="T13" s="36">
        <f t="shared" ca="1" si="0"/>
        <v>13.143382352941176</v>
      </c>
      <c r="U13" s="36">
        <f t="shared" ca="1" si="1"/>
        <v>13.143342181653955</v>
      </c>
      <c r="V13" s="36">
        <f t="shared" ca="1" si="2"/>
        <v>3.1877287110938419</v>
      </c>
      <c r="W13" s="35"/>
      <c r="X13" s="283"/>
    </row>
    <row r="14" spans="1:24" x14ac:dyDescent="0.25">
      <c r="A14" s="276" t="s">
        <v>323</v>
      </c>
      <c r="B14" s="59">
        <f ca="1">Lekeitio_2_1a!C19</f>
        <v>0</v>
      </c>
      <c r="C14" s="59">
        <f ca="1">Lekeitio_2_1b!C19</f>
        <v>0</v>
      </c>
      <c r="D14" s="59">
        <f ca="1">Lekeitio_2_2a!C19</f>
        <v>0</v>
      </c>
      <c r="E14" s="59">
        <f ca="1">Lekeitio_2_2b!C19</f>
        <v>0</v>
      </c>
      <c r="F14" s="59">
        <f ca="1">Lekeitio_2_3a!C19</f>
        <v>0</v>
      </c>
      <c r="G14" s="59">
        <f ca="1">Lekeitio_2_3b!C19</f>
        <v>0</v>
      </c>
      <c r="H14" s="59">
        <f ca="1">Lekeitio_2_4a!C19</f>
        <v>0</v>
      </c>
      <c r="I14" s="59">
        <f ca="1">Lekeitio_2_4b!C19</f>
        <v>0</v>
      </c>
      <c r="J14" s="59">
        <f ca="1">Lekeitio_2_5a!C19</f>
        <v>0</v>
      </c>
      <c r="K14" s="59">
        <f ca="1">Lekeitio_2_5b!C19</f>
        <v>0</v>
      </c>
      <c r="L14" s="59">
        <f ca="1">Lekeitio_2_6a!C19</f>
        <v>0</v>
      </c>
      <c r="M14" s="59">
        <f ca="1">Lekeitio_2_6b!C19</f>
        <v>0</v>
      </c>
      <c r="N14" s="32">
        <f ca="1">Lekeitio_2_7a!C19</f>
        <v>0</v>
      </c>
      <c r="O14" s="32">
        <f ca="1">Lekeitio_2_7b!C19</f>
        <v>0</v>
      </c>
      <c r="P14" s="32">
        <f ca="1">Lekeitio_2_8a!C19</f>
        <v>0</v>
      </c>
      <c r="Q14" s="32">
        <f ca="1">Lekeitio_2_8b!C19</f>
        <v>0</v>
      </c>
      <c r="R14" s="32">
        <f ca="1">Lekeitio_2_9a!C19</f>
        <v>0</v>
      </c>
      <c r="T14" s="32">
        <f t="shared" ca="1" si="0"/>
        <v>0</v>
      </c>
      <c r="U14" s="32">
        <f t="shared" ca="1" si="1"/>
        <v>0</v>
      </c>
      <c r="V14" s="32">
        <f t="shared" ca="1" si="2"/>
        <v>0</v>
      </c>
      <c r="X14" s="281"/>
    </row>
    <row r="15" spans="1:24" x14ac:dyDescent="0.25">
      <c r="A15" s="275" t="s">
        <v>324</v>
      </c>
      <c r="B15" s="61">
        <f ca="1">Lekeitio_2_1a!C20</f>
        <v>0</v>
      </c>
      <c r="C15" s="61">
        <f ca="1">Lekeitio_2_1b!C20</f>
        <v>26.5625</v>
      </c>
      <c r="D15" s="61">
        <f ca="1">Lekeitio_2_2a!C20</f>
        <v>25</v>
      </c>
      <c r="E15" s="61">
        <f ca="1">Lekeitio_2_2b!C20</f>
        <v>28.125</v>
      </c>
      <c r="F15" s="61">
        <f ca="1">Lekeitio_2_3a!C20</f>
        <v>18.75</v>
      </c>
      <c r="G15" s="61">
        <f ca="1">Lekeitio_2_3b!C20</f>
        <v>46.875</v>
      </c>
      <c r="H15" s="61">
        <f ca="1">Lekeitio_2_4a!C20</f>
        <v>43.75</v>
      </c>
      <c r="I15" s="61">
        <f ca="1">Lekeitio_2_4b!C20</f>
        <v>48.4375</v>
      </c>
      <c r="J15" s="61">
        <f ca="1">Lekeitio_2_5a!C20</f>
        <v>37.5</v>
      </c>
      <c r="K15" s="61">
        <f ca="1">Lekeitio_2_5b!C20</f>
        <v>43.75</v>
      </c>
      <c r="L15" s="61">
        <f ca="1">Lekeitio_2_6a!C20</f>
        <v>45.3125</v>
      </c>
      <c r="M15" s="61">
        <f ca="1">Lekeitio_2_6b!C20</f>
        <v>40.625</v>
      </c>
      <c r="N15" s="36">
        <f ca="1">Lekeitio_2_7a!C20</f>
        <v>25</v>
      </c>
      <c r="O15" s="36">
        <f ca="1">Lekeitio_2_7b!C20</f>
        <v>62.5</v>
      </c>
      <c r="P15" s="36">
        <f ca="1">Lekeitio_2_8a!C20</f>
        <v>42.1875</v>
      </c>
      <c r="Q15" s="36">
        <f ca="1">Lekeitio_2_8b!C20</f>
        <v>37.5</v>
      </c>
      <c r="R15" s="36">
        <f ca="1">Lekeitio_2_9a!C20</f>
        <v>25</v>
      </c>
      <c r="S15" s="35"/>
      <c r="T15" s="36">
        <f t="shared" ca="1" si="0"/>
        <v>35.110294117647058</v>
      </c>
      <c r="U15" s="36">
        <f t="shared" ca="1" si="1"/>
        <v>14.449087770793293</v>
      </c>
      <c r="V15" s="36">
        <f t="shared" ca="1" si="2"/>
        <v>3.5044185336941864</v>
      </c>
      <c r="W15" s="35"/>
      <c r="X15" s="283"/>
    </row>
    <row r="16" spans="1:24" x14ac:dyDescent="0.25">
      <c r="A16" s="276" t="s">
        <v>325</v>
      </c>
      <c r="B16" s="59">
        <f ca="1">Lekeitio_2_1a!C21</f>
        <v>0</v>
      </c>
      <c r="C16" s="59">
        <f ca="1">Lekeitio_2_1b!C21</f>
        <v>1.5625</v>
      </c>
      <c r="D16" s="59">
        <f ca="1">Lekeitio_2_2a!C21</f>
        <v>7.8125</v>
      </c>
      <c r="E16" s="59">
        <f ca="1">Lekeitio_2_2b!C21</f>
        <v>6.25</v>
      </c>
      <c r="F16" s="59">
        <f ca="1">Lekeitio_2_3a!C21</f>
        <v>3.125</v>
      </c>
      <c r="G16" s="59">
        <f ca="1">Lekeitio_2_3b!C21</f>
        <v>0</v>
      </c>
      <c r="H16" s="59">
        <f ca="1">Lekeitio_2_4a!C21</f>
        <v>1.5625</v>
      </c>
      <c r="I16" s="59">
        <f ca="1">Lekeitio_2_4b!C21</f>
        <v>1.5625</v>
      </c>
      <c r="J16" s="59">
        <f ca="1">Lekeitio_2_5a!C21</f>
        <v>0</v>
      </c>
      <c r="K16" s="59">
        <f ca="1">Lekeitio_2_5b!C21</f>
        <v>0</v>
      </c>
      <c r="L16" s="59">
        <f ca="1">Lekeitio_2_6a!C21</f>
        <v>3.125</v>
      </c>
      <c r="M16" s="59">
        <f ca="1">Lekeitio_2_6b!C21</f>
        <v>6.25</v>
      </c>
      <c r="N16" s="32">
        <f ca="1">Lekeitio_2_7a!C21</f>
        <v>3.125</v>
      </c>
      <c r="O16" s="32">
        <f ca="1">Lekeitio_2_7b!C21</f>
        <v>10.9375</v>
      </c>
      <c r="P16" s="32">
        <f ca="1">Lekeitio_2_8a!C21</f>
        <v>10.9375</v>
      </c>
      <c r="Q16" s="32">
        <f ca="1">Lekeitio_2_8b!C21</f>
        <v>10.9375</v>
      </c>
      <c r="R16" s="32">
        <f ca="1">Lekeitio_2_9a!C21</f>
        <v>0</v>
      </c>
      <c r="T16" s="32">
        <f t="shared" ca="1" si="0"/>
        <v>3.9522058823529411</v>
      </c>
      <c r="U16" s="32">
        <f t="shared" ca="1" si="1"/>
        <v>4.1012889439587443</v>
      </c>
      <c r="V16" s="32">
        <f t="shared" ca="1" si="2"/>
        <v>0.99470867747763603</v>
      </c>
      <c r="X16" s="281"/>
    </row>
    <row r="17" spans="1:24" x14ac:dyDescent="0.25">
      <c r="A17" s="275" t="s">
        <v>326</v>
      </c>
      <c r="B17" s="61">
        <f ca="1">Lekeitio_2_1a!C22</f>
        <v>0</v>
      </c>
      <c r="C17" s="61">
        <f ca="1">Lekeitio_2_1b!C22</f>
        <v>0</v>
      </c>
      <c r="D17" s="61">
        <f ca="1">Lekeitio_2_2a!C22</f>
        <v>1.5625</v>
      </c>
      <c r="E17" s="61">
        <f ca="1">Lekeitio_2_2b!C22</f>
        <v>0</v>
      </c>
      <c r="F17" s="61">
        <f ca="1">Lekeitio_2_3a!C22</f>
        <v>0</v>
      </c>
      <c r="G17" s="61">
        <f ca="1">Lekeitio_2_3b!C22</f>
        <v>1.5625</v>
      </c>
      <c r="H17" s="61">
        <f ca="1">Lekeitio_2_4a!C22</f>
        <v>0</v>
      </c>
      <c r="I17" s="61">
        <f ca="1">Lekeitio_2_4b!C22</f>
        <v>1.5625</v>
      </c>
      <c r="J17" s="61">
        <f ca="1">Lekeitio_2_5a!C22</f>
        <v>0</v>
      </c>
      <c r="K17" s="61">
        <f ca="1">Lekeitio_2_5b!C22</f>
        <v>0</v>
      </c>
      <c r="L17" s="61">
        <f ca="1">Lekeitio_2_6a!C22</f>
        <v>0</v>
      </c>
      <c r="M17" s="61">
        <f ca="1">Lekeitio_2_6b!C22</f>
        <v>0</v>
      </c>
      <c r="N17" s="36">
        <f ca="1">Lekeitio_2_7a!C22</f>
        <v>0</v>
      </c>
      <c r="O17" s="36">
        <f ca="1">Lekeitio_2_7b!C22</f>
        <v>1.5625</v>
      </c>
      <c r="P17" s="36">
        <f ca="1">Lekeitio_2_8a!C22</f>
        <v>0</v>
      </c>
      <c r="Q17" s="36">
        <f ca="1">Lekeitio_2_8b!C22</f>
        <v>0</v>
      </c>
      <c r="R17" s="36">
        <f ca="1">Lekeitio_2_9a!C22</f>
        <v>0</v>
      </c>
      <c r="S17" s="35"/>
      <c r="T17" s="36">
        <f t="shared" ca="1" si="0"/>
        <v>0.36764705882352944</v>
      </c>
      <c r="U17" s="36">
        <f t="shared" ca="1" si="1"/>
        <v>0.6831833064025048</v>
      </c>
      <c r="V17" s="36">
        <f t="shared" ca="1" si="2"/>
        <v>0.16569629023272009</v>
      </c>
      <c r="W17" s="35"/>
      <c r="X17" s="283"/>
    </row>
    <row r="18" spans="1:24" x14ac:dyDescent="0.25">
      <c r="A18" s="276" t="s">
        <v>327</v>
      </c>
      <c r="B18" s="59">
        <f ca="1">Lekeitio_2_1a!C23</f>
        <v>0</v>
      </c>
      <c r="C18" s="59">
        <f ca="1">Lekeitio_2_1b!C23</f>
        <v>0</v>
      </c>
      <c r="D18" s="59">
        <f ca="1">Lekeitio_2_2a!C23</f>
        <v>0</v>
      </c>
      <c r="E18" s="59">
        <f ca="1">Lekeitio_2_2b!C23</f>
        <v>0</v>
      </c>
      <c r="F18" s="59">
        <f ca="1">Lekeitio_2_3a!C23</f>
        <v>0</v>
      </c>
      <c r="G18" s="59">
        <f ca="1">Lekeitio_2_3b!C23</f>
        <v>0</v>
      </c>
      <c r="H18" s="59">
        <f ca="1">Lekeitio_2_4a!C23</f>
        <v>0</v>
      </c>
      <c r="I18" s="59">
        <f ca="1">Lekeitio_2_4b!C23</f>
        <v>0</v>
      </c>
      <c r="J18" s="59">
        <f ca="1">Lekeitio_2_5a!C23</f>
        <v>0</v>
      </c>
      <c r="K18" s="59">
        <f ca="1">Lekeitio_2_5b!C23</f>
        <v>0</v>
      </c>
      <c r="L18" s="59">
        <f ca="1">Lekeitio_2_6a!C23</f>
        <v>0</v>
      </c>
      <c r="M18" s="59">
        <f ca="1">Lekeitio_2_6b!C23</f>
        <v>0</v>
      </c>
      <c r="N18" s="32">
        <f ca="1">Lekeitio_2_7a!C23</f>
        <v>0</v>
      </c>
      <c r="O18" s="32">
        <f ca="1">Lekeitio_2_7b!C23</f>
        <v>0</v>
      </c>
      <c r="P18" s="32">
        <f ca="1">Lekeitio_2_8a!C23</f>
        <v>0</v>
      </c>
      <c r="Q18" s="32">
        <f ca="1">Lekeitio_2_8b!C23</f>
        <v>0</v>
      </c>
      <c r="R18" s="32">
        <f ca="1">Lekeitio_2_9a!C23</f>
        <v>0</v>
      </c>
      <c r="T18" s="32">
        <f t="shared" ca="1" si="0"/>
        <v>0</v>
      </c>
      <c r="U18" s="32">
        <f t="shared" ca="1" si="1"/>
        <v>0</v>
      </c>
      <c r="V18" s="32">
        <f t="shared" ca="1" si="2"/>
        <v>0</v>
      </c>
      <c r="X18" s="281"/>
    </row>
    <row r="19" spans="1:24" x14ac:dyDescent="0.25">
      <c r="A19" s="275" t="s">
        <v>328</v>
      </c>
      <c r="B19" s="61">
        <f ca="1">Lekeitio_2_1a!C24</f>
        <v>0</v>
      </c>
      <c r="C19" s="61">
        <f ca="1">Lekeitio_2_1b!C24</f>
        <v>9.375</v>
      </c>
      <c r="D19" s="61">
        <f ca="1">Lekeitio_2_2a!C24</f>
        <v>17.1875</v>
      </c>
      <c r="E19" s="61">
        <f ca="1">Lekeitio_2_2b!C24</f>
        <v>32.8125</v>
      </c>
      <c r="F19" s="61">
        <f ca="1">Lekeitio_2_3a!C24</f>
        <v>7.8125</v>
      </c>
      <c r="G19" s="61">
        <f ca="1">Lekeitio_2_3b!C24</f>
        <v>7.8125</v>
      </c>
      <c r="H19" s="61">
        <f ca="1">Lekeitio_2_4a!C24</f>
        <v>14.0625</v>
      </c>
      <c r="I19" s="61">
        <f ca="1">Lekeitio_2_4b!C24</f>
        <v>10.9375</v>
      </c>
      <c r="J19" s="61">
        <f ca="1">Lekeitio_2_5a!C24</f>
        <v>0</v>
      </c>
      <c r="K19" s="61">
        <f ca="1">Lekeitio_2_5b!C24</f>
        <v>12.5</v>
      </c>
      <c r="L19" s="61">
        <f ca="1">Lekeitio_2_6a!C24</f>
        <v>7.8125</v>
      </c>
      <c r="M19" s="61">
        <f ca="1">Lekeitio_2_6b!C24</f>
        <v>14.0625</v>
      </c>
      <c r="N19" s="36">
        <f ca="1">Lekeitio_2_7a!C24</f>
        <v>1.5625</v>
      </c>
      <c r="O19" s="36">
        <f ca="1">Lekeitio_2_7b!C24</f>
        <v>6.25</v>
      </c>
      <c r="P19" s="36">
        <f ca="1">Lekeitio_2_8a!C24</f>
        <v>7.8125</v>
      </c>
      <c r="Q19" s="36">
        <f ca="1">Lekeitio_2_8b!C24</f>
        <v>15.625</v>
      </c>
      <c r="R19" s="36">
        <f ca="1">Lekeitio_2_9a!C24</f>
        <v>4.6875</v>
      </c>
      <c r="S19" s="35"/>
      <c r="T19" s="36">
        <f t="shared" ca="1" si="0"/>
        <v>10.018382352941176</v>
      </c>
      <c r="U19" s="36">
        <f t="shared" ca="1" si="1"/>
        <v>7.8136488125935193</v>
      </c>
      <c r="V19" s="36">
        <f t="shared" ca="1" si="2"/>
        <v>1.8950881985767702</v>
      </c>
      <c r="W19" s="35"/>
      <c r="X19" s="283"/>
    </row>
    <row r="20" spans="1:24" x14ac:dyDescent="0.25">
      <c r="A20" s="276" t="s">
        <v>329</v>
      </c>
      <c r="B20" s="59">
        <f ca="1">Lekeitio_2_1a!C25</f>
        <v>64.0625</v>
      </c>
      <c r="C20" s="59">
        <f ca="1">Lekeitio_2_1b!C25</f>
        <v>23.4375</v>
      </c>
      <c r="D20" s="59">
        <f ca="1">Lekeitio_2_2a!C25</f>
        <v>9.375</v>
      </c>
      <c r="E20" s="59">
        <f ca="1">Lekeitio_2_2b!C25</f>
        <v>0</v>
      </c>
      <c r="F20" s="59">
        <f ca="1">Lekeitio_2_3a!C25</f>
        <v>3.125</v>
      </c>
      <c r="G20" s="59">
        <f ca="1">Lekeitio_2_3b!C25</f>
        <v>17.1875</v>
      </c>
      <c r="H20" s="59">
        <f ca="1">Lekeitio_2_4a!C25</f>
        <v>0</v>
      </c>
      <c r="I20" s="59">
        <f ca="1">Lekeitio_2_4b!C25</f>
        <v>3.125</v>
      </c>
      <c r="J20" s="59">
        <f ca="1">Lekeitio_2_5a!C25</f>
        <v>0</v>
      </c>
      <c r="K20" s="59">
        <f ca="1">Lekeitio_2_5b!C25</f>
        <v>0</v>
      </c>
      <c r="L20" s="59">
        <f ca="1">Lekeitio_2_6a!C25</f>
        <v>0</v>
      </c>
      <c r="M20" s="59">
        <f ca="1">Lekeitio_2_6b!C25</f>
        <v>0</v>
      </c>
      <c r="N20" s="32">
        <f ca="1">Lekeitio_2_7a!C25</f>
        <v>0</v>
      </c>
      <c r="O20" s="32">
        <f ca="1">Lekeitio_2_7b!C25</f>
        <v>0</v>
      </c>
      <c r="P20" s="32">
        <f ca="1">Lekeitio_2_8a!C25</f>
        <v>0</v>
      </c>
      <c r="Q20" s="32">
        <f ca="1">Lekeitio_2_8b!C25</f>
        <v>0</v>
      </c>
      <c r="R20" s="32">
        <f ca="1">Lekeitio_2_9a!C25</f>
        <v>0</v>
      </c>
      <c r="T20" s="32">
        <f t="shared" ca="1" si="0"/>
        <v>7.0772058823529411</v>
      </c>
      <c r="U20" s="32">
        <f t="shared" ca="1" si="1"/>
        <v>16.210868289186063</v>
      </c>
      <c r="V20" s="32">
        <f t="shared" ca="1" si="2"/>
        <v>3.9317130728994116</v>
      </c>
      <c r="X20" s="281"/>
    </row>
    <row r="21" spans="1:24" x14ac:dyDescent="0.25">
      <c r="A21" s="276" t="s">
        <v>372</v>
      </c>
      <c r="B21" s="59" t="e">
        <f ca="1">SUM(B11:B20) - B0</f>
        <v>#NAME?</v>
      </c>
      <c r="C21" s="59" t="e">
        <f ca="1">SUM(C11:C20) - C0</f>
        <v>#NAME?</v>
      </c>
      <c r="D21" s="59" t="e">
        <f ca="1">SUM(D11:D20) - D0</f>
        <v>#NAME?</v>
      </c>
      <c r="E21" s="59" t="e">
        <f ca="1">SUM(E11:E20) - E0</f>
        <v>#NAME?</v>
      </c>
      <c r="F21" s="59" t="e">
        <f ca="1">SUM(F11:F20) - F0</f>
        <v>#NAME?</v>
      </c>
      <c r="G21" s="59" t="e">
        <f ca="1">SUM(G11:G20) - G0</f>
        <v>#NAME?</v>
      </c>
      <c r="H21" s="59" t="e">
        <f ca="1">SUM(H11:H20) - H0</f>
        <v>#NAME?</v>
      </c>
      <c r="I21" s="59" t="e">
        <f ca="1">SUM(I11:I20) - I0</f>
        <v>#NAME?</v>
      </c>
      <c r="J21" s="59" t="e">
        <f ca="1">SUM(J11:J20) - J0</f>
        <v>#NAME?</v>
      </c>
      <c r="K21" s="59" t="e">
        <f ca="1">SUM(K11:K20) - K0</f>
        <v>#NAME?</v>
      </c>
      <c r="L21" s="59" t="e">
        <f ca="1">SUM(L11:L20) - L0</f>
        <v>#NAME?</v>
      </c>
      <c r="M21" s="59" t="e">
        <f ca="1">SUM(M11:M20) - M0</f>
        <v>#NAME?</v>
      </c>
      <c r="N21" s="32" t="e">
        <f ca="1">SUM(N11:N20) - N0</f>
        <v>#NAME?</v>
      </c>
      <c r="O21" s="32" t="e">
        <f ca="1">SUM(O11:O20) - O0</f>
        <v>#NAME?</v>
      </c>
      <c r="P21" s="32" t="e">
        <f ca="1">SUM(P11:P20) - P0</f>
        <v>#NAME?</v>
      </c>
      <c r="Q21" s="32" t="e">
        <f ca="1">SUM(Q11:Q20) - Q0</f>
        <v>#NAME?</v>
      </c>
      <c r="R21" s="32" t="e">
        <f ca="1">SUM(R11:R20) - R0</f>
        <v>#NAME?</v>
      </c>
      <c r="X21" s="281"/>
    </row>
    <row r="22" spans="1:24" x14ac:dyDescent="0.25">
      <c r="A22" s="276"/>
      <c r="X22" s="281"/>
    </row>
    <row r="23" spans="1:24" x14ac:dyDescent="0.25">
      <c r="A23" s="273" t="s">
        <v>373</v>
      </c>
      <c r="T23" s="1" t="s">
        <v>369</v>
      </c>
      <c r="U23" s="1" t="s">
        <v>370</v>
      </c>
      <c r="V23" s="1" t="s">
        <v>371</v>
      </c>
      <c r="X23" s="281"/>
    </row>
    <row r="24" spans="1:24" x14ac:dyDescent="0.25">
      <c r="A24" s="277" t="s">
        <v>320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283"/>
    </row>
    <row r="25" spans="1:24" x14ac:dyDescent="0.25">
      <c r="A25" s="276" t="s">
        <v>212</v>
      </c>
      <c r="B25" s="59">
        <f ca="1">Lekeitio_2_1a!I17</f>
        <v>0</v>
      </c>
      <c r="C25" s="59">
        <f ca="1">Lekeitio_2_1b!I17</f>
        <v>0</v>
      </c>
      <c r="D25" s="59">
        <f ca="1">Lekeitio_2_2a!I17</f>
        <v>0</v>
      </c>
      <c r="E25" s="59">
        <f ca="1">Lekeitio_2_2b!I17</f>
        <v>0</v>
      </c>
      <c r="F25" s="59">
        <f ca="1">Lekeitio_2_3a!I17</f>
        <v>0</v>
      </c>
      <c r="G25" s="59">
        <f ca="1">Lekeitio_2_3b!I17</f>
        <v>0</v>
      </c>
      <c r="H25" s="59">
        <f ca="1">Lekeitio_2_4a!I17</f>
        <v>0</v>
      </c>
      <c r="I25" s="59">
        <f ca="1">Lekeitio_2_4b!I17</f>
        <v>0</v>
      </c>
      <c r="J25" s="59">
        <f ca="1">Lekeitio_2_5a!I17</f>
        <v>0</v>
      </c>
      <c r="K25" s="59">
        <f ca="1">Lekeitio_2_5b!I17</f>
        <v>0</v>
      </c>
      <c r="L25" s="59">
        <f ca="1">Lekeitio_2_6a!I17</f>
        <v>0</v>
      </c>
      <c r="M25" s="59">
        <f ca="1">Lekeitio_2_6b!I17</f>
        <v>0</v>
      </c>
      <c r="N25" s="32">
        <f ca="1">Lekeitio_2_7a!I17</f>
        <v>0</v>
      </c>
      <c r="O25" s="32">
        <f ca="1">Lekeitio_2_7b!I17</f>
        <v>0</v>
      </c>
      <c r="P25" s="32">
        <f ca="1">Lekeitio_2_8a!I17</f>
        <v>0</v>
      </c>
      <c r="Q25" s="32">
        <f ca="1">Lekeitio_2_8b!I17</f>
        <v>0</v>
      </c>
      <c r="R25" s="32">
        <f ca="1">Lekeitio_2_9a!I17</f>
        <v>0</v>
      </c>
      <c r="T25" s="32">
        <f t="shared" ref="T25:T42" ca="1" si="3">AVERAGE(B25:R25)</f>
        <v>0</v>
      </c>
      <c r="U25" s="32">
        <f t="shared" ref="U25:U42" ca="1" si="4">STDEV(B25:R25)</f>
        <v>0</v>
      </c>
      <c r="V25" s="32">
        <f t="shared" ref="V25:V42" ca="1" si="5">U25/SQRT(17)</f>
        <v>0</v>
      </c>
      <c r="X25" s="281"/>
    </row>
    <row r="26" spans="1:24" x14ac:dyDescent="0.25">
      <c r="A26" s="276" t="s">
        <v>213</v>
      </c>
      <c r="B26" s="59">
        <f ca="1">Lekeitio_2_1a!I18</f>
        <v>0</v>
      </c>
      <c r="C26" s="59">
        <f ca="1">Lekeitio_2_1b!I18</f>
        <v>0</v>
      </c>
      <c r="D26" s="59">
        <f ca="1">Lekeitio_2_2a!I18</f>
        <v>0</v>
      </c>
      <c r="E26" s="59">
        <f ca="1">Lekeitio_2_2b!I18</f>
        <v>0</v>
      </c>
      <c r="F26" s="59">
        <f ca="1">Lekeitio_2_3a!I18</f>
        <v>0</v>
      </c>
      <c r="G26" s="59">
        <f ca="1">Lekeitio_2_3b!I18</f>
        <v>0</v>
      </c>
      <c r="H26" s="59">
        <f ca="1">Lekeitio_2_4a!I18</f>
        <v>0</v>
      </c>
      <c r="I26" s="59">
        <f ca="1">Lekeitio_2_4b!I18</f>
        <v>0</v>
      </c>
      <c r="J26" s="59">
        <f ca="1">Lekeitio_2_5a!I18</f>
        <v>0</v>
      </c>
      <c r="K26" s="59">
        <f ca="1">Lekeitio_2_5b!I18</f>
        <v>0</v>
      </c>
      <c r="L26" s="59">
        <f ca="1">Lekeitio_2_6a!I18</f>
        <v>0</v>
      </c>
      <c r="M26" s="59">
        <f ca="1">Lekeitio_2_6b!I18</f>
        <v>0</v>
      </c>
      <c r="N26" s="32">
        <f ca="1">Lekeitio_2_7a!I18</f>
        <v>0</v>
      </c>
      <c r="O26" s="32">
        <f ca="1">Lekeitio_2_7b!I18</f>
        <v>0</v>
      </c>
      <c r="P26" s="32">
        <f ca="1">Lekeitio_2_8a!I18</f>
        <v>0</v>
      </c>
      <c r="Q26" s="32">
        <f ca="1">Lekeitio_2_8b!I18</f>
        <v>0</v>
      </c>
      <c r="R26" s="32">
        <f ca="1">Lekeitio_2_9a!I18</f>
        <v>0</v>
      </c>
      <c r="T26" s="32">
        <f t="shared" ca="1" si="3"/>
        <v>0</v>
      </c>
      <c r="U26" s="32">
        <f t="shared" ca="1" si="4"/>
        <v>0</v>
      </c>
      <c r="V26" s="32">
        <f t="shared" ca="1" si="5"/>
        <v>0</v>
      </c>
      <c r="X26" s="281"/>
    </row>
    <row r="27" spans="1:24" x14ac:dyDescent="0.25">
      <c r="A27" s="276" t="s">
        <v>214</v>
      </c>
      <c r="B27" s="59">
        <f ca="1">Lekeitio_2_1a!I19</f>
        <v>0</v>
      </c>
      <c r="C27" s="59">
        <f ca="1">Lekeitio_2_1b!I19</f>
        <v>0</v>
      </c>
      <c r="D27" s="59">
        <f ca="1">Lekeitio_2_2a!I19</f>
        <v>0</v>
      </c>
      <c r="E27" s="59">
        <f ca="1">Lekeitio_2_2b!I19</f>
        <v>0</v>
      </c>
      <c r="F27" s="59">
        <f ca="1">Lekeitio_2_3a!I19</f>
        <v>0</v>
      </c>
      <c r="G27" s="59">
        <f ca="1">Lekeitio_2_3b!I19</f>
        <v>0</v>
      </c>
      <c r="H27" s="59">
        <f ca="1">Lekeitio_2_4a!I19</f>
        <v>0</v>
      </c>
      <c r="I27" s="59">
        <f ca="1">Lekeitio_2_4b!I19</f>
        <v>0</v>
      </c>
      <c r="J27" s="59">
        <f ca="1">Lekeitio_2_5a!I19</f>
        <v>0</v>
      </c>
      <c r="K27" s="59">
        <f ca="1">Lekeitio_2_5b!I19</f>
        <v>0</v>
      </c>
      <c r="L27" s="59">
        <f ca="1">Lekeitio_2_6a!I19</f>
        <v>0</v>
      </c>
      <c r="M27" s="59">
        <f ca="1">Lekeitio_2_6b!I19</f>
        <v>0</v>
      </c>
      <c r="N27" s="32">
        <f ca="1">Lekeitio_2_7a!I19</f>
        <v>0</v>
      </c>
      <c r="O27" s="32">
        <f ca="1">Lekeitio_2_7b!I19</f>
        <v>0</v>
      </c>
      <c r="P27" s="32">
        <f ca="1">Lekeitio_2_8a!I19</f>
        <v>0</v>
      </c>
      <c r="Q27" s="32">
        <f ca="1">Lekeitio_2_8b!I19</f>
        <v>0</v>
      </c>
      <c r="R27" s="32">
        <f ca="1">Lekeitio_2_9a!I19</f>
        <v>0</v>
      </c>
      <c r="T27" s="32">
        <f t="shared" ca="1" si="3"/>
        <v>0</v>
      </c>
      <c r="U27" s="32">
        <f t="shared" ca="1" si="4"/>
        <v>0</v>
      </c>
      <c r="V27" s="32">
        <f t="shared" ca="1" si="5"/>
        <v>0</v>
      </c>
      <c r="X27" s="281"/>
    </row>
    <row r="28" spans="1:24" x14ac:dyDescent="0.25">
      <c r="A28" s="276" t="s">
        <v>215</v>
      </c>
      <c r="B28" s="59">
        <f ca="1">Lekeitio_2_1a!I20</f>
        <v>0</v>
      </c>
      <c r="C28" s="59">
        <f ca="1">Lekeitio_2_1b!I20</f>
        <v>0</v>
      </c>
      <c r="D28" s="59">
        <f ca="1">Lekeitio_2_2a!I20</f>
        <v>0</v>
      </c>
      <c r="E28" s="59">
        <f ca="1">Lekeitio_2_2b!I20</f>
        <v>0</v>
      </c>
      <c r="F28" s="59">
        <f ca="1">Lekeitio_2_3a!I20</f>
        <v>0</v>
      </c>
      <c r="G28" s="59">
        <f ca="1">Lekeitio_2_3b!I20</f>
        <v>0</v>
      </c>
      <c r="H28" s="59">
        <f ca="1">Lekeitio_2_4a!I20</f>
        <v>0</v>
      </c>
      <c r="I28" s="59">
        <f ca="1">Lekeitio_2_4b!I20</f>
        <v>0</v>
      </c>
      <c r="J28" s="59">
        <f ca="1">Lekeitio_2_5a!I20</f>
        <v>0</v>
      </c>
      <c r="K28" s="59">
        <f ca="1">Lekeitio_2_5b!I20</f>
        <v>0</v>
      </c>
      <c r="L28" s="59">
        <f ca="1">Lekeitio_2_6a!I20</f>
        <v>0</v>
      </c>
      <c r="M28" s="59">
        <f ca="1">Lekeitio_2_6b!I20</f>
        <v>0</v>
      </c>
      <c r="N28" s="32">
        <f ca="1">Lekeitio_2_7a!I20</f>
        <v>0</v>
      </c>
      <c r="O28" s="32">
        <f ca="1">Lekeitio_2_7b!I20</f>
        <v>0</v>
      </c>
      <c r="P28" s="32">
        <f ca="1">Lekeitio_2_8a!I20</f>
        <v>0</v>
      </c>
      <c r="Q28" s="32">
        <f ca="1">Lekeitio_2_8b!I20</f>
        <v>0</v>
      </c>
      <c r="R28" s="32">
        <f ca="1">Lekeitio_2_9a!I20</f>
        <v>0</v>
      </c>
      <c r="T28" s="32">
        <f t="shared" ca="1" si="3"/>
        <v>0</v>
      </c>
      <c r="U28" s="32">
        <f t="shared" ca="1" si="4"/>
        <v>0</v>
      </c>
      <c r="V28" s="32">
        <f t="shared" ca="1" si="5"/>
        <v>0</v>
      </c>
      <c r="X28" s="281"/>
    </row>
    <row r="29" spans="1:24" x14ac:dyDescent="0.25">
      <c r="A29" s="276" t="s">
        <v>216</v>
      </c>
      <c r="B29" s="59">
        <f ca="1">Lekeitio_2_1a!I21</f>
        <v>0</v>
      </c>
      <c r="C29" s="59">
        <f ca="1">Lekeitio_2_1b!I21</f>
        <v>0</v>
      </c>
      <c r="D29" s="59">
        <f ca="1">Lekeitio_2_2a!I21</f>
        <v>0</v>
      </c>
      <c r="E29" s="59">
        <f ca="1">Lekeitio_2_2b!I21</f>
        <v>0</v>
      </c>
      <c r="F29" s="59">
        <f ca="1">Lekeitio_2_3a!I21</f>
        <v>0</v>
      </c>
      <c r="G29" s="59">
        <f ca="1">Lekeitio_2_3b!I21</f>
        <v>0</v>
      </c>
      <c r="H29" s="59">
        <f ca="1">Lekeitio_2_4a!I21</f>
        <v>0</v>
      </c>
      <c r="I29" s="59">
        <f ca="1">Lekeitio_2_4b!I21</f>
        <v>0</v>
      </c>
      <c r="J29" s="59">
        <f ca="1">Lekeitio_2_5a!I21</f>
        <v>0</v>
      </c>
      <c r="K29" s="59">
        <f ca="1">Lekeitio_2_5b!I21</f>
        <v>0</v>
      </c>
      <c r="L29" s="59">
        <f ca="1">Lekeitio_2_6a!I21</f>
        <v>0</v>
      </c>
      <c r="M29" s="59">
        <f ca="1">Lekeitio_2_6b!I21</f>
        <v>0</v>
      </c>
      <c r="N29" s="32">
        <f ca="1">Lekeitio_2_7a!I21</f>
        <v>0</v>
      </c>
      <c r="O29" s="32">
        <f ca="1">Lekeitio_2_7b!I21</f>
        <v>0</v>
      </c>
      <c r="P29" s="32">
        <f ca="1">Lekeitio_2_8a!I21</f>
        <v>0</v>
      </c>
      <c r="Q29" s="32">
        <f ca="1">Lekeitio_2_8b!I21</f>
        <v>0</v>
      </c>
      <c r="R29" s="32">
        <f ca="1">Lekeitio_2_9a!I21</f>
        <v>0</v>
      </c>
      <c r="T29" s="32">
        <f t="shared" ca="1" si="3"/>
        <v>0</v>
      </c>
      <c r="U29" s="32">
        <f t="shared" ca="1" si="4"/>
        <v>0</v>
      </c>
      <c r="V29" s="32">
        <f t="shared" ca="1" si="5"/>
        <v>0</v>
      </c>
      <c r="X29" s="281"/>
    </row>
    <row r="30" spans="1:24" x14ac:dyDescent="0.25">
      <c r="A30" s="276" t="s">
        <v>217</v>
      </c>
      <c r="B30" s="59">
        <f ca="1">Lekeitio_2_1a!I22</f>
        <v>0</v>
      </c>
      <c r="C30" s="59">
        <f ca="1">Lekeitio_2_1b!I22</f>
        <v>12.5</v>
      </c>
      <c r="D30" s="59">
        <f ca="1">Lekeitio_2_2a!I22</f>
        <v>0</v>
      </c>
      <c r="E30" s="59">
        <f ca="1">Lekeitio_2_2b!I22</f>
        <v>0</v>
      </c>
      <c r="F30" s="59">
        <f ca="1">Lekeitio_2_3a!I22</f>
        <v>0</v>
      </c>
      <c r="G30" s="59">
        <f ca="1">Lekeitio_2_3b!I22</f>
        <v>0</v>
      </c>
      <c r="H30" s="59">
        <f ca="1">Lekeitio_2_4a!I22</f>
        <v>0</v>
      </c>
      <c r="I30" s="59">
        <f ca="1">Lekeitio_2_4b!I22</f>
        <v>0</v>
      </c>
      <c r="J30" s="59">
        <f ca="1">Lekeitio_2_5a!I22</f>
        <v>0</v>
      </c>
      <c r="K30" s="59">
        <f ca="1">Lekeitio_2_5b!I22</f>
        <v>0</v>
      </c>
      <c r="L30" s="59">
        <f ca="1">Lekeitio_2_6a!I22</f>
        <v>0</v>
      </c>
      <c r="M30" s="59">
        <f ca="1">Lekeitio_2_6b!I22</f>
        <v>0</v>
      </c>
      <c r="N30" s="32">
        <f ca="1">Lekeitio_2_7a!I22</f>
        <v>0</v>
      </c>
      <c r="O30" s="32">
        <f ca="1">Lekeitio_2_7b!I22</f>
        <v>0</v>
      </c>
      <c r="P30" s="32">
        <f ca="1">Lekeitio_2_8a!I22</f>
        <v>0</v>
      </c>
      <c r="Q30" s="32">
        <f ca="1">Lekeitio_2_8b!I22</f>
        <v>0</v>
      </c>
      <c r="R30" s="32">
        <f ca="1">Lekeitio_2_9a!I22</f>
        <v>0</v>
      </c>
      <c r="T30" s="32">
        <f t="shared" ca="1" si="3"/>
        <v>0.73529411764705888</v>
      </c>
      <c r="U30" s="32">
        <f t="shared" ca="1" si="4"/>
        <v>3.0316953129541622</v>
      </c>
      <c r="V30" s="32">
        <f t="shared" ca="1" si="5"/>
        <v>0.73529411764705876</v>
      </c>
      <c r="X30" s="281"/>
    </row>
    <row r="31" spans="1:24" x14ac:dyDescent="0.25">
      <c r="A31" s="276" t="s">
        <v>218</v>
      </c>
      <c r="B31" s="59">
        <f ca="1">Lekeitio_2_1a!I23</f>
        <v>9.375</v>
      </c>
      <c r="C31" s="59">
        <f ca="1">Lekeitio_2_1b!I23</f>
        <v>26.5625</v>
      </c>
      <c r="D31" s="59">
        <f ca="1">Lekeitio_2_2a!I23</f>
        <v>15.625</v>
      </c>
      <c r="E31" s="59">
        <f ca="1">Lekeitio_2_2b!I23</f>
        <v>14.0625</v>
      </c>
      <c r="F31" s="59">
        <f ca="1">Lekeitio_2_3a!I23</f>
        <v>23.4375</v>
      </c>
      <c r="G31" s="59">
        <f ca="1">Lekeitio_2_3b!I23</f>
        <v>21.875</v>
      </c>
      <c r="H31" s="59">
        <f ca="1">Lekeitio_2_4a!I23</f>
        <v>15.625</v>
      </c>
      <c r="I31" s="59">
        <f ca="1">Lekeitio_2_4b!I23</f>
        <v>6.25</v>
      </c>
      <c r="J31" s="59">
        <f ca="1">Lekeitio_2_5a!I23</f>
        <v>9.375</v>
      </c>
      <c r="K31" s="59">
        <f ca="1">Lekeitio_2_5b!I23</f>
        <v>35.9375</v>
      </c>
      <c r="L31" s="59">
        <f ca="1">Lekeitio_2_6a!I23</f>
        <v>10.9375</v>
      </c>
      <c r="M31" s="59">
        <f ca="1">Lekeitio_2_6b!I23</f>
        <v>15.625</v>
      </c>
      <c r="N31" s="32">
        <f ca="1">Lekeitio_2_7a!I23</f>
        <v>7.8125</v>
      </c>
      <c r="O31" s="32">
        <f ca="1">Lekeitio_2_7b!I23</f>
        <v>14.0625</v>
      </c>
      <c r="P31" s="32">
        <f ca="1">Lekeitio_2_8a!I23</f>
        <v>6.25</v>
      </c>
      <c r="Q31" s="32">
        <f ca="1">Lekeitio_2_8b!I23</f>
        <v>7.8125</v>
      </c>
      <c r="R31" s="32">
        <f ca="1">Lekeitio_2_9a!I23</f>
        <v>28.125</v>
      </c>
      <c r="T31" s="32">
        <f t="shared" ca="1" si="3"/>
        <v>15.808823529411764</v>
      </c>
      <c r="U31" s="32">
        <f t="shared" ca="1" si="4"/>
        <v>8.6271077188077214</v>
      </c>
      <c r="V31" s="32">
        <f t="shared" ca="1" si="5"/>
        <v>2.0923809628368035</v>
      </c>
      <c r="X31" s="281"/>
    </row>
    <row r="32" spans="1:24" x14ac:dyDescent="0.25">
      <c r="A32" s="276" t="s">
        <v>219</v>
      </c>
      <c r="B32" s="59">
        <f ca="1">Lekeitio_2_1a!I24</f>
        <v>0</v>
      </c>
      <c r="C32" s="59">
        <f ca="1">Lekeitio_2_1b!I24</f>
        <v>0</v>
      </c>
      <c r="D32" s="59">
        <f ca="1">Lekeitio_2_2a!I24</f>
        <v>0</v>
      </c>
      <c r="E32" s="59">
        <f ca="1">Lekeitio_2_2b!I24</f>
        <v>0</v>
      </c>
      <c r="F32" s="59">
        <f ca="1">Lekeitio_2_3a!I24</f>
        <v>0</v>
      </c>
      <c r="G32" s="59">
        <f ca="1">Lekeitio_2_3b!I24</f>
        <v>0</v>
      </c>
      <c r="H32" s="59">
        <f ca="1">Lekeitio_2_4a!I24</f>
        <v>0</v>
      </c>
      <c r="I32" s="59">
        <f ca="1">Lekeitio_2_4b!I24</f>
        <v>1.5625</v>
      </c>
      <c r="J32" s="59">
        <f ca="1">Lekeitio_2_5a!I24</f>
        <v>6.25</v>
      </c>
      <c r="K32" s="59">
        <f ca="1">Lekeitio_2_5b!I24</f>
        <v>3.125</v>
      </c>
      <c r="L32" s="59">
        <f ca="1">Lekeitio_2_6a!I24</f>
        <v>0</v>
      </c>
      <c r="M32" s="59">
        <f ca="1">Lekeitio_2_6b!I24</f>
        <v>0</v>
      </c>
      <c r="N32" s="32">
        <f ca="1">Lekeitio_2_7a!I24</f>
        <v>6.25</v>
      </c>
      <c r="O32" s="32">
        <f ca="1">Lekeitio_2_7b!I24</f>
        <v>0</v>
      </c>
      <c r="P32" s="32">
        <f ca="1">Lekeitio_2_8a!I24</f>
        <v>1.5625</v>
      </c>
      <c r="Q32" s="32">
        <f ca="1">Lekeitio_2_8b!I24</f>
        <v>6.25</v>
      </c>
      <c r="R32" s="32">
        <f ca="1">Lekeitio_2_9a!I24</f>
        <v>1.5625</v>
      </c>
      <c r="T32" s="32">
        <f t="shared" ca="1" si="3"/>
        <v>1.5625</v>
      </c>
      <c r="U32" s="32">
        <f t="shared" ca="1" si="4"/>
        <v>2.4079742199097565</v>
      </c>
      <c r="V32" s="32">
        <f t="shared" ca="1" si="5"/>
        <v>0.58401953249718908</v>
      </c>
      <c r="X32" s="281"/>
    </row>
    <row r="33" spans="1:24" x14ac:dyDescent="0.25">
      <c r="A33" s="276" t="s">
        <v>220</v>
      </c>
      <c r="B33" s="59">
        <f ca="1">Lekeitio_2_1a!I25</f>
        <v>0</v>
      </c>
      <c r="C33" s="59">
        <f ca="1">Lekeitio_2_1b!I25</f>
        <v>0</v>
      </c>
      <c r="D33" s="59">
        <f ca="1">Lekeitio_2_2a!I25</f>
        <v>0</v>
      </c>
      <c r="E33" s="59">
        <f ca="1">Lekeitio_2_2b!I25</f>
        <v>0</v>
      </c>
      <c r="F33" s="59">
        <f ca="1">Lekeitio_2_3a!I25</f>
        <v>0</v>
      </c>
      <c r="G33" s="59">
        <f ca="1">Lekeitio_2_3b!I25</f>
        <v>0</v>
      </c>
      <c r="H33" s="59">
        <f ca="1">Lekeitio_2_4a!I25</f>
        <v>0</v>
      </c>
      <c r="I33" s="59">
        <f ca="1">Lekeitio_2_4b!I25</f>
        <v>0</v>
      </c>
      <c r="J33" s="59">
        <f ca="1">Lekeitio_2_5a!I25</f>
        <v>0</v>
      </c>
      <c r="K33" s="59">
        <f ca="1">Lekeitio_2_5b!I25</f>
        <v>0</v>
      </c>
      <c r="L33" s="59">
        <f ca="1">Lekeitio_2_6a!I25</f>
        <v>0</v>
      </c>
      <c r="M33" s="59">
        <f ca="1">Lekeitio_2_6b!I25</f>
        <v>0</v>
      </c>
      <c r="N33" s="32">
        <f ca="1">Lekeitio_2_7a!I25</f>
        <v>0</v>
      </c>
      <c r="O33" s="32">
        <f ca="1">Lekeitio_2_7b!I25</f>
        <v>0</v>
      </c>
      <c r="P33" s="32">
        <f ca="1">Lekeitio_2_8a!I25</f>
        <v>0</v>
      </c>
      <c r="Q33" s="32">
        <f ca="1">Lekeitio_2_8b!I25</f>
        <v>0</v>
      </c>
      <c r="R33" s="32">
        <f ca="1">Lekeitio_2_9a!I25</f>
        <v>0</v>
      </c>
      <c r="T33" s="32">
        <f t="shared" ca="1" si="3"/>
        <v>0</v>
      </c>
      <c r="U33" s="32">
        <f t="shared" ca="1" si="4"/>
        <v>0</v>
      </c>
      <c r="V33" s="32">
        <f t="shared" ca="1" si="5"/>
        <v>0</v>
      </c>
      <c r="X33" s="281"/>
    </row>
    <row r="34" spans="1:24" x14ac:dyDescent="0.25">
      <c r="A34" s="276" t="s">
        <v>221</v>
      </c>
      <c r="B34" s="59">
        <f ca="1">Lekeitio_2_1a!I26</f>
        <v>0</v>
      </c>
      <c r="C34" s="59">
        <f ca="1">Lekeitio_2_1b!I26</f>
        <v>0</v>
      </c>
      <c r="D34" s="59">
        <f ca="1">Lekeitio_2_2a!I26</f>
        <v>0</v>
      </c>
      <c r="E34" s="59">
        <f ca="1">Lekeitio_2_2b!I26</f>
        <v>0</v>
      </c>
      <c r="F34" s="59">
        <f ca="1">Lekeitio_2_3a!I26</f>
        <v>0</v>
      </c>
      <c r="G34" s="59">
        <f ca="1">Lekeitio_2_3b!I26</f>
        <v>0</v>
      </c>
      <c r="H34" s="59">
        <f ca="1">Lekeitio_2_4a!I26</f>
        <v>0</v>
      </c>
      <c r="I34" s="59">
        <f ca="1">Lekeitio_2_4b!I26</f>
        <v>0</v>
      </c>
      <c r="J34" s="59">
        <f ca="1">Lekeitio_2_5a!I26</f>
        <v>0</v>
      </c>
      <c r="K34" s="59">
        <f ca="1">Lekeitio_2_5b!I26</f>
        <v>0</v>
      </c>
      <c r="L34" s="59">
        <f ca="1">Lekeitio_2_6a!I26</f>
        <v>0</v>
      </c>
      <c r="M34" s="59">
        <f ca="1">Lekeitio_2_6b!I26</f>
        <v>0</v>
      </c>
      <c r="N34" s="32">
        <f ca="1">Lekeitio_2_7a!I26</f>
        <v>0</v>
      </c>
      <c r="O34" s="32">
        <f ca="1">Lekeitio_2_7b!I26</f>
        <v>0</v>
      </c>
      <c r="P34" s="32">
        <f ca="1">Lekeitio_2_8a!I26</f>
        <v>0</v>
      </c>
      <c r="Q34" s="32">
        <f ca="1">Lekeitio_2_8b!I26</f>
        <v>0</v>
      </c>
      <c r="R34" s="32">
        <f ca="1">Lekeitio_2_9a!I26</f>
        <v>0</v>
      </c>
      <c r="T34" s="32">
        <f t="shared" ca="1" si="3"/>
        <v>0</v>
      </c>
      <c r="U34" s="32">
        <f t="shared" ca="1" si="4"/>
        <v>0</v>
      </c>
      <c r="V34" s="32">
        <f t="shared" ca="1" si="5"/>
        <v>0</v>
      </c>
      <c r="X34" s="281"/>
    </row>
    <row r="35" spans="1:24" x14ac:dyDescent="0.25">
      <c r="A35" s="276" t="s">
        <v>222</v>
      </c>
      <c r="B35" s="59">
        <f ca="1">Lekeitio_2_1a!I27</f>
        <v>0</v>
      </c>
      <c r="C35" s="59">
        <f ca="1">Lekeitio_2_1b!I27</f>
        <v>0</v>
      </c>
      <c r="D35" s="59">
        <f ca="1">Lekeitio_2_2a!I27</f>
        <v>0</v>
      </c>
      <c r="E35" s="59">
        <f ca="1">Lekeitio_2_2b!I27</f>
        <v>0</v>
      </c>
      <c r="F35" s="59">
        <f ca="1">Lekeitio_2_3a!I27</f>
        <v>0</v>
      </c>
      <c r="G35" s="59">
        <f ca="1">Lekeitio_2_3b!I27</f>
        <v>0</v>
      </c>
      <c r="H35" s="59">
        <f ca="1">Lekeitio_2_4a!I27</f>
        <v>0</v>
      </c>
      <c r="I35" s="59">
        <f ca="1">Lekeitio_2_4b!I27</f>
        <v>0</v>
      </c>
      <c r="J35" s="59">
        <f ca="1">Lekeitio_2_5a!I27</f>
        <v>0</v>
      </c>
      <c r="K35" s="59">
        <f ca="1">Lekeitio_2_5b!I27</f>
        <v>0</v>
      </c>
      <c r="L35" s="59">
        <f ca="1">Lekeitio_2_6a!I27</f>
        <v>0</v>
      </c>
      <c r="M35" s="59">
        <f ca="1">Lekeitio_2_6b!I27</f>
        <v>0</v>
      </c>
      <c r="N35" s="32">
        <f ca="1">Lekeitio_2_7a!I27</f>
        <v>0</v>
      </c>
      <c r="O35" s="32">
        <f ca="1">Lekeitio_2_7b!I27</f>
        <v>0</v>
      </c>
      <c r="P35" s="32">
        <f ca="1">Lekeitio_2_8a!I27</f>
        <v>0</v>
      </c>
      <c r="Q35" s="32">
        <f ca="1">Lekeitio_2_8b!I27</f>
        <v>0</v>
      </c>
      <c r="R35" s="32">
        <f ca="1">Lekeitio_2_9a!I27</f>
        <v>0</v>
      </c>
      <c r="T35" s="32">
        <f t="shared" ca="1" si="3"/>
        <v>0</v>
      </c>
      <c r="U35" s="32">
        <f t="shared" ca="1" si="4"/>
        <v>0</v>
      </c>
      <c r="V35" s="32">
        <f t="shared" ca="1" si="5"/>
        <v>0</v>
      </c>
      <c r="X35" s="281"/>
    </row>
    <row r="36" spans="1:24" x14ac:dyDescent="0.25">
      <c r="A36" s="276" t="s">
        <v>223</v>
      </c>
      <c r="B36" s="59">
        <f ca="1">Lekeitio_2_1a!I28</f>
        <v>0</v>
      </c>
      <c r="C36" s="59">
        <f ca="1">Lekeitio_2_1b!I28</f>
        <v>0</v>
      </c>
      <c r="D36" s="59">
        <f ca="1">Lekeitio_2_2a!I28</f>
        <v>0</v>
      </c>
      <c r="E36" s="59">
        <f ca="1">Lekeitio_2_2b!I28</f>
        <v>0</v>
      </c>
      <c r="F36" s="59">
        <f ca="1">Lekeitio_2_3a!I28</f>
        <v>0</v>
      </c>
      <c r="G36" s="59">
        <f ca="1">Lekeitio_2_3b!I28</f>
        <v>0</v>
      </c>
      <c r="H36" s="59">
        <f ca="1">Lekeitio_2_4a!I28</f>
        <v>0</v>
      </c>
      <c r="I36" s="59">
        <f ca="1">Lekeitio_2_4b!I28</f>
        <v>0</v>
      </c>
      <c r="J36" s="59">
        <f ca="1">Lekeitio_2_5a!I28</f>
        <v>0</v>
      </c>
      <c r="K36" s="59">
        <f ca="1">Lekeitio_2_5b!I28</f>
        <v>0</v>
      </c>
      <c r="L36" s="59">
        <f ca="1">Lekeitio_2_6a!I28</f>
        <v>0</v>
      </c>
      <c r="M36" s="59">
        <f ca="1">Lekeitio_2_6b!I28</f>
        <v>0</v>
      </c>
      <c r="N36" s="32">
        <f ca="1">Lekeitio_2_7a!I28</f>
        <v>0</v>
      </c>
      <c r="O36" s="32">
        <f ca="1">Lekeitio_2_7b!I28</f>
        <v>0</v>
      </c>
      <c r="P36" s="32">
        <f ca="1">Lekeitio_2_8a!I28</f>
        <v>0</v>
      </c>
      <c r="Q36" s="32">
        <f ca="1">Lekeitio_2_8b!I28</f>
        <v>0</v>
      </c>
      <c r="R36" s="32">
        <f ca="1">Lekeitio_2_9a!I28</f>
        <v>0</v>
      </c>
      <c r="T36" s="32">
        <f t="shared" ca="1" si="3"/>
        <v>0</v>
      </c>
      <c r="U36" s="32">
        <f t="shared" ca="1" si="4"/>
        <v>0</v>
      </c>
      <c r="V36" s="32">
        <f t="shared" ca="1" si="5"/>
        <v>0</v>
      </c>
      <c r="X36" s="281"/>
    </row>
    <row r="37" spans="1:24" x14ac:dyDescent="0.25">
      <c r="A37" s="276" t="s">
        <v>224</v>
      </c>
      <c r="B37" s="59">
        <f ca="1">Lekeitio_2_1a!I29</f>
        <v>0</v>
      </c>
      <c r="C37" s="59">
        <f ca="1">Lekeitio_2_1b!I29</f>
        <v>0</v>
      </c>
      <c r="D37" s="59">
        <f ca="1">Lekeitio_2_2a!I29</f>
        <v>0</v>
      </c>
      <c r="E37" s="59">
        <f ca="1">Lekeitio_2_2b!I29</f>
        <v>0</v>
      </c>
      <c r="F37" s="59">
        <f ca="1">Lekeitio_2_3a!I29</f>
        <v>0</v>
      </c>
      <c r="G37" s="59">
        <f ca="1">Lekeitio_2_3b!I29</f>
        <v>0</v>
      </c>
      <c r="H37" s="59">
        <f ca="1">Lekeitio_2_4a!I29</f>
        <v>0</v>
      </c>
      <c r="I37" s="59">
        <f ca="1">Lekeitio_2_4b!I29</f>
        <v>0</v>
      </c>
      <c r="J37" s="59">
        <f ca="1">Lekeitio_2_5a!I29</f>
        <v>0</v>
      </c>
      <c r="K37" s="59">
        <f ca="1">Lekeitio_2_5b!I29</f>
        <v>0</v>
      </c>
      <c r="L37" s="59">
        <f ca="1">Lekeitio_2_6a!I29</f>
        <v>0</v>
      </c>
      <c r="M37" s="59">
        <f ca="1">Lekeitio_2_6b!I29</f>
        <v>0</v>
      </c>
      <c r="N37" s="32">
        <f ca="1">Lekeitio_2_7a!I29</f>
        <v>0</v>
      </c>
      <c r="O37" s="32">
        <f ca="1">Lekeitio_2_7b!I29</f>
        <v>0</v>
      </c>
      <c r="P37" s="32">
        <f ca="1">Lekeitio_2_8a!I29</f>
        <v>0</v>
      </c>
      <c r="Q37" s="32">
        <f ca="1">Lekeitio_2_8b!I29</f>
        <v>0</v>
      </c>
      <c r="R37" s="32">
        <f ca="1">Lekeitio_2_9a!I29</f>
        <v>0</v>
      </c>
      <c r="T37" s="32">
        <f t="shared" ca="1" si="3"/>
        <v>0</v>
      </c>
      <c r="U37" s="32">
        <f t="shared" ca="1" si="4"/>
        <v>0</v>
      </c>
      <c r="V37" s="32">
        <f t="shared" ca="1" si="5"/>
        <v>0</v>
      </c>
      <c r="X37" s="281"/>
    </row>
    <row r="38" spans="1:24" x14ac:dyDescent="0.25">
      <c r="A38" s="276" t="s">
        <v>225</v>
      </c>
      <c r="B38" s="59">
        <f ca="1">Lekeitio_2_1a!I30</f>
        <v>0</v>
      </c>
      <c r="C38" s="59">
        <f ca="1">Lekeitio_2_1b!I30</f>
        <v>0</v>
      </c>
      <c r="D38" s="59">
        <f ca="1">Lekeitio_2_2a!I30</f>
        <v>0</v>
      </c>
      <c r="E38" s="59">
        <f ca="1">Lekeitio_2_2b!I30</f>
        <v>0</v>
      </c>
      <c r="F38" s="59">
        <f ca="1">Lekeitio_2_3a!I30</f>
        <v>0</v>
      </c>
      <c r="G38" s="59">
        <f ca="1">Lekeitio_2_3b!I30</f>
        <v>0</v>
      </c>
      <c r="H38" s="59">
        <f ca="1">Lekeitio_2_4a!I30</f>
        <v>0</v>
      </c>
      <c r="I38" s="59">
        <f ca="1">Lekeitio_2_4b!I30</f>
        <v>0</v>
      </c>
      <c r="J38" s="59">
        <f ca="1">Lekeitio_2_5a!I30</f>
        <v>0</v>
      </c>
      <c r="K38" s="59">
        <f ca="1">Lekeitio_2_5b!I30</f>
        <v>0</v>
      </c>
      <c r="L38" s="59">
        <f ca="1">Lekeitio_2_6a!I30</f>
        <v>0</v>
      </c>
      <c r="M38" s="59">
        <f ca="1">Lekeitio_2_6b!I30</f>
        <v>0</v>
      </c>
      <c r="N38" s="32">
        <f ca="1">Lekeitio_2_7a!I30</f>
        <v>0</v>
      </c>
      <c r="O38" s="32">
        <f ca="1">Lekeitio_2_7b!I30</f>
        <v>0</v>
      </c>
      <c r="P38" s="32">
        <f ca="1">Lekeitio_2_8a!I30</f>
        <v>0</v>
      </c>
      <c r="Q38" s="32">
        <f ca="1">Lekeitio_2_8b!I30</f>
        <v>0</v>
      </c>
      <c r="R38" s="32">
        <f ca="1">Lekeitio_2_9a!I30</f>
        <v>0</v>
      </c>
      <c r="T38" s="32">
        <f t="shared" ca="1" si="3"/>
        <v>0</v>
      </c>
      <c r="U38" s="32">
        <f t="shared" ca="1" si="4"/>
        <v>0</v>
      </c>
      <c r="V38" s="32">
        <f t="shared" ca="1" si="5"/>
        <v>0</v>
      </c>
      <c r="X38" s="281"/>
    </row>
    <row r="39" spans="1:24" x14ac:dyDescent="0.25">
      <c r="A39" s="276" t="s">
        <v>226</v>
      </c>
      <c r="B39" s="59">
        <f ca="1">Lekeitio_2_1a!I31</f>
        <v>0</v>
      </c>
      <c r="C39" s="59">
        <f ca="1">Lekeitio_2_1b!I31</f>
        <v>0</v>
      </c>
      <c r="D39" s="59">
        <f ca="1">Lekeitio_2_2a!I31</f>
        <v>0</v>
      </c>
      <c r="E39" s="59">
        <f ca="1">Lekeitio_2_2b!I31</f>
        <v>0</v>
      </c>
      <c r="F39" s="59">
        <f ca="1">Lekeitio_2_3a!I31</f>
        <v>0</v>
      </c>
      <c r="G39" s="59">
        <f ca="1">Lekeitio_2_3b!I31</f>
        <v>0</v>
      </c>
      <c r="H39" s="59">
        <f ca="1">Lekeitio_2_4a!I31</f>
        <v>0</v>
      </c>
      <c r="I39" s="59">
        <f ca="1">Lekeitio_2_4b!I31</f>
        <v>0</v>
      </c>
      <c r="J39" s="59">
        <f ca="1">Lekeitio_2_5a!I31</f>
        <v>0</v>
      </c>
      <c r="K39" s="59">
        <f ca="1">Lekeitio_2_5b!I31</f>
        <v>0</v>
      </c>
      <c r="L39" s="59">
        <f ca="1">Lekeitio_2_6a!I31</f>
        <v>0</v>
      </c>
      <c r="M39" s="59">
        <f ca="1">Lekeitio_2_6b!I31</f>
        <v>4.6875</v>
      </c>
      <c r="N39" s="32">
        <f ca="1">Lekeitio_2_7a!I31</f>
        <v>10.9375</v>
      </c>
      <c r="O39" s="32">
        <f ca="1">Lekeitio_2_7b!I31</f>
        <v>0</v>
      </c>
      <c r="P39" s="32">
        <f ca="1">Lekeitio_2_8a!I31</f>
        <v>0</v>
      </c>
      <c r="Q39" s="32">
        <f ca="1">Lekeitio_2_8b!I31</f>
        <v>0</v>
      </c>
      <c r="R39" s="32">
        <f ca="1">Lekeitio_2_9a!I31</f>
        <v>0</v>
      </c>
      <c r="T39" s="32">
        <f t="shared" ca="1" si="3"/>
        <v>0.91911764705882348</v>
      </c>
      <c r="U39" s="32">
        <f t="shared" ca="1" si="4"/>
        <v>2.8200216008116175</v>
      </c>
      <c r="V39" s="32">
        <f t="shared" ca="1" si="5"/>
        <v>0.68395570156880592</v>
      </c>
      <c r="X39" s="281"/>
    </row>
    <row r="40" spans="1:24" x14ac:dyDescent="0.25">
      <c r="A40" s="276" t="s">
        <v>227</v>
      </c>
      <c r="B40" s="59">
        <f ca="1">Lekeitio_2_1a!I32</f>
        <v>0</v>
      </c>
      <c r="C40" s="59">
        <f ca="1">Lekeitio_2_1b!I32</f>
        <v>0</v>
      </c>
      <c r="D40" s="59">
        <f ca="1">Lekeitio_2_2a!I32</f>
        <v>0</v>
      </c>
      <c r="E40" s="59">
        <f ca="1">Lekeitio_2_2b!I32</f>
        <v>0</v>
      </c>
      <c r="F40" s="59">
        <f ca="1">Lekeitio_2_3a!I32</f>
        <v>0</v>
      </c>
      <c r="G40" s="59">
        <f ca="1">Lekeitio_2_3b!I32</f>
        <v>0</v>
      </c>
      <c r="H40" s="59">
        <f ca="1">Lekeitio_2_4a!I32</f>
        <v>0</v>
      </c>
      <c r="I40" s="59">
        <f ca="1">Lekeitio_2_4b!I32</f>
        <v>0</v>
      </c>
      <c r="J40" s="59">
        <f ca="1">Lekeitio_2_5a!I32</f>
        <v>0</v>
      </c>
      <c r="K40" s="59">
        <f ca="1">Lekeitio_2_5b!I32</f>
        <v>0</v>
      </c>
      <c r="L40" s="59">
        <f ca="1">Lekeitio_2_6a!I32</f>
        <v>0</v>
      </c>
      <c r="M40" s="59">
        <f ca="1">Lekeitio_2_6b!I32</f>
        <v>0</v>
      </c>
      <c r="N40" s="32">
        <f ca="1">Lekeitio_2_7a!I32</f>
        <v>0</v>
      </c>
      <c r="O40" s="32">
        <f ca="1">Lekeitio_2_7b!I32</f>
        <v>0</v>
      </c>
      <c r="P40" s="32">
        <f ca="1">Lekeitio_2_8a!I32</f>
        <v>0</v>
      </c>
      <c r="Q40" s="32">
        <f ca="1">Lekeitio_2_8b!I32</f>
        <v>0</v>
      </c>
      <c r="R40" s="32">
        <f ca="1">Lekeitio_2_9a!I32</f>
        <v>0</v>
      </c>
      <c r="T40" s="32">
        <f t="shared" ca="1" si="3"/>
        <v>0</v>
      </c>
      <c r="U40" s="32">
        <f t="shared" ca="1" si="4"/>
        <v>0</v>
      </c>
      <c r="V40" s="32">
        <f t="shared" ca="1" si="5"/>
        <v>0</v>
      </c>
      <c r="X40" s="281"/>
    </row>
    <row r="41" spans="1:24" x14ac:dyDescent="0.25">
      <c r="A41" s="276" t="s">
        <v>228</v>
      </c>
      <c r="B41" s="59">
        <f ca="1">Lekeitio_2_1a!I33</f>
        <v>1.5625</v>
      </c>
      <c r="C41" s="59">
        <f ca="1">Lekeitio_2_1b!I33</f>
        <v>0</v>
      </c>
      <c r="D41" s="59">
        <f ca="1">Lekeitio_2_2a!I33</f>
        <v>0</v>
      </c>
      <c r="E41" s="59">
        <f ca="1">Lekeitio_2_2b!I33</f>
        <v>17.1875</v>
      </c>
      <c r="F41" s="59">
        <f ca="1">Lekeitio_2_3a!I33</f>
        <v>20.3125</v>
      </c>
      <c r="G41" s="59">
        <f ca="1">Lekeitio_2_3b!I33</f>
        <v>0</v>
      </c>
      <c r="H41" s="59">
        <f ca="1">Lekeitio_2_4a!I33</f>
        <v>0</v>
      </c>
      <c r="I41" s="59">
        <f ca="1">Lekeitio_2_4b!I33</f>
        <v>26.5625</v>
      </c>
      <c r="J41" s="59">
        <f ca="1">Lekeitio_2_5a!I33</f>
        <v>18.75</v>
      </c>
      <c r="K41" s="59">
        <f ca="1">Lekeitio_2_5b!I33</f>
        <v>0</v>
      </c>
      <c r="L41" s="59">
        <f ca="1">Lekeitio_2_6a!I33</f>
        <v>1.5625</v>
      </c>
      <c r="M41" s="59">
        <f ca="1">Lekeitio_2_6b!I33</f>
        <v>18.75</v>
      </c>
      <c r="N41" s="32">
        <f ca="1">Lekeitio_2_7a!I33</f>
        <v>18.75</v>
      </c>
      <c r="O41" s="32">
        <f ca="1">Lekeitio_2_7b!I33</f>
        <v>4.6875</v>
      </c>
      <c r="P41" s="32">
        <f ca="1">Lekeitio_2_8a!I33</f>
        <v>0</v>
      </c>
      <c r="Q41" s="32">
        <f ca="1">Lekeitio_2_8b!I33</f>
        <v>20.3125</v>
      </c>
      <c r="R41" s="32">
        <f ca="1">Lekeitio_2_9a!I33</f>
        <v>18.75</v>
      </c>
      <c r="T41" s="32">
        <f t="shared" ca="1" si="3"/>
        <v>9.8345588235294112</v>
      </c>
      <c r="U41" s="32">
        <f t="shared" ca="1" si="4"/>
        <v>10.04695862077542</v>
      </c>
      <c r="V41" s="32">
        <f t="shared" ca="1" si="5"/>
        <v>2.4367453888039403</v>
      </c>
      <c r="X41" s="281"/>
    </row>
    <row r="42" spans="1:24" x14ac:dyDescent="0.25">
      <c r="A42" s="276" t="s">
        <v>229</v>
      </c>
      <c r="B42" s="59">
        <f ca="1">Lekeitio_2_1a!I34</f>
        <v>25</v>
      </c>
      <c r="C42" s="59">
        <f ca="1">Lekeitio_2_1b!I34</f>
        <v>0</v>
      </c>
      <c r="D42" s="59">
        <f ca="1">Lekeitio_2_2a!I34</f>
        <v>0</v>
      </c>
      <c r="E42" s="59">
        <f ca="1">Lekeitio_2_2b!I34</f>
        <v>0</v>
      </c>
      <c r="F42" s="59">
        <f ca="1">Lekeitio_2_3a!I34</f>
        <v>0</v>
      </c>
      <c r="G42" s="59">
        <f ca="1">Lekeitio_2_3b!I34</f>
        <v>0</v>
      </c>
      <c r="H42" s="59">
        <f ca="1">Lekeitio_2_4a!I34</f>
        <v>0</v>
      </c>
      <c r="I42" s="59">
        <f ca="1">Lekeitio_2_4b!I34</f>
        <v>0</v>
      </c>
      <c r="J42" s="59">
        <f ca="1">Lekeitio_2_5a!I34</f>
        <v>0</v>
      </c>
      <c r="K42" s="59">
        <f ca="1">Lekeitio_2_5b!I34</f>
        <v>0</v>
      </c>
      <c r="L42" s="59">
        <f ca="1">Lekeitio_2_6a!I34</f>
        <v>0</v>
      </c>
      <c r="M42" s="59">
        <f ca="1">Lekeitio_2_6b!I34</f>
        <v>0</v>
      </c>
      <c r="N42" s="32">
        <f ca="1">Lekeitio_2_7a!I34</f>
        <v>0</v>
      </c>
      <c r="O42" s="32">
        <f ca="1">Lekeitio_2_7b!I34</f>
        <v>0</v>
      </c>
      <c r="P42" s="32">
        <f ca="1">Lekeitio_2_8a!I34</f>
        <v>0</v>
      </c>
      <c r="Q42" s="32">
        <f ca="1">Lekeitio_2_8b!I34</f>
        <v>0</v>
      </c>
      <c r="R42" s="32">
        <f ca="1">Lekeitio_2_9a!I34</f>
        <v>0</v>
      </c>
      <c r="T42" s="32">
        <f t="shared" ca="1" si="3"/>
        <v>1.4705882352941178</v>
      </c>
      <c r="U42" s="32">
        <f t="shared" ca="1" si="4"/>
        <v>6.0633906259083243</v>
      </c>
      <c r="V42" s="32">
        <f t="shared" ca="1" si="5"/>
        <v>1.4705882352941175</v>
      </c>
      <c r="X42" s="281"/>
    </row>
    <row r="43" spans="1:24" x14ac:dyDescent="0.25">
      <c r="A43" s="277" t="s">
        <v>321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283"/>
    </row>
    <row r="44" spans="1:24" x14ac:dyDescent="0.25">
      <c r="A44" s="276" t="s">
        <v>230</v>
      </c>
      <c r="B44" s="59">
        <f ca="1">Lekeitio_2_1a!I36</f>
        <v>0</v>
      </c>
      <c r="C44" s="59">
        <f ca="1">Lekeitio_2_1b!I36</f>
        <v>0</v>
      </c>
      <c r="D44" s="59">
        <f ca="1">Lekeitio_2_2a!I36</f>
        <v>0</v>
      </c>
      <c r="E44" s="59">
        <f ca="1">Lekeitio_2_2b!I36</f>
        <v>0</v>
      </c>
      <c r="F44" s="59">
        <f ca="1">Lekeitio_2_3a!I36</f>
        <v>0</v>
      </c>
      <c r="G44" s="59">
        <f ca="1">Lekeitio_2_3b!I36</f>
        <v>0</v>
      </c>
      <c r="H44" s="59">
        <f ca="1">Lekeitio_2_4a!I36</f>
        <v>0</v>
      </c>
      <c r="I44" s="59">
        <f ca="1">Lekeitio_2_4b!I36</f>
        <v>0</v>
      </c>
      <c r="J44" s="59">
        <f ca="1">Lekeitio_2_5a!I36</f>
        <v>0</v>
      </c>
      <c r="K44" s="59">
        <f ca="1">Lekeitio_2_5b!I36</f>
        <v>0</v>
      </c>
      <c r="L44" s="59">
        <f ca="1">Lekeitio_2_6a!I36</f>
        <v>0</v>
      </c>
      <c r="M44" s="59">
        <f ca="1">Lekeitio_2_6b!I36</f>
        <v>0</v>
      </c>
      <c r="N44" s="32">
        <f ca="1">Lekeitio_2_7a!I36</f>
        <v>0</v>
      </c>
      <c r="O44" s="32">
        <f ca="1">Lekeitio_2_7b!I36</f>
        <v>0</v>
      </c>
      <c r="P44" s="32">
        <f ca="1">Lekeitio_2_8a!I36</f>
        <v>0</v>
      </c>
      <c r="Q44" s="32">
        <f ca="1">Lekeitio_2_8b!I36</f>
        <v>0</v>
      </c>
      <c r="R44" s="32">
        <f ca="1">Lekeitio_2_9a!I36</f>
        <v>0</v>
      </c>
      <c r="T44" s="32">
        <f ca="1">AVERAGE(B44:R44)</f>
        <v>0</v>
      </c>
      <c r="U44" s="32">
        <f ca="1">STDEV(B44:R44)</f>
        <v>0</v>
      </c>
      <c r="V44" s="32">
        <f ca="1">U44/SQRT(17)</f>
        <v>0</v>
      </c>
      <c r="X44" s="281"/>
    </row>
    <row r="45" spans="1:24" x14ac:dyDescent="0.25">
      <c r="A45" s="276" t="s">
        <v>231</v>
      </c>
      <c r="B45" s="59">
        <f ca="1">Lekeitio_2_1a!I37</f>
        <v>0</v>
      </c>
      <c r="C45" s="59">
        <f ca="1">Lekeitio_2_1b!I37</f>
        <v>0</v>
      </c>
      <c r="D45" s="59">
        <f ca="1">Lekeitio_2_2a!I37</f>
        <v>0</v>
      </c>
      <c r="E45" s="59">
        <f ca="1">Lekeitio_2_2b!I37</f>
        <v>0</v>
      </c>
      <c r="F45" s="59">
        <f ca="1">Lekeitio_2_3a!I37</f>
        <v>0</v>
      </c>
      <c r="G45" s="59">
        <f ca="1">Lekeitio_2_3b!I37</f>
        <v>0</v>
      </c>
      <c r="H45" s="59">
        <f ca="1">Lekeitio_2_4a!I37</f>
        <v>0</v>
      </c>
      <c r="I45" s="59">
        <f ca="1">Lekeitio_2_4b!I37</f>
        <v>0</v>
      </c>
      <c r="J45" s="59">
        <f ca="1">Lekeitio_2_5a!I37</f>
        <v>0</v>
      </c>
      <c r="K45" s="59">
        <f ca="1">Lekeitio_2_5b!I37</f>
        <v>0</v>
      </c>
      <c r="L45" s="59">
        <f ca="1">Lekeitio_2_6a!I37</f>
        <v>0</v>
      </c>
      <c r="M45" s="59">
        <f ca="1">Lekeitio_2_6b!I37</f>
        <v>0</v>
      </c>
      <c r="N45" s="32">
        <f ca="1">Lekeitio_2_7a!I37</f>
        <v>0</v>
      </c>
      <c r="O45" s="32">
        <f ca="1">Lekeitio_2_7b!I37</f>
        <v>0</v>
      </c>
      <c r="P45" s="32">
        <f ca="1">Lekeitio_2_8a!I37</f>
        <v>0</v>
      </c>
      <c r="Q45" s="32">
        <f ca="1">Lekeitio_2_8b!I37</f>
        <v>0</v>
      </c>
      <c r="R45" s="32">
        <f ca="1">Lekeitio_2_9a!I37</f>
        <v>0</v>
      </c>
      <c r="T45" s="32">
        <f ca="1">AVERAGE(B45:R45)</f>
        <v>0</v>
      </c>
      <c r="U45" s="32">
        <f ca="1">STDEV(B45:R45)</f>
        <v>0</v>
      </c>
      <c r="V45" s="32">
        <f ca="1">U45/SQRT(17)</f>
        <v>0</v>
      </c>
      <c r="X45" s="281"/>
    </row>
    <row r="46" spans="1:24" x14ac:dyDescent="0.25">
      <c r="A46" s="277" t="s">
        <v>322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283"/>
    </row>
    <row r="47" spans="1:24" x14ac:dyDescent="0.25">
      <c r="A47" s="276" t="s">
        <v>232</v>
      </c>
      <c r="B47" s="59">
        <f ca="1">Lekeitio_2_1a!I39</f>
        <v>0</v>
      </c>
      <c r="C47" s="59">
        <f ca="1">Lekeitio_2_1b!I39</f>
        <v>0</v>
      </c>
      <c r="D47" s="59">
        <f ca="1">Lekeitio_2_2a!I39</f>
        <v>0</v>
      </c>
      <c r="E47" s="59">
        <f ca="1">Lekeitio_2_2b!I39</f>
        <v>0</v>
      </c>
      <c r="F47" s="59">
        <f ca="1">Lekeitio_2_3a!I39</f>
        <v>0</v>
      </c>
      <c r="G47" s="59">
        <f ca="1">Lekeitio_2_3b!I39</f>
        <v>0</v>
      </c>
      <c r="H47" s="59">
        <f ca="1">Lekeitio_2_4a!I39</f>
        <v>0</v>
      </c>
      <c r="I47" s="59">
        <f ca="1">Lekeitio_2_4b!I39</f>
        <v>0</v>
      </c>
      <c r="J47" s="59">
        <f ca="1">Lekeitio_2_5a!I39</f>
        <v>0</v>
      </c>
      <c r="K47" s="59">
        <f ca="1">Lekeitio_2_5b!I39</f>
        <v>0</v>
      </c>
      <c r="L47" s="59">
        <f ca="1">Lekeitio_2_6a!I39</f>
        <v>0</v>
      </c>
      <c r="M47" s="59">
        <f ca="1">Lekeitio_2_6b!I39</f>
        <v>0</v>
      </c>
      <c r="N47" s="32">
        <f ca="1">Lekeitio_2_7a!I39</f>
        <v>0</v>
      </c>
      <c r="O47" s="32">
        <f ca="1">Lekeitio_2_7b!I39</f>
        <v>0</v>
      </c>
      <c r="P47" s="32">
        <f ca="1">Lekeitio_2_8a!I39</f>
        <v>0</v>
      </c>
      <c r="Q47" s="32">
        <f ca="1">Lekeitio_2_8b!I39</f>
        <v>0</v>
      </c>
      <c r="R47" s="32">
        <f ca="1">Lekeitio_2_9a!I39</f>
        <v>0</v>
      </c>
      <c r="T47" s="32">
        <f t="shared" ref="T47:T52" ca="1" si="6">AVERAGE(B47:R47)</f>
        <v>0</v>
      </c>
      <c r="U47" s="32">
        <f t="shared" ref="U47:U52" ca="1" si="7">STDEV(B47:R47)</f>
        <v>0</v>
      </c>
      <c r="V47" s="32">
        <f t="shared" ref="V47:V52" ca="1" si="8">U47/SQRT(17)</f>
        <v>0</v>
      </c>
      <c r="X47" s="281"/>
    </row>
    <row r="48" spans="1:24" x14ac:dyDescent="0.25">
      <c r="A48" s="276" t="s">
        <v>233</v>
      </c>
      <c r="B48" s="59">
        <f ca="1">Lekeitio_2_1a!I40</f>
        <v>0</v>
      </c>
      <c r="C48" s="59">
        <f ca="1">Lekeitio_2_1b!I40</f>
        <v>0</v>
      </c>
      <c r="D48" s="59">
        <f ca="1">Lekeitio_2_2a!I40</f>
        <v>0</v>
      </c>
      <c r="E48" s="59">
        <f ca="1">Lekeitio_2_2b!I40</f>
        <v>0</v>
      </c>
      <c r="F48" s="59">
        <f ca="1">Lekeitio_2_3a!I40</f>
        <v>0</v>
      </c>
      <c r="G48" s="59">
        <f ca="1">Lekeitio_2_3b!I40</f>
        <v>0</v>
      </c>
      <c r="H48" s="59">
        <f ca="1">Lekeitio_2_4a!I40</f>
        <v>0</v>
      </c>
      <c r="I48" s="59">
        <f ca="1">Lekeitio_2_4b!I40</f>
        <v>0</v>
      </c>
      <c r="J48" s="59">
        <f ca="1">Lekeitio_2_5a!I40</f>
        <v>0</v>
      </c>
      <c r="K48" s="59">
        <f ca="1">Lekeitio_2_5b!I40</f>
        <v>0</v>
      </c>
      <c r="L48" s="59">
        <f ca="1">Lekeitio_2_6a!I40</f>
        <v>0</v>
      </c>
      <c r="M48" s="59">
        <f ca="1">Lekeitio_2_6b!I40</f>
        <v>0</v>
      </c>
      <c r="N48" s="32">
        <f ca="1">Lekeitio_2_7a!I40</f>
        <v>0</v>
      </c>
      <c r="O48" s="32">
        <f ca="1">Lekeitio_2_7b!I40</f>
        <v>0</v>
      </c>
      <c r="P48" s="32">
        <f ca="1">Lekeitio_2_8a!I40</f>
        <v>0</v>
      </c>
      <c r="Q48" s="32">
        <f ca="1">Lekeitio_2_8b!I40</f>
        <v>0</v>
      </c>
      <c r="R48" s="32">
        <f ca="1">Lekeitio_2_9a!I40</f>
        <v>0</v>
      </c>
      <c r="T48" s="32">
        <f t="shared" ca="1" si="6"/>
        <v>0</v>
      </c>
      <c r="U48" s="32">
        <f t="shared" ca="1" si="7"/>
        <v>0</v>
      </c>
      <c r="V48" s="32">
        <f t="shared" ca="1" si="8"/>
        <v>0</v>
      </c>
      <c r="X48" s="281"/>
    </row>
    <row r="49" spans="1:24" x14ac:dyDescent="0.25">
      <c r="A49" s="276" t="s">
        <v>234</v>
      </c>
      <c r="B49" s="59">
        <f ca="1">Lekeitio_2_1a!I41</f>
        <v>0</v>
      </c>
      <c r="C49" s="59">
        <f ca="1">Lekeitio_2_1b!I41</f>
        <v>0</v>
      </c>
      <c r="D49" s="59">
        <f ca="1">Lekeitio_2_2a!I41</f>
        <v>0</v>
      </c>
      <c r="E49" s="59">
        <f ca="1">Lekeitio_2_2b!I41</f>
        <v>0</v>
      </c>
      <c r="F49" s="59">
        <f ca="1">Lekeitio_2_3a!I41</f>
        <v>0</v>
      </c>
      <c r="G49" s="59">
        <f ca="1">Lekeitio_2_3b!I41</f>
        <v>0</v>
      </c>
      <c r="H49" s="59">
        <f ca="1">Lekeitio_2_4a!I41</f>
        <v>0</v>
      </c>
      <c r="I49" s="59">
        <f ca="1">Lekeitio_2_4b!I41</f>
        <v>0</v>
      </c>
      <c r="J49" s="59">
        <f ca="1">Lekeitio_2_5a!I41</f>
        <v>0</v>
      </c>
      <c r="K49" s="59">
        <f ca="1">Lekeitio_2_5b!I41</f>
        <v>0</v>
      </c>
      <c r="L49" s="59">
        <f ca="1">Lekeitio_2_6a!I41</f>
        <v>0</v>
      </c>
      <c r="M49" s="59">
        <f ca="1">Lekeitio_2_6b!I41</f>
        <v>0</v>
      </c>
      <c r="N49" s="32">
        <f ca="1">Lekeitio_2_7a!I41</f>
        <v>0</v>
      </c>
      <c r="O49" s="32">
        <f ca="1">Lekeitio_2_7b!I41</f>
        <v>0</v>
      </c>
      <c r="P49" s="32">
        <f ca="1">Lekeitio_2_8a!I41</f>
        <v>0</v>
      </c>
      <c r="Q49" s="32">
        <f ca="1">Lekeitio_2_8b!I41</f>
        <v>0</v>
      </c>
      <c r="R49" s="32">
        <f ca="1">Lekeitio_2_9a!I41</f>
        <v>0</v>
      </c>
      <c r="T49" s="32">
        <f t="shared" ca="1" si="6"/>
        <v>0</v>
      </c>
      <c r="U49" s="32">
        <f t="shared" ca="1" si="7"/>
        <v>0</v>
      </c>
      <c r="V49" s="32">
        <f t="shared" ca="1" si="8"/>
        <v>0</v>
      </c>
      <c r="X49" s="281"/>
    </row>
    <row r="50" spans="1:24" x14ac:dyDescent="0.25">
      <c r="A50" s="276" t="s">
        <v>235</v>
      </c>
      <c r="B50" s="59">
        <f ca="1">Lekeitio_2_1a!I42</f>
        <v>0</v>
      </c>
      <c r="C50" s="59">
        <f ca="1">Lekeitio_2_1b!I42</f>
        <v>0</v>
      </c>
      <c r="D50" s="59">
        <f ca="1">Lekeitio_2_2a!I42</f>
        <v>23.4375</v>
      </c>
      <c r="E50" s="59">
        <f ca="1">Lekeitio_2_2b!I42</f>
        <v>1.5625</v>
      </c>
      <c r="F50" s="59">
        <f ca="1">Lekeitio_2_3a!I42</f>
        <v>23.4375</v>
      </c>
      <c r="G50" s="59">
        <f ca="1">Lekeitio_2_3b!I42</f>
        <v>4.6875</v>
      </c>
      <c r="H50" s="59">
        <f ca="1">Lekeitio_2_4a!I42</f>
        <v>25</v>
      </c>
      <c r="I50" s="59">
        <f ca="1">Lekeitio_2_4b!I42</f>
        <v>0</v>
      </c>
      <c r="J50" s="59">
        <f ca="1">Lekeitio_2_5a!I42</f>
        <v>28.125</v>
      </c>
      <c r="K50" s="59">
        <f ca="1">Lekeitio_2_5b!I42</f>
        <v>4.6875</v>
      </c>
      <c r="L50" s="59">
        <f ca="1">Lekeitio_2_6a!I42</f>
        <v>31.25</v>
      </c>
      <c r="M50" s="59">
        <f ca="1">Lekeitio_2_6b!I42</f>
        <v>0</v>
      </c>
      <c r="N50" s="32">
        <f ca="1">Lekeitio_2_7a!I42</f>
        <v>26.5625</v>
      </c>
      <c r="O50" s="32">
        <f ca="1">Lekeitio_2_7b!I42</f>
        <v>0</v>
      </c>
      <c r="P50" s="32">
        <f ca="1">Lekeitio_2_8a!I42</f>
        <v>31.25</v>
      </c>
      <c r="Q50" s="32">
        <f ca="1">Lekeitio_2_8b!I42</f>
        <v>1.5625</v>
      </c>
      <c r="R50" s="32">
        <f ca="1">Lekeitio_2_9a!I42</f>
        <v>21.875</v>
      </c>
      <c r="T50" s="32">
        <f t="shared" ca="1" si="6"/>
        <v>13.143382352941176</v>
      </c>
      <c r="U50" s="32">
        <f t="shared" ca="1" si="7"/>
        <v>13.143342181653955</v>
      </c>
      <c r="V50" s="32">
        <f t="shared" ca="1" si="8"/>
        <v>3.1877287110938419</v>
      </c>
      <c r="X50" s="281"/>
    </row>
    <row r="51" spans="1:24" x14ac:dyDescent="0.25">
      <c r="A51" s="276" t="s">
        <v>236</v>
      </c>
      <c r="B51" s="59">
        <f ca="1">Lekeitio_2_1a!I43</f>
        <v>0</v>
      </c>
      <c r="C51" s="59">
        <f ca="1">Lekeitio_2_1b!I43</f>
        <v>0</v>
      </c>
      <c r="D51" s="59">
        <f ca="1">Lekeitio_2_2a!I43</f>
        <v>0</v>
      </c>
      <c r="E51" s="59">
        <f ca="1">Lekeitio_2_2b!I43</f>
        <v>0</v>
      </c>
      <c r="F51" s="59">
        <f ca="1">Lekeitio_2_3a!I43</f>
        <v>0</v>
      </c>
      <c r="G51" s="59">
        <f ca="1">Lekeitio_2_3b!I43</f>
        <v>0</v>
      </c>
      <c r="H51" s="59">
        <f ca="1">Lekeitio_2_4a!I43</f>
        <v>0</v>
      </c>
      <c r="I51" s="59">
        <f ca="1">Lekeitio_2_4b!I43</f>
        <v>0</v>
      </c>
      <c r="J51" s="59">
        <f ca="1">Lekeitio_2_5a!I43</f>
        <v>0</v>
      </c>
      <c r="K51" s="59">
        <f ca="1">Lekeitio_2_5b!I43</f>
        <v>0</v>
      </c>
      <c r="L51" s="59">
        <f ca="1">Lekeitio_2_6a!I43</f>
        <v>0</v>
      </c>
      <c r="M51" s="59">
        <f ca="1">Lekeitio_2_6b!I43</f>
        <v>0</v>
      </c>
      <c r="N51" s="32">
        <f ca="1">Lekeitio_2_7a!I43</f>
        <v>0</v>
      </c>
      <c r="O51" s="32">
        <f ca="1">Lekeitio_2_7b!I43</f>
        <v>0</v>
      </c>
      <c r="P51" s="32">
        <f ca="1">Lekeitio_2_8a!I43</f>
        <v>0</v>
      </c>
      <c r="Q51" s="32">
        <f ca="1">Lekeitio_2_8b!I43</f>
        <v>0</v>
      </c>
      <c r="R51" s="32">
        <f ca="1">Lekeitio_2_9a!I43</f>
        <v>0</v>
      </c>
      <c r="T51" s="32">
        <f t="shared" ca="1" si="6"/>
        <v>0</v>
      </c>
      <c r="U51" s="32">
        <f t="shared" ca="1" si="7"/>
        <v>0</v>
      </c>
      <c r="V51" s="32">
        <f t="shared" ca="1" si="8"/>
        <v>0</v>
      </c>
      <c r="X51" s="281"/>
    </row>
    <row r="52" spans="1:24" x14ac:dyDescent="0.25">
      <c r="A52" s="276" t="s">
        <v>237</v>
      </c>
      <c r="B52" s="59">
        <f ca="1">Lekeitio_2_1a!I44</f>
        <v>0</v>
      </c>
      <c r="C52" s="59">
        <f ca="1">Lekeitio_2_1b!I44</f>
        <v>0</v>
      </c>
      <c r="D52" s="59">
        <f ca="1">Lekeitio_2_2a!I44</f>
        <v>0</v>
      </c>
      <c r="E52" s="59">
        <f ca="1">Lekeitio_2_2b!I44</f>
        <v>0</v>
      </c>
      <c r="F52" s="59">
        <f ca="1">Lekeitio_2_3a!I44</f>
        <v>0</v>
      </c>
      <c r="G52" s="59">
        <f ca="1">Lekeitio_2_3b!I44</f>
        <v>0</v>
      </c>
      <c r="H52" s="59">
        <f ca="1">Lekeitio_2_4a!I44</f>
        <v>0</v>
      </c>
      <c r="I52" s="59">
        <f ca="1">Lekeitio_2_4b!I44</f>
        <v>0</v>
      </c>
      <c r="J52" s="59">
        <f ca="1">Lekeitio_2_5a!I44</f>
        <v>0</v>
      </c>
      <c r="K52" s="59">
        <f ca="1">Lekeitio_2_5b!I44</f>
        <v>0</v>
      </c>
      <c r="L52" s="59">
        <f ca="1">Lekeitio_2_6a!I44</f>
        <v>0</v>
      </c>
      <c r="M52" s="59">
        <f ca="1">Lekeitio_2_6b!I44</f>
        <v>0</v>
      </c>
      <c r="N52" s="32">
        <f ca="1">Lekeitio_2_7a!I44</f>
        <v>0</v>
      </c>
      <c r="O52" s="32">
        <f ca="1">Lekeitio_2_7b!I44</f>
        <v>0</v>
      </c>
      <c r="P52" s="32">
        <f ca="1">Lekeitio_2_8a!I44</f>
        <v>0</v>
      </c>
      <c r="Q52" s="32">
        <f ca="1">Lekeitio_2_8b!I44</f>
        <v>0</v>
      </c>
      <c r="R52" s="32">
        <f ca="1">Lekeitio_2_9a!I44</f>
        <v>0</v>
      </c>
      <c r="T52" s="32">
        <f t="shared" ca="1" si="6"/>
        <v>0</v>
      </c>
      <c r="U52" s="32">
        <f t="shared" ca="1" si="7"/>
        <v>0</v>
      </c>
      <c r="V52" s="32">
        <f t="shared" ca="1" si="8"/>
        <v>0</v>
      </c>
      <c r="X52" s="281"/>
    </row>
    <row r="53" spans="1:24" x14ac:dyDescent="0.25">
      <c r="A53" s="277" t="s">
        <v>323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283"/>
    </row>
    <row r="54" spans="1:24" x14ac:dyDescent="0.25">
      <c r="A54" s="276" t="s">
        <v>238</v>
      </c>
      <c r="B54" s="59">
        <f ca="1">Lekeitio_2_1a!I46</f>
        <v>0</v>
      </c>
      <c r="C54" s="59">
        <f ca="1">Lekeitio_2_1b!I46</f>
        <v>0</v>
      </c>
      <c r="D54" s="59">
        <f ca="1">Lekeitio_2_2a!I46</f>
        <v>0</v>
      </c>
      <c r="E54" s="59">
        <f ca="1">Lekeitio_2_2b!I46</f>
        <v>0</v>
      </c>
      <c r="F54" s="59">
        <f ca="1">Lekeitio_2_3a!I46</f>
        <v>0</v>
      </c>
      <c r="G54" s="59">
        <f ca="1">Lekeitio_2_3b!I46</f>
        <v>0</v>
      </c>
      <c r="H54" s="59">
        <f ca="1">Lekeitio_2_4a!I46</f>
        <v>0</v>
      </c>
      <c r="I54" s="59">
        <f ca="1">Lekeitio_2_4b!I46</f>
        <v>0</v>
      </c>
      <c r="J54" s="59">
        <f ca="1">Lekeitio_2_5a!I46</f>
        <v>0</v>
      </c>
      <c r="K54" s="59">
        <f ca="1">Lekeitio_2_5b!I46</f>
        <v>0</v>
      </c>
      <c r="L54" s="59">
        <f ca="1">Lekeitio_2_6a!I46</f>
        <v>0</v>
      </c>
      <c r="M54" s="59">
        <f ca="1">Lekeitio_2_6b!I46</f>
        <v>0</v>
      </c>
      <c r="N54" s="32">
        <f ca="1">Lekeitio_2_7a!I46</f>
        <v>0</v>
      </c>
      <c r="O54" s="32">
        <f ca="1">Lekeitio_2_7b!I46</f>
        <v>0</v>
      </c>
      <c r="P54" s="32">
        <f ca="1">Lekeitio_2_8a!I46</f>
        <v>0</v>
      </c>
      <c r="Q54" s="32">
        <f ca="1">Lekeitio_2_8b!I46</f>
        <v>0</v>
      </c>
      <c r="R54" s="32">
        <f ca="1">Lekeitio_2_9a!I46</f>
        <v>0</v>
      </c>
      <c r="T54" s="32">
        <f ca="1">AVERAGE(B54:R54)</f>
        <v>0</v>
      </c>
      <c r="U54" s="32">
        <f ca="1">STDEV(B54:R54)</f>
        <v>0</v>
      </c>
      <c r="V54" s="32">
        <f ca="1">U54/SQRT(17)</f>
        <v>0</v>
      </c>
      <c r="X54" s="281"/>
    </row>
    <row r="55" spans="1:24" x14ac:dyDescent="0.25">
      <c r="A55" s="276" t="s">
        <v>239</v>
      </c>
      <c r="B55" s="59">
        <f ca="1">Lekeitio_2_1a!I47</f>
        <v>0</v>
      </c>
      <c r="C55" s="59">
        <f ca="1">Lekeitio_2_1b!I47</f>
        <v>0</v>
      </c>
      <c r="D55" s="59">
        <f ca="1">Lekeitio_2_2a!I47</f>
        <v>0</v>
      </c>
      <c r="E55" s="59">
        <f ca="1">Lekeitio_2_2b!I47</f>
        <v>0</v>
      </c>
      <c r="F55" s="59">
        <f ca="1">Lekeitio_2_3a!I47</f>
        <v>0</v>
      </c>
      <c r="G55" s="59">
        <f ca="1">Lekeitio_2_3b!I47</f>
        <v>0</v>
      </c>
      <c r="H55" s="59">
        <f ca="1">Lekeitio_2_4a!I47</f>
        <v>0</v>
      </c>
      <c r="I55" s="59">
        <f ca="1">Lekeitio_2_4b!I47</f>
        <v>0</v>
      </c>
      <c r="J55" s="59">
        <f ca="1">Lekeitio_2_5a!I47</f>
        <v>0</v>
      </c>
      <c r="K55" s="59">
        <f ca="1">Lekeitio_2_5b!I47</f>
        <v>0</v>
      </c>
      <c r="L55" s="59">
        <f ca="1">Lekeitio_2_6a!I47</f>
        <v>0</v>
      </c>
      <c r="M55" s="59">
        <f ca="1">Lekeitio_2_6b!I47</f>
        <v>0</v>
      </c>
      <c r="N55" s="32">
        <f ca="1">Lekeitio_2_7a!I47</f>
        <v>0</v>
      </c>
      <c r="O55" s="32">
        <f ca="1">Lekeitio_2_7b!I47</f>
        <v>0</v>
      </c>
      <c r="P55" s="32">
        <f ca="1">Lekeitio_2_8a!I47</f>
        <v>0</v>
      </c>
      <c r="Q55" s="32">
        <f ca="1">Lekeitio_2_8b!I47</f>
        <v>0</v>
      </c>
      <c r="R55" s="32">
        <f ca="1">Lekeitio_2_9a!I47</f>
        <v>0</v>
      </c>
      <c r="T55" s="32">
        <f ca="1">AVERAGE(B55:R55)</f>
        <v>0</v>
      </c>
      <c r="U55" s="32">
        <f ca="1">STDEV(B55:R55)</f>
        <v>0</v>
      </c>
      <c r="V55" s="32">
        <f ca="1">U55/SQRT(17)</f>
        <v>0</v>
      </c>
      <c r="X55" s="281"/>
    </row>
    <row r="56" spans="1:24" x14ac:dyDescent="0.25">
      <c r="A56" s="277" t="s">
        <v>324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283"/>
    </row>
    <row r="57" spans="1:24" x14ac:dyDescent="0.25">
      <c r="A57" s="276" t="s">
        <v>240</v>
      </c>
      <c r="B57" s="59">
        <f ca="1">Lekeitio_2_1a!I49</f>
        <v>0</v>
      </c>
      <c r="C57" s="59">
        <f ca="1">Lekeitio_2_1b!I49</f>
        <v>26.5625</v>
      </c>
      <c r="D57" s="59">
        <f ca="1">Lekeitio_2_2a!I49</f>
        <v>25</v>
      </c>
      <c r="E57" s="59">
        <f ca="1">Lekeitio_2_2b!I49</f>
        <v>28.125</v>
      </c>
      <c r="F57" s="59">
        <f ca="1">Lekeitio_2_3a!I49</f>
        <v>18.75</v>
      </c>
      <c r="G57" s="59">
        <f ca="1">Lekeitio_2_3b!I49</f>
        <v>46.875</v>
      </c>
      <c r="H57" s="59">
        <f ca="1">Lekeitio_2_4a!I49</f>
        <v>43.75</v>
      </c>
      <c r="I57" s="59">
        <f ca="1">Lekeitio_2_4b!I49</f>
        <v>48.4375</v>
      </c>
      <c r="J57" s="59">
        <f ca="1">Lekeitio_2_5a!I49</f>
        <v>37.5</v>
      </c>
      <c r="K57" s="59">
        <f ca="1">Lekeitio_2_5b!I49</f>
        <v>43.75</v>
      </c>
      <c r="L57" s="59">
        <f ca="1">Lekeitio_2_6a!I49</f>
        <v>45.3125</v>
      </c>
      <c r="M57" s="59">
        <f ca="1">Lekeitio_2_6b!I49</f>
        <v>40.625</v>
      </c>
      <c r="N57" s="32">
        <f ca="1">Lekeitio_2_7a!I49</f>
        <v>25</v>
      </c>
      <c r="O57" s="32">
        <f ca="1">Lekeitio_2_7b!I49</f>
        <v>62.5</v>
      </c>
      <c r="P57" s="32">
        <f ca="1">Lekeitio_2_8a!I49</f>
        <v>35.9375</v>
      </c>
      <c r="Q57" s="32">
        <f ca="1">Lekeitio_2_8b!I49</f>
        <v>37.5</v>
      </c>
      <c r="R57" s="32">
        <f ca="1">Lekeitio_2_9a!I49</f>
        <v>20.3125</v>
      </c>
      <c r="T57" s="32">
        <f ca="1">AVERAGE(B57:R57)</f>
        <v>34.466911764705884</v>
      </c>
      <c r="U57" s="32">
        <f ca="1">STDEV(B57:R57)</f>
        <v>14.578955925660551</v>
      </c>
      <c r="V57" s="32">
        <f ca="1">U57/SQRT(17)</f>
        <v>3.5359161878072323</v>
      </c>
      <c r="X57" s="281"/>
    </row>
    <row r="58" spans="1:24" x14ac:dyDescent="0.25">
      <c r="A58" s="276" t="s">
        <v>241</v>
      </c>
      <c r="B58" s="59">
        <f ca="1">Lekeitio_2_1a!I50</f>
        <v>0</v>
      </c>
      <c r="C58" s="59">
        <f ca="1">Lekeitio_2_1b!I50</f>
        <v>0</v>
      </c>
      <c r="D58" s="59">
        <f ca="1">Lekeitio_2_2a!I50</f>
        <v>0</v>
      </c>
      <c r="E58" s="59">
        <f ca="1">Lekeitio_2_2b!I50</f>
        <v>0</v>
      </c>
      <c r="F58" s="59">
        <f ca="1">Lekeitio_2_3a!I50</f>
        <v>0</v>
      </c>
      <c r="G58" s="59">
        <f ca="1">Lekeitio_2_3b!I50</f>
        <v>0</v>
      </c>
      <c r="H58" s="59">
        <f ca="1">Lekeitio_2_4a!I50</f>
        <v>0</v>
      </c>
      <c r="I58" s="59">
        <f ca="1">Lekeitio_2_4b!I50</f>
        <v>0</v>
      </c>
      <c r="J58" s="59">
        <f ca="1">Lekeitio_2_5a!I50</f>
        <v>0</v>
      </c>
      <c r="K58" s="59">
        <f ca="1">Lekeitio_2_5b!I50</f>
        <v>0</v>
      </c>
      <c r="L58" s="59">
        <f ca="1">Lekeitio_2_6a!I50</f>
        <v>0</v>
      </c>
      <c r="M58" s="59">
        <f ca="1">Lekeitio_2_6b!I50</f>
        <v>0</v>
      </c>
      <c r="N58" s="32">
        <f ca="1">Lekeitio_2_7a!I50</f>
        <v>0</v>
      </c>
      <c r="O58" s="32">
        <f ca="1">Lekeitio_2_7b!I50</f>
        <v>0</v>
      </c>
      <c r="P58" s="32">
        <f ca="1">Lekeitio_2_8a!I50</f>
        <v>6.25</v>
      </c>
      <c r="Q58" s="32">
        <f ca="1">Lekeitio_2_8b!I50</f>
        <v>0</v>
      </c>
      <c r="R58" s="32">
        <f ca="1">Lekeitio_2_9a!I50</f>
        <v>4.6875</v>
      </c>
      <c r="T58" s="32">
        <f ca="1">AVERAGE(B58:R58)</f>
        <v>0.64338235294117652</v>
      </c>
      <c r="U58" s="32">
        <f ca="1">STDEV(B58:R58)</f>
        <v>1.8370860378039233</v>
      </c>
      <c r="V58" s="32">
        <f ca="1">U58/SQRT(17)</f>
        <v>0.44555881042429496</v>
      </c>
      <c r="X58" s="281"/>
    </row>
    <row r="59" spans="1:24" x14ac:dyDescent="0.25">
      <c r="A59" s="276" t="s">
        <v>242</v>
      </c>
      <c r="B59" s="59">
        <f ca="1">Lekeitio_2_1a!I51</f>
        <v>0</v>
      </c>
      <c r="C59" s="59">
        <f ca="1">Lekeitio_2_1b!I51</f>
        <v>0</v>
      </c>
      <c r="D59" s="59">
        <f ca="1">Lekeitio_2_2a!I51</f>
        <v>0</v>
      </c>
      <c r="E59" s="59">
        <f ca="1">Lekeitio_2_2b!I51</f>
        <v>0</v>
      </c>
      <c r="F59" s="59">
        <f ca="1">Lekeitio_2_3a!I51</f>
        <v>0</v>
      </c>
      <c r="G59" s="59">
        <f ca="1">Lekeitio_2_3b!I51</f>
        <v>0</v>
      </c>
      <c r="H59" s="59">
        <f ca="1">Lekeitio_2_4a!I51</f>
        <v>0</v>
      </c>
      <c r="I59" s="59">
        <f ca="1">Lekeitio_2_4b!I51</f>
        <v>0</v>
      </c>
      <c r="J59" s="59">
        <f ca="1">Lekeitio_2_5a!I51</f>
        <v>0</v>
      </c>
      <c r="K59" s="59">
        <f ca="1">Lekeitio_2_5b!I51</f>
        <v>0</v>
      </c>
      <c r="L59" s="59">
        <f ca="1">Lekeitio_2_6a!I51</f>
        <v>0</v>
      </c>
      <c r="M59" s="59">
        <f ca="1">Lekeitio_2_6b!I51</f>
        <v>0</v>
      </c>
      <c r="N59" s="32">
        <f ca="1">Lekeitio_2_7a!I51</f>
        <v>0</v>
      </c>
      <c r="O59" s="32">
        <f ca="1">Lekeitio_2_7b!I51</f>
        <v>0</v>
      </c>
      <c r="P59" s="32">
        <f ca="1">Lekeitio_2_8a!I51</f>
        <v>0</v>
      </c>
      <c r="Q59" s="32">
        <f ca="1">Lekeitio_2_8b!I51</f>
        <v>0</v>
      </c>
      <c r="R59" s="32">
        <f ca="1">Lekeitio_2_9a!I51</f>
        <v>0</v>
      </c>
      <c r="T59" s="32">
        <f ca="1">AVERAGE(B59:R59)</f>
        <v>0</v>
      </c>
      <c r="U59" s="32">
        <f ca="1">STDEV(B59:R59)</f>
        <v>0</v>
      </c>
      <c r="V59" s="32">
        <f ca="1">U59/SQRT(17)</f>
        <v>0</v>
      </c>
      <c r="X59" s="281"/>
    </row>
    <row r="60" spans="1:24" x14ac:dyDescent="0.25">
      <c r="A60" s="276" t="s">
        <v>243</v>
      </c>
      <c r="B60" s="59">
        <f ca="1">Lekeitio_2_1a!I52</f>
        <v>0</v>
      </c>
      <c r="C60" s="59">
        <f ca="1">Lekeitio_2_1b!I52</f>
        <v>0</v>
      </c>
      <c r="D60" s="59">
        <f ca="1">Lekeitio_2_2a!I52</f>
        <v>0</v>
      </c>
      <c r="E60" s="59">
        <f ca="1">Lekeitio_2_2b!I52</f>
        <v>0</v>
      </c>
      <c r="F60" s="59">
        <f ca="1">Lekeitio_2_3a!I52</f>
        <v>0</v>
      </c>
      <c r="G60" s="59">
        <f ca="1">Lekeitio_2_3b!I52</f>
        <v>0</v>
      </c>
      <c r="H60" s="59">
        <f ca="1">Lekeitio_2_4a!I52</f>
        <v>0</v>
      </c>
      <c r="I60" s="59">
        <f ca="1">Lekeitio_2_4b!I52</f>
        <v>0</v>
      </c>
      <c r="J60" s="59">
        <f ca="1">Lekeitio_2_5a!I52</f>
        <v>0</v>
      </c>
      <c r="K60" s="59">
        <f ca="1">Lekeitio_2_5b!I52</f>
        <v>0</v>
      </c>
      <c r="L60" s="59">
        <f ca="1">Lekeitio_2_6a!I52</f>
        <v>0</v>
      </c>
      <c r="M60" s="59">
        <f ca="1">Lekeitio_2_6b!I52</f>
        <v>0</v>
      </c>
      <c r="N60" s="32">
        <f ca="1">Lekeitio_2_7a!I52</f>
        <v>0</v>
      </c>
      <c r="O60" s="32">
        <f ca="1">Lekeitio_2_7b!I52</f>
        <v>0</v>
      </c>
      <c r="P60" s="32">
        <f ca="1">Lekeitio_2_8a!I52</f>
        <v>0</v>
      </c>
      <c r="Q60" s="32">
        <f ca="1">Lekeitio_2_8b!I52</f>
        <v>0</v>
      </c>
      <c r="R60" s="32">
        <f ca="1">Lekeitio_2_9a!I52</f>
        <v>0</v>
      </c>
      <c r="T60" s="32">
        <f ca="1">AVERAGE(B60:R60)</f>
        <v>0</v>
      </c>
      <c r="U60" s="32">
        <f ca="1">STDEV(B60:R60)</f>
        <v>0</v>
      </c>
      <c r="V60" s="32">
        <f ca="1">U60/SQRT(17)</f>
        <v>0</v>
      </c>
      <c r="X60" s="281"/>
    </row>
    <row r="61" spans="1:24" x14ac:dyDescent="0.25">
      <c r="A61" s="277" t="s">
        <v>325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283"/>
    </row>
    <row r="62" spans="1:24" x14ac:dyDescent="0.25">
      <c r="A62" s="276" t="s">
        <v>244</v>
      </c>
      <c r="B62" s="59">
        <f ca="1">Lekeitio_2_1a!I54</f>
        <v>0</v>
      </c>
      <c r="C62" s="59">
        <f ca="1">Lekeitio_2_1b!I54</f>
        <v>0</v>
      </c>
      <c r="D62" s="59">
        <f ca="1">Lekeitio_2_2a!I54</f>
        <v>0</v>
      </c>
      <c r="E62" s="59">
        <f ca="1">Lekeitio_2_2b!I54</f>
        <v>0</v>
      </c>
      <c r="F62" s="59">
        <f ca="1">Lekeitio_2_3a!I54</f>
        <v>0</v>
      </c>
      <c r="G62" s="59">
        <f ca="1">Lekeitio_2_3b!I54</f>
        <v>0</v>
      </c>
      <c r="H62" s="59">
        <f ca="1">Lekeitio_2_4a!I54</f>
        <v>0</v>
      </c>
      <c r="I62" s="59">
        <f ca="1">Lekeitio_2_4b!I54</f>
        <v>0</v>
      </c>
      <c r="J62" s="59">
        <f ca="1">Lekeitio_2_5a!I54</f>
        <v>0</v>
      </c>
      <c r="K62" s="59">
        <f ca="1">Lekeitio_2_5b!I54</f>
        <v>0</v>
      </c>
      <c r="L62" s="59">
        <f ca="1">Lekeitio_2_6a!I54</f>
        <v>0</v>
      </c>
      <c r="M62" s="59">
        <f ca="1">Lekeitio_2_6b!I54</f>
        <v>0</v>
      </c>
      <c r="N62" s="32">
        <f ca="1">Lekeitio_2_7a!I54</f>
        <v>0</v>
      </c>
      <c r="O62" s="32">
        <f ca="1">Lekeitio_2_7b!I54</f>
        <v>0</v>
      </c>
      <c r="P62" s="32">
        <f ca="1">Lekeitio_2_8a!I54</f>
        <v>0</v>
      </c>
      <c r="Q62" s="32">
        <f ca="1">Lekeitio_2_8b!I54</f>
        <v>0</v>
      </c>
      <c r="R62" s="32">
        <f ca="1">Lekeitio_2_9a!I54</f>
        <v>0</v>
      </c>
      <c r="T62" s="32">
        <f ca="1">AVERAGE(B62:R62)</f>
        <v>0</v>
      </c>
      <c r="U62" s="32">
        <f ca="1">STDEV(B62:R62)</f>
        <v>0</v>
      </c>
      <c r="V62" s="32">
        <f ca="1">U62/SQRT(17)</f>
        <v>0</v>
      </c>
      <c r="X62" s="281"/>
    </row>
    <row r="63" spans="1:24" x14ac:dyDescent="0.25">
      <c r="A63" s="276" t="s">
        <v>245</v>
      </c>
      <c r="B63" s="59">
        <f ca="1">Lekeitio_2_1a!I55</f>
        <v>0</v>
      </c>
      <c r="C63" s="59">
        <f ca="1">Lekeitio_2_1b!I55</f>
        <v>0</v>
      </c>
      <c r="D63" s="59">
        <f ca="1">Lekeitio_2_2a!I55</f>
        <v>0</v>
      </c>
      <c r="E63" s="59">
        <f ca="1">Lekeitio_2_2b!I55</f>
        <v>0</v>
      </c>
      <c r="F63" s="59">
        <f ca="1">Lekeitio_2_3a!I55</f>
        <v>0</v>
      </c>
      <c r="G63" s="59">
        <f ca="1">Lekeitio_2_3b!I55</f>
        <v>0</v>
      </c>
      <c r="H63" s="59">
        <f ca="1">Lekeitio_2_4a!I55</f>
        <v>0</v>
      </c>
      <c r="I63" s="59">
        <f ca="1">Lekeitio_2_4b!I55</f>
        <v>0</v>
      </c>
      <c r="J63" s="59">
        <f ca="1">Lekeitio_2_5a!I55</f>
        <v>0</v>
      </c>
      <c r="K63" s="59">
        <f ca="1">Lekeitio_2_5b!I55</f>
        <v>0</v>
      </c>
      <c r="L63" s="59">
        <f ca="1">Lekeitio_2_6a!I55</f>
        <v>0</v>
      </c>
      <c r="M63" s="59">
        <f ca="1">Lekeitio_2_6b!I55</f>
        <v>0</v>
      </c>
      <c r="N63" s="32">
        <f ca="1">Lekeitio_2_7a!I55</f>
        <v>0</v>
      </c>
      <c r="O63" s="32">
        <f ca="1">Lekeitio_2_7b!I55</f>
        <v>0</v>
      </c>
      <c r="P63" s="32">
        <f ca="1">Lekeitio_2_8a!I55</f>
        <v>0</v>
      </c>
      <c r="Q63" s="32">
        <f ca="1">Lekeitio_2_8b!I55</f>
        <v>0</v>
      </c>
      <c r="R63" s="32">
        <f ca="1">Lekeitio_2_9a!I55</f>
        <v>0</v>
      </c>
      <c r="T63" s="32">
        <f ca="1">AVERAGE(B63:R63)</f>
        <v>0</v>
      </c>
      <c r="U63" s="32">
        <f ca="1">STDEV(B63:R63)</f>
        <v>0</v>
      </c>
      <c r="V63" s="32">
        <f ca="1">U63/SQRT(17)</f>
        <v>0</v>
      </c>
      <c r="X63" s="281"/>
    </row>
    <row r="64" spans="1:24" x14ac:dyDescent="0.25">
      <c r="A64" s="276" t="s">
        <v>246</v>
      </c>
      <c r="B64" s="59">
        <f ca="1">Lekeitio_2_1a!I56</f>
        <v>0</v>
      </c>
      <c r="C64" s="59">
        <f ca="1">Lekeitio_2_1b!I56</f>
        <v>0</v>
      </c>
      <c r="D64" s="59">
        <f ca="1">Lekeitio_2_2a!I56</f>
        <v>0</v>
      </c>
      <c r="E64" s="59">
        <f ca="1">Lekeitio_2_2b!I56</f>
        <v>1.5625</v>
      </c>
      <c r="F64" s="59">
        <f ca="1">Lekeitio_2_3a!I56</f>
        <v>1.5625</v>
      </c>
      <c r="G64" s="59">
        <f ca="1">Lekeitio_2_3b!I56</f>
        <v>0</v>
      </c>
      <c r="H64" s="59">
        <f ca="1">Lekeitio_2_4a!I56</f>
        <v>0</v>
      </c>
      <c r="I64" s="59">
        <f ca="1">Lekeitio_2_4b!I56</f>
        <v>1.5625</v>
      </c>
      <c r="J64" s="59">
        <f ca="1">Lekeitio_2_5a!I56</f>
        <v>0</v>
      </c>
      <c r="K64" s="59">
        <f ca="1">Lekeitio_2_5b!I56</f>
        <v>0</v>
      </c>
      <c r="L64" s="59">
        <f ca="1">Lekeitio_2_6a!I56</f>
        <v>0</v>
      </c>
      <c r="M64" s="59">
        <f ca="1">Lekeitio_2_6b!I56</f>
        <v>4.6875</v>
      </c>
      <c r="N64" s="32">
        <f ca="1">Lekeitio_2_7a!I56</f>
        <v>3.125</v>
      </c>
      <c r="O64" s="32">
        <f ca="1">Lekeitio_2_7b!I56</f>
        <v>1.5625</v>
      </c>
      <c r="P64" s="32">
        <f ca="1">Lekeitio_2_8a!I56</f>
        <v>1.5625</v>
      </c>
      <c r="Q64" s="32">
        <f ca="1">Lekeitio_2_8b!I56</f>
        <v>7.8125</v>
      </c>
      <c r="R64" s="32">
        <f ca="1">Lekeitio_2_9a!I56</f>
        <v>0</v>
      </c>
      <c r="T64" s="32">
        <f ca="1">AVERAGE(B64:R64)</f>
        <v>1.3786764705882353</v>
      </c>
      <c r="U64" s="32">
        <f ca="1">STDEV(B64:R64)</f>
        <v>2.1311343659332613</v>
      </c>
      <c r="V64" s="32">
        <f ca="1">U64/SQRT(17)</f>
        <v>0.5168760054780327</v>
      </c>
      <c r="X64" s="281"/>
    </row>
    <row r="65" spans="1:24" x14ac:dyDescent="0.25">
      <c r="A65" s="276" t="s">
        <v>247</v>
      </c>
      <c r="B65" s="59">
        <f ca="1">Lekeitio_2_1a!I57</f>
        <v>0</v>
      </c>
      <c r="C65" s="59">
        <f ca="1">Lekeitio_2_1b!I57</f>
        <v>1.5625</v>
      </c>
      <c r="D65" s="59">
        <f ca="1">Lekeitio_2_2a!I57</f>
        <v>7.8125</v>
      </c>
      <c r="E65" s="59">
        <f ca="1">Lekeitio_2_2b!I57</f>
        <v>4.6875</v>
      </c>
      <c r="F65" s="59">
        <f ca="1">Lekeitio_2_3a!I57</f>
        <v>1.5625</v>
      </c>
      <c r="G65" s="59">
        <f ca="1">Lekeitio_2_3b!I57</f>
        <v>0</v>
      </c>
      <c r="H65" s="59">
        <f ca="1">Lekeitio_2_4a!I57</f>
        <v>1.5625</v>
      </c>
      <c r="I65" s="59">
        <f ca="1">Lekeitio_2_4b!I57</f>
        <v>0</v>
      </c>
      <c r="J65" s="59">
        <f ca="1">Lekeitio_2_5a!I57</f>
        <v>0</v>
      </c>
      <c r="K65" s="59">
        <f ca="1">Lekeitio_2_5b!I57</f>
        <v>0</v>
      </c>
      <c r="L65" s="59">
        <f ca="1">Lekeitio_2_6a!I57</f>
        <v>3.125</v>
      </c>
      <c r="M65" s="59">
        <f ca="1">Lekeitio_2_6b!I57</f>
        <v>1.5625</v>
      </c>
      <c r="N65" s="32">
        <f ca="1">Lekeitio_2_7a!I57</f>
        <v>0</v>
      </c>
      <c r="O65" s="32">
        <f ca="1">Lekeitio_2_7b!I57</f>
        <v>9.375</v>
      </c>
      <c r="P65" s="32">
        <f ca="1">Lekeitio_2_8a!I57</f>
        <v>9.375</v>
      </c>
      <c r="Q65" s="32">
        <f ca="1">Lekeitio_2_8b!I57</f>
        <v>3.125</v>
      </c>
      <c r="R65" s="32">
        <f ca="1">Lekeitio_2_9a!I57</f>
        <v>0</v>
      </c>
      <c r="T65" s="32">
        <f ca="1">AVERAGE(B65:R65)</f>
        <v>2.5735294117647061</v>
      </c>
      <c r="U65" s="32">
        <f ca="1">STDEV(B65:R65)</f>
        <v>3.3118539533705107</v>
      </c>
      <c r="V65" s="32">
        <f ca="1">U65/SQRT(17)</f>
        <v>0.80324256860976717</v>
      </c>
      <c r="X65" s="281"/>
    </row>
    <row r="66" spans="1:24" x14ac:dyDescent="0.25">
      <c r="A66" s="277" t="s">
        <v>326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283"/>
    </row>
    <row r="67" spans="1:24" x14ac:dyDescent="0.25">
      <c r="A67" s="276" t="s">
        <v>248</v>
      </c>
      <c r="B67" s="59">
        <f ca="1">Lekeitio_2_1a!I59</f>
        <v>0</v>
      </c>
      <c r="C67" s="59">
        <f ca="1">Lekeitio_2_1b!I59</f>
        <v>0</v>
      </c>
      <c r="D67" s="59">
        <f ca="1">Lekeitio_2_2a!I59</f>
        <v>0</v>
      </c>
      <c r="E67" s="59">
        <f ca="1">Lekeitio_2_2b!I59</f>
        <v>0</v>
      </c>
      <c r="F67" s="59">
        <f ca="1">Lekeitio_2_3a!I59</f>
        <v>0</v>
      </c>
      <c r="G67" s="59">
        <f ca="1">Lekeitio_2_3b!I59</f>
        <v>0</v>
      </c>
      <c r="H67" s="59">
        <f ca="1">Lekeitio_2_4a!I59</f>
        <v>0</v>
      </c>
      <c r="I67" s="59">
        <f ca="1">Lekeitio_2_4b!I59</f>
        <v>0</v>
      </c>
      <c r="J67" s="59">
        <f ca="1">Lekeitio_2_5a!I59</f>
        <v>0</v>
      </c>
      <c r="K67" s="59">
        <f ca="1">Lekeitio_2_5b!I59</f>
        <v>0</v>
      </c>
      <c r="L67" s="59">
        <f ca="1">Lekeitio_2_6a!I59</f>
        <v>0</v>
      </c>
      <c r="M67" s="59">
        <f ca="1">Lekeitio_2_6b!I59</f>
        <v>0</v>
      </c>
      <c r="N67" s="32">
        <f ca="1">Lekeitio_2_7a!I59</f>
        <v>0</v>
      </c>
      <c r="O67" s="32">
        <f ca="1">Lekeitio_2_7b!I59</f>
        <v>0</v>
      </c>
      <c r="P67" s="32">
        <f ca="1">Lekeitio_2_8a!I59</f>
        <v>0</v>
      </c>
      <c r="Q67" s="32">
        <f ca="1">Lekeitio_2_8b!I59</f>
        <v>0</v>
      </c>
      <c r="R67" s="32">
        <f ca="1">Lekeitio_2_9a!I59</f>
        <v>0</v>
      </c>
      <c r="T67" s="32">
        <f ca="1">AVERAGE(B67:R67)</f>
        <v>0</v>
      </c>
      <c r="U67" s="32">
        <f ca="1">STDEV(B67:R67)</f>
        <v>0</v>
      </c>
      <c r="V67" s="32">
        <f ca="1">U67/SQRT(17)</f>
        <v>0</v>
      </c>
      <c r="X67" s="281"/>
    </row>
    <row r="68" spans="1:24" x14ac:dyDescent="0.25">
      <c r="A68" s="276" t="s">
        <v>249</v>
      </c>
      <c r="B68" s="59">
        <f ca="1">Lekeitio_2_1a!I60</f>
        <v>0</v>
      </c>
      <c r="C68" s="59">
        <f ca="1">Lekeitio_2_1b!I60</f>
        <v>0</v>
      </c>
      <c r="D68" s="59">
        <f ca="1">Lekeitio_2_2a!I60</f>
        <v>0</v>
      </c>
      <c r="E68" s="59">
        <f ca="1">Lekeitio_2_2b!I60</f>
        <v>0</v>
      </c>
      <c r="F68" s="59">
        <f ca="1">Lekeitio_2_3a!I60</f>
        <v>0</v>
      </c>
      <c r="G68" s="59">
        <f ca="1">Lekeitio_2_3b!I60</f>
        <v>0</v>
      </c>
      <c r="H68" s="59">
        <f ca="1">Lekeitio_2_4a!I60</f>
        <v>0</v>
      </c>
      <c r="I68" s="59">
        <f ca="1">Lekeitio_2_4b!I60</f>
        <v>0</v>
      </c>
      <c r="J68" s="59">
        <f ca="1">Lekeitio_2_5a!I60</f>
        <v>0</v>
      </c>
      <c r="K68" s="59">
        <f ca="1">Lekeitio_2_5b!I60</f>
        <v>0</v>
      </c>
      <c r="L68" s="59">
        <f ca="1">Lekeitio_2_6a!I60</f>
        <v>0</v>
      </c>
      <c r="M68" s="59">
        <f ca="1">Lekeitio_2_6b!I60</f>
        <v>0</v>
      </c>
      <c r="N68" s="32">
        <f ca="1">Lekeitio_2_7a!I60</f>
        <v>0</v>
      </c>
      <c r="O68" s="32">
        <f ca="1">Lekeitio_2_7b!I60</f>
        <v>0</v>
      </c>
      <c r="P68" s="32">
        <f ca="1">Lekeitio_2_8a!I60</f>
        <v>0</v>
      </c>
      <c r="Q68" s="32">
        <f ca="1">Lekeitio_2_8b!I60</f>
        <v>0</v>
      </c>
      <c r="R68" s="32">
        <f ca="1">Lekeitio_2_9a!I60</f>
        <v>0</v>
      </c>
      <c r="T68" s="32">
        <f ca="1">AVERAGE(B68:R68)</f>
        <v>0</v>
      </c>
      <c r="U68" s="32">
        <f ca="1">STDEV(B68:R68)</f>
        <v>0</v>
      </c>
      <c r="V68" s="32">
        <f ca="1">U68/SQRT(17)</f>
        <v>0</v>
      </c>
      <c r="X68" s="281"/>
    </row>
    <row r="69" spans="1:24" x14ac:dyDescent="0.25">
      <c r="A69" s="276" t="s">
        <v>250</v>
      </c>
      <c r="B69" s="59">
        <f ca="1">Lekeitio_2_1a!I61</f>
        <v>0</v>
      </c>
      <c r="C69" s="59">
        <f ca="1">Lekeitio_2_1b!I61</f>
        <v>0</v>
      </c>
      <c r="D69" s="59">
        <f ca="1">Lekeitio_2_2a!I61</f>
        <v>0</v>
      </c>
      <c r="E69" s="59">
        <f ca="1">Lekeitio_2_2b!I61</f>
        <v>0</v>
      </c>
      <c r="F69" s="59">
        <f ca="1">Lekeitio_2_3a!I61</f>
        <v>0</v>
      </c>
      <c r="G69" s="59">
        <f ca="1">Lekeitio_2_3b!I61</f>
        <v>1.5625</v>
      </c>
      <c r="H69" s="59">
        <f ca="1">Lekeitio_2_4a!I61</f>
        <v>0</v>
      </c>
      <c r="I69" s="59">
        <f ca="1">Lekeitio_2_4b!I61</f>
        <v>1.5625</v>
      </c>
      <c r="J69" s="59">
        <f ca="1">Lekeitio_2_5a!I61</f>
        <v>0</v>
      </c>
      <c r="K69" s="59">
        <f ca="1">Lekeitio_2_5b!I61</f>
        <v>0</v>
      </c>
      <c r="L69" s="59">
        <f ca="1">Lekeitio_2_6a!I61</f>
        <v>0</v>
      </c>
      <c r="M69" s="59">
        <f ca="1">Lekeitio_2_6b!I61</f>
        <v>0</v>
      </c>
      <c r="N69" s="32">
        <f ca="1">Lekeitio_2_7a!I61</f>
        <v>0</v>
      </c>
      <c r="O69" s="32">
        <f ca="1">Lekeitio_2_7b!I61</f>
        <v>1.5625</v>
      </c>
      <c r="P69" s="32">
        <f ca="1">Lekeitio_2_8a!I61</f>
        <v>0</v>
      </c>
      <c r="Q69" s="32">
        <f ca="1">Lekeitio_2_8b!I61</f>
        <v>0</v>
      </c>
      <c r="R69" s="32">
        <f ca="1">Lekeitio_2_9a!I61</f>
        <v>0</v>
      </c>
      <c r="T69" s="32">
        <f ca="1">AVERAGE(B69:R69)</f>
        <v>0.27573529411764708</v>
      </c>
      <c r="U69" s="32">
        <f ca="1">STDEV(B69:R69)</f>
        <v>0.61398847499482478</v>
      </c>
      <c r="V69" s="32">
        <f ca="1">U69/SQRT(17)</f>
        <v>0.14891407854797473</v>
      </c>
      <c r="X69" s="281"/>
    </row>
    <row r="70" spans="1:24" x14ac:dyDescent="0.25">
      <c r="A70" s="276" t="s">
        <v>251</v>
      </c>
      <c r="B70" s="59">
        <f ca="1">Lekeitio_2_1a!I62</f>
        <v>0</v>
      </c>
      <c r="C70" s="59">
        <f ca="1">Lekeitio_2_1b!I62</f>
        <v>0</v>
      </c>
      <c r="D70" s="59">
        <f ca="1">Lekeitio_2_2a!I62</f>
        <v>0</v>
      </c>
      <c r="E70" s="59">
        <f ca="1">Lekeitio_2_2b!I62</f>
        <v>0</v>
      </c>
      <c r="F70" s="59">
        <f ca="1">Lekeitio_2_3a!I62</f>
        <v>0</v>
      </c>
      <c r="G70" s="59">
        <f ca="1">Lekeitio_2_3b!I62</f>
        <v>0</v>
      </c>
      <c r="H70" s="59">
        <f ca="1">Lekeitio_2_4a!I62</f>
        <v>0</v>
      </c>
      <c r="I70" s="59">
        <f ca="1">Lekeitio_2_4b!I62</f>
        <v>0</v>
      </c>
      <c r="J70" s="59">
        <f ca="1">Lekeitio_2_5a!I62</f>
        <v>0</v>
      </c>
      <c r="K70" s="59">
        <f ca="1">Lekeitio_2_5b!I62</f>
        <v>0</v>
      </c>
      <c r="L70" s="59">
        <f ca="1">Lekeitio_2_6a!I62</f>
        <v>0</v>
      </c>
      <c r="M70" s="59">
        <f ca="1">Lekeitio_2_6b!I62</f>
        <v>0</v>
      </c>
      <c r="N70" s="32">
        <f ca="1">Lekeitio_2_7a!I62</f>
        <v>0</v>
      </c>
      <c r="O70" s="32">
        <f ca="1">Lekeitio_2_7b!I62</f>
        <v>0</v>
      </c>
      <c r="P70" s="32">
        <f ca="1">Lekeitio_2_8a!I62</f>
        <v>0</v>
      </c>
      <c r="Q70" s="32">
        <f ca="1">Lekeitio_2_8b!I62</f>
        <v>0</v>
      </c>
      <c r="R70" s="32">
        <f ca="1">Lekeitio_2_9a!I62</f>
        <v>0</v>
      </c>
      <c r="T70" s="32">
        <f ca="1">AVERAGE(B70:R70)</f>
        <v>0</v>
      </c>
      <c r="U70" s="32">
        <f ca="1">STDEV(B70:R70)</f>
        <v>0</v>
      </c>
      <c r="V70" s="32">
        <f ca="1">U70/SQRT(17)</f>
        <v>0</v>
      </c>
      <c r="X70" s="281"/>
    </row>
    <row r="71" spans="1:24" x14ac:dyDescent="0.25">
      <c r="A71" s="276" t="s">
        <v>252</v>
      </c>
      <c r="B71" s="59">
        <f ca="1">Lekeitio_2_1a!I63</f>
        <v>0</v>
      </c>
      <c r="C71" s="59">
        <f ca="1">Lekeitio_2_1b!I63</f>
        <v>0</v>
      </c>
      <c r="D71" s="59">
        <f ca="1">Lekeitio_2_2a!I63</f>
        <v>1.5625</v>
      </c>
      <c r="E71" s="59">
        <f ca="1">Lekeitio_2_2b!I63</f>
        <v>0</v>
      </c>
      <c r="F71" s="59">
        <f ca="1">Lekeitio_2_3a!I63</f>
        <v>0</v>
      </c>
      <c r="G71" s="59">
        <f ca="1">Lekeitio_2_3b!I63</f>
        <v>0</v>
      </c>
      <c r="H71" s="59">
        <f ca="1">Lekeitio_2_4a!I63</f>
        <v>0</v>
      </c>
      <c r="I71" s="59">
        <f ca="1">Lekeitio_2_4b!I63</f>
        <v>0</v>
      </c>
      <c r="J71" s="59">
        <f ca="1">Lekeitio_2_5a!I63</f>
        <v>0</v>
      </c>
      <c r="K71" s="59">
        <f ca="1">Lekeitio_2_5b!I63</f>
        <v>0</v>
      </c>
      <c r="L71" s="59">
        <f ca="1">Lekeitio_2_6a!I63</f>
        <v>0</v>
      </c>
      <c r="M71" s="59">
        <f ca="1">Lekeitio_2_6b!I63</f>
        <v>0</v>
      </c>
      <c r="N71" s="32">
        <f ca="1">Lekeitio_2_7a!I63</f>
        <v>0</v>
      </c>
      <c r="O71" s="32">
        <f ca="1">Lekeitio_2_7b!I63</f>
        <v>0</v>
      </c>
      <c r="P71" s="32">
        <f ca="1">Lekeitio_2_8a!I63</f>
        <v>0</v>
      </c>
      <c r="Q71" s="32">
        <f ca="1">Lekeitio_2_8b!I63</f>
        <v>0</v>
      </c>
      <c r="R71" s="32">
        <f ca="1">Lekeitio_2_9a!I63</f>
        <v>0</v>
      </c>
      <c r="T71" s="32">
        <f ca="1">AVERAGE(B71:R71)</f>
        <v>9.1911764705882359E-2</v>
      </c>
      <c r="U71" s="32">
        <f ca="1">STDEV(B71:R71)</f>
        <v>0.37896191411927027</v>
      </c>
      <c r="V71" s="32">
        <f ca="1">U71/SQRT(17)</f>
        <v>9.1911764705882346E-2</v>
      </c>
      <c r="X71" s="281"/>
    </row>
    <row r="72" spans="1:24" x14ac:dyDescent="0.25">
      <c r="A72" s="277" t="s">
        <v>327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283"/>
    </row>
    <row r="73" spans="1:24" x14ac:dyDescent="0.25">
      <c r="A73" s="276" t="s">
        <v>253</v>
      </c>
      <c r="B73" s="59">
        <f ca="1">Lekeitio_2_1a!I65</f>
        <v>0</v>
      </c>
      <c r="C73" s="59">
        <f ca="1">Lekeitio_2_1b!I65</f>
        <v>0</v>
      </c>
      <c r="D73" s="59">
        <f ca="1">Lekeitio_2_2a!I65</f>
        <v>0</v>
      </c>
      <c r="E73" s="59">
        <f ca="1">Lekeitio_2_2b!I65</f>
        <v>0</v>
      </c>
      <c r="F73" s="59">
        <f ca="1">Lekeitio_2_3a!I65</f>
        <v>0</v>
      </c>
      <c r="G73" s="59">
        <f ca="1">Lekeitio_2_3b!I65</f>
        <v>0</v>
      </c>
      <c r="H73" s="59">
        <f ca="1">Lekeitio_2_4a!I65</f>
        <v>0</v>
      </c>
      <c r="I73" s="59">
        <f ca="1">Lekeitio_2_4b!I65</f>
        <v>0</v>
      </c>
      <c r="J73" s="59">
        <f ca="1">Lekeitio_2_5a!I65</f>
        <v>0</v>
      </c>
      <c r="K73" s="59">
        <f ca="1">Lekeitio_2_5b!I65</f>
        <v>0</v>
      </c>
      <c r="L73" s="59">
        <f ca="1">Lekeitio_2_6a!I65</f>
        <v>0</v>
      </c>
      <c r="M73" s="59">
        <f ca="1">Lekeitio_2_6b!I65</f>
        <v>0</v>
      </c>
      <c r="N73" s="32">
        <f ca="1">Lekeitio_2_7a!I65</f>
        <v>0</v>
      </c>
      <c r="O73" s="32">
        <f ca="1">Lekeitio_2_7b!I65</f>
        <v>0</v>
      </c>
      <c r="P73" s="32">
        <f ca="1">Lekeitio_2_8a!I65</f>
        <v>0</v>
      </c>
      <c r="Q73" s="32">
        <f ca="1">Lekeitio_2_8b!I65</f>
        <v>0</v>
      </c>
      <c r="R73" s="32">
        <f ca="1">Lekeitio_2_9a!I65</f>
        <v>0</v>
      </c>
      <c r="T73" s="32">
        <f ca="1">AVERAGE(B73:R73)</f>
        <v>0</v>
      </c>
      <c r="U73" s="32">
        <f ca="1">STDEV(B73:R73)</f>
        <v>0</v>
      </c>
      <c r="V73" s="32">
        <f ca="1">U73/SQRT(17)</f>
        <v>0</v>
      </c>
      <c r="X73" s="281"/>
    </row>
    <row r="74" spans="1:24" x14ac:dyDescent="0.25">
      <c r="A74" s="276" t="s">
        <v>254</v>
      </c>
      <c r="B74" s="59">
        <f ca="1">Lekeitio_2_1a!I66</f>
        <v>0</v>
      </c>
      <c r="C74" s="59">
        <f ca="1">Lekeitio_2_1b!I66</f>
        <v>0</v>
      </c>
      <c r="D74" s="59">
        <f ca="1">Lekeitio_2_2a!I66</f>
        <v>0</v>
      </c>
      <c r="E74" s="59">
        <f ca="1">Lekeitio_2_2b!I66</f>
        <v>0</v>
      </c>
      <c r="F74" s="59">
        <f ca="1">Lekeitio_2_3a!I66</f>
        <v>0</v>
      </c>
      <c r="G74" s="59">
        <f ca="1">Lekeitio_2_3b!I66</f>
        <v>0</v>
      </c>
      <c r="H74" s="59">
        <f ca="1">Lekeitio_2_4a!I66</f>
        <v>0</v>
      </c>
      <c r="I74" s="59">
        <f ca="1">Lekeitio_2_4b!I66</f>
        <v>0</v>
      </c>
      <c r="J74" s="59">
        <f ca="1">Lekeitio_2_5a!I66</f>
        <v>0</v>
      </c>
      <c r="K74" s="59">
        <f ca="1">Lekeitio_2_5b!I66</f>
        <v>0</v>
      </c>
      <c r="L74" s="59">
        <f ca="1">Lekeitio_2_6a!I66</f>
        <v>0</v>
      </c>
      <c r="M74" s="59">
        <f ca="1">Lekeitio_2_6b!I66</f>
        <v>0</v>
      </c>
      <c r="N74" s="32">
        <f ca="1">Lekeitio_2_7a!I66</f>
        <v>0</v>
      </c>
      <c r="O74" s="32">
        <f ca="1">Lekeitio_2_7b!I66</f>
        <v>0</v>
      </c>
      <c r="P74" s="32">
        <f ca="1">Lekeitio_2_8a!I66</f>
        <v>0</v>
      </c>
      <c r="Q74" s="32">
        <f ca="1">Lekeitio_2_8b!I66</f>
        <v>0</v>
      </c>
      <c r="R74" s="32">
        <f ca="1">Lekeitio_2_9a!I66</f>
        <v>0</v>
      </c>
      <c r="T74" s="32">
        <f ca="1">AVERAGE(B74:R74)</f>
        <v>0</v>
      </c>
      <c r="U74" s="32">
        <f ca="1">STDEV(B74:R74)</f>
        <v>0</v>
      </c>
      <c r="V74" s="32">
        <f ca="1">U74/SQRT(17)</f>
        <v>0</v>
      </c>
      <c r="X74" s="281"/>
    </row>
    <row r="75" spans="1:24" x14ac:dyDescent="0.25">
      <c r="A75" s="277" t="s">
        <v>328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283"/>
    </row>
    <row r="76" spans="1:24" x14ac:dyDescent="0.25">
      <c r="A76" s="276" t="s">
        <v>255</v>
      </c>
      <c r="B76" s="59">
        <f ca="1">Lekeitio_2_1a!I68</f>
        <v>0</v>
      </c>
      <c r="C76" s="59">
        <f ca="1">Lekeitio_2_1b!I68</f>
        <v>0</v>
      </c>
      <c r="D76" s="59">
        <f ca="1">Lekeitio_2_2a!I68</f>
        <v>0</v>
      </c>
      <c r="E76" s="59">
        <f ca="1">Lekeitio_2_2b!I68</f>
        <v>0</v>
      </c>
      <c r="F76" s="59">
        <f ca="1">Lekeitio_2_3a!I68</f>
        <v>0</v>
      </c>
      <c r="G76" s="59">
        <f ca="1">Lekeitio_2_3b!I68</f>
        <v>0</v>
      </c>
      <c r="H76" s="59">
        <f ca="1">Lekeitio_2_4a!I68</f>
        <v>0</v>
      </c>
      <c r="I76" s="59">
        <f ca="1">Lekeitio_2_4b!I68</f>
        <v>0</v>
      </c>
      <c r="J76" s="59">
        <f ca="1">Lekeitio_2_5a!I68</f>
        <v>0</v>
      </c>
      <c r="K76" s="59">
        <f ca="1">Lekeitio_2_5b!I68</f>
        <v>0</v>
      </c>
      <c r="L76" s="59">
        <f ca="1">Lekeitio_2_6a!I68</f>
        <v>0</v>
      </c>
      <c r="M76" s="59">
        <f ca="1">Lekeitio_2_6b!I68</f>
        <v>0</v>
      </c>
      <c r="N76" s="32">
        <f ca="1">Lekeitio_2_7a!I68</f>
        <v>0</v>
      </c>
      <c r="O76" s="32">
        <f ca="1">Lekeitio_2_7b!I68</f>
        <v>0</v>
      </c>
      <c r="P76" s="32">
        <f ca="1">Lekeitio_2_8a!I68</f>
        <v>0</v>
      </c>
      <c r="Q76" s="32">
        <f ca="1">Lekeitio_2_8b!I68</f>
        <v>0</v>
      </c>
      <c r="R76" s="32">
        <f ca="1">Lekeitio_2_9a!I68</f>
        <v>0</v>
      </c>
      <c r="T76" s="32">
        <f ca="1">AVERAGE(B76:R76)</f>
        <v>0</v>
      </c>
      <c r="U76" s="32">
        <f ca="1">STDEV(B76:R76)</f>
        <v>0</v>
      </c>
      <c r="V76" s="32">
        <f ca="1">U76/SQRT(17)</f>
        <v>0</v>
      </c>
      <c r="X76" s="281"/>
    </row>
    <row r="77" spans="1:24" x14ac:dyDescent="0.25">
      <c r="A77" s="276" t="s">
        <v>256</v>
      </c>
      <c r="B77" s="59">
        <f ca="1">Lekeitio_2_1a!I69</f>
        <v>0</v>
      </c>
      <c r="C77" s="59">
        <f ca="1">Lekeitio_2_1b!I69</f>
        <v>0</v>
      </c>
      <c r="D77" s="59">
        <f ca="1">Lekeitio_2_2a!I69</f>
        <v>0</v>
      </c>
      <c r="E77" s="59">
        <f ca="1">Lekeitio_2_2b!I69</f>
        <v>0</v>
      </c>
      <c r="F77" s="59">
        <f ca="1">Lekeitio_2_3a!I69</f>
        <v>0</v>
      </c>
      <c r="G77" s="59">
        <f ca="1">Lekeitio_2_3b!I69</f>
        <v>0</v>
      </c>
      <c r="H77" s="59">
        <f ca="1">Lekeitio_2_4a!I69</f>
        <v>0</v>
      </c>
      <c r="I77" s="59">
        <f ca="1">Lekeitio_2_4b!I69</f>
        <v>0</v>
      </c>
      <c r="J77" s="59">
        <f ca="1">Lekeitio_2_5a!I69</f>
        <v>0</v>
      </c>
      <c r="K77" s="59">
        <f ca="1">Lekeitio_2_5b!I69</f>
        <v>0</v>
      </c>
      <c r="L77" s="59">
        <f ca="1">Lekeitio_2_6a!I69</f>
        <v>0</v>
      </c>
      <c r="M77" s="59">
        <f ca="1">Lekeitio_2_6b!I69</f>
        <v>0</v>
      </c>
      <c r="N77" s="32">
        <f ca="1">Lekeitio_2_7a!I69</f>
        <v>0</v>
      </c>
      <c r="O77" s="32">
        <f ca="1">Lekeitio_2_7b!I69</f>
        <v>0</v>
      </c>
      <c r="P77" s="32">
        <f ca="1">Lekeitio_2_8a!I69</f>
        <v>0</v>
      </c>
      <c r="Q77" s="32">
        <f ca="1">Lekeitio_2_8b!I69</f>
        <v>0</v>
      </c>
      <c r="R77" s="32">
        <f ca="1">Lekeitio_2_9a!I69</f>
        <v>0</v>
      </c>
      <c r="T77" s="32">
        <f ca="1">AVERAGE(B77:R77)</f>
        <v>0</v>
      </c>
      <c r="U77" s="32">
        <f ca="1">STDEV(B77:R77)</f>
        <v>0</v>
      </c>
      <c r="V77" s="32">
        <f ca="1">U77/SQRT(17)</f>
        <v>0</v>
      </c>
      <c r="X77" s="281"/>
    </row>
    <row r="78" spans="1:24" x14ac:dyDescent="0.25">
      <c r="A78" s="276" t="s">
        <v>257</v>
      </c>
      <c r="B78" s="59">
        <f ca="1">Lekeitio_2_1a!I70</f>
        <v>0</v>
      </c>
      <c r="C78" s="59">
        <f ca="1">Lekeitio_2_1b!I70</f>
        <v>0</v>
      </c>
      <c r="D78" s="59">
        <f ca="1">Lekeitio_2_2a!I70</f>
        <v>0</v>
      </c>
      <c r="E78" s="59">
        <f ca="1">Lekeitio_2_2b!I70</f>
        <v>0</v>
      </c>
      <c r="F78" s="59">
        <f ca="1">Lekeitio_2_3a!I70</f>
        <v>0</v>
      </c>
      <c r="G78" s="59">
        <f ca="1">Lekeitio_2_3b!I70</f>
        <v>0</v>
      </c>
      <c r="H78" s="59">
        <f ca="1">Lekeitio_2_4a!I70</f>
        <v>0</v>
      </c>
      <c r="I78" s="59">
        <f ca="1">Lekeitio_2_4b!I70</f>
        <v>0</v>
      </c>
      <c r="J78" s="59">
        <f ca="1">Lekeitio_2_5a!I70</f>
        <v>0</v>
      </c>
      <c r="K78" s="59">
        <f ca="1">Lekeitio_2_5b!I70</f>
        <v>0</v>
      </c>
      <c r="L78" s="59">
        <f ca="1">Lekeitio_2_6a!I70</f>
        <v>0</v>
      </c>
      <c r="M78" s="59">
        <f ca="1">Lekeitio_2_6b!I70</f>
        <v>0</v>
      </c>
      <c r="N78" s="32">
        <f ca="1">Lekeitio_2_7a!I70</f>
        <v>0</v>
      </c>
      <c r="O78" s="32">
        <f ca="1">Lekeitio_2_7b!I70</f>
        <v>0</v>
      </c>
      <c r="P78" s="32">
        <f ca="1">Lekeitio_2_8a!I70</f>
        <v>0</v>
      </c>
      <c r="Q78" s="32">
        <f ca="1">Lekeitio_2_8b!I70</f>
        <v>0</v>
      </c>
      <c r="R78" s="32">
        <f ca="1">Lekeitio_2_9a!I70</f>
        <v>0</v>
      </c>
      <c r="T78" s="32">
        <f ca="1">AVERAGE(B78:R78)</f>
        <v>0</v>
      </c>
      <c r="U78" s="32">
        <f ca="1">STDEV(B78:R78)</f>
        <v>0</v>
      </c>
      <c r="V78" s="32">
        <f ca="1">U78/SQRT(17)</f>
        <v>0</v>
      </c>
      <c r="X78" s="281"/>
    </row>
    <row r="79" spans="1:24" x14ac:dyDescent="0.25">
      <c r="A79" s="276" t="s">
        <v>258</v>
      </c>
      <c r="B79" s="59">
        <f ca="1">Lekeitio_2_1a!I71</f>
        <v>0</v>
      </c>
      <c r="C79" s="59">
        <f ca="1">Lekeitio_2_1b!I71</f>
        <v>0</v>
      </c>
      <c r="D79" s="59">
        <f ca="1">Lekeitio_2_2a!I71</f>
        <v>0</v>
      </c>
      <c r="E79" s="59">
        <f ca="1">Lekeitio_2_2b!I71</f>
        <v>0</v>
      </c>
      <c r="F79" s="59">
        <f ca="1">Lekeitio_2_3a!I71</f>
        <v>0</v>
      </c>
      <c r="G79" s="59">
        <f ca="1">Lekeitio_2_3b!I71</f>
        <v>0</v>
      </c>
      <c r="H79" s="59">
        <f ca="1">Lekeitio_2_4a!I71</f>
        <v>0</v>
      </c>
      <c r="I79" s="59">
        <f ca="1">Lekeitio_2_4b!I71</f>
        <v>0</v>
      </c>
      <c r="J79" s="59">
        <f ca="1">Lekeitio_2_5a!I71</f>
        <v>0</v>
      </c>
      <c r="K79" s="59">
        <f ca="1">Lekeitio_2_5b!I71</f>
        <v>0</v>
      </c>
      <c r="L79" s="59">
        <f ca="1">Lekeitio_2_6a!I71</f>
        <v>0</v>
      </c>
      <c r="M79" s="59">
        <f ca="1">Lekeitio_2_6b!I71</f>
        <v>0</v>
      </c>
      <c r="N79" s="32">
        <f ca="1">Lekeitio_2_7a!I71</f>
        <v>0</v>
      </c>
      <c r="O79" s="32">
        <f ca="1">Lekeitio_2_7b!I71</f>
        <v>0</v>
      </c>
      <c r="P79" s="32">
        <f ca="1">Lekeitio_2_8a!I71</f>
        <v>0</v>
      </c>
      <c r="Q79" s="32">
        <f ca="1">Lekeitio_2_8b!I71</f>
        <v>0</v>
      </c>
      <c r="R79" s="32">
        <f ca="1">Lekeitio_2_9a!I71</f>
        <v>0</v>
      </c>
      <c r="T79" s="32">
        <f ca="1">AVERAGE(B79:R79)</f>
        <v>0</v>
      </c>
      <c r="U79" s="32">
        <f ca="1">STDEV(B79:R79)</f>
        <v>0</v>
      </c>
      <c r="V79" s="32">
        <f ca="1">U79/SQRT(17)</f>
        <v>0</v>
      </c>
      <c r="X79" s="281"/>
    </row>
    <row r="80" spans="1:24" x14ac:dyDescent="0.25">
      <c r="A80" s="276" t="s">
        <v>259</v>
      </c>
      <c r="B80" s="59">
        <f ca="1">Lekeitio_2_1a!I72</f>
        <v>0</v>
      </c>
      <c r="C80" s="59">
        <f ca="1">Lekeitio_2_1b!I72</f>
        <v>9.375</v>
      </c>
      <c r="D80" s="59">
        <f ca="1">Lekeitio_2_2a!I72</f>
        <v>17.1875</v>
      </c>
      <c r="E80" s="59">
        <f ca="1">Lekeitio_2_2b!I72</f>
        <v>32.8125</v>
      </c>
      <c r="F80" s="59">
        <f ca="1">Lekeitio_2_3a!I72</f>
        <v>7.8125</v>
      </c>
      <c r="G80" s="59">
        <f ca="1">Lekeitio_2_3b!I72</f>
        <v>7.8125</v>
      </c>
      <c r="H80" s="59">
        <f ca="1">Lekeitio_2_4a!I72</f>
        <v>14.0625</v>
      </c>
      <c r="I80" s="59">
        <f ca="1">Lekeitio_2_4b!I72</f>
        <v>10.9375</v>
      </c>
      <c r="J80" s="59">
        <f ca="1">Lekeitio_2_5a!I72</f>
        <v>0</v>
      </c>
      <c r="K80" s="59">
        <f ca="1">Lekeitio_2_5b!I72</f>
        <v>12.5</v>
      </c>
      <c r="L80" s="59">
        <f ca="1">Lekeitio_2_6a!I72</f>
        <v>7.8125</v>
      </c>
      <c r="M80" s="59">
        <f ca="1">Lekeitio_2_6b!I72</f>
        <v>14.0625</v>
      </c>
      <c r="N80" s="32">
        <f ca="1">Lekeitio_2_7a!I72</f>
        <v>1.5625</v>
      </c>
      <c r="O80" s="32">
        <f ca="1">Lekeitio_2_7b!I72</f>
        <v>6.25</v>
      </c>
      <c r="P80" s="32">
        <f ca="1">Lekeitio_2_8a!I72</f>
        <v>7.8125</v>
      </c>
      <c r="Q80" s="32">
        <f ca="1">Lekeitio_2_8b!I72</f>
        <v>15.625</v>
      </c>
      <c r="R80" s="32">
        <f ca="1">Lekeitio_2_9a!I72</f>
        <v>4.6875</v>
      </c>
      <c r="T80" s="32">
        <f ca="1">AVERAGE(B80:R80)</f>
        <v>10.018382352941176</v>
      </c>
      <c r="U80" s="32">
        <f ca="1">STDEV(B80:R80)</f>
        <v>7.8136488125935193</v>
      </c>
      <c r="V80" s="32">
        <f ca="1">U80/SQRT(17)</f>
        <v>1.8950881985767702</v>
      </c>
      <c r="X80" s="281"/>
    </row>
    <row r="81" spans="1:24" x14ac:dyDescent="0.25">
      <c r="A81" s="277" t="s">
        <v>329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283"/>
    </row>
    <row r="82" spans="1:24" x14ac:dyDescent="0.25">
      <c r="A82" s="276" t="s">
        <v>260</v>
      </c>
      <c r="B82" s="59">
        <f ca="1">Lekeitio_2_1a!I74</f>
        <v>64.0625</v>
      </c>
      <c r="C82" s="59">
        <f ca="1">Lekeitio_2_1b!I74</f>
        <v>23.4375</v>
      </c>
      <c r="D82" s="59">
        <f ca="1">Lekeitio_2_2a!I74</f>
        <v>9.375</v>
      </c>
      <c r="E82" s="59">
        <f ca="1">Lekeitio_2_2b!I74</f>
        <v>0</v>
      </c>
      <c r="F82" s="59">
        <f ca="1">Lekeitio_2_3a!I74</f>
        <v>3.125</v>
      </c>
      <c r="G82" s="59">
        <f ca="1">Lekeitio_2_3b!I74</f>
        <v>17.1875</v>
      </c>
      <c r="H82" s="59">
        <f ca="1">Lekeitio_2_4a!I74</f>
        <v>0</v>
      </c>
      <c r="I82" s="59">
        <f ca="1">Lekeitio_2_4b!I74</f>
        <v>3.125</v>
      </c>
      <c r="J82" s="59">
        <f ca="1">Lekeitio_2_5a!I74</f>
        <v>0</v>
      </c>
      <c r="K82" s="59">
        <f ca="1">Lekeitio_2_5b!I74</f>
        <v>0</v>
      </c>
      <c r="L82" s="59">
        <f ca="1">Lekeitio_2_6a!I74</f>
        <v>0</v>
      </c>
      <c r="M82" s="59">
        <f ca="1">Lekeitio_2_6b!I74</f>
        <v>0</v>
      </c>
      <c r="N82" s="32">
        <f ca="1">Lekeitio_2_7a!I74</f>
        <v>0</v>
      </c>
      <c r="O82" s="32">
        <f ca="1">Lekeitio_2_7b!I74</f>
        <v>0</v>
      </c>
      <c r="P82" s="32">
        <f ca="1">Lekeitio_2_8a!I74</f>
        <v>0</v>
      </c>
      <c r="Q82" s="32">
        <f ca="1">Lekeitio_2_8b!I74</f>
        <v>0</v>
      </c>
      <c r="R82" s="32">
        <f ca="1">Lekeitio_2_9a!I74</f>
        <v>0</v>
      </c>
      <c r="T82" s="32">
        <f ca="1">AVERAGE(B82:R82)</f>
        <v>7.0772058823529411</v>
      </c>
      <c r="U82" s="32">
        <f ca="1">STDEV(B82:R82)</f>
        <v>16.210868289186063</v>
      </c>
      <c r="V82" s="32">
        <f ca="1">U82/SQRT(17)</f>
        <v>3.9317130728994116</v>
      </c>
      <c r="X82" s="281"/>
    </row>
    <row r="83" spans="1:24" x14ac:dyDescent="0.25">
      <c r="A83" s="276"/>
      <c r="X83" s="281"/>
    </row>
    <row r="84" spans="1:24" x14ac:dyDescent="0.25">
      <c r="A84" s="273" t="s">
        <v>331</v>
      </c>
      <c r="T84" s="1" t="s">
        <v>369</v>
      </c>
      <c r="U84" s="1" t="s">
        <v>370</v>
      </c>
      <c r="V84" s="1" t="s">
        <v>371</v>
      </c>
      <c r="X84" s="281"/>
    </row>
    <row r="85" spans="1:24" x14ac:dyDescent="0.25">
      <c r="A85" s="273" t="s">
        <v>332</v>
      </c>
      <c r="X85" s="281"/>
    </row>
    <row r="86" spans="1:24" ht="15.75" thickBot="1" x14ac:dyDescent="0.3">
      <c r="A86" s="276"/>
      <c r="X86" s="281"/>
    </row>
    <row r="87" spans="1:24" ht="15.75" thickTop="1" x14ac:dyDescent="0.25">
      <c r="A87" s="272" t="s">
        <v>374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53"/>
      <c r="O87" s="53"/>
      <c r="P87" s="53"/>
      <c r="Q87" s="53"/>
      <c r="R87" s="53"/>
      <c r="S87" s="33" t="s">
        <v>377</v>
      </c>
      <c r="T87" s="33" t="s">
        <v>369</v>
      </c>
      <c r="U87" s="33" t="s">
        <v>370</v>
      </c>
      <c r="V87" s="33" t="s">
        <v>371</v>
      </c>
      <c r="W87" s="33" t="s">
        <v>375</v>
      </c>
      <c r="X87" s="284" t="s">
        <v>376</v>
      </c>
    </row>
    <row r="88" spans="1:24" x14ac:dyDescent="0.25">
      <c r="A88" s="275" t="s">
        <v>320</v>
      </c>
      <c r="B88" s="63">
        <f ca="1">Lekeitio_2_1a!B16</f>
        <v>23</v>
      </c>
      <c r="C88" s="63">
        <f ca="1">Lekeitio_2_1b!B16</f>
        <v>25</v>
      </c>
      <c r="D88" s="63">
        <f ca="1">Lekeitio_2_2a!B16</f>
        <v>10</v>
      </c>
      <c r="E88" s="63">
        <f ca="1">Lekeitio_2_2b!B16</f>
        <v>20</v>
      </c>
      <c r="F88" s="63">
        <f ca="1">Lekeitio_2_3a!B16</f>
        <v>28</v>
      </c>
      <c r="G88" s="63">
        <f ca="1">Lekeitio_2_3b!B16</f>
        <v>14</v>
      </c>
      <c r="H88" s="63">
        <f ca="1">Lekeitio_2_4a!B16</f>
        <v>10</v>
      </c>
      <c r="I88" s="63">
        <f ca="1">Lekeitio_2_4b!B16</f>
        <v>22</v>
      </c>
      <c r="J88" s="63">
        <f ca="1">Lekeitio_2_5a!B16</f>
        <v>22</v>
      </c>
      <c r="K88" s="63">
        <f ca="1">Lekeitio_2_5b!B16</f>
        <v>25</v>
      </c>
      <c r="L88" s="63">
        <f ca="1">Lekeitio_2_6a!B16</f>
        <v>8</v>
      </c>
      <c r="M88" s="63">
        <f ca="1">Lekeitio_2_6b!B16</f>
        <v>25</v>
      </c>
      <c r="N88" s="204">
        <f ca="1">Lekeitio_2_7a!B16</f>
        <v>28</v>
      </c>
      <c r="O88" s="204">
        <f ca="1">Lekeitio_2_7b!B16</f>
        <v>12</v>
      </c>
      <c r="P88" s="204">
        <f ca="1">Lekeitio_2_8a!B16</f>
        <v>5</v>
      </c>
      <c r="Q88" s="204">
        <f ca="1">Lekeitio_2_8b!B16</f>
        <v>22</v>
      </c>
      <c r="R88" s="204">
        <f ca="1">Lekeitio_2_9a!B16</f>
        <v>31</v>
      </c>
      <c r="S88" s="204">
        <f t="shared" ref="S88:S97" ca="1" si="9">SUM(B88:R88)</f>
        <v>330</v>
      </c>
      <c r="T88" s="36">
        <f t="shared" ref="T88:T97" ca="1" si="10">AVERAGE(B88:R88)</f>
        <v>19.411764705882351</v>
      </c>
      <c r="U88" s="36">
        <f t="shared" ref="U88:U97" ca="1" si="11">STDEV(B88:R88)</f>
        <v>7.9377171114355329</v>
      </c>
      <c r="V88" s="36">
        <f t="shared" ref="V88:V97" ca="1" si="12">U88/SQRT(17)</f>
        <v>1.9251791809836125</v>
      </c>
      <c r="W88" s="36">
        <f ca="1">W101</f>
        <v>1.2004588212256497</v>
      </c>
      <c r="X88" s="287">
        <f ca="1">X101</f>
        <v>0.61669421487603304</v>
      </c>
    </row>
    <row r="89" spans="1:24" x14ac:dyDescent="0.25">
      <c r="A89" s="276" t="s">
        <v>321</v>
      </c>
      <c r="B89" s="62">
        <f ca="1">Lekeitio_2_1a!B17</f>
        <v>0</v>
      </c>
      <c r="C89" s="62">
        <f ca="1">Lekeitio_2_1b!B17</f>
        <v>0</v>
      </c>
      <c r="D89" s="62">
        <f ca="1">Lekeitio_2_2a!B17</f>
        <v>0</v>
      </c>
      <c r="E89" s="62">
        <f ca="1">Lekeitio_2_2b!B17</f>
        <v>0</v>
      </c>
      <c r="F89" s="62">
        <f ca="1">Lekeitio_2_3a!B17</f>
        <v>0</v>
      </c>
      <c r="G89" s="62">
        <f ca="1">Lekeitio_2_3b!B17</f>
        <v>0</v>
      </c>
      <c r="H89" s="62">
        <f ca="1">Lekeitio_2_4a!B17</f>
        <v>0</v>
      </c>
      <c r="I89" s="62">
        <f ca="1">Lekeitio_2_4b!B17</f>
        <v>0</v>
      </c>
      <c r="J89" s="62">
        <f ca="1">Lekeitio_2_5a!B17</f>
        <v>0</v>
      </c>
      <c r="K89" s="62">
        <f ca="1">Lekeitio_2_5b!B17</f>
        <v>0</v>
      </c>
      <c r="L89" s="62">
        <f ca="1">Lekeitio_2_6a!B17</f>
        <v>0</v>
      </c>
      <c r="M89" s="62">
        <f ca="1">Lekeitio_2_6b!B17</f>
        <v>0</v>
      </c>
      <c r="N89" s="203">
        <f ca="1">Lekeitio_2_7a!B17</f>
        <v>0</v>
      </c>
      <c r="O89" s="203">
        <f ca="1">Lekeitio_2_7b!B17</f>
        <v>0</v>
      </c>
      <c r="P89" s="203">
        <f ca="1">Lekeitio_2_8a!B17</f>
        <v>0</v>
      </c>
      <c r="Q89" s="203">
        <f ca="1">Lekeitio_2_8b!B17</f>
        <v>0</v>
      </c>
      <c r="R89" s="203">
        <f ca="1">Lekeitio_2_9a!B17</f>
        <v>0</v>
      </c>
      <c r="S89" s="203">
        <f t="shared" ca="1" si="9"/>
        <v>0</v>
      </c>
      <c r="T89" s="32">
        <f t="shared" ca="1" si="10"/>
        <v>0</v>
      </c>
      <c r="U89" s="32">
        <f t="shared" ca="1" si="11"/>
        <v>0</v>
      </c>
      <c r="V89" s="32">
        <f t="shared" ca="1" si="12"/>
        <v>0</v>
      </c>
      <c r="W89" s="32">
        <f ca="1">W120</f>
        <v>0</v>
      </c>
      <c r="X89" s="286">
        <f ca="1">X120</f>
        <v>1</v>
      </c>
    </row>
    <row r="90" spans="1:24" x14ac:dyDescent="0.25">
      <c r="A90" s="275" t="s">
        <v>322</v>
      </c>
      <c r="B90" s="63">
        <f ca="1">Lekeitio_2_1a!B18</f>
        <v>0</v>
      </c>
      <c r="C90" s="63">
        <f ca="1">Lekeitio_2_1b!B18</f>
        <v>0</v>
      </c>
      <c r="D90" s="63">
        <f ca="1">Lekeitio_2_2a!B18</f>
        <v>15</v>
      </c>
      <c r="E90" s="63">
        <f ca="1">Lekeitio_2_2b!B18</f>
        <v>1</v>
      </c>
      <c r="F90" s="63">
        <f ca="1">Lekeitio_2_3a!B18</f>
        <v>15</v>
      </c>
      <c r="G90" s="63">
        <f ca="1">Lekeitio_2_3b!B18</f>
        <v>3</v>
      </c>
      <c r="H90" s="63">
        <f ca="1">Lekeitio_2_4a!B18</f>
        <v>16</v>
      </c>
      <c r="I90" s="63">
        <f ca="1">Lekeitio_2_4b!B18</f>
        <v>0</v>
      </c>
      <c r="J90" s="63">
        <f ca="1">Lekeitio_2_5a!B18</f>
        <v>18</v>
      </c>
      <c r="K90" s="63">
        <f ca="1">Lekeitio_2_5b!B18</f>
        <v>3</v>
      </c>
      <c r="L90" s="63">
        <f ca="1">Lekeitio_2_6a!B18</f>
        <v>20</v>
      </c>
      <c r="M90" s="63">
        <f ca="1">Lekeitio_2_6b!B18</f>
        <v>0</v>
      </c>
      <c r="N90" s="204">
        <f ca="1">Lekeitio_2_7a!B18</f>
        <v>17</v>
      </c>
      <c r="O90" s="204">
        <f ca="1">Lekeitio_2_7b!B18</f>
        <v>0</v>
      </c>
      <c r="P90" s="204">
        <f ca="1">Lekeitio_2_8a!B18</f>
        <v>20</v>
      </c>
      <c r="Q90" s="204">
        <f ca="1">Lekeitio_2_8b!B18</f>
        <v>1</v>
      </c>
      <c r="R90" s="204">
        <f ca="1">Lekeitio_2_9a!B18</f>
        <v>14</v>
      </c>
      <c r="S90" s="204">
        <f t="shared" ca="1" si="9"/>
        <v>143</v>
      </c>
      <c r="T90" s="36">
        <f t="shared" ca="1" si="10"/>
        <v>8.4117647058823533</v>
      </c>
      <c r="U90" s="36">
        <f t="shared" ca="1" si="11"/>
        <v>8.4117389962585296</v>
      </c>
      <c r="V90" s="36">
        <f t="shared" ca="1" si="12"/>
        <v>2.0401463751000586</v>
      </c>
      <c r="W90" s="36">
        <f ca="1">W123</f>
        <v>0</v>
      </c>
      <c r="X90" s="287">
        <f ca="1">X123</f>
        <v>0</v>
      </c>
    </row>
    <row r="91" spans="1:24" x14ac:dyDescent="0.25">
      <c r="A91" s="276" t="s">
        <v>323</v>
      </c>
      <c r="B91" s="62">
        <f ca="1">Lekeitio_2_1a!B19</f>
        <v>0</v>
      </c>
      <c r="C91" s="62">
        <f ca="1">Lekeitio_2_1b!B19</f>
        <v>0</v>
      </c>
      <c r="D91" s="62">
        <f ca="1">Lekeitio_2_2a!B19</f>
        <v>0</v>
      </c>
      <c r="E91" s="62">
        <f ca="1">Lekeitio_2_2b!B19</f>
        <v>0</v>
      </c>
      <c r="F91" s="62">
        <f ca="1">Lekeitio_2_3a!B19</f>
        <v>0</v>
      </c>
      <c r="G91" s="62">
        <f ca="1">Lekeitio_2_3b!B19</f>
        <v>0</v>
      </c>
      <c r="H91" s="62">
        <f ca="1">Lekeitio_2_4a!B19</f>
        <v>0</v>
      </c>
      <c r="I91" s="62">
        <f ca="1">Lekeitio_2_4b!B19</f>
        <v>0</v>
      </c>
      <c r="J91" s="62">
        <f ca="1">Lekeitio_2_5a!B19</f>
        <v>0</v>
      </c>
      <c r="K91" s="62">
        <f ca="1">Lekeitio_2_5b!B19</f>
        <v>0</v>
      </c>
      <c r="L91" s="62">
        <f ca="1">Lekeitio_2_6a!B19</f>
        <v>0</v>
      </c>
      <c r="M91" s="62">
        <f ca="1">Lekeitio_2_6b!B19</f>
        <v>0</v>
      </c>
      <c r="N91" s="203">
        <f ca="1">Lekeitio_2_7a!B19</f>
        <v>0</v>
      </c>
      <c r="O91" s="203">
        <f ca="1">Lekeitio_2_7b!B19</f>
        <v>0</v>
      </c>
      <c r="P91" s="203">
        <f ca="1">Lekeitio_2_8a!B19</f>
        <v>0</v>
      </c>
      <c r="Q91" s="203">
        <f ca="1">Lekeitio_2_8b!B19</f>
        <v>0</v>
      </c>
      <c r="R91" s="203">
        <f ca="1">Lekeitio_2_9a!B19</f>
        <v>0</v>
      </c>
      <c r="S91" s="203">
        <f t="shared" ca="1" si="9"/>
        <v>0</v>
      </c>
      <c r="T91" s="32">
        <f t="shared" ca="1" si="10"/>
        <v>0</v>
      </c>
      <c r="U91" s="32">
        <f t="shared" ca="1" si="11"/>
        <v>0</v>
      </c>
      <c r="V91" s="32">
        <f t="shared" ca="1" si="12"/>
        <v>0</v>
      </c>
      <c r="W91" s="32">
        <f ca="1">W130</f>
        <v>0</v>
      </c>
      <c r="X91" s="286">
        <f ca="1">X130</f>
        <v>1</v>
      </c>
    </row>
    <row r="92" spans="1:24" x14ac:dyDescent="0.25">
      <c r="A92" s="275" t="s">
        <v>324</v>
      </c>
      <c r="B92" s="63">
        <f ca="1">Lekeitio_2_1a!B20</f>
        <v>0</v>
      </c>
      <c r="C92" s="63">
        <f ca="1">Lekeitio_2_1b!B20</f>
        <v>17</v>
      </c>
      <c r="D92" s="63">
        <f ca="1">Lekeitio_2_2a!B20</f>
        <v>16</v>
      </c>
      <c r="E92" s="63">
        <f ca="1">Lekeitio_2_2b!B20</f>
        <v>18</v>
      </c>
      <c r="F92" s="63">
        <f ca="1">Lekeitio_2_3a!B20</f>
        <v>12</v>
      </c>
      <c r="G92" s="63">
        <f ca="1">Lekeitio_2_3b!B20</f>
        <v>30</v>
      </c>
      <c r="H92" s="63">
        <f ca="1">Lekeitio_2_4a!B20</f>
        <v>28</v>
      </c>
      <c r="I92" s="63">
        <f ca="1">Lekeitio_2_4b!B20</f>
        <v>31</v>
      </c>
      <c r="J92" s="63">
        <f ca="1">Lekeitio_2_5a!B20</f>
        <v>24</v>
      </c>
      <c r="K92" s="63">
        <f ca="1">Lekeitio_2_5b!B20</f>
        <v>28</v>
      </c>
      <c r="L92" s="63">
        <f ca="1">Lekeitio_2_6a!B20</f>
        <v>29</v>
      </c>
      <c r="M92" s="63">
        <f ca="1">Lekeitio_2_6b!B20</f>
        <v>26</v>
      </c>
      <c r="N92" s="204">
        <f ca="1">Lekeitio_2_7a!B20</f>
        <v>16</v>
      </c>
      <c r="O92" s="204">
        <f ca="1">Lekeitio_2_7b!B20</f>
        <v>40</v>
      </c>
      <c r="P92" s="204">
        <f ca="1">Lekeitio_2_8a!B20</f>
        <v>27</v>
      </c>
      <c r="Q92" s="204">
        <f ca="1">Lekeitio_2_8b!B20</f>
        <v>24</v>
      </c>
      <c r="R92" s="204">
        <f ca="1">Lekeitio_2_9a!B20</f>
        <v>16</v>
      </c>
      <c r="S92" s="204">
        <f t="shared" ca="1" si="9"/>
        <v>382</v>
      </c>
      <c r="T92" s="36">
        <f t="shared" ca="1" si="10"/>
        <v>22.470588235294116</v>
      </c>
      <c r="U92" s="36">
        <f t="shared" ca="1" si="11"/>
        <v>9.2474161733077054</v>
      </c>
      <c r="V92" s="36">
        <f t="shared" ca="1" si="12"/>
        <v>2.2428278615642787</v>
      </c>
      <c r="W92" s="36">
        <f ca="1">W133</f>
        <v>9.1445135354503895E-2</v>
      </c>
      <c r="X92" s="287">
        <f ca="1">X133</f>
        <v>3.5977632192100151E-2</v>
      </c>
    </row>
    <row r="93" spans="1:24" x14ac:dyDescent="0.25">
      <c r="A93" s="276" t="s">
        <v>325</v>
      </c>
      <c r="B93" s="62">
        <f ca="1">Lekeitio_2_1a!B21</f>
        <v>0</v>
      </c>
      <c r="C93" s="62">
        <f ca="1">Lekeitio_2_1b!B21</f>
        <v>1</v>
      </c>
      <c r="D93" s="62">
        <f ca="1">Lekeitio_2_2a!B21</f>
        <v>5</v>
      </c>
      <c r="E93" s="62">
        <f ca="1">Lekeitio_2_2b!B21</f>
        <v>4</v>
      </c>
      <c r="F93" s="62">
        <f ca="1">Lekeitio_2_3a!B21</f>
        <v>2</v>
      </c>
      <c r="G93" s="62">
        <f ca="1">Lekeitio_2_3b!B21</f>
        <v>0</v>
      </c>
      <c r="H93" s="62">
        <f ca="1">Lekeitio_2_4a!B21</f>
        <v>1</v>
      </c>
      <c r="I93" s="62">
        <f ca="1">Lekeitio_2_4b!B21</f>
        <v>1</v>
      </c>
      <c r="J93" s="62">
        <f ca="1">Lekeitio_2_5a!B21</f>
        <v>0</v>
      </c>
      <c r="K93" s="62">
        <f ca="1">Lekeitio_2_5b!B21</f>
        <v>0</v>
      </c>
      <c r="L93" s="62">
        <f ca="1">Lekeitio_2_6a!B21</f>
        <v>2</v>
      </c>
      <c r="M93" s="62">
        <f ca="1">Lekeitio_2_6b!B21</f>
        <v>4</v>
      </c>
      <c r="N93" s="203">
        <f ca="1">Lekeitio_2_7a!B21</f>
        <v>2</v>
      </c>
      <c r="O93" s="203">
        <f ca="1">Lekeitio_2_7b!B21</f>
        <v>7</v>
      </c>
      <c r="P93" s="203">
        <f ca="1">Lekeitio_2_8a!B21</f>
        <v>7</v>
      </c>
      <c r="Q93" s="203">
        <f ca="1">Lekeitio_2_8b!B21</f>
        <v>7</v>
      </c>
      <c r="R93" s="203">
        <f ca="1">Lekeitio_2_9a!B21</f>
        <v>0</v>
      </c>
      <c r="S93" s="203">
        <f t="shared" ca="1" si="9"/>
        <v>43</v>
      </c>
      <c r="T93" s="32">
        <f t="shared" ca="1" si="10"/>
        <v>2.5294117647058822</v>
      </c>
      <c r="U93" s="32">
        <f t="shared" ca="1" si="11"/>
        <v>2.6248249241335966</v>
      </c>
      <c r="V93" s="32">
        <f t="shared" ca="1" si="12"/>
        <v>0.63661355358568716</v>
      </c>
      <c r="W93" s="32">
        <f ca="1">W138</f>
        <v>0.64672385286940282</v>
      </c>
      <c r="X93" s="286">
        <f ca="1">X138</f>
        <v>0.4542996214169821</v>
      </c>
    </row>
    <row r="94" spans="1:24" x14ac:dyDescent="0.25">
      <c r="A94" s="275" t="s">
        <v>326</v>
      </c>
      <c r="B94" s="63">
        <f ca="1">Lekeitio_2_1a!B22</f>
        <v>0</v>
      </c>
      <c r="C94" s="63">
        <f ca="1">Lekeitio_2_1b!B22</f>
        <v>0</v>
      </c>
      <c r="D94" s="63">
        <f ca="1">Lekeitio_2_2a!B22</f>
        <v>1</v>
      </c>
      <c r="E94" s="63">
        <f ca="1">Lekeitio_2_2b!B22</f>
        <v>0</v>
      </c>
      <c r="F94" s="63">
        <f ca="1">Lekeitio_2_3a!B22</f>
        <v>0</v>
      </c>
      <c r="G94" s="63">
        <f ca="1">Lekeitio_2_3b!B22</f>
        <v>1</v>
      </c>
      <c r="H94" s="63">
        <f ca="1">Lekeitio_2_4a!B22</f>
        <v>0</v>
      </c>
      <c r="I94" s="63">
        <f ca="1">Lekeitio_2_4b!B22</f>
        <v>1</v>
      </c>
      <c r="J94" s="63">
        <f ca="1">Lekeitio_2_5a!B22</f>
        <v>0</v>
      </c>
      <c r="K94" s="63">
        <f ca="1">Lekeitio_2_5b!B22</f>
        <v>0</v>
      </c>
      <c r="L94" s="63">
        <f ca="1">Lekeitio_2_6a!B22</f>
        <v>0</v>
      </c>
      <c r="M94" s="63">
        <f ca="1">Lekeitio_2_6b!B22</f>
        <v>0</v>
      </c>
      <c r="N94" s="204">
        <f ca="1">Lekeitio_2_7a!B22</f>
        <v>0</v>
      </c>
      <c r="O94" s="204">
        <f ca="1">Lekeitio_2_7b!B22</f>
        <v>1</v>
      </c>
      <c r="P94" s="204">
        <f ca="1">Lekeitio_2_8a!B22</f>
        <v>0</v>
      </c>
      <c r="Q94" s="204">
        <f ca="1">Lekeitio_2_8b!B22</f>
        <v>0</v>
      </c>
      <c r="R94" s="204">
        <f ca="1">Lekeitio_2_9a!B22</f>
        <v>0</v>
      </c>
      <c r="S94" s="204">
        <f t="shared" ca="1" si="9"/>
        <v>4</v>
      </c>
      <c r="T94" s="36">
        <f t="shared" ca="1" si="10"/>
        <v>0.23529411764705882</v>
      </c>
      <c r="U94" s="36">
        <f t="shared" ca="1" si="11"/>
        <v>0.43723731609760308</v>
      </c>
      <c r="V94" s="36">
        <f t="shared" ca="1" si="12"/>
        <v>0.10604562574894086</v>
      </c>
      <c r="W94" s="36">
        <f ca="1">W143</f>
        <v>0.56233514461880829</v>
      </c>
      <c r="X94" s="287">
        <f ca="1">X143</f>
        <v>0.375</v>
      </c>
    </row>
    <row r="95" spans="1:24" x14ac:dyDescent="0.25">
      <c r="A95" s="276" t="s">
        <v>327</v>
      </c>
      <c r="B95" s="62">
        <f ca="1">Lekeitio_2_1a!B23</f>
        <v>0</v>
      </c>
      <c r="C95" s="62">
        <f ca="1">Lekeitio_2_1b!B23</f>
        <v>0</v>
      </c>
      <c r="D95" s="62">
        <f ca="1">Lekeitio_2_2a!B23</f>
        <v>0</v>
      </c>
      <c r="E95" s="62">
        <f ca="1">Lekeitio_2_2b!B23</f>
        <v>0</v>
      </c>
      <c r="F95" s="62">
        <f ca="1">Lekeitio_2_3a!B23</f>
        <v>0</v>
      </c>
      <c r="G95" s="62">
        <f ca="1">Lekeitio_2_3b!B23</f>
        <v>0</v>
      </c>
      <c r="H95" s="62">
        <f ca="1">Lekeitio_2_4a!B23</f>
        <v>0</v>
      </c>
      <c r="I95" s="62">
        <f ca="1">Lekeitio_2_4b!B23</f>
        <v>0</v>
      </c>
      <c r="J95" s="62">
        <f ca="1">Lekeitio_2_5a!B23</f>
        <v>0</v>
      </c>
      <c r="K95" s="62">
        <f ca="1">Lekeitio_2_5b!B23</f>
        <v>0</v>
      </c>
      <c r="L95" s="62">
        <f ca="1">Lekeitio_2_6a!B23</f>
        <v>0</v>
      </c>
      <c r="M95" s="62">
        <f ca="1">Lekeitio_2_6b!B23</f>
        <v>0</v>
      </c>
      <c r="N95" s="203">
        <f ca="1">Lekeitio_2_7a!B23</f>
        <v>0</v>
      </c>
      <c r="O95" s="203">
        <f ca="1">Lekeitio_2_7b!B23</f>
        <v>0</v>
      </c>
      <c r="P95" s="203">
        <f ca="1">Lekeitio_2_8a!B23</f>
        <v>0</v>
      </c>
      <c r="Q95" s="203">
        <f ca="1">Lekeitio_2_8b!B23</f>
        <v>0</v>
      </c>
      <c r="R95" s="203">
        <f ca="1">Lekeitio_2_9a!B23</f>
        <v>0</v>
      </c>
      <c r="S95" s="203">
        <f t="shared" ca="1" si="9"/>
        <v>0</v>
      </c>
      <c r="T95" s="32">
        <f t="shared" ca="1" si="10"/>
        <v>0</v>
      </c>
      <c r="U95" s="32">
        <f t="shared" ca="1" si="11"/>
        <v>0</v>
      </c>
      <c r="V95" s="32">
        <f t="shared" ca="1" si="12"/>
        <v>0</v>
      </c>
      <c r="W95" s="32">
        <f ca="1">W149</f>
        <v>0</v>
      </c>
      <c r="X95" s="286">
        <f ca="1">X149</f>
        <v>1</v>
      </c>
    </row>
    <row r="96" spans="1:24" x14ac:dyDescent="0.25">
      <c r="A96" s="275" t="s">
        <v>328</v>
      </c>
      <c r="B96" s="63">
        <f ca="1">Lekeitio_2_1a!B24</f>
        <v>0</v>
      </c>
      <c r="C96" s="63">
        <f ca="1">Lekeitio_2_1b!B24</f>
        <v>6</v>
      </c>
      <c r="D96" s="63">
        <f ca="1">Lekeitio_2_2a!B24</f>
        <v>11</v>
      </c>
      <c r="E96" s="63">
        <f ca="1">Lekeitio_2_2b!B24</f>
        <v>21</v>
      </c>
      <c r="F96" s="63">
        <f ca="1">Lekeitio_2_3a!B24</f>
        <v>5</v>
      </c>
      <c r="G96" s="63">
        <f ca="1">Lekeitio_2_3b!B24</f>
        <v>5</v>
      </c>
      <c r="H96" s="63">
        <f ca="1">Lekeitio_2_4a!B24</f>
        <v>9</v>
      </c>
      <c r="I96" s="63">
        <f ca="1">Lekeitio_2_4b!B24</f>
        <v>7</v>
      </c>
      <c r="J96" s="63">
        <f ca="1">Lekeitio_2_5a!B24</f>
        <v>0</v>
      </c>
      <c r="K96" s="63">
        <f ca="1">Lekeitio_2_5b!B24</f>
        <v>8</v>
      </c>
      <c r="L96" s="63">
        <f ca="1">Lekeitio_2_6a!B24</f>
        <v>5</v>
      </c>
      <c r="M96" s="63">
        <f ca="1">Lekeitio_2_6b!B24</f>
        <v>9</v>
      </c>
      <c r="N96" s="204">
        <f ca="1">Lekeitio_2_7a!B24</f>
        <v>1</v>
      </c>
      <c r="O96" s="204">
        <f ca="1">Lekeitio_2_7b!B24</f>
        <v>4</v>
      </c>
      <c r="P96" s="204">
        <f ca="1">Lekeitio_2_8a!B24</f>
        <v>5</v>
      </c>
      <c r="Q96" s="204">
        <f ca="1">Lekeitio_2_8b!B24</f>
        <v>10</v>
      </c>
      <c r="R96" s="204">
        <f ca="1">Lekeitio_2_9a!B24</f>
        <v>3</v>
      </c>
      <c r="S96" s="204">
        <f t="shared" ca="1" si="9"/>
        <v>109</v>
      </c>
      <c r="T96" s="36">
        <f t="shared" ca="1" si="10"/>
        <v>6.4117647058823533</v>
      </c>
      <c r="U96" s="36">
        <f t="shared" ca="1" si="11"/>
        <v>5.0007352400598526</v>
      </c>
      <c r="V96" s="36">
        <f t="shared" ca="1" si="12"/>
        <v>1.212856447089133</v>
      </c>
      <c r="W96" s="36">
        <f ca="1">W152</f>
        <v>0</v>
      </c>
      <c r="X96" s="287">
        <f ca="1">X152</f>
        <v>0</v>
      </c>
    </row>
    <row r="97" spans="1:24" x14ac:dyDescent="0.25">
      <c r="A97" s="276" t="s">
        <v>329</v>
      </c>
      <c r="B97" s="62">
        <f ca="1">Lekeitio_2_1a!B25</f>
        <v>41</v>
      </c>
      <c r="C97" s="62">
        <f ca="1">Lekeitio_2_1b!B25</f>
        <v>15</v>
      </c>
      <c r="D97" s="62">
        <f ca="1">Lekeitio_2_2a!B25</f>
        <v>6</v>
      </c>
      <c r="E97" s="62">
        <f ca="1">Lekeitio_2_2b!B25</f>
        <v>0</v>
      </c>
      <c r="F97" s="62">
        <f ca="1">Lekeitio_2_3a!B25</f>
        <v>2</v>
      </c>
      <c r="G97" s="62">
        <f ca="1">Lekeitio_2_3b!B25</f>
        <v>11</v>
      </c>
      <c r="H97" s="62">
        <f ca="1">Lekeitio_2_4a!B25</f>
        <v>0</v>
      </c>
      <c r="I97" s="62">
        <f ca="1">Lekeitio_2_4b!B25</f>
        <v>2</v>
      </c>
      <c r="J97" s="62">
        <f ca="1">Lekeitio_2_5a!B25</f>
        <v>0</v>
      </c>
      <c r="K97" s="62">
        <f ca="1">Lekeitio_2_5b!B25</f>
        <v>0</v>
      </c>
      <c r="L97" s="62">
        <f ca="1">Lekeitio_2_6a!B25</f>
        <v>0</v>
      </c>
      <c r="M97" s="62">
        <f ca="1">Lekeitio_2_6b!B25</f>
        <v>0</v>
      </c>
      <c r="N97" s="203">
        <f ca="1">Lekeitio_2_7a!B25</f>
        <v>0</v>
      </c>
      <c r="O97" s="203">
        <f ca="1">Lekeitio_2_7b!B25</f>
        <v>0</v>
      </c>
      <c r="P97" s="203">
        <f ca="1">Lekeitio_2_8a!B25</f>
        <v>0</v>
      </c>
      <c r="Q97" s="203">
        <f ca="1">Lekeitio_2_8b!B25</f>
        <v>0</v>
      </c>
      <c r="R97" s="203">
        <f ca="1">Lekeitio_2_9a!B25</f>
        <v>0</v>
      </c>
      <c r="S97" s="203">
        <f t="shared" ca="1" si="9"/>
        <v>77</v>
      </c>
      <c r="T97" s="32">
        <f t="shared" ca="1" si="10"/>
        <v>4.5294117647058822</v>
      </c>
      <c r="U97" s="32">
        <f t="shared" ca="1" si="11"/>
        <v>10.374955705079079</v>
      </c>
      <c r="V97" s="32">
        <f t="shared" ca="1" si="12"/>
        <v>2.5162963666556233</v>
      </c>
      <c r="W97" s="32">
        <f ca="1">W158</f>
        <v>0</v>
      </c>
      <c r="X97" s="286">
        <f ca="1">X158</f>
        <v>0</v>
      </c>
    </row>
    <row r="98" spans="1:24" x14ac:dyDescent="0.25">
      <c r="A98" s="273" t="s">
        <v>378</v>
      </c>
      <c r="B98" s="57">
        <f t="shared" ref="B98:S98" ca="1" si="13">SUM(B88:B97)</f>
        <v>64</v>
      </c>
      <c r="C98" s="57">
        <f t="shared" ca="1" si="13"/>
        <v>64</v>
      </c>
      <c r="D98" s="57">
        <f t="shared" ca="1" si="13"/>
        <v>64</v>
      </c>
      <c r="E98" s="57">
        <f t="shared" ca="1" si="13"/>
        <v>64</v>
      </c>
      <c r="F98" s="57">
        <f t="shared" ca="1" si="13"/>
        <v>64</v>
      </c>
      <c r="G98" s="57">
        <f t="shared" ca="1" si="13"/>
        <v>64</v>
      </c>
      <c r="H98" s="57">
        <f t="shared" ca="1" si="13"/>
        <v>64</v>
      </c>
      <c r="I98" s="57">
        <f t="shared" ca="1" si="13"/>
        <v>64</v>
      </c>
      <c r="J98" s="57">
        <f t="shared" ca="1" si="13"/>
        <v>64</v>
      </c>
      <c r="K98" s="57">
        <f t="shared" ca="1" si="13"/>
        <v>64</v>
      </c>
      <c r="L98" s="57">
        <f t="shared" ca="1" si="13"/>
        <v>64</v>
      </c>
      <c r="M98" s="57">
        <f t="shared" ca="1" si="13"/>
        <v>64</v>
      </c>
      <c r="N98" s="205">
        <f t="shared" ca="1" si="13"/>
        <v>64</v>
      </c>
      <c r="O98" s="205">
        <f t="shared" ca="1" si="13"/>
        <v>64</v>
      </c>
      <c r="P98" s="205">
        <f t="shared" ca="1" si="13"/>
        <v>64</v>
      </c>
      <c r="Q98" s="205">
        <f t="shared" ca="1" si="13"/>
        <v>64</v>
      </c>
      <c r="R98" s="205">
        <f t="shared" ca="1" si="13"/>
        <v>64</v>
      </c>
      <c r="S98" s="205">
        <f t="shared" ca="1" si="13"/>
        <v>1088</v>
      </c>
      <c r="X98" s="281"/>
    </row>
    <row r="99" spans="1:24" x14ac:dyDescent="0.25">
      <c r="A99" s="276"/>
      <c r="X99" s="281"/>
    </row>
    <row r="100" spans="1:24" x14ac:dyDescent="0.25">
      <c r="A100" s="273" t="s">
        <v>379</v>
      </c>
      <c r="S100" s="1" t="s">
        <v>377</v>
      </c>
      <c r="T100" s="1" t="s">
        <v>369</v>
      </c>
      <c r="U100" s="1" t="s">
        <v>370</v>
      </c>
      <c r="V100" s="1" t="s">
        <v>371</v>
      </c>
      <c r="W100" s="1" t="s">
        <v>375</v>
      </c>
      <c r="X100" s="285" t="s">
        <v>376</v>
      </c>
    </row>
    <row r="101" spans="1:24" x14ac:dyDescent="0.25">
      <c r="A101" s="277" t="s">
        <v>320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35"/>
      <c r="O101" s="35"/>
      <c r="P101" s="35"/>
      <c r="Q101" s="35"/>
      <c r="R101" s="35"/>
      <c r="S101" s="35"/>
      <c r="T101" s="35"/>
      <c r="U101" s="35"/>
      <c r="V101" s="35"/>
      <c r="W101" s="36">
        <f ca="1">SUM(W102:W119)</f>
        <v>1.2004588212256497</v>
      </c>
      <c r="X101" s="287">
        <f ca="1">1-SUM(X102:X119)</f>
        <v>0.61669421487603304</v>
      </c>
    </row>
    <row r="102" spans="1:24" x14ac:dyDescent="0.25">
      <c r="A102" s="276" t="s">
        <v>212</v>
      </c>
      <c r="B102" s="62">
        <f ca="1">Lekeitio_2_1a!H17</f>
        <v>0</v>
      </c>
      <c r="C102" s="62">
        <f ca="1">Lekeitio_2_1b!H17</f>
        <v>0</v>
      </c>
      <c r="D102" s="62">
        <f ca="1">Lekeitio_2_2a!H17</f>
        <v>0</v>
      </c>
      <c r="E102" s="62">
        <f ca="1">Lekeitio_2_2b!H17</f>
        <v>0</v>
      </c>
      <c r="F102" s="62">
        <f ca="1">Lekeitio_2_3a!H17</f>
        <v>0</v>
      </c>
      <c r="G102" s="62">
        <f ca="1">Lekeitio_2_3b!H17</f>
        <v>0</v>
      </c>
      <c r="H102" s="62">
        <f ca="1">Lekeitio_2_4a!H17</f>
        <v>0</v>
      </c>
      <c r="I102" s="62">
        <f ca="1">Lekeitio_2_4b!H17</f>
        <v>0</v>
      </c>
      <c r="J102" s="62">
        <f ca="1">Lekeitio_2_5a!H17</f>
        <v>0</v>
      </c>
      <c r="K102" s="62">
        <f ca="1">Lekeitio_2_5b!H17</f>
        <v>0</v>
      </c>
      <c r="L102" s="62">
        <f ca="1">Lekeitio_2_6a!H17</f>
        <v>0</v>
      </c>
      <c r="M102" s="62">
        <f ca="1">Lekeitio_2_6b!H17</f>
        <v>0</v>
      </c>
      <c r="N102" s="203">
        <f ca="1">Lekeitio_2_7a!H17</f>
        <v>0</v>
      </c>
      <c r="O102" s="203">
        <f ca="1">Lekeitio_2_7b!H17</f>
        <v>0</v>
      </c>
      <c r="P102" s="203">
        <f ca="1">Lekeitio_2_8a!H17</f>
        <v>0</v>
      </c>
      <c r="Q102" s="203">
        <f ca="1">Lekeitio_2_8b!H17</f>
        <v>0</v>
      </c>
      <c r="R102" s="203">
        <f ca="1">Lekeitio_2_9a!H17</f>
        <v>0</v>
      </c>
      <c r="S102" s="203">
        <f t="shared" ref="S102:S119" ca="1" si="14">SUM(B102:R102)</f>
        <v>0</v>
      </c>
      <c r="T102" s="32">
        <f t="shared" ref="T102:T119" ca="1" si="15">AVERAGE(B102:R102)</f>
        <v>0</v>
      </c>
      <c r="U102" s="32">
        <f t="shared" ref="U102:U119" ca="1" si="16">STDEV(B102:R102)</f>
        <v>0</v>
      </c>
      <c r="V102" s="32">
        <f t="shared" ref="V102:V119" ca="1" si="17">U102/SQRT(17)</f>
        <v>0</v>
      </c>
      <c r="W102" s="32">
        <f ca="1">IF(S102=0,0,-1*((S102/S88)*(LN(S102/S88))))</f>
        <v>0</v>
      </c>
      <c r="X102" s="286">
        <f ca="1">IF(S102=0,0,(S102/S88)^2)</f>
        <v>0</v>
      </c>
    </row>
    <row r="103" spans="1:24" x14ac:dyDescent="0.25">
      <c r="A103" s="276" t="s">
        <v>213</v>
      </c>
      <c r="B103" s="62">
        <f ca="1">Lekeitio_2_1a!H18</f>
        <v>0</v>
      </c>
      <c r="C103" s="62">
        <f ca="1">Lekeitio_2_1b!H18</f>
        <v>0</v>
      </c>
      <c r="D103" s="62">
        <f ca="1">Lekeitio_2_2a!H18</f>
        <v>0</v>
      </c>
      <c r="E103" s="62">
        <f ca="1">Lekeitio_2_2b!H18</f>
        <v>0</v>
      </c>
      <c r="F103" s="62">
        <f ca="1">Lekeitio_2_3a!H18</f>
        <v>0</v>
      </c>
      <c r="G103" s="62">
        <f ca="1">Lekeitio_2_3b!H18</f>
        <v>0</v>
      </c>
      <c r="H103" s="62">
        <f ca="1">Lekeitio_2_4a!H18</f>
        <v>0</v>
      </c>
      <c r="I103" s="62">
        <f ca="1">Lekeitio_2_4b!H18</f>
        <v>0</v>
      </c>
      <c r="J103" s="62">
        <f ca="1">Lekeitio_2_5a!H18</f>
        <v>0</v>
      </c>
      <c r="K103" s="62">
        <f ca="1">Lekeitio_2_5b!H18</f>
        <v>0</v>
      </c>
      <c r="L103" s="62">
        <f ca="1">Lekeitio_2_6a!H18</f>
        <v>0</v>
      </c>
      <c r="M103" s="62">
        <f ca="1">Lekeitio_2_6b!H18</f>
        <v>0</v>
      </c>
      <c r="N103" s="203">
        <f ca="1">Lekeitio_2_7a!H18</f>
        <v>0</v>
      </c>
      <c r="O103" s="203">
        <f ca="1">Lekeitio_2_7b!H18</f>
        <v>0</v>
      </c>
      <c r="P103" s="203">
        <f ca="1">Lekeitio_2_8a!H18</f>
        <v>0</v>
      </c>
      <c r="Q103" s="203">
        <f ca="1">Lekeitio_2_8b!H18</f>
        <v>0</v>
      </c>
      <c r="R103" s="203">
        <f ca="1">Lekeitio_2_9a!H18</f>
        <v>0</v>
      </c>
      <c r="S103" s="203">
        <f t="shared" ca="1" si="14"/>
        <v>0</v>
      </c>
      <c r="T103" s="32">
        <f t="shared" ca="1" si="15"/>
        <v>0</v>
      </c>
      <c r="U103" s="32">
        <f t="shared" ca="1" si="16"/>
        <v>0</v>
      </c>
      <c r="V103" s="32">
        <f t="shared" ca="1" si="17"/>
        <v>0</v>
      </c>
      <c r="W103" s="32">
        <f ca="1">IF(S103=0,0,-1*((S103/S88)*(LN(S103/S88))))</f>
        <v>0</v>
      </c>
      <c r="X103" s="286">
        <f ca="1">IF(S103=0,0,(S103/S88)^2)</f>
        <v>0</v>
      </c>
    </row>
    <row r="104" spans="1:24" x14ac:dyDescent="0.25">
      <c r="A104" s="276" t="s">
        <v>214</v>
      </c>
      <c r="B104" s="62">
        <f ca="1">Lekeitio_2_1a!H19</f>
        <v>0</v>
      </c>
      <c r="C104" s="62">
        <f ca="1">Lekeitio_2_1b!H19</f>
        <v>0</v>
      </c>
      <c r="D104" s="62">
        <f ca="1">Lekeitio_2_2a!H19</f>
        <v>0</v>
      </c>
      <c r="E104" s="62">
        <f ca="1">Lekeitio_2_2b!H19</f>
        <v>0</v>
      </c>
      <c r="F104" s="62">
        <f ca="1">Lekeitio_2_3a!H19</f>
        <v>0</v>
      </c>
      <c r="G104" s="62">
        <f ca="1">Lekeitio_2_3b!H19</f>
        <v>0</v>
      </c>
      <c r="H104" s="62">
        <f ca="1">Lekeitio_2_4a!H19</f>
        <v>0</v>
      </c>
      <c r="I104" s="62">
        <f ca="1">Lekeitio_2_4b!H19</f>
        <v>0</v>
      </c>
      <c r="J104" s="62">
        <f ca="1">Lekeitio_2_5a!H19</f>
        <v>0</v>
      </c>
      <c r="K104" s="62">
        <f ca="1">Lekeitio_2_5b!H19</f>
        <v>0</v>
      </c>
      <c r="L104" s="62">
        <f ca="1">Lekeitio_2_6a!H19</f>
        <v>0</v>
      </c>
      <c r="M104" s="62">
        <f ca="1">Lekeitio_2_6b!H19</f>
        <v>0</v>
      </c>
      <c r="N104" s="203">
        <f ca="1">Lekeitio_2_7a!H19</f>
        <v>0</v>
      </c>
      <c r="O104" s="203">
        <f ca="1">Lekeitio_2_7b!H19</f>
        <v>0</v>
      </c>
      <c r="P104" s="203">
        <f ca="1">Lekeitio_2_8a!H19</f>
        <v>0</v>
      </c>
      <c r="Q104" s="203">
        <f ca="1">Lekeitio_2_8b!H19</f>
        <v>0</v>
      </c>
      <c r="R104" s="203">
        <f ca="1">Lekeitio_2_9a!H19</f>
        <v>0</v>
      </c>
      <c r="S104" s="203">
        <f t="shared" ca="1" si="14"/>
        <v>0</v>
      </c>
      <c r="T104" s="32">
        <f t="shared" ca="1" si="15"/>
        <v>0</v>
      </c>
      <c r="U104" s="32">
        <f t="shared" ca="1" si="16"/>
        <v>0</v>
      </c>
      <c r="V104" s="32">
        <f t="shared" ca="1" si="17"/>
        <v>0</v>
      </c>
      <c r="W104" s="32">
        <f ca="1">IF(S104=0,0,-1*((S104/S88)*(LN(S104/S88))))</f>
        <v>0</v>
      </c>
      <c r="X104" s="286">
        <f ca="1">IF(S104=0,0,(S104/S88)^2)</f>
        <v>0</v>
      </c>
    </row>
    <row r="105" spans="1:24" x14ac:dyDescent="0.25">
      <c r="A105" s="276" t="s">
        <v>215</v>
      </c>
      <c r="B105" s="62">
        <f ca="1">Lekeitio_2_1a!H20</f>
        <v>0</v>
      </c>
      <c r="C105" s="62">
        <f ca="1">Lekeitio_2_1b!H20</f>
        <v>0</v>
      </c>
      <c r="D105" s="62">
        <f ca="1">Lekeitio_2_2a!H20</f>
        <v>0</v>
      </c>
      <c r="E105" s="62">
        <f ca="1">Lekeitio_2_2b!H20</f>
        <v>0</v>
      </c>
      <c r="F105" s="62">
        <f ca="1">Lekeitio_2_3a!H20</f>
        <v>0</v>
      </c>
      <c r="G105" s="62">
        <f ca="1">Lekeitio_2_3b!H20</f>
        <v>0</v>
      </c>
      <c r="H105" s="62">
        <f ca="1">Lekeitio_2_4a!H20</f>
        <v>0</v>
      </c>
      <c r="I105" s="62">
        <f ca="1">Lekeitio_2_4b!H20</f>
        <v>0</v>
      </c>
      <c r="J105" s="62">
        <f ca="1">Lekeitio_2_5a!H20</f>
        <v>0</v>
      </c>
      <c r="K105" s="62">
        <f ca="1">Lekeitio_2_5b!H20</f>
        <v>0</v>
      </c>
      <c r="L105" s="62">
        <f ca="1">Lekeitio_2_6a!H20</f>
        <v>0</v>
      </c>
      <c r="M105" s="62">
        <f ca="1">Lekeitio_2_6b!H20</f>
        <v>0</v>
      </c>
      <c r="N105" s="203">
        <f ca="1">Lekeitio_2_7a!H20</f>
        <v>0</v>
      </c>
      <c r="O105" s="203">
        <f ca="1">Lekeitio_2_7b!H20</f>
        <v>0</v>
      </c>
      <c r="P105" s="203">
        <f ca="1">Lekeitio_2_8a!H20</f>
        <v>0</v>
      </c>
      <c r="Q105" s="203">
        <f ca="1">Lekeitio_2_8b!H20</f>
        <v>0</v>
      </c>
      <c r="R105" s="203">
        <f ca="1">Lekeitio_2_9a!H20</f>
        <v>0</v>
      </c>
      <c r="S105" s="203">
        <f t="shared" ca="1" si="14"/>
        <v>0</v>
      </c>
      <c r="T105" s="32">
        <f t="shared" ca="1" si="15"/>
        <v>0</v>
      </c>
      <c r="U105" s="32">
        <f t="shared" ca="1" si="16"/>
        <v>0</v>
      </c>
      <c r="V105" s="32">
        <f t="shared" ca="1" si="17"/>
        <v>0</v>
      </c>
      <c r="W105" s="32">
        <f ca="1">IF(S105=0,0,-1*((S105/S88)*(LN(S105/S88))))</f>
        <v>0</v>
      </c>
      <c r="X105" s="286">
        <f ca="1">IF(S105=0,0,(S105/S88)^2)</f>
        <v>0</v>
      </c>
    </row>
    <row r="106" spans="1:24" x14ac:dyDescent="0.25">
      <c r="A106" s="276" t="s">
        <v>216</v>
      </c>
      <c r="B106" s="62">
        <f ca="1">Lekeitio_2_1a!H21</f>
        <v>0</v>
      </c>
      <c r="C106" s="62">
        <f ca="1">Lekeitio_2_1b!H21</f>
        <v>0</v>
      </c>
      <c r="D106" s="62">
        <f ca="1">Lekeitio_2_2a!H21</f>
        <v>0</v>
      </c>
      <c r="E106" s="62">
        <f ca="1">Lekeitio_2_2b!H21</f>
        <v>0</v>
      </c>
      <c r="F106" s="62">
        <f ca="1">Lekeitio_2_3a!H21</f>
        <v>0</v>
      </c>
      <c r="G106" s="62">
        <f ca="1">Lekeitio_2_3b!H21</f>
        <v>0</v>
      </c>
      <c r="H106" s="62">
        <f ca="1">Lekeitio_2_4a!H21</f>
        <v>0</v>
      </c>
      <c r="I106" s="62">
        <f ca="1">Lekeitio_2_4b!H21</f>
        <v>0</v>
      </c>
      <c r="J106" s="62">
        <f ca="1">Lekeitio_2_5a!H21</f>
        <v>0</v>
      </c>
      <c r="K106" s="62">
        <f ca="1">Lekeitio_2_5b!H21</f>
        <v>0</v>
      </c>
      <c r="L106" s="62">
        <f ca="1">Lekeitio_2_6a!H21</f>
        <v>0</v>
      </c>
      <c r="M106" s="62">
        <f ca="1">Lekeitio_2_6b!H21</f>
        <v>0</v>
      </c>
      <c r="N106" s="203">
        <f ca="1">Lekeitio_2_7a!H21</f>
        <v>0</v>
      </c>
      <c r="O106" s="203">
        <f ca="1">Lekeitio_2_7b!H21</f>
        <v>0</v>
      </c>
      <c r="P106" s="203">
        <f ca="1">Lekeitio_2_8a!H21</f>
        <v>0</v>
      </c>
      <c r="Q106" s="203">
        <f ca="1">Lekeitio_2_8b!H21</f>
        <v>0</v>
      </c>
      <c r="R106" s="203">
        <f ca="1">Lekeitio_2_9a!H21</f>
        <v>0</v>
      </c>
      <c r="S106" s="203">
        <f t="shared" ca="1" si="14"/>
        <v>0</v>
      </c>
      <c r="T106" s="32">
        <f t="shared" ca="1" si="15"/>
        <v>0</v>
      </c>
      <c r="U106" s="32">
        <f t="shared" ca="1" si="16"/>
        <v>0</v>
      </c>
      <c r="V106" s="32">
        <f t="shared" ca="1" si="17"/>
        <v>0</v>
      </c>
      <c r="W106" s="32">
        <f ca="1">IF(S106=0,0,-1*((S106/S88)*(LN(S106/S88))))</f>
        <v>0</v>
      </c>
      <c r="X106" s="286">
        <f ca="1">IF(S106=0,0,(S106/S88)^2)</f>
        <v>0</v>
      </c>
    </row>
    <row r="107" spans="1:24" x14ac:dyDescent="0.25">
      <c r="A107" s="276" t="s">
        <v>217</v>
      </c>
      <c r="B107" s="62">
        <f ca="1">Lekeitio_2_1a!H22</f>
        <v>0</v>
      </c>
      <c r="C107" s="62">
        <f ca="1">Lekeitio_2_1b!H22</f>
        <v>8</v>
      </c>
      <c r="D107" s="62">
        <f ca="1">Lekeitio_2_2a!H22</f>
        <v>0</v>
      </c>
      <c r="E107" s="62">
        <f ca="1">Lekeitio_2_2b!H22</f>
        <v>0</v>
      </c>
      <c r="F107" s="62">
        <f ca="1">Lekeitio_2_3a!H22</f>
        <v>0</v>
      </c>
      <c r="G107" s="62">
        <f ca="1">Lekeitio_2_3b!H22</f>
        <v>0</v>
      </c>
      <c r="H107" s="62">
        <f ca="1">Lekeitio_2_4a!H22</f>
        <v>0</v>
      </c>
      <c r="I107" s="62">
        <f ca="1">Lekeitio_2_4b!H22</f>
        <v>0</v>
      </c>
      <c r="J107" s="62">
        <f ca="1">Lekeitio_2_5a!H22</f>
        <v>0</v>
      </c>
      <c r="K107" s="62">
        <f ca="1">Lekeitio_2_5b!H22</f>
        <v>0</v>
      </c>
      <c r="L107" s="62">
        <f ca="1">Lekeitio_2_6a!H22</f>
        <v>0</v>
      </c>
      <c r="M107" s="62">
        <f ca="1">Lekeitio_2_6b!H22</f>
        <v>0</v>
      </c>
      <c r="N107" s="203">
        <f ca="1">Lekeitio_2_7a!H22</f>
        <v>0</v>
      </c>
      <c r="O107" s="203">
        <f ca="1">Lekeitio_2_7b!H22</f>
        <v>0</v>
      </c>
      <c r="P107" s="203">
        <f ca="1">Lekeitio_2_8a!H22</f>
        <v>0</v>
      </c>
      <c r="Q107" s="203">
        <f ca="1">Lekeitio_2_8b!H22</f>
        <v>0</v>
      </c>
      <c r="R107" s="203">
        <f ca="1">Lekeitio_2_9a!H22</f>
        <v>0</v>
      </c>
      <c r="S107" s="203">
        <f t="shared" ca="1" si="14"/>
        <v>8</v>
      </c>
      <c r="T107" s="32">
        <f t="shared" ca="1" si="15"/>
        <v>0.47058823529411764</v>
      </c>
      <c r="U107" s="32">
        <f t="shared" ca="1" si="16"/>
        <v>1.9402850002906638</v>
      </c>
      <c r="V107" s="32">
        <f t="shared" ca="1" si="17"/>
        <v>0.47058823529411764</v>
      </c>
      <c r="W107" s="32">
        <f ca="1">IF(S107=0,0,-1*((S107/S88)*(LN(S107/S88))))</f>
        <v>9.0173360309834902E-2</v>
      </c>
      <c r="X107" s="286">
        <f ca="1">IF(S107=0,0,(S107/S88)^2)</f>
        <v>5.8769513314967862E-4</v>
      </c>
    </row>
    <row r="108" spans="1:24" x14ac:dyDescent="0.25">
      <c r="A108" s="276" t="s">
        <v>218</v>
      </c>
      <c r="B108" s="62">
        <f ca="1">Lekeitio_2_1a!H23</f>
        <v>6</v>
      </c>
      <c r="C108" s="62">
        <f ca="1">Lekeitio_2_1b!H23</f>
        <v>17</v>
      </c>
      <c r="D108" s="62">
        <f ca="1">Lekeitio_2_2a!H23</f>
        <v>10</v>
      </c>
      <c r="E108" s="62">
        <f ca="1">Lekeitio_2_2b!H23</f>
        <v>9</v>
      </c>
      <c r="F108" s="62">
        <f ca="1">Lekeitio_2_3a!H23</f>
        <v>15</v>
      </c>
      <c r="G108" s="62">
        <f ca="1">Lekeitio_2_3b!H23</f>
        <v>14</v>
      </c>
      <c r="H108" s="62">
        <f ca="1">Lekeitio_2_4a!H23</f>
        <v>10</v>
      </c>
      <c r="I108" s="62">
        <f ca="1">Lekeitio_2_4b!H23</f>
        <v>4</v>
      </c>
      <c r="J108" s="62">
        <f ca="1">Lekeitio_2_5a!H23</f>
        <v>6</v>
      </c>
      <c r="K108" s="62">
        <f ca="1">Lekeitio_2_5b!H23</f>
        <v>23</v>
      </c>
      <c r="L108" s="62">
        <f ca="1">Lekeitio_2_6a!H23</f>
        <v>7</v>
      </c>
      <c r="M108" s="62">
        <f ca="1">Lekeitio_2_6b!H23</f>
        <v>10</v>
      </c>
      <c r="N108" s="203">
        <f ca="1">Lekeitio_2_7a!H23</f>
        <v>5</v>
      </c>
      <c r="O108" s="203">
        <f ca="1">Lekeitio_2_7b!H23</f>
        <v>9</v>
      </c>
      <c r="P108" s="203">
        <f ca="1">Lekeitio_2_8a!H23</f>
        <v>4</v>
      </c>
      <c r="Q108" s="203">
        <f ca="1">Lekeitio_2_8b!H23</f>
        <v>5</v>
      </c>
      <c r="R108" s="203">
        <f ca="1">Lekeitio_2_9a!H23</f>
        <v>18</v>
      </c>
      <c r="S108" s="203">
        <f t="shared" ca="1" si="14"/>
        <v>172</v>
      </c>
      <c r="T108" s="32">
        <f t="shared" ca="1" si="15"/>
        <v>10.117647058823529</v>
      </c>
      <c r="U108" s="32">
        <f t="shared" ca="1" si="16"/>
        <v>5.5213489400369413</v>
      </c>
      <c r="V108" s="32">
        <f t="shared" ca="1" si="17"/>
        <v>1.3391238162155541</v>
      </c>
      <c r="W108" s="32">
        <f ca="1">IF(S108=0,0,-1*((S108/S88)*(LN(S108/S88))))</f>
        <v>0.33962086834938343</v>
      </c>
      <c r="X108" s="286">
        <f ca="1">IF(S108=0,0,(S108/S88)^2)</f>
        <v>0.27166207529843894</v>
      </c>
    </row>
    <row r="109" spans="1:24" x14ac:dyDescent="0.25">
      <c r="A109" s="276" t="s">
        <v>219</v>
      </c>
      <c r="B109" s="62">
        <f ca="1">Lekeitio_2_1a!H24</f>
        <v>0</v>
      </c>
      <c r="C109" s="62">
        <f ca="1">Lekeitio_2_1b!H24</f>
        <v>0</v>
      </c>
      <c r="D109" s="62">
        <f ca="1">Lekeitio_2_2a!H24</f>
        <v>0</v>
      </c>
      <c r="E109" s="62">
        <f ca="1">Lekeitio_2_2b!H24</f>
        <v>0</v>
      </c>
      <c r="F109" s="62">
        <f ca="1">Lekeitio_2_3a!H24</f>
        <v>0</v>
      </c>
      <c r="G109" s="62">
        <f ca="1">Lekeitio_2_3b!H24</f>
        <v>0</v>
      </c>
      <c r="H109" s="62">
        <f ca="1">Lekeitio_2_4a!H24</f>
        <v>0</v>
      </c>
      <c r="I109" s="62">
        <f ca="1">Lekeitio_2_4b!H24</f>
        <v>1</v>
      </c>
      <c r="J109" s="62">
        <f ca="1">Lekeitio_2_5a!H24</f>
        <v>4</v>
      </c>
      <c r="K109" s="62">
        <f ca="1">Lekeitio_2_5b!H24</f>
        <v>2</v>
      </c>
      <c r="L109" s="62">
        <f ca="1">Lekeitio_2_6a!H24</f>
        <v>0</v>
      </c>
      <c r="M109" s="62">
        <f ca="1">Lekeitio_2_6b!H24</f>
        <v>0</v>
      </c>
      <c r="N109" s="203">
        <f ca="1">Lekeitio_2_7a!H24</f>
        <v>4</v>
      </c>
      <c r="O109" s="203">
        <f ca="1">Lekeitio_2_7b!H24</f>
        <v>0</v>
      </c>
      <c r="P109" s="203">
        <f ca="1">Lekeitio_2_8a!H24</f>
        <v>1</v>
      </c>
      <c r="Q109" s="203">
        <f ca="1">Lekeitio_2_8b!H24</f>
        <v>4</v>
      </c>
      <c r="R109" s="203">
        <f ca="1">Lekeitio_2_9a!H24</f>
        <v>1</v>
      </c>
      <c r="S109" s="203">
        <f t="shared" ca="1" si="14"/>
        <v>17</v>
      </c>
      <c r="T109" s="32">
        <f t="shared" ca="1" si="15"/>
        <v>1</v>
      </c>
      <c r="U109" s="32">
        <f t="shared" ca="1" si="16"/>
        <v>1.541103500742244</v>
      </c>
      <c r="V109" s="32">
        <f t="shared" ca="1" si="17"/>
        <v>0.37377250079820096</v>
      </c>
      <c r="W109" s="32">
        <f ca="1">IF(S109=0,0,-1*((S109/S88)*(LN(S109/S88))))</f>
        <v>0.15278772205113111</v>
      </c>
      <c r="X109" s="286">
        <f ca="1">IF(S109=0,0,(S109/S88)^2)</f>
        <v>2.6538108356290173E-3</v>
      </c>
    </row>
    <row r="110" spans="1:24" x14ac:dyDescent="0.25">
      <c r="A110" s="276" t="s">
        <v>220</v>
      </c>
      <c r="B110" s="62">
        <f ca="1">Lekeitio_2_1a!H25</f>
        <v>0</v>
      </c>
      <c r="C110" s="62">
        <f ca="1">Lekeitio_2_1b!H25</f>
        <v>0</v>
      </c>
      <c r="D110" s="62">
        <f ca="1">Lekeitio_2_2a!H25</f>
        <v>0</v>
      </c>
      <c r="E110" s="62">
        <f ca="1">Lekeitio_2_2b!H25</f>
        <v>0</v>
      </c>
      <c r="F110" s="62">
        <f ca="1">Lekeitio_2_3a!H25</f>
        <v>0</v>
      </c>
      <c r="G110" s="62">
        <f ca="1">Lekeitio_2_3b!H25</f>
        <v>0</v>
      </c>
      <c r="H110" s="62">
        <f ca="1">Lekeitio_2_4a!H25</f>
        <v>0</v>
      </c>
      <c r="I110" s="62">
        <f ca="1">Lekeitio_2_4b!H25</f>
        <v>0</v>
      </c>
      <c r="J110" s="62">
        <f ca="1">Lekeitio_2_5a!H25</f>
        <v>0</v>
      </c>
      <c r="K110" s="62">
        <f ca="1">Lekeitio_2_5b!H25</f>
        <v>0</v>
      </c>
      <c r="L110" s="62">
        <f ca="1">Lekeitio_2_6a!H25</f>
        <v>0</v>
      </c>
      <c r="M110" s="62">
        <f ca="1">Lekeitio_2_6b!H25</f>
        <v>0</v>
      </c>
      <c r="N110" s="203">
        <f ca="1">Lekeitio_2_7a!H25</f>
        <v>0</v>
      </c>
      <c r="O110" s="203">
        <f ca="1">Lekeitio_2_7b!H25</f>
        <v>0</v>
      </c>
      <c r="P110" s="203">
        <f ca="1">Lekeitio_2_8a!H25</f>
        <v>0</v>
      </c>
      <c r="Q110" s="203">
        <f ca="1">Lekeitio_2_8b!H25</f>
        <v>0</v>
      </c>
      <c r="R110" s="203">
        <f ca="1">Lekeitio_2_9a!H25</f>
        <v>0</v>
      </c>
      <c r="S110" s="203">
        <f t="shared" ca="1" si="14"/>
        <v>0</v>
      </c>
      <c r="T110" s="32">
        <f t="shared" ca="1" si="15"/>
        <v>0</v>
      </c>
      <c r="U110" s="32">
        <f t="shared" ca="1" si="16"/>
        <v>0</v>
      </c>
      <c r="V110" s="32">
        <f t="shared" ca="1" si="17"/>
        <v>0</v>
      </c>
      <c r="W110" s="32">
        <f ca="1">IF(S110=0,0,-1*((S110/S88)*(LN(S110/S88))))</f>
        <v>0</v>
      </c>
      <c r="X110" s="286">
        <f ca="1">IF(S110=0,0,(S110/S88)^2)</f>
        <v>0</v>
      </c>
    </row>
    <row r="111" spans="1:24" x14ac:dyDescent="0.25">
      <c r="A111" s="276" t="s">
        <v>221</v>
      </c>
      <c r="B111" s="62">
        <f ca="1">Lekeitio_2_1a!H26</f>
        <v>0</v>
      </c>
      <c r="C111" s="62">
        <f ca="1">Lekeitio_2_1b!H26</f>
        <v>0</v>
      </c>
      <c r="D111" s="62">
        <f ca="1">Lekeitio_2_2a!H26</f>
        <v>0</v>
      </c>
      <c r="E111" s="62">
        <f ca="1">Lekeitio_2_2b!H26</f>
        <v>0</v>
      </c>
      <c r="F111" s="62">
        <f ca="1">Lekeitio_2_3a!H26</f>
        <v>0</v>
      </c>
      <c r="G111" s="62">
        <f ca="1">Lekeitio_2_3b!H26</f>
        <v>0</v>
      </c>
      <c r="H111" s="62">
        <f ca="1">Lekeitio_2_4a!H26</f>
        <v>0</v>
      </c>
      <c r="I111" s="62">
        <f ca="1">Lekeitio_2_4b!H26</f>
        <v>0</v>
      </c>
      <c r="J111" s="62">
        <f ca="1">Lekeitio_2_5a!H26</f>
        <v>0</v>
      </c>
      <c r="K111" s="62">
        <f ca="1">Lekeitio_2_5b!H26</f>
        <v>0</v>
      </c>
      <c r="L111" s="62">
        <f ca="1">Lekeitio_2_6a!H26</f>
        <v>0</v>
      </c>
      <c r="M111" s="62">
        <f ca="1">Lekeitio_2_6b!H26</f>
        <v>0</v>
      </c>
      <c r="N111" s="203">
        <f ca="1">Lekeitio_2_7a!H26</f>
        <v>0</v>
      </c>
      <c r="O111" s="203">
        <f ca="1">Lekeitio_2_7b!H26</f>
        <v>0</v>
      </c>
      <c r="P111" s="203">
        <f ca="1">Lekeitio_2_8a!H26</f>
        <v>0</v>
      </c>
      <c r="Q111" s="203">
        <f ca="1">Lekeitio_2_8b!H26</f>
        <v>0</v>
      </c>
      <c r="R111" s="203">
        <f ca="1">Lekeitio_2_9a!H26</f>
        <v>0</v>
      </c>
      <c r="S111" s="203">
        <f t="shared" ca="1" si="14"/>
        <v>0</v>
      </c>
      <c r="T111" s="32">
        <f t="shared" ca="1" si="15"/>
        <v>0</v>
      </c>
      <c r="U111" s="32">
        <f t="shared" ca="1" si="16"/>
        <v>0</v>
      </c>
      <c r="V111" s="32">
        <f t="shared" ca="1" si="17"/>
        <v>0</v>
      </c>
      <c r="W111" s="32">
        <f ca="1">IF(S111=0,0,-1*((S111/S88)*(LN(S111/S88))))</f>
        <v>0</v>
      </c>
      <c r="X111" s="286">
        <f ca="1">IF(S111=0,0,(S111/S88)^2)</f>
        <v>0</v>
      </c>
    </row>
    <row r="112" spans="1:24" x14ac:dyDescent="0.25">
      <c r="A112" s="276" t="s">
        <v>222</v>
      </c>
      <c r="B112" s="62">
        <f ca="1">Lekeitio_2_1a!H27</f>
        <v>0</v>
      </c>
      <c r="C112" s="62">
        <f ca="1">Lekeitio_2_1b!H27</f>
        <v>0</v>
      </c>
      <c r="D112" s="62">
        <f ca="1">Lekeitio_2_2a!H27</f>
        <v>0</v>
      </c>
      <c r="E112" s="62">
        <f ca="1">Lekeitio_2_2b!H27</f>
        <v>0</v>
      </c>
      <c r="F112" s="62">
        <f ca="1">Lekeitio_2_3a!H27</f>
        <v>0</v>
      </c>
      <c r="G112" s="62">
        <f ca="1">Lekeitio_2_3b!H27</f>
        <v>0</v>
      </c>
      <c r="H112" s="62">
        <f ca="1">Lekeitio_2_4a!H27</f>
        <v>0</v>
      </c>
      <c r="I112" s="62">
        <f ca="1">Lekeitio_2_4b!H27</f>
        <v>0</v>
      </c>
      <c r="J112" s="62">
        <f ca="1">Lekeitio_2_5a!H27</f>
        <v>0</v>
      </c>
      <c r="K112" s="62">
        <f ca="1">Lekeitio_2_5b!H27</f>
        <v>0</v>
      </c>
      <c r="L112" s="62">
        <f ca="1">Lekeitio_2_6a!H27</f>
        <v>0</v>
      </c>
      <c r="M112" s="62">
        <f ca="1">Lekeitio_2_6b!H27</f>
        <v>0</v>
      </c>
      <c r="N112" s="203">
        <f ca="1">Lekeitio_2_7a!H27</f>
        <v>0</v>
      </c>
      <c r="O112" s="203">
        <f ca="1">Lekeitio_2_7b!H27</f>
        <v>0</v>
      </c>
      <c r="P112" s="203">
        <f ca="1">Lekeitio_2_8a!H27</f>
        <v>0</v>
      </c>
      <c r="Q112" s="203">
        <f ca="1">Lekeitio_2_8b!H27</f>
        <v>0</v>
      </c>
      <c r="R112" s="203">
        <f ca="1">Lekeitio_2_9a!H27</f>
        <v>0</v>
      </c>
      <c r="S112" s="203">
        <f t="shared" ca="1" si="14"/>
        <v>0</v>
      </c>
      <c r="T112" s="32">
        <f t="shared" ca="1" si="15"/>
        <v>0</v>
      </c>
      <c r="U112" s="32">
        <f t="shared" ca="1" si="16"/>
        <v>0</v>
      </c>
      <c r="V112" s="32">
        <f t="shared" ca="1" si="17"/>
        <v>0</v>
      </c>
      <c r="W112" s="32">
        <f ca="1">IF(S112=0,0,-1*((S112/S88)*(LN(S112/S88))))</f>
        <v>0</v>
      </c>
      <c r="X112" s="286">
        <f ca="1">IF(S112=0,0,(S112/S88)^2)</f>
        <v>0</v>
      </c>
    </row>
    <row r="113" spans="1:24" x14ac:dyDescent="0.25">
      <c r="A113" s="276" t="s">
        <v>223</v>
      </c>
      <c r="B113" s="62">
        <f ca="1">Lekeitio_2_1a!H28</f>
        <v>0</v>
      </c>
      <c r="C113" s="62">
        <f ca="1">Lekeitio_2_1b!H28</f>
        <v>0</v>
      </c>
      <c r="D113" s="62">
        <f ca="1">Lekeitio_2_2a!H28</f>
        <v>0</v>
      </c>
      <c r="E113" s="62">
        <f ca="1">Lekeitio_2_2b!H28</f>
        <v>0</v>
      </c>
      <c r="F113" s="62">
        <f ca="1">Lekeitio_2_3a!H28</f>
        <v>0</v>
      </c>
      <c r="G113" s="62">
        <f ca="1">Lekeitio_2_3b!H28</f>
        <v>0</v>
      </c>
      <c r="H113" s="62">
        <f ca="1">Lekeitio_2_4a!H28</f>
        <v>0</v>
      </c>
      <c r="I113" s="62">
        <f ca="1">Lekeitio_2_4b!H28</f>
        <v>0</v>
      </c>
      <c r="J113" s="62">
        <f ca="1">Lekeitio_2_5a!H28</f>
        <v>0</v>
      </c>
      <c r="K113" s="62">
        <f ca="1">Lekeitio_2_5b!H28</f>
        <v>0</v>
      </c>
      <c r="L113" s="62">
        <f ca="1">Lekeitio_2_6a!H28</f>
        <v>0</v>
      </c>
      <c r="M113" s="62">
        <f ca="1">Lekeitio_2_6b!H28</f>
        <v>0</v>
      </c>
      <c r="N113" s="203">
        <f ca="1">Lekeitio_2_7a!H28</f>
        <v>0</v>
      </c>
      <c r="O113" s="203">
        <f ca="1">Lekeitio_2_7b!H28</f>
        <v>0</v>
      </c>
      <c r="P113" s="203">
        <f ca="1">Lekeitio_2_8a!H28</f>
        <v>0</v>
      </c>
      <c r="Q113" s="203">
        <f ca="1">Lekeitio_2_8b!H28</f>
        <v>0</v>
      </c>
      <c r="R113" s="203">
        <f ca="1">Lekeitio_2_9a!H28</f>
        <v>0</v>
      </c>
      <c r="S113" s="203">
        <f t="shared" ca="1" si="14"/>
        <v>0</v>
      </c>
      <c r="T113" s="32">
        <f t="shared" ca="1" si="15"/>
        <v>0</v>
      </c>
      <c r="U113" s="32">
        <f t="shared" ca="1" si="16"/>
        <v>0</v>
      </c>
      <c r="V113" s="32">
        <f t="shared" ca="1" si="17"/>
        <v>0</v>
      </c>
      <c r="W113" s="32">
        <f ca="1">IF(S113=0,0,-1*((S113/S88)*(LN(S113/S88))))</f>
        <v>0</v>
      </c>
      <c r="X113" s="286">
        <f ca="1">IF(S113=0,0,(S113/S88)^2)</f>
        <v>0</v>
      </c>
    </row>
    <row r="114" spans="1:24" x14ac:dyDescent="0.25">
      <c r="A114" s="276" t="s">
        <v>224</v>
      </c>
      <c r="B114" s="62">
        <f ca="1">Lekeitio_2_1a!H29</f>
        <v>0</v>
      </c>
      <c r="C114" s="62">
        <f ca="1">Lekeitio_2_1b!H29</f>
        <v>0</v>
      </c>
      <c r="D114" s="62">
        <f ca="1">Lekeitio_2_2a!H29</f>
        <v>0</v>
      </c>
      <c r="E114" s="62">
        <f ca="1">Lekeitio_2_2b!H29</f>
        <v>0</v>
      </c>
      <c r="F114" s="62">
        <f ca="1">Lekeitio_2_3a!H29</f>
        <v>0</v>
      </c>
      <c r="G114" s="62">
        <f ca="1">Lekeitio_2_3b!H29</f>
        <v>0</v>
      </c>
      <c r="H114" s="62">
        <f ca="1">Lekeitio_2_4a!H29</f>
        <v>0</v>
      </c>
      <c r="I114" s="62">
        <f ca="1">Lekeitio_2_4b!H29</f>
        <v>0</v>
      </c>
      <c r="J114" s="62">
        <f ca="1">Lekeitio_2_5a!H29</f>
        <v>0</v>
      </c>
      <c r="K114" s="62">
        <f ca="1">Lekeitio_2_5b!H29</f>
        <v>0</v>
      </c>
      <c r="L114" s="62">
        <f ca="1">Lekeitio_2_6a!H29</f>
        <v>0</v>
      </c>
      <c r="M114" s="62">
        <f ca="1">Lekeitio_2_6b!H29</f>
        <v>0</v>
      </c>
      <c r="N114" s="203">
        <f ca="1">Lekeitio_2_7a!H29</f>
        <v>0</v>
      </c>
      <c r="O114" s="203">
        <f ca="1">Lekeitio_2_7b!H29</f>
        <v>0</v>
      </c>
      <c r="P114" s="203">
        <f ca="1">Lekeitio_2_8a!H29</f>
        <v>0</v>
      </c>
      <c r="Q114" s="203">
        <f ca="1">Lekeitio_2_8b!H29</f>
        <v>0</v>
      </c>
      <c r="R114" s="203">
        <f ca="1">Lekeitio_2_9a!H29</f>
        <v>0</v>
      </c>
      <c r="S114" s="203">
        <f t="shared" ca="1" si="14"/>
        <v>0</v>
      </c>
      <c r="T114" s="32">
        <f t="shared" ca="1" si="15"/>
        <v>0</v>
      </c>
      <c r="U114" s="32">
        <f t="shared" ca="1" si="16"/>
        <v>0</v>
      </c>
      <c r="V114" s="32">
        <f t="shared" ca="1" si="17"/>
        <v>0</v>
      </c>
      <c r="W114" s="32">
        <f ca="1">IF(S114=0,0,-1*((S114/S88)*(LN(S114/S88))))</f>
        <v>0</v>
      </c>
      <c r="X114" s="286">
        <f ca="1">IF(S114=0,0,(S114/S88)^2)</f>
        <v>0</v>
      </c>
    </row>
    <row r="115" spans="1:24" x14ac:dyDescent="0.25">
      <c r="A115" s="276" t="s">
        <v>225</v>
      </c>
      <c r="B115" s="62">
        <f ca="1">Lekeitio_2_1a!H30</f>
        <v>0</v>
      </c>
      <c r="C115" s="62">
        <f ca="1">Lekeitio_2_1b!H30</f>
        <v>0</v>
      </c>
      <c r="D115" s="62">
        <f ca="1">Lekeitio_2_2a!H30</f>
        <v>0</v>
      </c>
      <c r="E115" s="62">
        <f ca="1">Lekeitio_2_2b!H30</f>
        <v>0</v>
      </c>
      <c r="F115" s="62">
        <f ca="1">Lekeitio_2_3a!H30</f>
        <v>0</v>
      </c>
      <c r="G115" s="62">
        <f ca="1">Lekeitio_2_3b!H30</f>
        <v>0</v>
      </c>
      <c r="H115" s="62">
        <f ca="1">Lekeitio_2_4a!H30</f>
        <v>0</v>
      </c>
      <c r="I115" s="62">
        <f ca="1">Lekeitio_2_4b!H30</f>
        <v>0</v>
      </c>
      <c r="J115" s="62">
        <f ca="1">Lekeitio_2_5a!H30</f>
        <v>0</v>
      </c>
      <c r="K115" s="62">
        <f ca="1">Lekeitio_2_5b!H30</f>
        <v>0</v>
      </c>
      <c r="L115" s="62">
        <f ca="1">Lekeitio_2_6a!H30</f>
        <v>0</v>
      </c>
      <c r="M115" s="62">
        <f ca="1">Lekeitio_2_6b!H30</f>
        <v>0</v>
      </c>
      <c r="N115" s="203">
        <f ca="1">Lekeitio_2_7a!H30</f>
        <v>0</v>
      </c>
      <c r="O115" s="203">
        <f ca="1">Lekeitio_2_7b!H30</f>
        <v>0</v>
      </c>
      <c r="P115" s="203">
        <f ca="1">Lekeitio_2_8a!H30</f>
        <v>0</v>
      </c>
      <c r="Q115" s="203">
        <f ca="1">Lekeitio_2_8b!H30</f>
        <v>0</v>
      </c>
      <c r="R115" s="203">
        <f ca="1">Lekeitio_2_9a!H30</f>
        <v>0</v>
      </c>
      <c r="S115" s="203">
        <f t="shared" ca="1" si="14"/>
        <v>0</v>
      </c>
      <c r="T115" s="32">
        <f t="shared" ca="1" si="15"/>
        <v>0</v>
      </c>
      <c r="U115" s="32">
        <f t="shared" ca="1" si="16"/>
        <v>0</v>
      </c>
      <c r="V115" s="32">
        <f t="shared" ca="1" si="17"/>
        <v>0</v>
      </c>
      <c r="W115" s="32">
        <f ca="1">IF(S115=0,0,-1*((S115/S88)*(LN(S115/S88))))</f>
        <v>0</v>
      </c>
      <c r="X115" s="286">
        <f ca="1">IF(S115=0,0,(S115/S88)^2)</f>
        <v>0</v>
      </c>
    </row>
    <row r="116" spans="1:24" x14ac:dyDescent="0.25">
      <c r="A116" s="276" t="s">
        <v>226</v>
      </c>
      <c r="B116" s="62">
        <f ca="1">Lekeitio_2_1a!H31</f>
        <v>0</v>
      </c>
      <c r="C116" s="62">
        <f ca="1">Lekeitio_2_1b!H31</f>
        <v>0</v>
      </c>
      <c r="D116" s="62">
        <f ca="1">Lekeitio_2_2a!H31</f>
        <v>0</v>
      </c>
      <c r="E116" s="62">
        <f ca="1">Lekeitio_2_2b!H31</f>
        <v>0</v>
      </c>
      <c r="F116" s="62">
        <f ca="1">Lekeitio_2_3a!H31</f>
        <v>0</v>
      </c>
      <c r="G116" s="62">
        <f ca="1">Lekeitio_2_3b!H31</f>
        <v>0</v>
      </c>
      <c r="H116" s="62">
        <f ca="1">Lekeitio_2_4a!H31</f>
        <v>0</v>
      </c>
      <c r="I116" s="62">
        <f ca="1">Lekeitio_2_4b!H31</f>
        <v>0</v>
      </c>
      <c r="J116" s="62">
        <f ca="1">Lekeitio_2_5a!H31</f>
        <v>0</v>
      </c>
      <c r="K116" s="62">
        <f ca="1">Lekeitio_2_5b!H31</f>
        <v>0</v>
      </c>
      <c r="L116" s="62">
        <f ca="1">Lekeitio_2_6a!H31</f>
        <v>0</v>
      </c>
      <c r="M116" s="62">
        <f ca="1">Lekeitio_2_6b!H31</f>
        <v>3</v>
      </c>
      <c r="N116" s="203">
        <f ca="1">Lekeitio_2_7a!H31</f>
        <v>7</v>
      </c>
      <c r="O116" s="203">
        <f ca="1">Lekeitio_2_7b!H31</f>
        <v>0</v>
      </c>
      <c r="P116" s="203">
        <f ca="1">Lekeitio_2_8a!H31</f>
        <v>0</v>
      </c>
      <c r="Q116" s="203">
        <f ca="1">Lekeitio_2_8b!H31</f>
        <v>0</v>
      </c>
      <c r="R116" s="203">
        <f ca="1">Lekeitio_2_9a!H31</f>
        <v>0</v>
      </c>
      <c r="S116" s="203">
        <f t="shared" ca="1" si="14"/>
        <v>10</v>
      </c>
      <c r="T116" s="32">
        <f t="shared" ca="1" si="15"/>
        <v>0.58823529411764708</v>
      </c>
      <c r="U116" s="32">
        <f t="shared" ca="1" si="16"/>
        <v>1.8048138245194352</v>
      </c>
      <c r="V116" s="32">
        <f t="shared" ca="1" si="17"/>
        <v>0.43773164900403577</v>
      </c>
      <c r="W116" s="32">
        <f ca="1">IF(S116=0,0,-1*((S116/S88)*(LN(S116/S88))))</f>
        <v>0.10595477458989334</v>
      </c>
      <c r="X116" s="286">
        <f ca="1">IF(S116=0,0,(S116/S88)^2)</f>
        <v>9.1827364554637292E-4</v>
      </c>
    </row>
    <row r="117" spans="1:24" x14ac:dyDescent="0.25">
      <c r="A117" s="276" t="s">
        <v>227</v>
      </c>
      <c r="B117" s="62">
        <f ca="1">Lekeitio_2_1a!H32</f>
        <v>0</v>
      </c>
      <c r="C117" s="62">
        <f ca="1">Lekeitio_2_1b!H32</f>
        <v>0</v>
      </c>
      <c r="D117" s="62">
        <f ca="1">Lekeitio_2_2a!H32</f>
        <v>0</v>
      </c>
      <c r="E117" s="62">
        <f ca="1">Lekeitio_2_2b!H32</f>
        <v>0</v>
      </c>
      <c r="F117" s="62">
        <f ca="1">Lekeitio_2_3a!H32</f>
        <v>0</v>
      </c>
      <c r="G117" s="62">
        <f ca="1">Lekeitio_2_3b!H32</f>
        <v>0</v>
      </c>
      <c r="H117" s="62">
        <f ca="1">Lekeitio_2_4a!H32</f>
        <v>0</v>
      </c>
      <c r="I117" s="62">
        <f ca="1">Lekeitio_2_4b!H32</f>
        <v>0</v>
      </c>
      <c r="J117" s="62">
        <f ca="1">Lekeitio_2_5a!H32</f>
        <v>0</v>
      </c>
      <c r="K117" s="62">
        <f ca="1">Lekeitio_2_5b!H32</f>
        <v>0</v>
      </c>
      <c r="L117" s="62">
        <f ca="1">Lekeitio_2_6a!H32</f>
        <v>0</v>
      </c>
      <c r="M117" s="62">
        <f ca="1">Lekeitio_2_6b!H32</f>
        <v>0</v>
      </c>
      <c r="N117" s="203">
        <f ca="1">Lekeitio_2_7a!H32</f>
        <v>0</v>
      </c>
      <c r="O117" s="203">
        <f ca="1">Lekeitio_2_7b!H32</f>
        <v>0</v>
      </c>
      <c r="P117" s="203">
        <f ca="1">Lekeitio_2_8a!H32</f>
        <v>0</v>
      </c>
      <c r="Q117" s="203">
        <f ca="1">Lekeitio_2_8b!H32</f>
        <v>0</v>
      </c>
      <c r="R117" s="203">
        <f ca="1">Lekeitio_2_9a!H32</f>
        <v>0</v>
      </c>
      <c r="S117" s="203">
        <f t="shared" ca="1" si="14"/>
        <v>0</v>
      </c>
      <c r="T117" s="32">
        <f t="shared" ca="1" si="15"/>
        <v>0</v>
      </c>
      <c r="U117" s="32">
        <f t="shared" ca="1" si="16"/>
        <v>0</v>
      </c>
      <c r="V117" s="32">
        <f t="shared" ca="1" si="17"/>
        <v>0</v>
      </c>
      <c r="W117" s="32">
        <f ca="1">IF(S117=0,0,-1*((S117/S88)*(LN(S117/S88))))</f>
        <v>0</v>
      </c>
      <c r="X117" s="286">
        <f ca="1">IF(S117=0,0,(S117/S88)^2)</f>
        <v>0</v>
      </c>
    </row>
    <row r="118" spans="1:24" x14ac:dyDescent="0.25">
      <c r="A118" s="276" t="s">
        <v>228</v>
      </c>
      <c r="B118" s="62">
        <f ca="1">Lekeitio_2_1a!H33</f>
        <v>1</v>
      </c>
      <c r="C118" s="62">
        <f ca="1">Lekeitio_2_1b!H33</f>
        <v>0</v>
      </c>
      <c r="D118" s="62">
        <f ca="1">Lekeitio_2_2a!H33</f>
        <v>0</v>
      </c>
      <c r="E118" s="62">
        <f ca="1">Lekeitio_2_2b!H33</f>
        <v>11</v>
      </c>
      <c r="F118" s="62">
        <f ca="1">Lekeitio_2_3a!H33</f>
        <v>13</v>
      </c>
      <c r="G118" s="62">
        <f ca="1">Lekeitio_2_3b!H33</f>
        <v>0</v>
      </c>
      <c r="H118" s="62">
        <f ca="1">Lekeitio_2_4a!H33</f>
        <v>0</v>
      </c>
      <c r="I118" s="62">
        <f ca="1">Lekeitio_2_4b!H33</f>
        <v>17</v>
      </c>
      <c r="J118" s="62">
        <f ca="1">Lekeitio_2_5a!H33</f>
        <v>12</v>
      </c>
      <c r="K118" s="62">
        <f ca="1">Lekeitio_2_5b!H33</f>
        <v>0</v>
      </c>
      <c r="L118" s="62">
        <f ca="1">Lekeitio_2_6a!H33</f>
        <v>1</v>
      </c>
      <c r="M118" s="62">
        <f ca="1">Lekeitio_2_6b!H33</f>
        <v>12</v>
      </c>
      <c r="N118" s="203">
        <f ca="1">Lekeitio_2_7a!H33</f>
        <v>12</v>
      </c>
      <c r="O118" s="203">
        <f ca="1">Lekeitio_2_7b!H33</f>
        <v>3</v>
      </c>
      <c r="P118" s="203">
        <f ca="1">Lekeitio_2_8a!H33</f>
        <v>0</v>
      </c>
      <c r="Q118" s="203">
        <f ca="1">Lekeitio_2_8b!H33</f>
        <v>13</v>
      </c>
      <c r="R118" s="203">
        <f ca="1">Lekeitio_2_9a!H33</f>
        <v>12</v>
      </c>
      <c r="S118" s="203">
        <f t="shared" ca="1" si="14"/>
        <v>107</v>
      </c>
      <c r="T118" s="32">
        <f t="shared" ca="1" si="15"/>
        <v>6.2941176470588234</v>
      </c>
      <c r="U118" s="32">
        <f t="shared" ca="1" si="16"/>
        <v>6.430053517296269</v>
      </c>
      <c r="V118" s="32">
        <f t="shared" ca="1" si="17"/>
        <v>1.5595170488345218</v>
      </c>
      <c r="W118" s="32">
        <f ca="1">IF(S118=0,0,-1*((S118/S88)*(LN(S118/S88))))</f>
        <v>0.36518251133288582</v>
      </c>
      <c r="X118" s="286">
        <f ca="1">IF(S118=0,0,(S118/S88)^2)</f>
        <v>0.10513314967860421</v>
      </c>
    </row>
    <row r="119" spans="1:24" x14ac:dyDescent="0.25">
      <c r="A119" s="276" t="s">
        <v>229</v>
      </c>
      <c r="B119" s="62">
        <f ca="1">Lekeitio_2_1a!H34</f>
        <v>16</v>
      </c>
      <c r="C119" s="62">
        <f ca="1">Lekeitio_2_1b!H34</f>
        <v>0</v>
      </c>
      <c r="D119" s="62">
        <f ca="1">Lekeitio_2_2a!H34</f>
        <v>0</v>
      </c>
      <c r="E119" s="62">
        <f ca="1">Lekeitio_2_2b!H34</f>
        <v>0</v>
      </c>
      <c r="F119" s="62">
        <f ca="1">Lekeitio_2_3a!H34</f>
        <v>0</v>
      </c>
      <c r="G119" s="62">
        <f ca="1">Lekeitio_2_3b!H34</f>
        <v>0</v>
      </c>
      <c r="H119" s="62">
        <f ca="1">Lekeitio_2_4a!H34</f>
        <v>0</v>
      </c>
      <c r="I119" s="62">
        <f ca="1">Lekeitio_2_4b!H34</f>
        <v>0</v>
      </c>
      <c r="J119" s="62">
        <f ca="1">Lekeitio_2_5a!H34</f>
        <v>0</v>
      </c>
      <c r="K119" s="62">
        <f ca="1">Lekeitio_2_5b!H34</f>
        <v>0</v>
      </c>
      <c r="L119" s="62">
        <f ca="1">Lekeitio_2_6a!H34</f>
        <v>0</v>
      </c>
      <c r="M119" s="62">
        <f ca="1">Lekeitio_2_6b!H34</f>
        <v>0</v>
      </c>
      <c r="N119" s="203">
        <f ca="1">Lekeitio_2_7a!H34</f>
        <v>0</v>
      </c>
      <c r="O119" s="203">
        <f ca="1">Lekeitio_2_7b!H34</f>
        <v>0</v>
      </c>
      <c r="P119" s="203">
        <f ca="1">Lekeitio_2_8a!H34</f>
        <v>0</v>
      </c>
      <c r="Q119" s="203">
        <f ca="1">Lekeitio_2_8b!H34</f>
        <v>0</v>
      </c>
      <c r="R119" s="203">
        <f ca="1">Lekeitio_2_9a!H34</f>
        <v>0</v>
      </c>
      <c r="S119" s="203">
        <f t="shared" ca="1" si="14"/>
        <v>16</v>
      </c>
      <c r="T119" s="32">
        <f t="shared" ca="1" si="15"/>
        <v>0.94117647058823528</v>
      </c>
      <c r="U119" s="32">
        <f t="shared" ca="1" si="16"/>
        <v>3.8805700005813275</v>
      </c>
      <c r="V119" s="32">
        <f t="shared" ca="1" si="17"/>
        <v>0.94117647058823528</v>
      </c>
      <c r="W119" s="32">
        <f ca="1">IF(S119=0,0,-1*((S119/S88)*(LN(S119/S88))))</f>
        <v>0.14673958459252096</v>
      </c>
      <c r="X119" s="286">
        <f ca="1">IF(S119=0,0,(S119/S88)^2)</f>
        <v>2.3507805325987145E-3</v>
      </c>
    </row>
    <row r="120" spans="1:24" x14ac:dyDescent="0.25">
      <c r="A120" s="277" t="s">
        <v>321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35"/>
      <c r="O120" s="35"/>
      <c r="P120" s="35"/>
      <c r="Q120" s="35"/>
      <c r="R120" s="35"/>
      <c r="S120" s="35"/>
      <c r="T120" s="35"/>
      <c r="U120" s="35"/>
      <c r="V120" s="35"/>
      <c r="W120" s="36">
        <f ca="1">SUM(W121:W122)</f>
        <v>0</v>
      </c>
      <c r="X120" s="287">
        <f ca="1">1-SUM(X121:X122)</f>
        <v>1</v>
      </c>
    </row>
    <row r="121" spans="1:24" x14ac:dyDescent="0.25">
      <c r="A121" s="276" t="s">
        <v>230</v>
      </c>
      <c r="B121" s="62">
        <f ca="1">Lekeitio_2_1a!H36</f>
        <v>0</v>
      </c>
      <c r="C121" s="62">
        <f ca="1">Lekeitio_2_1b!H36</f>
        <v>0</v>
      </c>
      <c r="D121" s="62">
        <f ca="1">Lekeitio_2_2a!H36</f>
        <v>0</v>
      </c>
      <c r="E121" s="62">
        <f ca="1">Lekeitio_2_2b!H36</f>
        <v>0</v>
      </c>
      <c r="F121" s="62">
        <f ca="1">Lekeitio_2_3a!H36</f>
        <v>0</v>
      </c>
      <c r="G121" s="62">
        <f ca="1">Lekeitio_2_3b!H36</f>
        <v>0</v>
      </c>
      <c r="H121" s="62">
        <f ca="1">Lekeitio_2_4a!H36</f>
        <v>0</v>
      </c>
      <c r="I121" s="62">
        <f ca="1">Lekeitio_2_4b!H36</f>
        <v>0</v>
      </c>
      <c r="J121" s="62">
        <f ca="1">Lekeitio_2_5a!H36</f>
        <v>0</v>
      </c>
      <c r="K121" s="62">
        <f ca="1">Lekeitio_2_5b!H36</f>
        <v>0</v>
      </c>
      <c r="L121" s="62">
        <f ca="1">Lekeitio_2_6a!H36</f>
        <v>0</v>
      </c>
      <c r="M121" s="62">
        <f ca="1">Lekeitio_2_6b!H36</f>
        <v>0</v>
      </c>
      <c r="N121" s="203">
        <f ca="1">Lekeitio_2_7a!H36</f>
        <v>0</v>
      </c>
      <c r="O121" s="203">
        <f ca="1">Lekeitio_2_7b!H36</f>
        <v>0</v>
      </c>
      <c r="P121" s="203">
        <f ca="1">Lekeitio_2_8a!H36</f>
        <v>0</v>
      </c>
      <c r="Q121" s="203">
        <f ca="1">Lekeitio_2_8b!H36</f>
        <v>0</v>
      </c>
      <c r="R121" s="203">
        <f ca="1">Lekeitio_2_9a!H36</f>
        <v>0</v>
      </c>
      <c r="S121" s="203">
        <f ca="1">SUM(B121:R121)</f>
        <v>0</v>
      </c>
      <c r="T121" s="32">
        <f ca="1">AVERAGE(B121:R121)</f>
        <v>0</v>
      </c>
      <c r="U121" s="32">
        <f ca="1">STDEV(B121:R121)</f>
        <v>0</v>
      </c>
      <c r="V121" s="32">
        <f ca="1">U121/SQRT(17)</f>
        <v>0</v>
      </c>
      <c r="W121" s="32">
        <f ca="1">IF(S121=0,0,-1*((S121/S89)*(LN(S121/S89))))</f>
        <v>0</v>
      </c>
      <c r="X121" s="286">
        <f ca="1">IF(S121=0,0,(S121/S89)^2)</f>
        <v>0</v>
      </c>
    </row>
    <row r="122" spans="1:24" x14ac:dyDescent="0.25">
      <c r="A122" s="276" t="s">
        <v>231</v>
      </c>
      <c r="B122" s="62">
        <f ca="1">Lekeitio_2_1a!H37</f>
        <v>0</v>
      </c>
      <c r="C122" s="62">
        <f ca="1">Lekeitio_2_1b!H37</f>
        <v>0</v>
      </c>
      <c r="D122" s="62">
        <f ca="1">Lekeitio_2_2a!H37</f>
        <v>0</v>
      </c>
      <c r="E122" s="62">
        <f ca="1">Lekeitio_2_2b!H37</f>
        <v>0</v>
      </c>
      <c r="F122" s="62">
        <f ca="1">Lekeitio_2_3a!H37</f>
        <v>0</v>
      </c>
      <c r="G122" s="62">
        <f ca="1">Lekeitio_2_3b!H37</f>
        <v>0</v>
      </c>
      <c r="H122" s="62">
        <f ca="1">Lekeitio_2_4a!H37</f>
        <v>0</v>
      </c>
      <c r="I122" s="62">
        <f ca="1">Lekeitio_2_4b!H37</f>
        <v>0</v>
      </c>
      <c r="J122" s="62">
        <f ca="1">Lekeitio_2_5a!H37</f>
        <v>0</v>
      </c>
      <c r="K122" s="62">
        <f ca="1">Lekeitio_2_5b!H37</f>
        <v>0</v>
      </c>
      <c r="L122" s="62">
        <f ca="1">Lekeitio_2_6a!H37</f>
        <v>0</v>
      </c>
      <c r="M122" s="62">
        <f ca="1">Lekeitio_2_6b!H37</f>
        <v>0</v>
      </c>
      <c r="N122" s="203">
        <f ca="1">Lekeitio_2_7a!H37</f>
        <v>0</v>
      </c>
      <c r="O122" s="203">
        <f ca="1">Lekeitio_2_7b!H37</f>
        <v>0</v>
      </c>
      <c r="P122" s="203">
        <f ca="1">Lekeitio_2_8a!H37</f>
        <v>0</v>
      </c>
      <c r="Q122" s="203">
        <f ca="1">Lekeitio_2_8b!H37</f>
        <v>0</v>
      </c>
      <c r="R122" s="203">
        <f ca="1">Lekeitio_2_9a!H37</f>
        <v>0</v>
      </c>
      <c r="S122" s="203">
        <f ca="1">SUM(B122:R122)</f>
        <v>0</v>
      </c>
      <c r="T122" s="32">
        <f ca="1">AVERAGE(B122:R122)</f>
        <v>0</v>
      </c>
      <c r="U122" s="32">
        <f ca="1">STDEV(B122:R122)</f>
        <v>0</v>
      </c>
      <c r="V122" s="32">
        <f ca="1">U122/SQRT(17)</f>
        <v>0</v>
      </c>
      <c r="W122" s="32">
        <f ca="1">IF(S122=0,0,-1*((S122/S89)*(LN(S122/S89))))</f>
        <v>0</v>
      </c>
      <c r="X122" s="286">
        <f ca="1">IF(S122=0,0,(S122/S89)^2)</f>
        <v>0</v>
      </c>
    </row>
    <row r="123" spans="1:24" x14ac:dyDescent="0.25">
      <c r="A123" s="277" t="s">
        <v>322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35"/>
      <c r="O123" s="35"/>
      <c r="P123" s="35"/>
      <c r="Q123" s="35"/>
      <c r="R123" s="35"/>
      <c r="S123" s="35"/>
      <c r="T123" s="35"/>
      <c r="U123" s="35"/>
      <c r="V123" s="35"/>
      <c r="W123" s="36">
        <f ca="1">SUM(W124:W129)</f>
        <v>0</v>
      </c>
      <c r="X123" s="287">
        <f ca="1">1-SUM(X124:X129)</f>
        <v>0</v>
      </c>
    </row>
    <row r="124" spans="1:24" x14ac:dyDescent="0.25">
      <c r="A124" s="276" t="s">
        <v>232</v>
      </c>
      <c r="B124" s="62">
        <f ca="1">Lekeitio_2_1a!H39</f>
        <v>0</v>
      </c>
      <c r="C124" s="62">
        <f ca="1">Lekeitio_2_1b!H39</f>
        <v>0</v>
      </c>
      <c r="D124" s="62">
        <f ca="1">Lekeitio_2_2a!H39</f>
        <v>0</v>
      </c>
      <c r="E124" s="62">
        <f ca="1">Lekeitio_2_2b!H39</f>
        <v>0</v>
      </c>
      <c r="F124" s="62">
        <f ca="1">Lekeitio_2_3a!H39</f>
        <v>0</v>
      </c>
      <c r="G124" s="62">
        <f ca="1">Lekeitio_2_3b!H39</f>
        <v>0</v>
      </c>
      <c r="H124" s="62">
        <f ca="1">Lekeitio_2_4a!H39</f>
        <v>0</v>
      </c>
      <c r="I124" s="62">
        <f ca="1">Lekeitio_2_4b!H39</f>
        <v>0</v>
      </c>
      <c r="J124" s="62">
        <f ca="1">Lekeitio_2_5a!H39</f>
        <v>0</v>
      </c>
      <c r="K124" s="62">
        <f ca="1">Lekeitio_2_5b!H39</f>
        <v>0</v>
      </c>
      <c r="L124" s="62">
        <f ca="1">Lekeitio_2_6a!H39</f>
        <v>0</v>
      </c>
      <c r="M124" s="62">
        <f ca="1">Lekeitio_2_6b!H39</f>
        <v>0</v>
      </c>
      <c r="N124" s="203">
        <f ca="1">Lekeitio_2_7a!H39</f>
        <v>0</v>
      </c>
      <c r="O124" s="203">
        <f ca="1">Lekeitio_2_7b!H39</f>
        <v>0</v>
      </c>
      <c r="P124" s="203">
        <f ca="1">Lekeitio_2_8a!H39</f>
        <v>0</v>
      </c>
      <c r="Q124" s="203">
        <f ca="1">Lekeitio_2_8b!H39</f>
        <v>0</v>
      </c>
      <c r="R124" s="203">
        <f ca="1">Lekeitio_2_9a!H39</f>
        <v>0</v>
      </c>
      <c r="S124" s="203">
        <f t="shared" ref="S124:S129" ca="1" si="18">SUM(B124:R124)</f>
        <v>0</v>
      </c>
      <c r="T124" s="32">
        <f t="shared" ref="T124:T129" ca="1" si="19">AVERAGE(B124:R124)</f>
        <v>0</v>
      </c>
      <c r="U124" s="32">
        <f t="shared" ref="U124:U129" ca="1" si="20">STDEV(B124:R124)</f>
        <v>0</v>
      </c>
      <c r="V124" s="32">
        <f t="shared" ref="V124:V129" ca="1" si="21">U124/SQRT(17)</f>
        <v>0</v>
      </c>
      <c r="W124" s="32">
        <f ca="1">IF(S124=0,0,-1*((S124/S90)*(LN(S124/S90))))</f>
        <v>0</v>
      </c>
      <c r="X124" s="286">
        <f ca="1">IF(S124=0,0,(S124/S90)^2)</f>
        <v>0</v>
      </c>
    </row>
    <row r="125" spans="1:24" x14ac:dyDescent="0.25">
      <c r="A125" s="276" t="s">
        <v>233</v>
      </c>
      <c r="B125" s="62">
        <f ca="1">Lekeitio_2_1a!H40</f>
        <v>0</v>
      </c>
      <c r="C125" s="62">
        <f ca="1">Lekeitio_2_1b!H40</f>
        <v>0</v>
      </c>
      <c r="D125" s="62">
        <f ca="1">Lekeitio_2_2a!H40</f>
        <v>0</v>
      </c>
      <c r="E125" s="62">
        <f ca="1">Lekeitio_2_2b!H40</f>
        <v>0</v>
      </c>
      <c r="F125" s="62">
        <f ca="1">Lekeitio_2_3a!H40</f>
        <v>0</v>
      </c>
      <c r="G125" s="62">
        <f ca="1">Lekeitio_2_3b!H40</f>
        <v>0</v>
      </c>
      <c r="H125" s="62">
        <f ca="1">Lekeitio_2_4a!H40</f>
        <v>0</v>
      </c>
      <c r="I125" s="62">
        <f ca="1">Lekeitio_2_4b!H40</f>
        <v>0</v>
      </c>
      <c r="J125" s="62">
        <f ca="1">Lekeitio_2_5a!H40</f>
        <v>0</v>
      </c>
      <c r="K125" s="62">
        <f ca="1">Lekeitio_2_5b!H40</f>
        <v>0</v>
      </c>
      <c r="L125" s="62">
        <f ca="1">Lekeitio_2_6a!H40</f>
        <v>0</v>
      </c>
      <c r="M125" s="62">
        <f ca="1">Lekeitio_2_6b!H40</f>
        <v>0</v>
      </c>
      <c r="N125" s="203">
        <f ca="1">Lekeitio_2_7a!H40</f>
        <v>0</v>
      </c>
      <c r="O125" s="203">
        <f ca="1">Lekeitio_2_7b!H40</f>
        <v>0</v>
      </c>
      <c r="P125" s="203">
        <f ca="1">Lekeitio_2_8a!H40</f>
        <v>0</v>
      </c>
      <c r="Q125" s="203">
        <f ca="1">Lekeitio_2_8b!H40</f>
        <v>0</v>
      </c>
      <c r="R125" s="203">
        <f ca="1">Lekeitio_2_9a!H40</f>
        <v>0</v>
      </c>
      <c r="S125" s="203">
        <f t="shared" ca="1" si="18"/>
        <v>0</v>
      </c>
      <c r="T125" s="32">
        <f t="shared" ca="1" si="19"/>
        <v>0</v>
      </c>
      <c r="U125" s="32">
        <f t="shared" ca="1" si="20"/>
        <v>0</v>
      </c>
      <c r="V125" s="32">
        <f t="shared" ca="1" si="21"/>
        <v>0</v>
      </c>
      <c r="W125" s="32">
        <f ca="1">IF(S125=0,0,-1*((S125/S90)*(LN(S125/S90))))</f>
        <v>0</v>
      </c>
      <c r="X125" s="286">
        <f ca="1">IF(S125=0,0,(S125/S90)^2)</f>
        <v>0</v>
      </c>
    </row>
    <row r="126" spans="1:24" x14ac:dyDescent="0.25">
      <c r="A126" s="276" t="s">
        <v>234</v>
      </c>
      <c r="B126" s="62">
        <f ca="1">Lekeitio_2_1a!H41</f>
        <v>0</v>
      </c>
      <c r="C126" s="62">
        <f ca="1">Lekeitio_2_1b!H41</f>
        <v>0</v>
      </c>
      <c r="D126" s="62">
        <f ca="1">Lekeitio_2_2a!H41</f>
        <v>0</v>
      </c>
      <c r="E126" s="62">
        <f ca="1">Lekeitio_2_2b!H41</f>
        <v>0</v>
      </c>
      <c r="F126" s="62">
        <f ca="1">Lekeitio_2_3a!H41</f>
        <v>0</v>
      </c>
      <c r="G126" s="62">
        <f ca="1">Lekeitio_2_3b!H41</f>
        <v>0</v>
      </c>
      <c r="H126" s="62">
        <f ca="1">Lekeitio_2_4a!H41</f>
        <v>0</v>
      </c>
      <c r="I126" s="62">
        <f ca="1">Lekeitio_2_4b!H41</f>
        <v>0</v>
      </c>
      <c r="J126" s="62">
        <f ca="1">Lekeitio_2_5a!H41</f>
        <v>0</v>
      </c>
      <c r="K126" s="62">
        <f ca="1">Lekeitio_2_5b!H41</f>
        <v>0</v>
      </c>
      <c r="L126" s="62">
        <f ca="1">Lekeitio_2_6a!H41</f>
        <v>0</v>
      </c>
      <c r="M126" s="62">
        <f ca="1">Lekeitio_2_6b!H41</f>
        <v>0</v>
      </c>
      <c r="N126" s="203">
        <f ca="1">Lekeitio_2_7a!H41</f>
        <v>0</v>
      </c>
      <c r="O126" s="203">
        <f ca="1">Lekeitio_2_7b!H41</f>
        <v>0</v>
      </c>
      <c r="P126" s="203">
        <f ca="1">Lekeitio_2_8a!H41</f>
        <v>0</v>
      </c>
      <c r="Q126" s="203">
        <f ca="1">Lekeitio_2_8b!H41</f>
        <v>0</v>
      </c>
      <c r="R126" s="203">
        <f ca="1">Lekeitio_2_9a!H41</f>
        <v>0</v>
      </c>
      <c r="S126" s="203">
        <f t="shared" ca="1" si="18"/>
        <v>0</v>
      </c>
      <c r="T126" s="32">
        <f t="shared" ca="1" si="19"/>
        <v>0</v>
      </c>
      <c r="U126" s="32">
        <f t="shared" ca="1" si="20"/>
        <v>0</v>
      </c>
      <c r="V126" s="32">
        <f t="shared" ca="1" si="21"/>
        <v>0</v>
      </c>
      <c r="W126" s="32">
        <f ca="1">IF(S126=0,0,-1*((S126/S90)*(LN(S126/S90))))</f>
        <v>0</v>
      </c>
      <c r="X126" s="286">
        <f ca="1">IF(S126=0,0,(S126/S90)^2)</f>
        <v>0</v>
      </c>
    </row>
    <row r="127" spans="1:24" x14ac:dyDescent="0.25">
      <c r="A127" s="276" t="s">
        <v>235</v>
      </c>
      <c r="B127" s="62">
        <f ca="1">Lekeitio_2_1a!H42</f>
        <v>0</v>
      </c>
      <c r="C127" s="62">
        <f ca="1">Lekeitio_2_1b!H42</f>
        <v>0</v>
      </c>
      <c r="D127" s="62">
        <f ca="1">Lekeitio_2_2a!H42</f>
        <v>15</v>
      </c>
      <c r="E127" s="62">
        <f ca="1">Lekeitio_2_2b!H42</f>
        <v>1</v>
      </c>
      <c r="F127" s="62">
        <f ca="1">Lekeitio_2_3a!H42</f>
        <v>15</v>
      </c>
      <c r="G127" s="62">
        <f ca="1">Lekeitio_2_3b!H42</f>
        <v>3</v>
      </c>
      <c r="H127" s="62">
        <f ca="1">Lekeitio_2_4a!H42</f>
        <v>16</v>
      </c>
      <c r="I127" s="62">
        <f ca="1">Lekeitio_2_4b!H42</f>
        <v>0</v>
      </c>
      <c r="J127" s="62">
        <f ca="1">Lekeitio_2_5a!H42</f>
        <v>18</v>
      </c>
      <c r="K127" s="62">
        <f ca="1">Lekeitio_2_5b!H42</f>
        <v>3</v>
      </c>
      <c r="L127" s="62">
        <f ca="1">Lekeitio_2_6a!H42</f>
        <v>20</v>
      </c>
      <c r="M127" s="62">
        <f ca="1">Lekeitio_2_6b!H42</f>
        <v>0</v>
      </c>
      <c r="N127" s="203">
        <f ca="1">Lekeitio_2_7a!H42</f>
        <v>17</v>
      </c>
      <c r="O127" s="203">
        <f ca="1">Lekeitio_2_7b!H42</f>
        <v>0</v>
      </c>
      <c r="P127" s="203">
        <f ca="1">Lekeitio_2_8a!H42</f>
        <v>20</v>
      </c>
      <c r="Q127" s="203">
        <f ca="1">Lekeitio_2_8b!H42</f>
        <v>1</v>
      </c>
      <c r="R127" s="203">
        <f ca="1">Lekeitio_2_9a!H42</f>
        <v>14</v>
      </c>
      <c r="S127" s="203">
        <f t="shared" ca="1" si="18"/>
        <v>143</v>
      </c>
      <c r="T127" s="32">
        <f t="shared" ca="1" si="19"/>
        <v>8.4117647058823533</v>
      </c>
      <c r="U127" s="32">
        <f t="shared" ca="1" si="20"/>
        <v>8.4117389962585296</v>
      </c>
      <c r="V127" s="32">
        <f t="shared" ca="1" si="21"/>
        <v>2.0401463751000586</v>
      </c>
      <c r="W127" s="32">
        <f ca="1">IF(S127=0,0,-1*((S127/S90)*(LN(S127/S90))))</f>
        <v>0</v>
      </c>
      <c r="X127" s="286">
        <f ca="1">IF(S127=0,0,(S127/S90)^2)</f>
        <v>1</v>
      </c>
    </row>
    <row r="128" spans="1:24" x14ac:dyDescent="0.25">
      <c r="A128" s="276" t="s">
        <v>236</v>
      </c>
      <c r="B128" s="62">
        <f ca="1">Lekeitio_2_1a!H43</f>
        <v>0</v>
      </c>
      <c r="C128" s="62">
        <f ca="1">Lekeitio_2_1b!H43</f>
        <v>0</v>
      </c>
      <c r="D128" s="62">
        <f ca="1">Lekeitio_2_2a!H43</f>
        <v>0</v>
      </c>
      <c r="E128" s="62">
        <f ca="1">Lekeitio_2_2b!H43</f>
        <v>0</v>
      </c>
      <c r="F128" s="62">
        <f ca="1">Lekeitio_2_3a!H43</f>
        <v>0</v>
      </c>
      <c r="G128" s="62">
        <f ca="1">Lekeitio_2_3b!H43</f>
        <v>0</v>
      </c>
      <c r="H128" s="62">
        <f ca="1">Lekeitio_2_4a!H43</f>
        <v>0</v>
      </c>
      <c r="I128" s="62">
        <f ca="1">Lekeitio_2_4b!H43</f>
        <v>0</v>
      </c>
      <c r="J128" s="62">
        <f ca="1">Lekeitio_2_5a!H43</f>
        <v>0</v>
      </c>
      <c r="K128" s="62">
        <f ca="1">Lekeitio_2_5b!H43</f>
        <v>0</v>
      </c>
      <c r="L128" s="62">
        <f ca="1">Lekeitio_2_6a!H43</f>
        <v>0</v>
      </c>
      <c r="M128" s="62">
        <f ca="1">Lekeitio_2_6b!H43</f>
        <v>0</v>
      </c>
      <c r="N128" s="203">
        <f ca="1">Lekeitio_2_7a!H43</f>
        <v>0</v>
      </c>
      <c r="O128" s="203">
        <f ca="1">Lekeitio_2_7b!H43</f>
        <v>0</v>
      </c>
      <c r="P128" s="203">
        <f ca="1">Lekeitio_2_8a!H43</f>
        <v>0</v>
      </c>
      <c r="Q128" s="203">
        <f ca="1">Lekeitio_2_8b!H43</f>
        <v>0</v>
      </c>
      <c r="R128" s="203">
        <f ca="1">Lekeitio_2_9a!H43</f>
        <v>0</v>
      </c>
      <c r="S128" s="203">
        <f t="shared" ca="1" si="18"/>
        <v>0</v>
      </c>
      <c r="T128" s="32">
        <f t="shared" ca="1" si="19"/>
        <v>0</v>
      </c>
      <c r="U128" s="32">
        <f t="shared" ca="1" si="20"/>
        <v>0</v>
      </c>
      <c r="V128" s="32">
        <f t="shared" ca="1" si="21"/>
        <v>0</v>
      </c>
      <c r="W128" s="32">
        <f ca="1">IF(S128=0,0,-1*((S128/S90)*(LN(S128/S90))))</f>
        <v>0</v>
      </c>
      <c r="X128" s="286">
        <f ca="1">IF(S128=0,0,(S128/S90)^2)</f>
        <v>0</v>
      </c>
    </row>
    <row r="129" spans="1:24" x14ac:dyDescent="0.25">
      <c r="A129" s="276" t="s">
        <v>237</v>
      </c>
      <c r="B129" s="62">
        <f ca="1">Lekeitio_2_1a!H44</f>
        <v>0</v>
      </c>
      <c r="C129" s="62">
        <f ca="1">Lekeitio_2_1b!H44</f>
        <v>0</v>
      </c>
      <c r="D129" s="62">
        <f ca="1">Lekeitio_2_2a!H44</f>
        <v>0</v>
      </c>
      <c r="E129" s="62">
        <f ca="1">Lekeitio_2_2b!H44</f>
        <v>0</v>
      </c>
      <c r="F129" s="62">
        <f ca="1">Lekeitio_2_3a!H44</f>
        <v>0</v>
      </c>
      <c r="G129" s="62">
        <f ca="1">Lekeitio_2_3b!H44</f>
        <v>0</v>
      </c>
      <c r="H129" s="62">
        <f ca="1">Lekeitio_2_4a!H44</f>
        <v>0</v>
      </c>
      <c r="I129" s="62">
        <f ca="1">Lekeitio_2_4b!H44</f>
        <v>0</v>
      </c>
      <c r="J129" s="62">
        <f ca="1">Lekeitio_2_5a!H44</f>
        <v>0</v>
      </c>
      <c r="K129" s="62">
        <f ca="1">Lekeitio_2_5b!H44</f>
        <v>0</v>
      </c>
      <c r="L129" s="62">
        <f ca="1">Lekeitio_2_6a!H44</f>
        <v>0</v>
      </c>
      <c r="M129" s="62">
        <f ca="1">Lekeitio_2_6b!H44</f>
        <v>0</v>
      </c>
      <c r="N129" s="203">
        <f ca="1">Lekeitio_2_7a!H44</f>
        <v>0</v>
      </c>
      <c r="O129" s="203">
        <f ca="1">Lekeitio_2_7b!H44</f>
        <v>0</v>
      </c>
      <c r="P129" s="203">
        <f ca="1">Lekeitio_2_8a!H44</f>
        <v>0</v>
      </c>
      <c r="Q129" s="203">
        <f ca="1">Lekeitio_2_8b!H44</f>
        <v>0</v>
      </c>
      <c r="R129" s="203">
        <f ca="1">Lekeitio_2_9a!H44</f>
        <v>0</v>
      </c>
      <c r="S129" s="203">
        <f t="shared" ca="1" si="18"/>
        <v>0</v>
      </c>
      <c r="T129" s="32">
        <f t="shared" ca="1" si="19"/>
        <v>0</v>
      </c>
      <c r="U129" s="32">
        <f t="shared" ca="1" si="20"/>
        <v>0</v>
      </c>
      <c r="V129" s="32">
        <f t="shared" ca="1" si="21"/>
        <v>0</v>
      </c>
      <c r="W129" s="32">
        <f ca="1">IF(S129=0,0,-1*((S129/S90)*(LN(S129/S90))))</f>
        <v>0</v>
      </c>
      <c r="X129" s="286">
        <f ca="1">IF(S129=0,0,(S129/S90)^2)</f>
        <v>0</v>
      </c>
    </row>
    <row r="130" spans="1:24" x14ac:dyDescent="0.25">
      <c r="A130" s="277" t="s">
        <v>323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35"/>
      <c r="O130" s="35"/>
      <c r="P130" s="35"/>
      <c r="Q130" s="35"/>
      <c r="R130" s="35"/>
      <c r="S130" s="35"/>
      <c r="T130" s="35"/>
      <c r="U130" s="35"/>
      <c r="V130" s="35"/>
      <c r="W130" s="36">
        <f ca="1">SUM(W131:W132)</f>
        <v>0</v>
      </c>
      <c r="X130" s="287">
        <f ca="1">1-SUM(X131:X132)</f>
        <v>1</v>
      </c>
    </row>
    <row r="131" spans="1:24" x14ac:dyDescent="0.25">
      <c r="A131" s="276" t="s">
        <v>238</v>
      </c>
      <c r="B131" s="62">
        <f ca="1">Lekeitio_2_1a!H46</f>
        <v>0</v>
      </c>
      <c r="C131" s="62">
        <f ca="1">Lekeitio_2_1b!H46</f>
        <v>0</v>
      </c>
      <c r="D131" s="62">
        <f ca="1">Lekeitio_2_2a!H46</f>
        <v>0</v>
      </c>
      <c r="E131" s="62">
        <f ca="1">Lekeitio_2_2b!H46</f>
        <v>0</v>
      </c>
      <c r="F131" s="62">
        <f ca="1">Lekeitio_2_3a!H46</f>
        <v>0</v>
      </c>
      <c r="G131" s="62">
        <f ca="1">Lekeitio_2_3b!H46</f>
        <v>0</v>
      </c>
      <c r="H131" s="62">
        <f ca="1">Lekeitio_2_4a!H46</f>
        <v>0</v>
      </c>
      <c r="I131" s="62">
        <f ca="1">Lekeitio_2_4b!H46</f>
        <v>0</v>
      </c>
      <c r="J131" s="62">
        <f ca="1">Lekeitio_2_5a!H46</f>
        <v>0</v>
      </c>
      <c r="K131" s="62">
        <f ca="1">Lekeitio_2_5b!H46</f>
        <v>0</v>
      </c>
      <c r="L131" s="62">
        <f ca="1">Lekeitio_2_6a!H46</f>
        <v>0</v>
      </c>
      <c r="M131" s="62">
        <f ca="1">Lekeitio_2_6b!H46</f>
        <v>0</v>
      </c>
      <c r="N131" s="203">
        <f ca="1">Lekeitio_2_7a!H46</f>
        <v>0</v>
      </c>
      <c r="O131" s="203">
        <f ca="1">Lekeitio_2_7b!H46</f>
        <v>0</v>
      </c>
      <c r="P131" s="203">
        <f ca="1">Lekeitio_2_8a!H46</f>
        <v>0</v>
      </c>
      <c r="Q131" s="203">
        <f ca="1">Lekeitio_2_8b!H46</f>
        <v>0</v>
      </c>
      <c r="R131" s="203">
        <f ca="1">Lekeitio_2_9a!H46</f>
        <v>0</v>
      </c>
      <c r="S131" s="203">
        <f ca="1">SUM(B131:R131)</f>
        <v>0</v>
      </c>
      <c r="T131" s="32">
        <f ca="1">AVERAGE(B131:R131)</f>
        <v>0</v>
      </c>
      <c r="U131" s="32">
        <f ca="1">STDEV(B131:R131)</f>
        <v>0</v>
      </c>
      <c r="V131" s="32">
        <f ca="1">U131/SQRT(17)</f>
        <v>0</v>
      </c>
      <c r="W131" s="32">
        <f ca="1">IF(S131=0,0,-1*((S131/S91)*(LN(S131/S91))))</f>
        <v>0</v>
      </c>
      <c r="X131" s="286">
        <f ca="1">IF(S131=0,0,(S131/S91)^2)</f>
        <v>0</v>
      </c>
    </row>
    <row r="132" spans="1:24" x14ac:dyDescent="0.25">
      <c r="A132" s="276" t="s">
        <v>239</v>
      </c>
      <c r="B132" s="62">
        <f ca="1">Lekeitio_2_1a!H47</f>
        <v>0</v>
      </c>
      <c r="C132" s="62">
        <f ca="1">Lekeitio_2_1b!H47</f>
        <v>0</v>
      </c>
      <c r="D132" s="62">
        <f ca="1">Lekeitio_2_2a!H47</f>
        <v>0</v>
      </c>
      <c r="E132" s="62">
        <f ca="1">Lekeitio_2_2b!H47</f>
        <v>0</v>
      </c>
      <c r="F132" s="62">
        <f ca="1">Lekeitio_2_3a!H47</f>
        <v>0</v>
      </c>
      <c r="G132" s="62">
        <f ca="1">Lekeitio_2_3b!H47</f>
        <v>0</v>
      </c>
      <c r="H132" s="62">
        <f ca="1">Lekeitio_2_4a!H47</f>
        <v>0</v>
      </c>
      <c r="I132" s="62">
        <f ca="1">Lekeitio_2_4b!H47</f>
        <v>0</v>
      </c>
      <c r="J132" s="62">
        <f ca="1">Lekeitio_2_5a!H47</f>
        <v>0</v>
      </c>
      <c r="K132" s="62">
        <f ca="1">Lekeitio_2_5b!H47</f>
        <v>0</v>
      </c>
      <c r="L132" s="62">
        <f ca="1">Lekeitio_2_6a!H47</f>
        <v>0</v>
      </c>
      <c r="M132" s="62">
        <f ca="1">Lekeitio_2_6b!H47</f>
        <v>0</v>
      </c>
      <c r="N132" s="203">
        <f ca="1">Lekeitio_2_7a!H47</f>
        <v>0</v>
      </c>
      <c r="O132" s="203">
        <f ca="1">Lekeitio_2_7b!H47</f>
        <v>0</v>
      </c>
      <c r="P132" s="203">
        <f ca="1">Lekeitio_2_8a!H47</f>
        <v>0</v>
      </c>
      <c r="Q132" s="203">
        <f ca="1">Lekeitio_2_8b!H47</f>
        <v>0</v>
      </c>
      <c r="R132" s="203">
        <f ca="1">Lekeitio_2_9a!H47</f>
        <v>0</v>
      </c>
      <c r="S132" s="203">
        <f ca="1">SUM(B132:R132)</f>
        <v>0</v>
      </c>
      <c r="T132" s="32">
        <f ca="1">AVERAGE(B132:R132)</f>
        <v>0</v>
      </c>
      <c r="U132" s="32">
        <f ca="1">STDEV(B132:R132)</f>
        <v>0</v>
      </c>
      <c r="V132" s="32">
        <f ca="1">U132/SQRT(17)</f>
        <v>0</v>
      </c>
      <c r="W132" s="32">
        <f ca="1">IF(S132=0,0,-1*((S132/S91)*(LN(S132/S91))))</f>
        <v>0</v>
      </c>
      <c r="X132" s="286">
        <f ca="1">IF(S132=0,0,(S132/S91)^2)</f>
        <v>0</v>
      </c>
    </row>
    <row r="133" spans="1:24" x14ac:dyDescent="0.25">
      <c r="A133" s="277" t="s">
        <v>324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35"/>
      <c r="O133" s="35"/>
      <c r="P133" s="35"/>
      <c r="Q133" s="35"/>
      <c r="R133" s="35"/>
      <c r="S133" s="35"/>
      <c r="T133" s="35"/>
      <c r="U133" s="35"/>
      <c r="V133" s="35"/>
      <c r="W133" s="36">
        <f ca="1">SUM(W134:W137)</f>
        <v>9.1445135354503895E-2</v>
      </c>
      <c r="X133" s="287">
        <f ca="1">1-SUM(X134:X137)</f>
        <v>3.5977632192100151E-2</v>
      </c>
    </row>
    <row r="134" spans="1:24" x14ac:dyDescent="0.25">
      <c r="A134" s="276" t="s">
        <v>240</v>
      </c>
      <c r="B134" s="62">
        <f ca="1">Lekeitio_2_1a!H49</f>
        <v>0</v>
      </c>
      <c r="C134" s="62">
        <f ca="1">Lekeitio_2_1b!H49</f>
        <v>17</v>
      </c>
      <c r="D134" s="62">
        <f ca="1">Lekeitio_2_2a!H49</f>
        <v>16</v>
      </c>
      <c r="E134" s="62">
        <f ca="1">Lekeitio_2_2b!H49</f>
        <v>18</v>
      </c>
      <c r="F134" s="62">
        <f ca="1">Lekeitio_2_3a!H49</f>
        <v>12</v>
      </c>
      <c r="G134" s="62">
        <f ca="1">Lekeitio_2_3b!H49</f>
        <v>30</v>
      </c>
      <c r="H134" s="62">
        <f ca="1">Lekeitio_2_4a!H49</f>
        <v>28</v>
      </c>
      <c r="I134" s="62">
        <f ca="1">Lekeitio_2_4b!H49</f>
        <v>31</v>
      </c>
      <c r="J134" s="62">
        <f ca="1">Lekeitio_2_5a!H49</f>
        <v>24</v>
      </c>
      <c r="K134" s="62">
        <f ca="1">Lekeitio_2_5b!H49</f>
        <v>28</v>
      </c>
      <c r="L134" s="62">
        <f ca="1">Lekeitio_2_6a!H49</f>
        <v>29</v>
      </c>
      <c r="M134" s="62">
        <f ca="1">Lekeitio_2_6b!H49</f>
        <v>26</v>
      </c>
      <c r="N134" s="203">
        <f ca="1">Lekeitio_2_7a!H49</f>
        <v>16</v>
      </c>
      <c r="O134" s="203">
        <f ca="1">Lekeitio_2_7b!H49</f>
        <v>40</v>
      </c>
      <c r="P134" s="203">
        <f ca="1">Lekeitio_2_8a!H49</f>
        <v>23</v>
      </c>
      <c r="Q134" s="203">
        <f ca="1">Lekeitio_2_8b!H49</f>
        <v>24</v>
      </c>
      <c r="R134" s="203">
        <f ca="1">Lekeitio_2_9a!H49</f>
        <v>13</v>
      </c>
      <c r="S134" s="203">
        <f ca="1">SUM(B134:R134)</f>
        <v>375</v>
      </c>
      <c r="T134" s="32">
        <f ca="1">AVERAGE(B134:R134)</f>
        <v>22.058823529411764</v>
      </c>
      <c r="U134" s="32">
        <f ca="1">STDEV(B134:R134)</f>
        <v>9.3305317924227502</v>
      </c>
      <c r="V134" s="32">
        <f ca="1">U134/SQRT(17)</f>
        <v>2.2629863601966278</v>
      </c>
      <c r="W134" s="32">
        <f ca="1">IF(S134=0,0,-1*((S134/S92)*(LN(S134/S92))))</f>
        <v>1.8155676671627371E-2</v>
      </c>
      <c r="X134" s="286">
        <f ca="1">IF(S134=0,0,(S134/S92)^2)</f>
        <v>0.96368657657410695</v>
      </c>
    </row>
    <row r="135" spans="1:24" x14ac:dyDescent="0.25">
      <c r="A135" s="276" t="s">
        <v>241</v>
      </c>
      <c r="B135" s="62">
        <f ca="1">Lekeitio_2_1a!H50</f>
        <v>0</v>
      </c>
      <c r="C135" s="62">
        <f ca="1">Lekeitio_2_1b!H50</f>
        <v>0</v>
      </c>
      <c r="D135" s="62">
        <f ca="1">Lekeitio_2_2a!H50</f>
        <v>0</v>
      </c>
      <c r="E135" s="62">
        <f ca="1">Lekeitio_2_2b!H50</f>
        <v>0</v>
      </c>
      <c r="F135" s="62">
        <f ca="1">Lekeitio_2_3a!H50</f>
        <v>0</v>
      </c>
      <c r="G135" s="62">
        <f ca="1">Lekeitio_2_3b!H50</f>
        <v>0</v>
      </c>
      <c r="H135" s="62">
        <f ca="1">Lekeitio_2_4a!H50</f>
        <v>0</v>
      </c>
      <c r="I135" s="62">
        <f ca="1">Lekeitio_2_4b!H50</f>
        <v>0</v>
      </c>
      <c r="J135" s="62">
        <f ca="1">Lekeitio_2_5a!H50</f>
        <v>0</v>
      </c>
      <c r="K135" s="62">
        <f ca="1">Lekeitio_2_5b!H50</f>
        <v>0</v>
      </c>
      <c r="L135" s="62">
        <f ca="1">Lekeitio_2_6a!H50</f>
        <v>0</v>
      </c>
      <c r="M135" s="62">
        <f ca="1">Lekeitio_2_6b!H50</f>
        <v>0</v>
      </c>
      <c r="N135" s="203">
        <f ca="1">Lekeitio_2_7a!H50</f>
        <v>0</v>
      </c>
      <c r="O135" s="203">
        <f ca="1">Lekeitio_2_7b!H50</f>
        <v>0</v>
      </c>
      <c r="P135" s="203">
        <f ca="1">Lekeitio_2_8a!H50</f>
        <v>4</v>
      </c>
      <c r="Q135" s="203">
        <f ca="1">Lekeitio_2_8b!H50</f>
        <v>0</v>
      </c>
      <c r="R135" s="203">
        <f ca="1">Lekeitio_2_9a!H50</f>
        <v>3</v>
      </c>
      <c r="S135" s="203">
        <f ca="1">SUM(B135:R135)</f>
        <v>7</v>
      </c>
      <c r="T135" s="32">
        <f ca="1">AVERAGE(B135:R135)</f>
        <v>0.41176470588235292</v>
      </c>
      <c r="U135" s="32">
        <f ca="1">STDEV(B135:R135)</f>
        <v>1.1757350641945108</v>
      </c>
      <c r="V135" s="32">
        <f ca="1">U135/SQRT(17)</f>
        <v>0.28515763867154875</v>
      </c>
      <c r="W135" s="32">
        <f ca="1">IF(S135=0,0,-1*((S135/S92)*(LN(S135/S92))))</f>
        <v>7.3289458682876521E-2</v>
      </c>
      <c r="X135" s="286">
        <f ca="1">IF(S135=0,0,(S135/S92)^2)</f>
        <v>3.3579123379293325E-4</v>
      </c>
    </row>
    <row r="136" spans="1:24" x14ac:dyDescent="0.25">
      <c r="A136" s="276" t="s">
        <v>242</v>
      </c>
      <c r="B136" s="62">
        <f ca="1">Lekeitio_2_1a!H51</f>
        <v>0</v>
      </c>
      <c r="C136" s="62">
        <f ca="1">Lekeitio_2_1b!H51</f>
        <v>0</v>
      </c>
      <c r="D136" s="62">
        <f ca="1">Lekeitio_2_2a!H51</f>
        <v>0</v>
      </c>
      <c r="E136" s="62">
        <f ca="1">Lekeitio_2_2b!H51</f>
        <v>0</v>
      </c>
      <c r="F136" s="62">
        <f ca="1">Lekeitio_2_3a!H51</f>
        <v>0</v>
      </c>
      <c r="G136" s="62">
        <f ca="1">Lekeitio_2_3b!H51</f>
        <v>0</v>
      </c>
      <c r="H136" s="62">
        <f ca="1">Lekeitio_2_4a!H51</f>
        <v>0</v>
      </c>
      <c r="I136" s="62">
        <f ca="1">Lekeitio_2_4b!H51</f>
        <v>0</v>
      </c>
      <c r="J136" s="62">
        <f ca="1">Lekeitio_2_5a!H51</f>
        <v>0</v>
      </c>
      <c r="K136" s="62">
        <f ca="1">Lekeitio_2_5b!H51</f>
        <v>0</v>
      </c>
      <c r="L136" s="62">
        <f ca="1">Lekeitio_2_6a!H51</f>
        <v>0</v>
      </c>
      <c r="M136" s="62">
        <f ca="1">Lekeitio_2_6b!H51</f>
        <v>0</v>
      </c>
      <c r="N136" s="203">
        <f ca="1">Lekeitio_2_7a!H51</f>
        <v>0</v>
      </c>
      <c r="O136" s="203">
        <f ca="1">Lekeitio_2_7b!H51</f>
        <v>0</v>
      </c>
      <c r="P136" s="203">
        <f ca="1">Lekeitio_2_8a!H51</f>
        <v>0</v>
      </c>
      <c r="Q136" s="203">
        <f ca="1">Lekeitio_2_8b!H51</f>
        <v>0</v>
      </c>
      <c r="R136" s="203">
        <f ca="1">Lekeitio_2_9a!H51</f>
        <v>0</v>
      </c>
      <c r="S136" s="203">
        <f ca="1">SUM(B136:R136)</f>
        <v>0</v>
      </c>
      <c r="T136" s="32">
        <f ca="1">AVERAGE(B136:R136)</f>
        <v>0</v>
      </c>
      <c r="U136" s="32">
        <f ca="1">STDEV(B136:R136)</f>
        <v>0</v>
      </c>
      <c r="V136" s="32">
        <f ca="1">U136/SQRT(17)</f>
        <v>0</v>
      </c>
      <c r="W136" s="32">
        <f ca="1">IF(S136=0,0,-1*((S136/S92)*(LN(S136/S92))))</f>
        <v>0</v>
      </c>
      <c r="X136" s="286">
        <f ca="1">IF(S136=0,0,(S136/S92)^2)</f>
        <v>0</v>
      </c>
    </row>
    <row r="137" spans="1:24" x14ac:dyDescent="0.25">
      <c r="A137" s="276" t="s">
        <v>243</v>
      </c>
      <c r="B137" s="62">
        <f ca="1">Lekeitio_2_1a!H52</f>
        <v>0</v>
      </c>
      <c r="C137" s="62">
        <f ca="1">Lekeitio_2_1b!H52</f>
        <v>0</v>
      </c>
      <c r="D137" s="62">
        <f ca="1">Lekeitio_2_2a!H52</f>
        <v>0</v>
      </c>
      <c r="E137" s="62">
        <f ca="1">Lekeitio_2_2b!H52</f>
        <v>0</v>
      </c>
      <c r="F137" s="62">
        <f ca="1">Lekeitio_2_3a!H52</f>
        <v>0</v>
      </c>
      <c r="G137" s="62">
        <f ca="1">Lekeitio_2_3b!H52</f>
        <v>0</v>
      </c>
      <c r="H137" s="62">
        <f ca="1">Lekeitio_2_4a!H52</f>
        <v>0</v>
      </c>
      <c r="I137" s="62">
        <f ca="1">Lekeitio_2_4b!H52</f>
        <v>0</v>
      </c>
      <c r="J137" s="62">
        <f ca="1">Lekeitio_2_5a!H52</f>
        <v>0</v>
      </c>
      <c r="K137" s="62">
        <f ca="1">Lekeitio_2_5b!H52</f>
        <v>0</v>
      </c>
      <c r="L137" s="62">
        <f ca="1">Lekeitio_2_6a!H52</f>
        <v>0</v>
      </c>
      <c r="M137" s="62">
        <f ca="1">Lekeitio_2_6b!H52</f>
        <v>0</v>
      </c>
      <c r="N137" s="203">
        <f ca="1">Lekeitio_2_7a!H52</f>
        <v>0</v>
      </c>
      <c r="O137" s="203">
        <f ca="1">Lekeitio_2_7b!H52</f>
        <v>0</v>
      </c>
      <c r="P137" s="203">
        <f ca="1">Lekeitio_2_8a!H52</f>
        <v>0</v>
      </c>
      <c r="Q137" s="203">
        <f ca="1">Lekeitio_2_8b!H52</f>
        <v>0</v>
      </c>
      <c r="R137" s="203">
        <f ca="1">Lekeitio_2_9a!H52</f>
        <v>0</v>
      </c>
      <c r="S137" s="203">
        <f ca="1">SUM(B137:R137)</f>
        <v>0</v>
      </c>
      <c r="T137" s="32">
        <f ca="1">AVERAGE(B137:R137)</f>
        <v>0</v>
      </c>
      <c r="U137" s="32">
        <f ca="1">STDEV(B137:R137)</f>
        <v>0</v>
      </c>
      <c r="V137" s="32">
        <f ca="1">U137/SQRT(17)</f>
        <v>0</v>
      </c>
      <c r="W137" s="32">
        <f ca="1">IF(S137=0,0,-1*((S137/S92)*(LN(S137/S92))))</f>
        <v>0</v>
      </c>
      <c r="X137" s="286">
        <f ca="1">IF(S137=0,0,(S137/S92)^2)</f>
        <v>0</v>
      </c>
    </row>
    <row r="138" spans="1:24" x14ac:dyDescent="0.25">
      <c r="A138" s="277" t="s">
        <v>325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35"/>
      <c r="O138" s="35"/>
      <c r="P138" s="35"/>
      <c r="Q138" s="35"/>
      <c r="R138" s="35"/>
      <c r="S138" s="35"/>
      <c r="T138" s="35"/>
      <c r="U138" s="35"/>
      <c r="V138" s="35"/>
      <c r="W138" s="36">
        <f ca="1">SUM(W139:W142)</f>
        <v>0.64672385286940282</v>
      </c>
      <c r="X138" s="287">
        <f ca="1">1-SUM(X139:X142)</f>
        <v>0.4542996214169821</v>
      </c>
    </row>
    <row r="139" spans="1:24" x14ac:dyDescent="0.25">
      <c r="A139" s="276" t="s">
        <v>244</v>
      </c>
      <c r="B139" s="62">
        <f ca="1">Lekeitio_2_1a!H54</f>
        <v>0</v>
      </c>
      <c r="C139" s="62">
        <f ca="1">Lekeitio_2_1b!H54</f>
        <v>0</v>
      </c>
      <c r="D139" s="62">
        <f ca="1">Lekeitio_2_2a!H54</f>
        <v>0</v>
      </c>
      <c r="E139" s="62">
        <f ca="1">Lekeitio_2_2b!H54</f>
        <v>0</v>
      </c>
      <c r="F139" s="62">
        <f ca="1">Lekeitio_2_3a!H54</f>
        <v>0</v>
      </c>
      <c r="G139" s="62">
        <f ca="1">Lekeitio_2_3b!H54</f>
        <v>0</v>
      </c>
      <c r="H139" s="62">
        <f ca="1">Lekeitio_2_4a!H54</f>
        <v>0</v>
      </c>
      <c r="I139" s="62">
        <f ca="1">Lekeitio_2_4b!H54</f>
        <v>0</v>
      </c>
      <c r="J139" s="62">
        <f ca="1">Lekeitio_2_5a!H54</f>
        <v>0</v>
      </c>
      <c r="K139" s="62">
        <f ca="1">Lekeitio_2_5b!H54</f>
        <v>0</v>
      </c>
      <c r="L139" s="62">
        <f ca="1">Lekeitio_2_6a!H54</f>
        <v>0</v>
      </c>
      <c r="M139" s="62">
        <f ca="1">Lekeitio_2_6b!H54</f>
        <v>0</v>
      </c>
      <c r="N139" s="203">
        <f ca="1">Lekeitio_2_7a!H54</f>
        <v>0</v>
      </c>
      <c r="O139" s="203">
        <f ca="1">Lekeitio_2_7b!H54</f>
        <v>0</v>
      </c>
      <c r="P139" s="203">
        <f ca="1">Lekeitio_2_8a!H54</f>
        <v>0</v>
      </c>
      <c r="Q139" s="203">
        <f ca="1">Lekeitio_2_8b!H54</f>
        <v>0</v>
      </c>
      <c r="R139" s="203">
        <f ca="1">Lekeitio_2_9a!H54</f>
        <v>0</v>
      </c>
      <c r="S139" s="203">
        <f ca="1">SUM(B139:R139)</f>
        <v>0</v>
      </c>
      <c r="T139" s="32">
        <f ca="1">AVERAGE(B139:R139)</f>
        <v>0</v>
      </c>
      <c r="U139" s="32">
        <f ca="1">STDEV(B139:R139)</f>
        <v>0</v>
      </c>
      <c r="V139" s="32">
        <f ca="1">U139/SQRT(17)</f>
        <v>0</v>
      </c>
      <c r="W139" s="32">
        <f ca="1">IF(S139=0,0,-1*((S139/S93)*(LN(S139/S93))))</f>
        <v>0</v>
      </c>
      <c r="X139" s="286">
        <f ca="1">IF(S139=0,0,(S139/S93)^2)</f>
        <v>0</v>
      </c>
    </row>
    <row r="140" spans="1:24" x14ac:dyDescent="0.25">
      <c r="A140" s="276" t="s">
        <v>245</v>
      </c>
      <c r="B140" s="62">
        <f ca="1">Lekeitio_2_1a!H55</f>
        <v>0</v>
      </c>
      <c r="C140" s="62">
        <f ca="1">Lekeitio_2_1b!H55</f>
        <v>0</v>
      </c>
      <c r="D140" s="62">
        <f ca="1">Lekeitio_2_2a!H55</f>
        <v>0</v>
      </c>
      <c r="E140" s="62">
        <f ca="1">Lekeitio_2_2b!H55</f>
        <v>0</v>
      </c>
      <c r="F140" s="62">
        <f ca="1">Lekeitio_2_3a!H55</f>
        <v>0</v>
      </c>
      <c r="G140" s="62">
        <f ca="1">Lekeitio_2_3b!H55</f>
        <v>0</v>
      </c>
      <c r="H140" s="62">
        <f ca="1">Lekeitio_2_4a!H55</f>
        <v>0</v>
      </c>
      <c r="I140" s="62">
        <f ca="1">Lekeitio_2_4b!H55</f>
        <v>0</v>
      </c>
      <c r="J140" s="62">
        <f ca="1">Lekeitio_2_5a!H55</f>
        <v>0</v>
      </c>
      <c r="K140" s="62">
        <f ca="1">Lekeitio_2_5b!H55</f>
        <v>0</v>
      </c>
      <c r="L140" s="62">
        <f ca="1">Lekeitio_2_6a!H55</f>
        <v>0</v>
      </c>
      <c r="M140" s="62">
        <f ca="1">Lekeitio_2_6b!H55</f>
        <v>0</v>
      </c>
      <c r="N140" s="203">
        <f ca="1">Lekeitio_2_7a!H55</f>
        <v>0</v>
      </c>
      <c r="O140" s="203">
        <f ca="1">Lekeitio_2_7b!H55</f>
        <v>0</v>
      </c>
      <c r="P140" s="203">
        <f ca="1">Lekeitio_2_8a!H55</f>
        <v>0</v>
      </c>
      <c r="Q140" s="203">
        <f ca="1">Lekeitio_2_8b!H55</f>
        <v>0</v>
      </c>
      <c r="R140" s="203">
        <f ca="1">Lekeitio_2_9a!H55</f>
        <v>0</v>
      </c>
      <c r="S140" s="203">
        <f ca="1">SUM(B140:R140)</f>
        <v>0</v>
      </c>
      <c r="T140" s="32">
        <f ca="1">AVERAGE(B140:R140)</f>
        <v>0</v>
      </c>
      <c r="U140" s="32">
        <f ca="1">STDEV(B140:R140)</f>
        <v>0</v>
      </c>
      <c r="V140" s="32">
        <f ca="1">U140/SQRT(17)</f>
        <v>0</v>
      </c>
      <c r="W140" s="32">
        <f ca="1">IF(S140=0,0,-1*((S140/S93)*(LN(S140/S93))))</f>
        <v>0</v>
      </c>
      <c r="X140" s="286">
        <f ca="1">IF(S140=0,0,(S140/S93)^2)</f>
        <v>0</v>
      </c>
    </row>
    <row r="141" spans="1:24" x14ac:dyDescent="0.25">
      <c r="A141" s="276" t="s">
        <v>246</v>
      </c>
      <c r="B141" s="62">
        <f ca="1">Lekeitio_2_1a!H56</f>
        <v>0</v>
      </c>
      <c r="C141" s="62">
        <f ca="1">Lekeitio_2_1b!H56</f>
        <v>0</v>
      </c>
      <c r="D141" s="62">
        <f ca="1">Lekeitio_2_2a!H56</f>
        <v>0</v>
      </c>
      <c r="E141" s="62">
        <f ca="1">Lekeitio_2_2b!H56</f>
        <v>1</v>
      </c>
      <c r="F141" s="62">
        <f ca="1">Lekeitio_2_3a!H56</f>
        <v>1</v>
      </c>
      <c r="G141" s="62">
        <f ca="1">Lekeitio_2_3b!H56</f>
        <v>0</v>
      </c>
      <c r="H141" s="62">
        <f ca="1">Lekeitio_2_4a!H56</f>
        <v>0</v>
      </c>
      <c r="I141" s="62">
        <f ca="1">Lekeitio_2_4b!H56</f>
        <v>1</v>
      </c>
      <c r="J141" s="62">
        <f ca="1">Lekeitio_2_5a!H56</f>
        <v>0</v>
      </c>
      <c r="K141" s="62">
        <f ca="1">Lekeitio_2_5b!H56</f>
        <v>0</v>
      </c>
      <c r="L141" s="62">
        <f ca="1">Lekeitio_2_6a!H56</f>
        <v>0</v>
      </c>
      <c r="M141" s="62">
        <f ca="1">Lekeitio_2_6b!H56</f>
        <v>3</v>
      </c>
      <c r="N141" s="203">
        <f ca="1">Lekeitio_2_7a!H56</f>
        <v>2</v>
      </c>
      <c r="O141" s="203">
        <f ca="1">Lekeitio_2_7b!H56</f>
        <v>1</v>
      </c>
      <c r="P141" s="203">
        <f ca="1">Lekeitio_2_8a!H56</f>
        <v>1</v>
      </c>
      <c r="Q141" s="203">
        <f ca="1">Lekeitio_2_8b!H56</f>
        <v>5</v>
      </c>
      <c r="R141" s="203">
        <f ca="1">Lekeitio_2_9a!H56</f>
        <v>0</v>
      </c>
      <c r="S141" s="203">
        <f ca="1">SUM(B141:R141)</f>
        <v>15</v>
      </c>
      <c r="T141" s="32">
        <f ca="1">AVERAGE(B141:R141)</f>
        <v>0.88235294117647056</v>
      </c>
      <c r="U141" s="32">
        <f ca="1">STDEV(B141:R141)</f>
        <v>1.3639259941972874</v>
      </c>
      <c r="V141" s="32">
        <f ca="1">U141/SQRT(17)</f>
        <v>0.33080064350594096</v>
      </c>
      <c r="W141" s="32">
        <f ca="1">IF(S141=0,0,-1*((S141/S93)*(LN(S141/S93))))</f>
        <v>0.36737787718302989</v>
      </c>
      <c r="X141" s="286">
        <f ca="1">IF(S141=0,0,(S141/S93)^2)</f>
        <v>0.12168739859383451</v>
      </c>
    </row>
    <row r="142" spans="1:24" x14ac:dyDescent="0.25">
      <c r="A142" s="276" t="s">
        <v>247</v>
      </c>
      <c r="B142" s="62">
        <f ca="1">Lekeitio_2_1a!H57</f>
        <v>0</v>
      </c>
      <c r="C142" s="62">
        <f ca="1">Lekeitio_2_1b!H57</f>
        <v>1</v>
      </c>
      <c r="D142" s="62">
        <f ca="1">Lekeitio_2_2a!H57</f>
        <v>5</v>
      </c>
      <c r="E142" s="62">
        <f ca="1">Lekeitio_2_2b!H57</f>
        <v>3</v>
      </c>
      <c r="F142" s="62">
        <f ca="1">Lekeitio_2_3a!H57</f>
        <v>1</v>
      </c>
      <c r="G142" s="62">
        <f ca="1">Lekeitio_2_3b!H57</f>
        <v>0</v>
      </c>
      <c r="H142" s="62">
        <f ca="1">Lekeitio_2_4a!H57</f>
        <v>1</v>
      </c>
      <c r="I142" s="62">
        <f ca="1">Lekeitio_2_4b!H57</f>
        <v>0</v>
      </c>
      <c r="J142" s="62">
        <f ca="1">Lekeitio_2_5a!H57</f>
        <v>0</v>
      </c>
      <c r="K142" s="62">
        <f ca="1">Lekeitio_2_5b!H57</f>
        <v>0</v>
      </c>
      <c r="L142" s="62">
        <f ca="1">Lekeitio_2_6a!H57</f>
        <v>2</v>
      </c>
      <c r="M142" s="62">
        <f ca="1">Lekeitio_2_6b!H57</f>
        <v>1</v>
      </c>
      <c r="N142" s="203">
        <f ca="1">Lekeitio_2_7a!H57</f>
        <v>0</v>
      </c>
      <c r="O142" s="203">
        <f ca="1">Lekeitio_2_7b!H57</f>
        <v>6</v>
      </c>
      <c r="P142" s="203">
        <f ca="1">Lekeitio_2_8a!H57</f>
        <v>6</v>
      </c>
      <c r="Q142" s="203">
        <f ca="1">Lekeitio_2_8b!H57</f>
        <v>2</v>
      </c>
      <c r="R142" s="203">
        <f ca="1">Lekeitio_2_9a!H57</f>
        <v>0</v>
      </c>
      <c r="S142" s="203">
        <f ca="1">SUM(B142:R142)</f>
        <v>28</v>
      </c>
      <c r="T142" s="32">
        <f ca="1">AVERAGE(B142:R142)</f>
        <v>1.6470588235294117</v>
      </c>
      <c r="U142" s="32">
        <f ca="1">STDEV(B142:R142)</f>
        <v>2.1195865301571271</v>
      </c>
      <c r="V142" s="32">
        <f ca="1">U142/SQRT(17)</f>
        <v>0.51407524391025106</v>
      </c>
      <c r="W142" s="32">
        <f ca="1">IF(S142=0,0,-1*((S142/S93)*(LN(S142/S93))))</f>
        <v>0.27934597568637293</v>
      </c>
      <c r="X142" s="286">
        <f ca="1">IF(S142=0,0,(S142/S93)^2)</f>
        <v>0.42401297998918341</v>
      </c>
    </row>
    <row r="143" spans="1:24" x14ac:dyDescent="0.25">
      <c r="A143" s="277" t="s">
        <v>326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35"/>
      <c r="O143" s="35"/>
      <c r="P143" s="35"/>
      <c r="Q143" s="35"/>
      <c r="R143" s="35"/>
      <c r="S143" s="35"/>
      <c r="T143" s="35"/>
      <c r="U143" s="35"/>
      <c r="V143" s="35"/>
      <c r="W143" s="36">
        <f ca="1">SUM(W144:W148)</f>
        <v>0.56233514461880829</v>
      </c>
      <c r="X143" s="287">
        <f ca="1">1-SUM(X144:X148)</f>
        <v>0.375</v>
      </c>
    </row>
    <row r="144" spans="1:24" x14ac:dyDescent="0.25">
      <c r="A144" s="276" t="s">
        <v>248</v>
      </c>
      <c r="B144" s="62">
        <f ca="1">Lekeitio_2_1a!H59</f>
        <v>0</v>
      </c>
      <c r="C144" s="62">
        <f ca="1">Lekeitio_2_1b!H59</f>
        <v>0</v>
      </c>
      <c r="D144" s="62">
        <f ca="1">Lekeitio_2_2a!H59</f>
        <v>0</v>
      </c>
      <c r="E144" s="62">
        <f ca="1">Lekeitio_2_2b!H59</f>
        <v>0</v>
      </c>
      <c r="F144" s="62">
        <f ca="1">Lekeitio_2_3a!H59</f>
        <v>0</v>
      </c>
      <c r="G144" s="62">
        <f ca="1">Lekeitio_2_3b!H59</f>
        <v>0</v>
      </c>
      <c r="H144" s="62">
        <f ca="1">Lekeitio_2_4a!H59</f>
        <v>0</v>
      </c>
      <c r="I144" s="62">
        <f ca="1">Lekeitio_2_4b!H59</f>
        <v>0</v>
      </c>
      <c r="J144" s="62">
        <f ca="1">Lekeitio_2_5a!H59</f>
        <v>0</v>
      </c>
      <c r="K144" s="62">
        <f ca="1">Lekeitio_2_5b!H59</f>
        <v>0</v>
      </c>
      <c r="L144" s="62">
        <f ca="1">Lekeitio_2_6a!H59</f>
        <v>0</v>
      </c>
      <c r="M144" s="62">
        <f ca="1">Lekeitio_2_6b!H59</f>
        <v>0</v>
      </c>
      <c r="N144" s="203">
        <f ca="1">Lekeitio_2_7a!H59</f>
        <v>0</v>
      </c>
      <c r="O144" s="203">
        <f ca="1">Lekeitio_2_7b!H59</f>
        <v>0</v>
      </c>
      <c r="P144" s="203">
        <f ca="1">Lekeitio_2_8a!H59</f>
        <v>0</v>
      </c>
      <c r="Q144" s="203">
        <f ca="1">Lekeitio_2_8b!H59</f>
        <v>0</v>
      </c>
      <c r="R144" s="203">
        <f ca="1">Lekeitio_2_9a!H59</f>
        <v>0</v>
      </c>
      <c r="S144" s="203">
        <f ca="1">SUM(B144:R144)</f>
        <v>0</v>
      </c>
      <c r="T144" s="32">
        <f ca="1">AVERAGE(B144:R144)</f>
        <v>0</v>
      </c>
      <c r="U144" s="32">
        <f ca="1">STDEV(B144:R144)</f>
        <v>0</v>
      </c>
      <c r="V144" s="32">
        <f ca="1">U144/SQRT(17)</f>
        <v>0</v>
      </c>
      <c r="W144" s="32">
        <f ca="1">IF(S144=0,0,-1*((S144/S94)*(LN(S144/S94))))</f>
        <v>0</v>
      </c>
      <c r="X144" s="286">
        <f ca="1">IF(S144=0,0,(S144/S94)^2)</f>
        <v>0</v>
      </c>
    </row>
    <row r="145" spans="1:24" x14ac:dyDescent="0.25">
      <c r="A145" s="276" t="s">
        <v>249</v>
      </c>
      <c r="B145" s="62">
        <f ca="1">Lekeitio_2_1a!H60</f>
        <v>0</v>
      </c>
      <c r="C145" s="62">
        <f ca="1">Lekeitio_2_1b!H60</f>
        <v>0</v>
      </c>
      <c r="D145" s="62">
        <f ca="1">Lekeitio_2_2a!H60</f>
        <v>0</v>
      </c>
      <c r="E145" s="62">
        <f ca="1">Lekeitio_2_2b!H60</f>
        <v>0</v>
      </c>
      <c r="F145" s="62">
        <f ca="1">Lekeitio_2_3a!H60</f>
        <v>0</v>
      </c>
      <c r="G145" s="62">
        <f ca="1">Lekeitio_2_3b!H60</f>
        <v>0</v>
      </c>
      <c r="H145" s="62">
        <f ca="1">Lekeitio_2_4a!H60</f>
        <v>0</v>
      </c>
      <c r="I145" s="62">
        <f ca="1">Lekeitio_2_4b!H60</f>
        <v>0</v>
      </c>
      <c r="J145" s="62">
        <f ca="1">Lekeitio_2_5a!H60</f>
        <v>0</v>
      </c>
      <c r="K145" s="62">
        <f ca="1">Lekeitio_2_5b!H60</f>
        <v>0</v>
      </c>
      <c r="L145" s="62">
        <f ca="1">Lekeitio_2_6a!H60</f>
        <v>0</v>
      </c>
      <c r="M145" s="62">
        <f ca="1">Lekeitio_2_6b!H60</f>
        <v>0</v>
      </c>
      <c r="N145" s="203">
        <f ca="1">Lekeitio_2_7a!H60</f>
        <v>0</v>
      </c>
      <c r="O145" s="203">
        <f ca="1">Lekeitio_2_7b!H60</f>
        <v>0</v>
      </c>
      <c r="P145" s="203">
        <f ca="1">Lekeitio_2_8a!H60</f>
        <v>0</v>
      </c>
      <c r="Q145" s="203">
        <f ca="1">Lekeitio_2_8b!H60</f>
        <v>0</v>
      </c>
      <c r="R145" s="203">
        <f ca="1">Lekeitio_2_9a!H60</f>
        <v>0</v>
      </c>
      <c r="S145" s="203">
        <f ca="1">SUM(B145:R145)</f>
        <v>0</v>
      </c>
      <c r="T145" s="32">
        <f ca="1">AVERAGE(B145:R145)</f>
        <v>0</v>
      </c>
      <c r="U145" s="32">
        <f ca="1">STDEV(B145:R145)</f>
        <v>0</v>
      </c>
      <c r="V145" s="32">
        <f ca="1">U145/SQRT(17)</f>
        <v>0</v>
      </c>
      <c r="W145" s="32">
        <f ca="1">IF(S145=0,0,-1*((S145/S94)*(LN(S145/S94))))</f>
        <v>0</v>
      </c>
      <c r="X145" s="286">
        <f ca="1">IF(S145=0,0,(S145/S94)^2)</f>
        <v>0</v>
      </c>
    </row>
    <row r="146" spans="1:24" x14ac:dyDescent="0.25">
      <c r="A146" s="276" t="s">
        <v>250</v>
      </c>
      <c r="B146" s="62">
        <f ca="1">Lekeitio_2_1a!H61</f>
        <v>0</v>
      </c>
      <c r="C146" s="62">
        <f ca="1">Lekeitio_2_1b!H61</f>
        <v>0</v>
      </c>
      <c r="D146" s="62">
        <f ca="1">Lekeitio_2_2a!H61</f>
        <v>0</v>
      </c>
      <c r="E146" s="62">
        <f ca="1">Lekeitio_2_2b!H61</f>
        <v>0</v>
      </c>
      <c r="F146" s="62">
        <f ca="1">Lekeitio_2_3a!H61</f>
        <v>0</v>
      </c>
      <c r="G146" s="62">
        <f ca="1">Lekeitio_2_3b!H61</f>
        <v>1</v>
      </c>
      <c r="H146" s="62">
        <f ca="1">Lekeitio_2_4a!H61</f>
        <v>0</v>
      </c>
      <c r="I146" s="62">
        <f ca="1">Lekeitio_2_4b!H61</f>
        <v>1</v>
      </c>
      <c r="J146" s="62">
        <f ca="1">Lekeitio_2_5a!H61</f>
        <v>0</v>
      </c>
      <c r="K146" s="62">
        <f ca="1">Lekeitio_2_5b!H61</f>
        <v>0</v>
      </c>
      <c r="L146" s="62">
        <f ca="1">Lekeitio_2_6a!H61</f>
        <v>0</v>
      </c>
      <c r="M146" s="62">
        <f ca="1">Lekeitio_2_6b!H61</f>
        <v>0</v>
      </c>
      <c r="N146" s="203">
        <f ca="1">Lekeitio_2_7a!H61</f>
        <v>0</v>
      </c>
      <c r="O146" s="203">
        <f ca="1">Lekeitio_2_7b!H61</f>
        <v>1</v>
      </c>
      <c r="P146" s="203">
        <f ca="1">Lekeitio_2_8a!H61</f>
        <v>0</v>
      </c>
      <c r="Q146" s="203">
        <f ca="1">Lekeitio_2_8b!H61</f>
        <v>0</v>
      </c>
      <c r="R146" s="203">
        <f ca="1">Lekeitio_2_9a!H61</f>
        <v>0</v>
      </c>
      <c r="S146" s="203">
        <f ca="1">SUM(B146:R146)</f>
        <v>3</v>
      </c>
      <c r="T146" s="32">
        <f ca="1">AVERAGE(B146:R146)</f>
        <v>0.17647058823529413</v>
      </c>
      <c r="U146" s="32">
        <f ca="1">STDEV(B146:R146)</f>
        <v>0.3929526239966879</v>
      </c>
      <c r="V146" s="32">
        <f ca="1">U146/SQRT(17)</f>
        <v>9.530501027070383E-2</v>
      </c>
      <c r="W146" s="32">
        <f ca="1">IF(S146=0,0,-1*((S146/S94)*(LN(S146/S94))))</f>
        <v>0.21576155433883568</v>
      </c>
      <c r="X146" s="286">
        <f ca="1">IF(S146=0,0,(S146/S94)^2)</f>
        <v>0.5625</v>
      </c>
    </row>
    <row r="147" spans="1:24" x14ac:dyDescent="0.25">
      <c r="A147" s="276" t="s">
        <v>251</v>
      </c>
      <c r="B147" s="62">
        <f ca="1">Lekeitio_2_1a!H62</f>
        <v>0</v>
      </c>
      <c r="C147" s="62">
        <f ca="1">Lekeitio_2_1b!H62</f>
        <v>0</v>
      </c>
      <c r="D147" s="62">
        <f ca="1">Lekeitio_2_2a!H62</f>
        <v>0</v>
      </c>
      <c r="E147" s="62">
        <f ca="1">Lekeitio_2_2b!H62</f>
        <v>0</v>
      </c>
      <c r="F147" s="62">
        <f ca="1">Lekeitio_2_3a!H62</f>
        <v>0</v>
      </c>
      <c r="G147" s="62">
        <f ca="1">Lekeitio_2_3b!H62</f>
        <v>0</v>
      </c>
      <c r="H147" s="62">
        <f ca="1">Lekeitio_2_4a!H62</f>
        <v>0</v>
      </c>
      <c r="I147" s="62">
        <f ca="1">Lekeitio_2_4b!H62</f>
        <v>0</v>
      </c>
      <c r="J147" s="62">
        <f ca="1">Lekeitio_2_5a!H62</f>
        <v>0</v>
      </c>
      <c r="K147" s="62">
        <f ca="1">Lekeitio_2_5b!H62</f>
        <v>0</v>
      </c>
      <c r="L147" s="62">
        <f ca="1">Lekeitio_2_6a!H62</f>
        <v>0</v>
      </c>
      <c r="M147" s="62">
        <f ca="1">Lekeitio_2_6b!H62</f>
        <v>0</v>
      </c>
      <c r="N147" s="203">
        <f ca="1">Lekeitio_2_7a!H62</f>
        <v>0</v>
      </c>
      <c r="O147" s="203">
        <f ca="1">Lekeitio_2_7b!H62</f>
        <v>0</v>
      </c>
      <c r="P147" s="203">
        <f ca="1">Lekeitio_2_8a!H62</f>
        <v>0</v>
      </c>
      <c r="Q147" s="203">
        <f ca="1">Lekeitio_2_8b!H62</f>
        <v>0</v>
      </c>
      <c r="R147" s="203">
        <f ca="1">Lekeitio_2_9a!H62</f>
        <v>0</v>
      </c>
      <c r="S147" s="203">
        <f ca="1">SUM(B147:R147)</f>
        <v>0</v>
      </c>
      <c r="T147" s="32">
        <f ca="1">AVERAGE(B147:R147)</f>
        <v>0</v>
      </c>
      <c r="U147" s="32">
        <f ca="1">STDEV(B147:R147)</f>
        <v>0</v>
      </c>
      <c r="V147" s="32">
        <f ca="1">U147/SQRT(17)</f>
        <v>0</v>
      </c>
      <c r="W147" s="32">
        <f ca="1">IF(S147=0,0,-1*((S147/S94)*(LN(S147/S94))))</f>
        <v>0</v>
      </c>
      <c r="X147" s="286">
        <f ca="1">IF(S147=0,0,(S147/S94)^2)</f>
        <v>0</v>
      </c>
    </row>
    <row r="148" spans="1:24" x14ac:dyDescent="0.25">
      <c r="A148" s="276" t="s">
        <v>252</v>
      </c>
      <c r="B148" s="62">
        <f ca="1">Lekeitio_2_1a!H63</f>
        <v>0</v>
      </c>
      <c r="C148" s="62">
        <f ca="1">Lekeitio_2_1b!H63</f>
        <v>0</v>
      </c>
      <c r="D148" s="62">
        <f ca="1">Lekeitio_2_2a!H63</f>
        <v>1</v>
      </c>
      <c r="E148" s="62">
        <f ca="1">Lekeitio_2_2b!H63</f>
        <v>0</v>
      </c>
      <c r="F148" s="62">
        <f ca="1">Lekeitio_2_3a!H63</f>
        <v>0</v>
      </c>
      <c r="G148" s="62">
        <f ca="1">Lekeitio_2_3b!H63</f>
        <v>0</v>
      </c>
      <c r="H148" s="62">
        <f ca="1">Lekeitio_2_4a!H63</f>
        <v>0</v>
      </c>
      <c r="I148" s="62">
        <f ca="1">Lekeitio_2_4b!H63</f>
        <v>0</v>
      </c>
      <c r="J148" s="62">
        <f ca="1">Lekeitio_2_5a!H63</f>
        <v>0</v>
      </c>
      <c r="K148" s="62">
        <f ca="1">Lekeitio_2_5b!H63</f>
        <v>0</v>
      </c>
      <c r="L148" s="62">
        <f ca="1">Lekeitio_2_6a!H63</f>
        <v>0</v>
      </c>
      <c r="M148" s="62">
        <f ca="1">Lekeitio_2_6b!H63</f>
        <v>0</v>
      </c>
      <c r="N148" s="203">
        <f ca="1">Lekeitio_2_7a!H63</f>
        <v>0</v>
      </c>
      <c r="O148" s="203">
        <f ca="1">Lekeitio_2_7b!H63</f>
        <v>0</v>
      </c>
      <c r="P148" s="203">
        <f ca="1">Lekeitio_2_8a!H63</f>
        <v>0</v>
      </c>
      <c r="Q148" s="203">
        <f ca="1">Lekeitio_2_8b!H63</f>
        <v>0</v>
      </c>
      <c r="R148" s="203">
        <f ca="1">Lekeitio_2_9a!H63</f>
        <v>0</v>
      </c>
      <c r="S148" s="203">
        <f ca="1">SUM(B148:R148)</f>
        <v>1</v>
      </c>
      <c r="T148" s="32">
        <f ca="1">AVERAGE(B148:R148)</f>
        <v>5.8823529411764705E-2</v>
      </c>
      <c r="U148" s="32">
        <f ca="1">STDEV(B148:R148)</f>
        <v>0.24253562503633297</v>
      </c>
      <c r="V148" s="32">
        <f ca="1">U148/SQRT(17)</f>
        <v>5.8823529411764705E-2</v>
      </c>
      <c r="W148" s="32">
        <f ca="1">IF(S148=0,0,-1*((S148/S94)*(LN(S148/S94))))</f>
        <v>0.34657359027997264</v>
      </c>
      <c r="X148" s="286">
        <f ca="1">IF(S148=0,0,(S148/S94)^2)</f>
        <v>6.25E-2</v>
      </c>
    </row>
    <row r="149" spans="1:24" x14ac:dyDescent="0.25">
      <c r="A149" s="277" t="s">
        <v>327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35"/>
      <c r="O149" s="35"/>
      <c r="P149" s="35"/>
      <c r="Q149" s="35"/>
      <c r="R149" s="35"/>
      <c r="S149" s="35"/>
      <c r="T149" s="35"/>
      <c r="U149" s="35"/>
      <c r="V149" s="35"/>
      <c r="W149" s="36">
        <f ca="1">SUM(W150:W151)</f>
        <v>0</v>
      </c>
      <c r="X149" s="287">
        <f ca="1">1-SUM(X150:X151)</f>
        <v>1</v>
      </c>
    </row>
    <row r="150" spans="1:24" x14ac:dyDescent="0.25">
      <c r="A150" s="276" t="s">
        <v>253</v>
      </c>
      <c r="B150" s="62">
        <f ca="1">Lekeitio_2_1a!H65</f>
        <v>0</v>
      </c>
      <c r="C150" s="62">
        <f ca="1">Lekeitio_2_1b!H65</f>
        <v>0</v>
      </c>
      <c r="D150" s="62">
        <f ca="1">Lekeitio_2_2a!H65</f>
        <v>0</v>
      </c>
      <c r="E150" s="62">
        <f ca="1">Lekeitio_2_2b!H65</f>
        <v>0</v>
      </c>
      <c r="F150" s="62">
        <f ca="1">Lekeitio_2_3a!H65</f>
        <v>0</v>
      </c>
      <c r="G150" s="62">
        <f ca="1">Lekeitio_2_3b!H65</f>
        <v>0</v>
      </c>
      <c r="H150" s="62">
        <f ca="1">Lekeitio_2_4a!H65</f>
        <v>0</v>
      </c>
      <c r="I150" s="62">
        <f ca="1">Lekeitio_2_4b!H65</f>
        <v>0</v>
      </c>
      <c r="J150" s="62">
        <f ca="1">Lekeitio_2_5a!H65</f>
        <v>0</v>
      </c>
      <c r="K150" s="62">
        <f ca="1">Lekeitio_2_5b!H65</f>
        <v>0</v>
      </c>
      <c r="L150" s="62">
        <f ca="1">Lekeitio_2_6a!H65</f>
        <v>0</v>
      </c>
      <c r="M150" s="62">
        <f ca="1">Lekeitio_2_6b!H65</f>
        <v>0</v>
      </c>
      <c r="N150" s="203">
        <f ca="1">Lekeitio_2_7a!H65</f>
        <v>0</v>
      </c>
      <c r="O150" s="203">
        <f ca="1">Lekeitio_2_7b!H65</f>
        <v>0</v>
      </c>
      <c r="P150" s="203">
        <f ca="1">Lekeitio_2_8a!H65</f>
        <v>0</v>
      </c>
      <c r="Q150" s="203">
        <f ca="1">Lekeitio_2_8b!H65</f>
        <v>0</v>
      </c>
      <c r="R150" s="203">
        <f ca="1">Lekeitio_2_9a!H65</f>
        <v>0</v>
      </c>
      <c r="S150" s="203">
        <f ca="1">SUM(B150:R150)</f>
        <v>0</v>
      </c>
      <c r="T150" s="32">
        <f ca="1">AVERAGE(B150:R150)</f>
        <v>0</v>
      </c>
      <c r="U150" s="32">
        <f ca="1">STDEV(B150:R150)</f>
        <v>0</v>
      </c>
      <c r="V150" s="32">
        <f ca="1">U150/SQRT(17)</f>
        <v>0</v>
      </c>
      <c r="W150" s="32">
        <f ca="1">IF(S150=0,0,-1*((S150/S95)*(LN(S150/S95))))</f>
        <v>0</v>
      </c>
      <c r="X150" s="286">
        <f ca="1">IF(S150=0,0,(S150/S95)^2)</f>
        <v>0</v>
      </c>
    </row>
    <row r="151" spans="1:24" x14ac:dyDescent="0.25">
      <c r="A151" s="276" t="s">
        <v>254</v>
      </c>
      <c r="B151" s="62">
        <f ca="1">Lekeitio_2_1a!H66</f>
        <v>0</v>
      </c>
      <c r="C151" s="62">
        <f ca="1">Lekeitio_2_1b!H66</f>
        <v>0</v>
      </c>
      <c r="D151" s="62">
        <f ca="1">Lekeitio_2_2a!H66</f>
        <v>0</v>
      </c>
      <c r="E151" s="62">
        <f ca="1">Lekeitio_2_2b!H66</f>
        <v>0</v>
      </c>
      <c r="F151" s="62">
        <f ca="1">Lekeitio_2_3a!H66</f>
        <v>0</v>
      </c>
      <c r="G151" s="62">
        <f ca="1">Lekeitio_2_3b!H66</f>
        <v>0</v>
      </c>
      <c r="H151" s="62">
        <f ca="1">Lekeitio_2_4a!H66</f>
        <v>0</v>
      </c>
      <c r="I151" s="62">
        <f ca="1">Lekeitio_2_4b!H66</f>
        <v>0</v>
      </c>
      <c r="J151" s="62">
        <f ca="1">Lekeitio_2_5a!H66</f>
        <v>0</v>
      </c>
      <c r="K151" s="62">
        <f ca="1">Lekeitio_2_5b!H66</f>
        <v>0</v>
      </c>
      <c r="L151" s="62">
        <f ca="1">Lekeitio_2_6a!H66</f>
        <v>0</v>
      </c>
      <c r="M151" s="62">
        <f ca="1">Lekeitio_2_6b!H66</f>
        <v>0</v>
      </c>
      <c r="N151" s="203">
        <f ca="1">Lekeitio_2_7a!H66</f>
        <v>0</v>
      </c>
      <c r="O151" s="203">
        <f ca="1">Lekeitio_2_7b!H66</f>
        <v>0</v>
      </c>
      <c r="P151" s="203">
        <f ca="1">Lekeitio_2_8a!H66</f>
        <v>0</v>
      </c>
      <c r="Q151" s="203">
        <f ca="1">Lekeitio_2_8b!H66</f>
        <v>0</v>
      </c>
      <c r="R151" s="203">
        <f ca="1">Lekeitio_2_9a!H66</f>
        <v>0</v>
      </c>
      <c r="S151" s="203">
        <f ca="1">SUM(B151:R151)</f>
        <v>0</v>
      </c>
      <c r="T151" s="32">
        <f ca="1">AVERAGE(B151:R151)</f>
        <v>0</v>
      </c>
      <c r="U151" s="32">
        <f ca="1">STDEV(B151:R151)</f>
        <v>0</v>
      </c>
      <c r="V151" s="32">
        <f ca="1">U151/SQRT(17)</f>
        <v>0</v>
      </c>
      <c r="W151" s="32">
        <f ca="1">IF(S151=0,0,-1*((S151/S95)*(LN(S151/S95))))</f>
        <v>0</v>
      </c>
      <c r="X151" s="286">
        <f ca="1">IF(S151=0,0,(S151/S95)^2)</f>
        <v>0</v>
      </c>
    </row>
    <row r="152" spans="1:24" x14ac:dyDescent="0.25">
      <c r="A152" s="277" t="s">
        <v>328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35"/>
      <c r="O152" s="35"/>
      <c r="P152" s="35"/>
      <c r="Q152" s="35"/>
      <c r="R152" s="35"/>
      <c r="S152" s="35"/>
      <c r="T152" s="35"/>
      <c r="U152" s="35"/>
      <c r="V152" s="35"/>
      <c r="W152" s="36">
        <f ca="1">SUM(W153:W157)</f>
        <v>0</v>
      </c>
      <c r="X152" s="287">
        <f ca="1">1-SUM(X153:X157)</f>
        <v>0</v>
      </c>
    </row>
    <row r="153" spans="1:24" x14ac:dyDescent="0.25">
      <c r="A153" s="276" t="s">
        <v>255</v>
      </c>
      <c r="B153" s="62">
        <f ca="1">Lekeitio_2_1a!H68</f>
        <v>0</v>
      </c>
      <c r="C153" s="62">
        <f ca="1">Lekeitio_2_1b!H68</f>
        <v>0</v>
      </c>
      <c r="D153" s="62">
        <f ca="1">Lekeitio_2_2a!H68</f>
        <v>0</v>
      </c>
      <c r="E153" s="62">
        <f ca="1">Lekeitio_2_2b!H68</f>
        <v>0</v>
      </c>
      <c r="F153" s="62">
        <f ca="1">Lekeitio_2_3a!H68</f>
        <v>0</v>
      </c>
      <c r="G153" s="62">
        <f ca="1">Lekeitio_2_3b!H68</f>
        <v>0</v>
      </c>
      <c r="H153" s="62">
        <f ca="1">Lekeitio_2_4a!H68</f>
        <v>0</v>
      </c>
      <c r="I153" s="62">
        <f ca="1">Lekeitio_2_4b!H68</f>
        <v>0</v>
      </c>
      <c r="J153" s="62">
        <f ca="1">Lekeitio_2_5a!H68</f>
        <v>0</v>
      </c>
      <c r="K153" s="62">
        <f ca="1">Lekeitio_2_5b!H68</f>
        <v>0</v>
      </c>
      <c r="L153" s="62">
        <f ca="1">Lekeitio_2_6a!H68</f>
        <v>0</v>
      </c>
      <c r="M153" s="62">
        <f ca="1">Lekeitio_2_6b!H68</f>
        <v>0</v>
      </c>
      <c r="N153" s="203">
        <f ca="1">Lekeitio_2_7a!H68</f>
        <v>0</v>
      </c>
      <c r="O153" s="203">
        <f ca="1">Lekeitio_2_7b!H68</f>
        <v>0</v>
      </c>
      <c r="P153" s="203">
        <f ca="1">Lekeitio_2_8a!H68</f>
        <v>0</v>
      </c>
      <c r="Q153" s="203">
        <f ca="1">Lekeitio_2_8b!H68</f>
        <v>0</v>
      </c>
      <c r="R153" s="203">
        <f ca="1">Lekeitio_2_9a!H68</f>
        <v>0</v>
      </c>
      <c r="S153" s="203">
        <f ca="1">SUM(B153:R153)</f>
        <v>0</v>
      </c>
      <c r="T153" s="32">
        <f ca="1">AVERAGE(B153:R153)</f>
        <v>0</v>
      </c>
      <c r="U153" s="32">
        <f ca="1">STDEV(B153:R153)</f>
        <v>0</v>
      </c>
      <c r="V153" s="32">
        <f ca="1">U153/SQRT(17)</f>
        <v>0</v>
      </c>
      <c r="W153" s="32">
        <f ca="1">IF(S153=0,0,-1*((S153/S96)*(LN(S153/S96))))</f>
        <v>0</v>
      </c>
      <c r="X153" s="286">
        <f ca="1">IF(S153=0,0,(S153/S96)^2)</f>
        <v>0</v>
      </c>
    </row>
    <row r="154" spans="1:24" x14ac:dyDescent="0.25">
      <c r="A154" s="276" t="s">
        <v>256</v>
      </c>
      <c r="B154" s="62">
        <f ca="1">Lekeitio_2_1a!H69</f>
        <v>0</v>
      </c>
      <c r="C154" s="62">
        <f ca="1">Lekeitio_2_1b!H69</f>
        <v>0</v>
      </c>
      <c r="D154" s="62">
        <f ca="1">Lekeitio_2_2a!H69</f>
        <v>0</v>
      </c>
      <c r="E154" s="62">
        <f ca="1">Lekeitio_2_2b!H69</f>
        <v>0</v>
      </c>
      <c r="F154" s="62">
        <f ca="1">Lekeitio_2_3a!H69</f>
        <v>0</v>
      </c>
      <c r="G154" s="62">
        <f ca="1">Lekeitio_2_3b!H69</f>
        <v>0</v>
      </c>
      <c r="H154" s="62">
        <f ca="1">Lekeitio_2_4a!H69</f>
        <v>0</v>
      </c>
      <c r="I154" s="62">
        <f ca="1">Lekeitio_2_4b!H69</f>
        <v>0</v>
      </c>
      <c r="J154" s="62">
        <f ca="1">Lekeitio_2_5a!H69</f>
        <v>0</v>
      </c>
      <c r="K154" s="62">
        <f ca="1">Lekeitio_2_5b!H69</f>
        <v>0</v>
      </c>
      <c r="L154" s="62">
        <f ca="1">Lekeitio_2_6a!H69</f>
        <v>0</v>
      </c>
      <c r="M154" s="62">
        <f ca="1">Lekeitio_2_6b!H69</f>
        <v>0</v>
      </c>
      <c r="N154" s="203">
        <f ca="1">Lekeitio_2_7a!H69</f>
        <v>0</v>
      </c>
      <c r="O154" s="203">
        <f ca="1">Lekeitio_2_7b!H69</f>
        <v>0</v>
      </c>
      <c r="P154" s="203">
        <f ca="1">Lekeitio_2_8a!H69</f>
        <v>0</v>
      </c>
      <c r="Q154" s="203">
        <f ca="1">Lekeitio_2_8b!H69</f>
        <v>0</v>
      </c>
      <c r="R154" s="203">
        <f ca="1">Lekeitio_2_9a!H69</f>
        <v>0</v>
      </c>
      <c r="S154" s="203">
        <f ca="1">SUM(B154:R154)</f>
        <v>0</v>
      </c>
      <c r="T154" s="32">
        <f ca="1">AVERAGE(B154:R154)</f>
        <v>0</v>
      </c>
      <c r="U154" s="32">
        <f ca="1">STDEV(B154:R154)</f>
        <v>0</v>
      </c>
      <c r="V154" s="32">
        <f ca="1">U154/SQRT(17)</f>
        <v>0</v>
      </c>
      <c r="W154" s="32">
        <f ca="1">IF(S154=0,0,-1*((S154/S96)*(LN(S154/S96))))</f>
        <v>0</v>
      </c>
      <c r="X154" s="286">
        <f ca="1">IF(S154=0,0,(S154/S96)^2)</f>
        <v>0</v>
      </c>
    </row>
    <row r="155" spans="1:24" x14ac:dyDescent="0.25">
      <c r="A155" s="276" t="s">
        <v>257</v>
      </c>
      <c r="B155" s="62">
        <f ca="1">Lekeitio_2_1a!H70</f>
        <v>0</v>
      </c>
      <c r="C155" s="62">
        <f ca="1">Lekeitio_2_1b!H70</f>
        <v>0</v>
      </c>
      <c r="D155" s="62">
        <f ca="1">Lekeitio_2_2a!H70</f>
        <v>0</v>
      </c>
      <c r="E155" s="62">
        <f ca="1">Lekeitio_2_2b!H70</f>
        <v>0</v>
      </c>
      <c r="F155" s="62">
        <f ca="1">Lekeitio_2_3a!H70</f>
        <v>0</v>
      </c>
      <c r="G155" s="62">
        <f ca="1">Lekeitio_2_3b!H70</f>
        <v>0</v>
      </c>
      <c r="H155" s="62">
        <f ca="1">Lekeitio_2_4a!H70</f>
        <v>0</v>
      </c>
      <c r="I155" s="62">
        <f ca="1">Lekeitio_2_4b!H70</f>
        <v>0</v>
      </c>
      <c r="J155" s="62">
        <f ca="1">Lekeitio_2_5a!H70</f>
        <v>0</v>
      </c>
      <c r="K155" s="62">
        <f ca="1">Lekeitio_2_5b!H70</f>
        <v>0</v>
      </c>
      <c r="L155" s="62">
        <f ca="1">Lekeitio_2_6a!H70</f>
        <v>0</v>
      </c>
      <c r="M155" s="62">
        <f ca="1">Lekeitio_2_6b!H70</f>
        <v>0</v>
      </c>
      <c r="N155" s="203">
        <f ca="1">Lekeitio_2_7a!H70</f>
        <v>0</v>
      </c>
      <c r="O155" s="203">
        <f ca="1">Lekeitio_2_7b!H70</f>
        <v>0</v>
      </c>
      <c r="P155" s="203">
        <f ca="1">Lekeitio_2_8a!H70</f>
        <v>0</v>
      </c>
      <c r="Q155" s="203">
        <f ca="1">Lekeitio_2_8b!H70</f>
        <v>0</v>
      </c>
      <c r="R155" s="203">
        <f ca="1">Lekeitio_2_9a!H70</f>
        <v>0</v>
      </c>
      <c r="S155" s="203">
        <f ca="1">SUM(B155:R155)</f>
        <v>0</v>
      </c>
      <c r="T155" s="32">
        <f ca="1">AVERAGE(B155:R155)</f>
        <v>0</v>
      </c>
      <c r="U155" s="32">
        <f ca="1">STDEV(B155:R155)</f>
        <v>0</v>
      </c>
      <c r="V155" s="32">
        <f ca="1">U155/SQRT(17)</f>
        <v>0</v>
      </c>
      <c r="W155" s="32">
        <f ca="1">IF(S155=0,0,-1*((S155/S96)*(LN(S155/S96))))</f>
        <v>0</v>
      </c>
      <c r="X155" s="286">
        <f ca="1">IF(S155=0,0,(S155/S96)^2)</f>
        <v>0</v>
      </c>
    </row>
    <row r="156" spans="1:24" x14ac:dyDescent="0.25">
      <c r="A156" s="276" t="s">
        <v>258</v>
      </c>
      <c r="B156" s="62">
        <f ca="1">Lekeitio_2_1a!H71</f>
        <v>0</v>
      </c>
      <c r="C156" s="62">
        <f ca="1">Lekeitio_2_1b!H71</f>
        <v>0</v>
      </c>
      <c r="D156" s="62">
        <f ca="1">Lekeitio_2_2a!H71</f>
        <v>0</v>
      </c>
      <c r="E156" s="62">
        <f ca="1">Lekeitio_2_2b!H71</f>
        <v>0</v>
      </c>
      <c r="F156" s="62">
        <f ca="1">Lekeitio_2_3a!H71</f>
        <v>0</v>
      </c>
      <c r="G156" s="62">
        <f ca="1">Lekeitio_2_3b!H71</f>
        <v>0</v>
      </c>
      <c r="H156" s="62">
        <f ca="1">Lekeitio_2_4a!H71</f>
        <v>0</v>
      </c>
      <c r="I156" s="62">
        <f ca="1">Lekeitio_2_4b!H71</f>
        <v>0</v>
      </c>
      <c r="J156" s="62">
        <f ca="1">Lekeitio_2_5a!H71</f>
        <v>0</v>
      </c>
      <c r="K156" s="62">
        <f ca="1">Lekeitio_2_5b!H71</f>
        <v>0</v>
      </c>
      <c r="L156" s="62">
        <f ca="1">Lekeitio_2_6a!H71</f>
        <v>0</v>
      </c>
      <c r="M156" s="62">
        <f ca="1">Lekeitio_2_6b!H71</f>
        <v>0</v>
      </c>
      <c r="N156" s="203">
        <f ca="1">Lekeitio_2_7a!H71</f>
        <v>0</v>
      </c>
      <c r="O156" s="203">
        <f ca="1">Lekeitio_2_7b!H71</f>
        <v>0</v>
      </c>
      <c r="P156" s="203">
        <f ca="1">Lekeitio_2_8a!H71</f>
        <v>0</v>
      </c>
      <c r="Q156" s="203">
        <f ca="1">Lekeitio_2_8b!H71</f>
        <v>0</v>
      </c>
      <c r="R156" s="203">
        <f ca="1">Lekeitio_2_9a!H71</f>
        <v>0</v>
      </c>
      <c r="S156" s="203">
        <f ca="1">SUM(B156:R156)</f>
        <v>0</v>
      </c>
      <c r="T156" s="32">
        <f ca="1">AVERAGE(B156:R156)</f>
        <v>0</v>
      </c>
      <c r="U156" s="32">
        <f ca="1">STDEV(B156:R156)</f>
        <v>0</v>
      </c>
      <c r="V156" s="32">
        <f ca="1">U156/SQRT(17)</f>
        <v>0</v>
      </c>
      <c r="W156" s="32">
        <f ca="1">IF(S156=0,0,-1*((S156/S96)*(LN(S156/S96))))</f>
        <v>0</v>
      </c>
      <c r="X156" s="286">
        <f ca="1">IF(S156=0,0,(S156/S96)^2)</f>
        <v>0</v>
      </c>
    </row>
    <row r="157" spans="1:24" x14ac:dyDescent="0.25">
      <c r="A157" s="276" t="s">
        <v>259</v>
      </c>
      <c r="B157" s="62">
        <f ca="1">Lekeitio_2_1a!H72</f>
        <v>0</v>
      </c>
      <c r="C157" s="62">
        <f ca="1">Lekeitio_2_1b!H72</f>
        <v>6</v>
      </c>
      <c r="D157" s="62">
        <f ca="1">Lekeitio_2_2a!H72</f>
        <v>11</v>
      </c>
      <c r="E157" s="62">
        <f ca="1">Lekeitio_2_2b!H72</f>
        <v>21</v>
      </c>
      <c r="F157" s="62">
        <f ca="1">Lekeitio_2_3a!H72</f>
        <v>5</v>
      </c>
      <c r="G157" s="62">
        <f ca="1">Lekeitio_2_3b!H72</f>
        <v>5</v>
      </c>
      <c r="H157" s="62">
        <f ca="1">Lekeitio_2_4a!H72</f>
        <v>9</v>
      </c>
      <c r="I157" s="62">
        <f ca="1">Lekeitio_2_4b!H72</f>
        <v>7</v>
      </c>
      <c r="J157" s="62">
        <f ca="1">Lekeitio_2_5a!H72</f>
        <v>0</v>
      </c>
      <c r="K157" s="62">
        <f ca="1">Lekeitio_2_5b!H72</f>
        <v>8</v>
      </c>
      <c r="L157" s="62">
        <f ca="1">Lekeitio_2_6a!H72</f>
        <v>5</v>
      </c>
      <c r="M157" s="62">
        <f ca="1">Lekeitio_2_6b!H72</f>
        <v>9</v>
      </c>
      <c r="N157" s="203">
        <f ca="1">Lekeitio_2_7a!H72</f>
        <v>1</v>
      </c>
      <c r="O157" s="203">
        <f ca="1">Lekeitio_2_7b!H72</f>
        <v>4</v>
      </c>
      <c r="P157" s="203">
        <f ca="1">Lekeitio_2_8a!H72</f>
        <v>5</v>
      </c>
      <c r="Q157" s="203">
        <f ca="1">Lekeitio_2_8b!H72</f>
        <v>10</v>
      </c>
      <c r="R157" s="203">
        <f ca="1">Lekeitio_2_9a!H72</f>
        <v>3</v>
      </c>
      <c r="S157" s="203">
        <f ca="1">SUM(B157:R157)</f>
        <v>109</v>
      </c>
      <c r="T157" s="32">
        <f ca="1">AVERAGE(B157:R157)</f>
        <v>6.4117647058823533</v>
      </c>
      <c r="U157" s="32">
        <f ca="1">STDEV(B157:R157)</f>
        <v>5.0007352400598526</v>
      </c>
      <c r="V157" s="32">
        <f ca="1">U157/SQRT(17)</f>
        <v>1.212856447089133</v>
      </c>
      <c r="W157" s="32">
        <f ca="1">IF(S157=0,0,-1*((S157/S96)*(LN(S157/S96))))</f>
        <v>0</v>
      </c>
      <c r="X157" s="286">
        <f ca="1">IF(S157=0,0,(S157/S96)^2)</f>
        <v>1</v>
      </c>
    </row>
    <row r="158" spans="1:24" x14ac:dyDescent="0.25">
      <c r="A158" s="277" t="s">
        <v>329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35"/>
      <c r="O158" s="35"/>
      <c r="P158" s="35"/>
      <c r="Q158" s="35"/>
      <c r="R158" s="35"/>
      <c r="S158" s="35"/>
      <c r="T158" s="35"/>
      <c r="U158" s="35"/>
      <c r="V158" s="35"/>
      <c r="W158" s="36">
        <f ca="1">SUM(W159:W159)</f>
        <v>0</v>
      </c>
      <c r="X158" s="287">
        <f ca="1">1-SUM(X159:X159)</f>
        <v>0</v>
      </c>
    </row>
    <row r="159" spans="1:24" x14ac:dyDescent="0.25">
      <c r="A159" s="276" t="s">
        <v>260</v>
      </c>
      <c r="B159" s="62">
        <f ca="1">Lekeitio_2_1a!H74</f>
        <v>41</v>
      </c>
      <c r="C159" s="62">
        <f ca="1">Lekeitio_2_1b!H74</f>
        <v>15</v>
      </c>
      <c r="D159" s="62">
        <f ca="1">Lekeitio_2_2a!H74</f>
        <v>6</v>
      </c>
      <c r="E159" s="62">
        <f ca="1">Lekeitio_2_2b!H74</f>
        <v>0</v>
      </c>
      <c r="F159" s="62">
        <f ca="1">Lekeitio_2_3a!H74</f>
        <v>2</v>
      </c>
      <c r="G159" s="62">
        <f ca="1">Lekeitio_2_3b!H74</f>
        <v>11</v>
      </c>
      <c r="H159" s="62">
        <f ca="1">Lekeitio_2_4a!H74</f>
        <v>0</v>
      </c>
      <c r="I159" s="62">
        <f ca="1">Lekeitio_2_4b!H74</f>
        <v>2</v>
      </c>
      <c r="J159" s="62">
        <f ca="1">Lekeitio_2_5a!H74</f>
        <v>0</v>
      </c>
      <c r="K159" s="62">
        <f ca="1">Lekeitio_2_5b!H74</f>
        <v>0</v>
      </c>
      <c r="L159" s="62">
        <f ca="1">Lekeitio_2_6a!H74</f>
        <v>0</v>
      </c>
      <c r="M159" s="62">
        <f ca="1">Lekeitio_2_6b!H74</f>
        <v>0</v>
      </c>
      <c r="N159" s="203">
        <f ca="1">Lekeitio_2_7a!H74</f>
        <v>0</v>
      </c>
      <c r="O159" s="203">
        <f ca="1">Lekeitio_2_7b!H74</f>
        <v>0</v>
      </c>
      <c r="P159" s="203">
        <f ca="1">Lekeitio_2_8a!H74</f>
        <v>0</v>
      </c>
      <c r="Q159" s="203">
        <f ca="1">Lekeitio_2_8b!H74</f>
        <v>0</v>
      </c>
      <c r="R159" s="203">
        <f ca="1">Lekeitio_2_9a!H74</f>
        <v>0</v>
      </c>
      <c r="S159" s="203">
        <f ca="1">SUM(B159:R159)</f>
        <v>77</v>
      </c>
      <c r="T159" s="32">
        <f ca="1">AVERAGE(B159:R159)</f>
        <v>4.5294117647058822</v>
      </c>
      <c r="U159" s="32">
        <f ca="1">STDEV(B159:R159)</f>
        <v>10.374955705079079</v>
      </c>
      <c r="V159" s="32">
        <f ca="1">U159/SQRT(17)</f>
        <v>2.5162963666556233</v>
      </c>
      <c r="W159" s="32">
        <f ca="1">IF(S159=0,0,-1*((S159/S97)*(LN(S159/S97))))</f>
        <v>0</v>
      </c>
      <c r="X159" s="286">
        <f ca="1">IF(S159=0,0,(S159/S97)^2)</f>
        <v>1</v>
      </c>
    </row>
    <row r="160" spans="1:24" x14ac:dyDescent="0.25">
      <c r="A160" s="276"/>
      <c r="X160" s="281"/>
    </row>
    <row r="161" spans="1:24" x14ac:dyDescent="0.25">
      <c r="A161" s="273" t="s">
        <v>380</v>
      </c>
      <c r="S161" s="1" t="s">
        <v>377</v>
      </c>
      <c r="T161" s="1" t="s">
        <v>369</v>
      </c>
      <c r="U161" s="1" t="s">
        <v>370</v>
      </c>
      <c r="V161" s="1" t="s">
        <v>371</v>
      </c>
      <c r="X161" s="281"/>
    </row>
    <row r="162" spans="1:24" x14ac:dyDescent="0.25">
      <c r="A162" s="273" t="s">
        <v>381</v>
      </c>
      <c r="X162" s="281"/>
    </row>
    <row r="163" spans="1:24" ht="15.75" thickBot="1" x14ac:dyDescent="0.3">
      <c r="A163" s="276"/>
      <c r="X163" s="281"/>
    </row>
    <row r="164" spans="1:24" ht="15.75" thickTop="1" x14ac:dyDescent="0.25">
      <c r="A164" s="272" t="s">
        <v>382</v>
      </c>
      <c r="B164" s="69">
        <f t="shared" ref="B164:R164" ca="1" si="22">SUM(B165:B173)</f>
        <v>0.36778037423284393</v>
      </c>
      <c r="C164" s="69">
        <f t="shared" ca="1" si="22"/>
        <v>1.0062217468530452</v>
      </c>
      <c r="D164" s="69">
        <f t="shared" ca="1" si="22"/>
        <v>1.5434868401499731</v>
      </c>
      <c r="E164" s="69">
        <f t="shared" ca="1" si="22"/>
        <v>1.324172368517762</v>
      </c>
      <c r="F164" s="69">
        <f t="shared" ca="1" si="22"/>
        <v>1.3230610647830376</v>
      </c>
      <c r="G164" s="69">
        <f t="shared" ca="1" si="22"/>
        <v>1.0952352019595233</v>
      </c>
      <c r="H164" s="69">
        <f t="shared" ca="1" si="22"/>
        <v>1.3391328026298492</v>
      </c>
      <c r="I164" s="69">
        <f t="shared" ca="1" si="22"/>
        <v>1.0902006689373434</v>
      </c>
      <c r="J164" s="69">
        <f t="shared" ca="1" si="22"/>
        <v>1.0916499967289748</v>
      </c>
      <c r="K164" s="69">
        <f t="shared" ca="1" si="22"/>
        <v>1.132242597327582</v>
      </c>
      <c r="L164" s="69">
        <f t="shared" ca="1" si="22"/>
        <v>1.2895824459000367</v>
      </c>
      <c r="M164" s="69">
        <f t="shared" ca="1" si="22"/>
        <v>1.1822798919414048</v>
      </c>
      <c r="N164" s="222">
        <f t="shared" ca="1" si="22"/>
        <v>1.2336632856906442</v>
      </c>
      <c r="O164" s="222">
        <f t="shared" ca="1" si="22"/>
        <v>1.0879361075802936</v>
      </c>
      <c r="P164" s="222">
        <f t="shared" ca="1" si="22"/>
        <v>1.3679769736577203</v>
      </c>
      <c r="Q164" s="222">
        <f t="shared" ca="1" si="22"/>
        <v>1.3319542103040267</v>
      </c>
      <c r="R164" s="222">
        <f t="shared" ca="1" si="22"/>
        <v>1.1736071087425783</v>
      </c>
      <c r="S164" s="53"/>
      <c r="T164" s="53"/>
      <c r="U164" s="53"/>
      <c r="V164" s="53"/>
      <c r="W164" s="53"/>
      <c r="X164" s="280"/>
    </row>
    <row r="165" spans="1:24" x14ac:dyDescent="0.25">
      <c r="A165" s="276" t="s">
        <v>320</v>
      </c>
      <c r="B165" s="59">
        <f t="shared" ref="B165:R165" ca="1" si="23">IF(B88=0,0,-1*((B88/B9)*(LN(B88/B9))))</f>
        <v>0.36778037423284393</v>
      </c>
      <c r="C165" s="59">
        <f t="shared" ca="1" si="23"/>
        <v>0.36719033534823092</v>
      </c>
      <c r="D165" s="59">
        <f t="shared" ca="1" si="23"/>
        <v>0.29004656099462911</v>
      </c>
      <c r="E165" s="59">
        <f t="shared" ca="1" si="23"/>
        <v>0.36348462806427528</v>
      </c>
      <c r="F165" s="59">
        <f t="shared" ca="1" si="23"/>
        <v>0.3616718757682047</v>
      </c>
      <c r="G165" s="59">
        <f t="shared" ca="1" si="23"/>
        <v>0.3324618836315904</v>
      </c>
      <c r="H165" s="59">
        <f t="shared" ca="1" si="23"/>
        <v>0.29004656099462911</v>
      </c>
      <c r="I165" s="59">
        <f t="shared" ca="1" si="23"/>
        <v>0.36707021656296618</v>
      </c>
      <c r="J165" s="59">
        <f t="shared" ca="1" si="23"/>
        <v>0.36707021656296618</v>
      </c>
      <c r="K165" s="59">
        <f t="shared" ca="1" si="23"/>
        <v>0.36719033534823092</v>
      </c>
      <c r="L165" s="59">
        <f t="shared" ca="1" si="23"/>
        <v>0.25993019270997947</v>
      </c>
      <c r="M165" s="59">
        <f t="shared" ca="1" si="23"/>
        <v>0.36719033534823092</v>
      </c>
      <c r="N165" s="32">
        <f t="shared" ca="1" si="23"/>
        <v>0.3616718757682047</v>
      </c>
      <c r="O165" s="32">
        <f t="shared" ca="1" si="23"/>
        <v>0.31387058129468842</v>
      </c>
      <c r="P165" s="32">
        <f t="shared" ca="1" si="23"/>
        <v>0.19917540397856026</v>
      </c>
      <c r="Q165" s="32">
        <f t="shared" ca="1" si="23"/>
        <v>0.36707021656296618</v>
      </c>
      <c r="R165" s="32">
        <f t="shared" ca="1" si="23"/>
        <v>0.35112144132984829</v>
      </c>
      <c r="X165" s="281"/>
    </row>
    <row r="166" spans="1:24" x14ac:dyDescent="0.25">
      <c r="A166" s="276" t="s">
        <v>321</v>
      </c>
      <c r="B166" s="59">
        <f t="shared" ref="B166:R166" ca="1" si="24">IF(B89=0,0,-1*((B89/B9)*(LN(B89/B9))))</f>
        <v>0</v>
      </c>
      <c r="C166" s="59">
        <f t="shared" ca="1" si="24"/>
        <v>0</v>
      </c>
      <c r="D166" s="59">
        <f t="shared" ca="1" si="24"/>
        <v>0</v>
      </c>
      <c r="E166" s="59">
        <f t="shared" ca="1" si="24"/>
        <v>0</v>
      </c>
      <c r="F166" s="59">
        <f t="shared" ca="1" si="24"/>
        <v>0</v>
      </c>
      <c r="G166" s="59">
        <f t="shared" ca="1" si="24"/>
        <v>0</v>
      </c>
      <c r="H166" s="59">
        <f t="shared" ca="1" si="24"/>
        <v>0</v>
      </c>
      <c r="I166" s="59">
        <f t="shared" ca="1" si="24"/>
        <v>0</v>
      </c>
      <c r="J166" s="59">
        <f t="shared" ca="1" si="24"/>
        <v>0</v>
      </c>
      <c r="K166" s="59">
        <f t="shared" ca="1" si="24"/>
        <v>0</v>
      </c>
      <c r="L166" s="59">
        <f t="shared" ca="1" si="24"/>
        <v>0</v>
      </c>
      <c r="M166" s="59">
        <f t="shared" ca="1" si="24"/>
        <v>0</v>
      </c>
      <c r="N166" s="32">
        <f t="shared" ca="1" si="24"/>
        <v>0</v>
      </c>
      <c r="O166" s="32">
        <f t="shared" ca="1" si="24"/>
        <v>0</v>
      </c>
      <c r="P166" s="32">
        <f t="shared" ca="1" si="24"/>
        <v>0</v>
      </c>
      <c r="Q166" s="32">
        <f t="shared" ca="1" si="24"/>
        <v>0</v>
      </c>
      <c r="R166" s="32">
        <f t="shared" ca="1" si="24"/>
        <v>0</v>
      </c>
      <c r="X166" s="281"/>
    </row>
    <row r="167" spans="1:24" x14ac:dyDescent="0.25">
      <c r="A167" s="276" t="s">
        <v>322</v>
      </c>
      <c r="B167" s="59">
        <f t="shared" ref="B167:R167" ca="1" si="25">IF(B90=0,0,-1*((B90/B9)*(LN(B90/B9))))</f>
        <v>0</v>
      </c>
      <c r="C167" s="59">
        <f t="shared" ca="1" si="25"/>
        <v>0</v>
      </c>
      <c r="D167" s="59">
        <f t="shared" ca="1" si="25"/>
        <v>0.34003895677909263</v>
      </c>
      <c r="E167" s="59">
        <f t="shared" ca="1" si="25"/>
        <v>6.4982548177494867E-2</v>
      </c>
      <c r="F167" s="59">
        <f t="shared" ca="1" si="25"/>
        <v>0.34003895677909263</v>
      </c>
      <c r="G167" s="59">
        <f t="shared" ca="1" si="25"/>
        <v>0.143450193501167</v>
      </c>
      <c r="H167" s="59">
        <f t="shared" ca="1" si="25"/>
        <v>0.34657359027997264</v>
      </c>
      <c r="I167" s="59">
        <f t="shared" ca="1" si="25"/>
        <v>0</v>
      </c>
      <c r="J167" s="59">
        <f t="shared" ca="1" si="25"/>
        <v>0.35676881028661139</v>
      </c>
      <c r="K167" s="59">
        <f t="shared" ca="1" si="25"/>
        <v>0.143450193501167</v>
      </c>
      <c r="L167" s="59">
        <f t="shared" ca="1" si="25"/>
        <v>0.36348462806427528</v>
      </c>
      <c r="M167" s="59">
        <f t="shared" ca="1" si="25"/>
        <v>0</v>
      </c>
      <c r="N167" s="32">
        <f t="shared" ca="1" si="25"/>
        <v>0.35213102450248046</v>
      </c>
      <c r="O167" s="32">
        <f t="shared" ca="1" si="25"/>
        <v>0</v>
      </c>
      <c r="P167" s="32">
        <f t="shared" ca="1" si="25"/>
        <v>0.36348462806427528</v>
      </c>
      <c r="Q167" s="32">
        <f t="shared" ca="1" si="25"/>
        <v>6.4982548177494867E-2</v>
      </c>
      <c r="R167" s="32">
        <f t="shared" ca="1" si="25"/>
        <v>0.3324618836315904</v>
      </c>
      <c r="X167" s="281"/>
    </row>
    <row r="168" spans="1:24" x14ac:dyDescent="0.25">
      <c r="A168" s="276" t="s">
        <v>323</v>
      </c>
      <c r="B168" s="59">
        <f t="shared" ref="B168:R168" ca="1" si="26">IF(B91=0,0,-1*((B91/B9)*(LN(B91/B9))))</f>
        <v>0</v>
      </c>
      <c r="C168" s="59">
        <f t="shared" ca="1" si="26"/>
        <v>0</v>
      </c>
      <c r="D168" s="59">
        <f t="shared" ca="1" si="26"/>
        <v>0</v>
      </c>
      <c r="E168" s="59">
        <f t="shared" ca="1" si="26"/>
        <v>0</v>
      </c>
      <c r="F168" s="59">
        <f t="shared" ca="1" si="26"/>
        <v>0</v>
      </c>
      <c r="G168" s="59">
        <f t="shared" ca="1" si="26"/>
        <v>0</v>
      </c>
      <c r="H168" s="59">
        <f t="shared" ca="1" si="26"/>
        <v>0</v>
      </c>
      <c r="I168" s="59">
        <f t="shared" ca="1" si="26"/>
        <v>0</v>
      </c>
      <c r="J168" s="59">
        <f t="shared" ca="1" si="26"/>
        <v>0</v>
      </c>
      <c r="K168" s="59">
        <f t="shared" ca="1" si="26"/>
        <v>0</v>
      </c>
      <c r="L168" s="59">
        <f t="shared" ca="1" si="26"/>
        <v>0</v>
      </c>
      <c r="M168" s="59">
        <f t="shared" ca="1" si="26"/>
        <v>0</v>
      </c>
      <c r="N168" s="32">
        <f t="shared" ca="1" si="26"/>
        <v>0</v>
      </c>
      <c r="O168" s="32">
        <f t="shared" ca="1" si="26"/>
        <v>0</v>
      </c>
      <c r="P168" s="32">
        <f t="shared" ca="1" si="26"/>
        <v>0</v>
      </c>
      <c r="Q168" s="32">
        <f t="shared" ca="1" si="26"/>
        <v>0</v>
      </c>
      <c r="R168" s="32">
        <f t="shared" ca="1" si="26"/>
        <v>0</v>
      </c>
      <c r="X168" s="281"/>
    </row>
    <row r="169" spans="1:24" x14ac:dyDescent="0.25">
      <c r="A169" s="276" t="s">
        <v>324</v>
      </c>
      <c r="B169" s="59">
        <f t="shared" ref="B169:R169" ca="1" si="27">IF(B92=0,0,-1*((B92/B9)*(LN(B92/B9))))</f>
        <v>0</v>
      </c>
      <c r="C169" s="59">
        <f t="shared" ca="1" si="27"/>
        <v>0.35213102450248046</v>
      </c>
      <c r="D169" s="59">
        <f t="shared" ca="1" si="27"/>
        <v>0.34657359027997264</v>
      </c>
      <c r="E169" s="59">
        <f t="shared" ca="1" si="27"/>
        <v>0.35676881028661139</v>
      </c>
      <c r="F169" s="59">
        <f t="shared" ca="1" si="27"/>
        <v>0.31387058129468842</v>
      </c>
      <c r="G169" s="59">
        <f t="shared" ca="1" si="27"/>
        <v>0.35516517267071085</v>
      </c>
      <c r="H169" s="59">
        <f t="shared" ca="1" si="27"/>
        <v>0.3616718757682047</v>
      </c>
      <c r="I169" s="59">
        <f t="shared" ca="1" si="27"/>
        <v>0.35112144132984829</v>
      </c>
      <c r="J169" s="59">
        <f t="shared" ca="1" si="27"/>
        <v>0.36781096987939732</v>
      </c>
      <c r="K169" s="59">
        <f t="shared" ca="1" si="27"/>
        <v>0.3616718757682047</v>
      </c>
      <c r="L169" s="59">
        <f t="shared" ca="1" si="27"/>
        <v>0.35868797418473025</v>
      </c>
      <c r="M169" s="59">
        <f t="shared" ca="1" si="27"/>
        <v>0.36594453404363958</v>
      </c>
      <c r="N169" s="32">
        <f t="shared" ca="1" si="27"/>
        <v>0.34657359027997264</v>
      </c>
      <c r="O169" s="32">
        <f t="shared" ca="1" si="27"/>
        <v>0.29375226827858475</v>
      </c>
      <c r="P169" s="32">
        <f t="shared" ca="1" si="27"/>
        <v>0.36409762294678527</v>
      </c>
      <c r="Q169" s="32">
        <f t="shared" ca="1" si="27"/>
        <v>0.36781096987939732</v>
      </c>
      <c r="R169" s="32">
        <f t="shared" ca="1" si="27"/>
        <v>0.34657359027997264</v>
      </c>
      <c r="X169" s="281"/>
    </row>
    <row r="170" spans="1:24" x14ac:dyDescent="0.25">
      <c r="A170" s="276" t="s">
        <v>325</v>
      </c>
      <c r="B170" s="59">
        <f t="shared" ref="B170:R170" ca="1" si="28">IF(B93=0,0,-1*((B93/B9)*(LN(B93/B9))))</f>
        <v>0</v>
      </c>
      <c r="C170" s="59">
        <f t="shared" ca="1" si="28"/>
        <v>6.4982548177494867E-2</v>
      </c>
      <c r="D170" s="59">
        <f t="shared" ca="1" si="28"/>
        <v>0.19917540397856026</v>
      </c>
      <c r="E170" s="59">
        <f t="shared" ca="1" si="28"/>
        <v>0.17328679513998632</v>
      </c>
      <c r="F170" s="59">
        <f t="shared" ca="1" si="28"/>
        <v>0.10830424696249145</v>
      </c>
      <c r="G170" s="59">
        <f t="shared" ca="1" si="28"/>
        <v>0</v>
      </c>
      <c r="H170" s="59">
        <f t="shared" ca="1" si="28"/>
        <v>6.4982548177494867E-2</v>
      </c>
      <c r="I170" s="59">
        <f t="shared" ca="1" si="28"/>
        <v>6.4982548177494867E-2</v>
      </c>
      <c r="J170" s="59">
        <f t="shared" ca="1" si="28"/>
        <v>0</v>
      </c>
      <c r="K170" s="59">
        <f t="shared" ca="1" si="28"/>
        <v>0</v>
      </c>
      <c r="L170" s="59">
        <f t="shared" ca="1" si="28"/>
        <v>0.10830424696249145</v>
      </c>
      <c r="M170" s="59">
        <f t="shared" ca="1" si="28"/>
        <v>0.17328679513998632</v>
      </c>
      <c r="N170" s="32">
        <f t="shared" ca="1" si="28"/>
        <v>0.10830424696249145</v>
      </c>
      <c r="O170" s="32">
        <f t="shared" ca="1" si="28"/>
        <v>0.2420439146895392</v>
      </c>
      <c r="P170" s="32">
        <f t="shared" ca="1" si="28"/>
        <v>0.2420439146895392</v>
      </c>
      <c r="Q170" s="32">
        <f t="shared" ca="1" si="28"/>
        <v>0.2420439146895392</v>
      </c>
      <c r="R170" s="32">
        <f t="shared" ca="1" si="28"/>
        <v>0</v>
      </c>
      <c r="X170" s="281"/>
    </row>
    <row r="171" spans="1:24" x14ac:dyDescent="0.25">
      <c r="A171" s="276" t="s">
        <v>326</v>
      </c>
      <c r="B171" s="59">
        <f t="shared" ref="B171:R171" ca="1" si="29">IF(B94=0,0,-1*((B94/B9)*(LN(B94/B9))))</f>
        <v>0</v>
      </c>
      <c r="C171" s="59">
        <f t="shared" ca="1" si="29"/>
        <v>0</v>
      </c>
      <c r="D171" s="59">
        <f t="shared" ca="1" si="29"/>
        <v>6.4982548177494867E-2</v>
      </c>
      <c r="E171" s="59">
        <f t="shared" ca="1" si="29"/>
        <v>0</v>
      </c>
      <c r="F171" s="59">
        <f t="shared" ca="1" si="29"/>
        <v>0</v>
      </c>
      <c r="G171" s="59">
        <f t="shared" ca="1" si="29"/>
        <v>6.4982548177494867E-2</v>
      </c>
      <c r="H171" s="59">
        <f t="shared" ca="1" si="29"/>
        <v>0</v>
      </c>
      <c r="I171" s="59">
        <f t="shared" ca="1" si="29"/>
        <v>6.4982548177494867E-2</v>
      </c>
      <c r="J171" s="59">
        <f t="shared" ca="1" si="29"/>
        <v>0</v>
      </c>
      <c r="K171" s="59">
        <f t="shared" ca="1" si="29"/>
        <v>0</v>
      </c>
      <c r="L171" s="59">
        <f t="shared" ca="1" si="29"/>
        <v>0</v>
      </c>
      <c r="M171" s="59">
        <f t="shared" ca="1" si="29"/>
        <v>0</v>
      </c>
      <c r="N171" s="32">
        <f t="shared" ca="1" si="29"/>
        <v>0</v>
      </c>
      <c r="O171" s="32">
        <f t="shared" ca="1" si="29"/>
        <v>6.4982548177494867E-2</v>
      </c>
      <c r="P171" s="32">
        <f t="shared" ca="1" si="29"/>
        <v>0</v>
      </c>
      <c r="Q171" s="32">
        <f t="shared" ca="1" si="29"/>
        <v>0</v>
      </c>
      <c r="R171" s="32">
        <f t="shared" ca="1" si="29"/>
        <v>0</v>
      </c>
      <c r="X171" s="281"/>
    </row>
    <row r="172" spans="1:24" x14ac:dyDescent="0.25">
      <c r="A172" s="276" t="s">
        <v>327</v>
      </c>
      <c r="B172" s="59">
        <f t="shared" ref="B172:R172" ca="1" si="30">IF(B95=0,0,-1*((B95/B9)*(LN(B95/B9))))</f>
        <v>0</v>
      </c>
      <c r="C172" s="59">
        <f t="shared" ca="1" si="30"/>
        <v>0</v>
      </c>
      <c r="D172" s="59">
        <f t="shared" ca="1" si="30"/>
        <v>0</v>
      </c>
      <c r="E172" s="59">
        <f t="shared" ca="1" si="30"/>
        <v>0</v>
      </c>
      <c r="F172" s="59">
        <f t="shared" ca="1" si="30"/>
        <v>0</v>
      </c>
      <c r="G172" s="59">
        <f t="shared" ca="1" si="30"/>
        <v>0</v>
      </c>
      <c r="H172" s="59">
        <f t="shared" ca="1" si="30"/>
        <v>0</v>
      </c>
      <c r="I172" s="59">
        <f t="shared" ca="1" si="30"/>
        <v>0</v>
      </c>
      <c r="J172" s="59">
        <f t="shared" ca="1" si="30"/>
        <v>0</v>
      </c>
      <c r="K172" s="59">
        <f t="shared" ca="1" si="30"/>
        <v>0</v>
      </c>
      <c r="L172" s="59">
        <f t="shared" ca="1" si="30"/>
        <v>0</v>
      </c>
      <c r="M172" s="59">
        <f t="shared" ca="1" si="30"/>
        <v>0</v>
      </c>
      <c r="N172" s="32">
        <f t="shared" ca="1" si="30"/>
        <v>0</v>
      </c>
      <c r="O172" s="32">
        <f t="shared" ca="1" si="30"/>
        <v>0</v>
      </c>
      <c r="P172" s="32">
        <f t="shared" ca="1" si="30"/>
        <v>0</v>
      </c>
      <c r="Q172" s="32">
        <f t="shared" ca="1" si="30"/>
        <v>0</v>
      </c>
      <c r="R172" s="32">
        <f t="shared" ca="1" si="30"/>
        <v>0</v>
      </c>
      <c r="X172" s="281"/>
    </row>
    <row r="173" spans="1:24" x14ac:dyDescent="0.25">
      <c r="A173" s="276" t="s">
        <v>328</v>
      </c>
      <c r="B173" s="59">
        <f t="shared" ref="B173:R173" ca="1" si="31">IF(B96=0,0,-1*((B96/B9)*(LN(B96/B9))))</f>
        <v>0</v>
      </c>
      <c r="C173" s="59">
        <f t="shared" ca="1" si="31"/>
        <v>0.22191783882483909</v>
      </c>
      <c r="D173" s="59">
        <f t="shared" ca="1" si="31"/>
        <v>0.30266977994022365</v>
      </c>
      <c r="E173" s="59">
        <f t="shared" ca="1" si="31"/>
        <v>0.36564958684939419</v>
      </c>
      <c r="F173" s="59">
        <f t="shared" ca="1" si="31"/>
        <v>0.19917540397856026</v>
      </c>
      <c r="G173" s="59">
        <f t="shared" ca="1" si="31"/>
        <v>0.19917540397856026</v>
      </c>
      <c r="H173" s="59">
        <f t="shared" ca="1" si="31"/>
        <v>0.27585822740954802</v>
      </c>
      <c r="I173" s="59">
        <f t="shared" ca="1" si="31"/>
        <v>0.2420439146895392</v>
      </c>
      <c r="J173" s="59">
        <f t="shared" ca="1" si="31"/>
        <v>0</v>
      </c>
      <c r="K173" s="59">
        <f t="shared" ca="1" si="31"/>
        <v>0.25993019270997947</v>
      </c>
      <c r="L173" s="59">
        <f t="shared" ca="1" si="31"/>
        <v>0.19917540397856026</v>
      </c>
      <c r="M173" s="59">
        <f t="shared" ca="1" si="31"/>
        <v>0.27585822740954802</v>
      </c>
      <c r="N173" s="32">
        <f t="shared" ca="1" si="31"/>
        <v>6.4982548177494867E-2</v>
      </c>
      <c r="O173" s="32">
        <f t="shared" ca="1" si="31"/>
        <v>0.17328679513998632</v>
      </c>
      <c r="P173" s="32">
        <f t="shared" ca="1" si="31"/>
        <v>0.19917540397856026</v>
      </c>
      <c r="Q173" s="32">
        <f t="shared" ca="1" si="31"/>
        <v>0.29004656099462911</v>
      </c>
      <c r="R173" s="32">
        <f t="shared" ca="1" si="31"/>
        <v>0.143450193501167</v>
      </c>
      <c r="X173" s="281"/>
    </row>
    <row r="174" spans="1:24" ht="15.75" thickBot="1" x14ac:dyDescent="0.3">
      <c r="A174" s="278" t="s">
        <v>329</v>
      </c>
      <c r="B174" s="65">
        <f t="shared" ref="B174:R174" ca="1" si="32">IF(B97=0,0,-1*((B97/B9)*(LN(B97/B9))))</f>
        <v>0.2852773700448426</v>
      </c>
      <c r="C174" s="65">
        <f t="shared" ca="1" si="32"/>
        <v>0.34003895677909263</v>
      </c>
      <c r="D174" s="65">
        <f t="shared" ca="1" si="32"/>
        <v>0.22191783882483909</v>
      </c>
      <c r="E174" s="65">
        <f t="shared" ca="1" si="32"/>
        <v>0</v>
      </c>
      <c r="F174" s="65">
        <f t="shared" ca="1" si="32"/>
        <v>0.10830424696249145</v>
      </c>
      <c r="G174" s="65">
        <f t="shared" ca="1" si="32"/>
        <v>0.30266977994022365</v>
      </c>
      <c r="H174" s="65">
        <f t="shared" ca="1" si="32"/>
        <v>0</v>
      </c>
      <c r="I174" s="65">
        <f t="shared" ca="1" si="32"/>
        <v>0.10830424696249145</v>
      </c>
      <c r="J174" s="65">
        <f t="shared" ca="1" si="32"/>
        <v>0</v>
      </c>
      <c r="K174" s="65">
        <f t="shared" ca="1" si="32"/>
        <v>0</v>
      </c>
      <c r="L174" s="65">
        <f t="shared" ca="1" si="32"/>
        <v>0</v>
      </c>
      <c r="M174" s="65">
        <f t="shared" ca="1" si="32"/>
        <v>0</v>
      </c>
      <c r="N174" s="51">
        <f t="shared" ca="1" si="32"/>
        <v>0</v>
      </c>
      <c r="O174" s="51">
        <f t="shared" ca="1" si="32"/>
        <v>0</v>
      </c>
      <c r="P174" s="51">
        <f t="shared" ca="1" si="32"/>
        <v>0</v>
      </c>
      <c r="Q174" s="51">
        <f t="shared" ca="1" si="32"/>
        <v>0</v>
      </c>
      <c r="R174" s="51">
        <f t="shared" ca="1" si="32"/>
        <v>0</v>
      </c>
      <c r="S174" s="40"/>
      <c r="T174" s="40"/>
      <c r="U174" s="40"/>
      <c r="V174" s="40"/>
      <c r="W174" s="40"/>
      <c r="X174" s="282"/>
    </row>
    <row r="175" spans="1:24" ht="15.75" thickTop="1" x14ac:dyDescent="0.25">
      <c r="A175" s="272" t="s">
        <v>383</v>
      </c>
      <c r="B175" s="69">
        <f t="shared" ref="B175:R175" ca="1" si="33">1-SUM(B176:B184)</f>
        <v>0.870849609375</v>
      </c>
      <c r="C175" s="69">
        <f t="shared" ca="1" si="33"/>
        <v>0.767822265625</v>
      </c>
      <c r="D175" s="69">
        <f t="shared" ca="1" si="33"/>
        <v>0.822265625</v>
      </c>
      <c r="E175" s="69">
        <f t="shared" ca="1" si="33"/>
        <v>0.71142578125</v>
      </c>
      <c r="F175" s="69">
        <f t="shared" ca="1" si="33"/>
        <v>0.71142578125</v>
      </c>
      <c r="G175" s="69">
        <f t="shared" ca="1" si="33"/>
        <v>0.723876953125</v>
      </c>
      <c r="H175" s="69">
        <f t="shared" ca="1" si="33"/>
        <v>0.70166015625</v>
      </c>
      <c r="I175" s="69">
        <f t="shared" ca="1" si="33"/>
        <v>0.634765625</v>
      </c>
      <c r="J175" s="69">
        <f t="shared" ca="1" si="33"/>
        <v>0.662109375</v>
      </c>
      <c r="K175" s="69">
        <f t="shared" ca="1" si="33"/>
        <v>0.63818359375</v>
      </c>
      <c r="L175" s="69">
        <f t="shared" ca="1" si="33"/>
        <v>0.67431640625</v>
      </c>
      <c r="M175" s="69">
        <f t="shared" ca="1" si="33"/>
        <v>0.65869140625</v>
      </c>
      <c r="N175" s="222">
        <f t="shared" ca="1" si="33"/>
        <v>0.67431640625</v>
      </c>
      <c r="O175" s="222">
        <f t="shared" ca="1" si="33"/>
        <v>0.55810546875</v>
      </c>
      <c r="P175" s="222">
        <f t="shared" ca="1" si="33"/>
        <v>0.7001953125</v>
      </c>
      <c r="Q175" s="222">
        <f t="shared" ca="1" si="33"/>
        <v>0.70458984375</v>
      </c>
      <c r="R175" s="222">
        <f t="shared" ca="1" si="33"/>
        <v>0.65283203125</v>
      </c>
      <c r="S175" s="53"/>
      <c r="T175" s="53"/>
      <c r="U175" s="53"/>
      <c r="V175" s="53"/>
      <c r="W175" s="53"/>
      <c r="X175" s="280"/>
    </row>
    <row r="176" spans="1:24" x14ac:dyDescent="0.25">
      <c r="A176" s="276" t="s">
        <v>320</v>
      </c>
      <c r="B176" s="59">
        <f t="shared" ref="B176:R176" ca="1" si="34">IF(B88=0,0,(B88/B9)^2)</f>
        <v>0.129150390625</v>
      </c>
      <c r="C176" s="59">
        <f t="shared" ca="1" si="34"/>
        <v>0.152587890625</v>
      </c>
      <c r="D176" s="59">
        <f t="shared" ca="1" si="34"/>
        <v>2.44140625E-2</v>
      </c>
      <c r="E176" s="59">
        <f t="shared" ca="1" si="34"/>
        <v>9.765625E-2</v>
      </c>
      <c r="F176" s="59">
        <f t="shared" ca="1" si="34"/>
        <v>0.19140625</v>
      </c>
      <c r="G176" s="59">
        <f t="shared" ca="1" si="34"/>
        <v>4.78515625E-2</v>
      </c>
      <c r="H176" s="59">
        <f t="shared" ca="1" si="34"/>
        <v>2.44140625E-2</v>
      </c>
      <c r="I176" s="59">
        <f t="shared" ca="1" si="34"/>
        <v>0.1181640625</v>
      </c>
      <c r="J176" s="59">
        <f t="shared" ca="1" si="34"/>
        <v>0.1181640625</v>
      </c>
      <c r="K176" s="59">
        <f t="shared" ca="1" si="34"/>
        <v>0.152587890625</v>
      </c>
      <c r="L176" s="59">
        <f t="shared" ca="1" si="34"/>
        <v>1.5625E-2</v>
      </c>
      <c r="M176" s="59">
        <f t="shared" ca="1" si="34"/>
        <v>0.152587890625</v>
      </c>
      <c r="N176" s="32">
        <f t="shared" ca="1" si="34"/>
        <v>0.19140625</v>
      </c>
      <c r="O176" s="32">
        <f t="shared" ca="1" si="34"/>
        <v>3.515625E-2</v>
      </c>
      <c r="P176" s="32">
        <f t="shared" ca="1" si="34"/>
        <v>6.103515625E-3</v>
      </c>
      <c r="Q176" s="32">
        <f t="shared" ca="1" si="34"/>
        <v>0.1181640625</v>
      </c>
      <c r="R176" s="32">
        <f t="shared" ca="1" si="34"/>
        <v>0.234619140625</v>
      </c>
      <c r="X176" s="281"/>
    </row>
    <row r="177" spans="1:24" x14ac:dyDescent="0.25">
      <c r="A177" s="276" t="s">
        <v>321</v>
      </c>
      <c r="B177" s="59">
        <f t="shared" ref="B177:R177" ca="1" si="35">IF(B89=0,0,(B89/B9)^2)</f>
        <v>0</v>
      </c>
      <c r="C177" s="59">
        <f t="shared" ca="1" si="35"/>
        <v>0</v>
      </c>
      <c r="D177" s="59">
        <f t="shared" ca="1" si="35"/>
        <v>0</v>
      </c>
      <c r="E177" s="59">
        <f t="shared" ca="1" si="35"/>
        <v>0</v>
      </c>
      <c r="F177" s="59">
        <f t="shared" ca="1" si="35"/>
        <v>0</v>
      </c>
      <c r="G177" s="59">
        <f t="shared" ca="1" si="35"/>
        <v>0</v>
      </c>
      <c r="H177" s="59">
        <f t="shared" ca="1" si="35"/>
        <v>0</v>
      </c>
      <c r="I177" s="59">
        <f t="shared" ca="1" si="35"/>
        <v>0</v>
      </c>
      <c r="J177" s="59">
        <f t="shared" ca="1" si="35"/>
        <v>0</v>
      </c>
      <c r="K177" s="59">
        <f t="shared" ca="1" si="35"/>
        <v>0</v>
      </c>
      <c r="L177" s="59">
        <f t="shared" ca="1" si="35"/>
        <v>0</v>
      </c>
      <c r="M177" s="59">
        <f t="shared" ca="1" si="35"/>
        <v>0</v>
      </c>
      <c r="N177" s="32">
        <f t="shared" ca="1" si="35"/>
        <v>0</v>
      </c>
      <c r="O177" s="32">
        <f t="shared" ca="1" si="35"/>
        <v>0</v>
      </c>
      <c r="P177" s="32">
        <f t="shared" ca="1" si="35"/>
        <v>0</v>
      </c>
      <c r="Q177" s="32">
        <f t="shared" ca="1" si="35"/>
        <v>0</v>
      </c>
      <c r="R177" s="32">
        <f t="shared" ca="1" si="35"/>
        <v>0</v>
      </c>
      <c r="X177" s="281"/>
    </row>
    <row r="178" spans="1:24" x14ac:dyDescent="0.25">
      <c r="A178" s="276" t="s">
        <v>322</v>
      </c>
      <c r="B178" s="59">
        <f t="shared" ref="B178:R178" ca="1" si="36">IF(B90=0,0,(B90/B9)^2)</f>
        <v>0</v>
      </c>
      <c r="C178" s="59">
        <f t="shared" ca="1" si="36"/>
        <v>0</v>
      </c>
      <c r="D178" s="59">
        <f t="shared" ca="1" si="36"/>
        <v>5.4931640625E-2</v>
      </c>
      <c r="E178" s="59">
        <f t="shared" ca="1" si="36"/>
        <v>2.44140625E-4</v>
      </c>
      <c r="F178" s="59">
        <f t="shared" ca="1" si="36"/>
        <v>5.4931640625E-2</v>
      </c>
      <c r="G178" s="59">
        <f t="shared" ca="1" si="36"/>
        <v>2.197265625E-3</v>
      </c>
      <c r="H178" s="59">
        <f t="shared" ca="1" si="36"/>
        <v>6.25E-2</v>
      </c>
      <c r="I178" s="59">
        <f t="shared" ca="1" si="36"/>
        <v>0</v>
      </c>
      <c r="J178" s="59">
        <f t="shared" ca="1" si="36"/>
        <v>7.91015625E-2</v>
      </c>
      <c r="K178" s="59">
        <f t="shared" ca="1" si="36"/>
        <v>2.197265625E-3</v>
      </c>
      <c r="L178" s="59">
        <f t="shared" ca="1" si="36"/>
        <v>9.765625E-2</v>
      </c>
      <c r="M178" s="59">
        <f t="shared" ca="1" si="36"/>
        <v>0</v>
      </c>
      <c r="N178" s="32">
        <f t="shared" ca="1" si="36"/>
        <v>7.0556640625E-2</v>
      </c>
      <c r="O178" s="32">
        <f t="shared" ca="1" si="36"/>
        <v>0</v>
      </c>
      <c r="P178" s="32">
        <f t="shared" ca="1" si="36"/>
        <v>9.765625E-2</v>
      </c>
      <c r="Q178" s="32">
        <f t="shared" ca="1" si="36"/>
        <v>2.44140625E-4</v>
      </c>
      <c r="R178" s="32">
        <f t="shared" ca="1" si="36"/>
        <v>4.78515625E-2</v>
      </c>
      <c r="X178" s="281"/>
    </row>
    <row r="179" spans="1:24" x14ac:dyDescent="0.25">
      <c r="A179" s="276" t="s">
        <v>323</v>
      </c>
      <c r="B179" s="59">
        <f t="shared" ref="B179:R179" ca="1" si="37">IF(B91=0,0,(B91/B9)^2)</f>
        <v>0</v>
      </c>
      <c r="C179" s="59">
        <f t="shared" ca="1" si="37"/>
        <v>0</v>
      </c>
      <c r="D179" s="59">
        <f t="shared" ca="1" si="37"/>
        <v>0</v>
      </c>
      <c r="E179" s="59">
        <f t="shared" ca="1" si="37"/>
        <v>0</v>
      </c>
      <c r="F179" s="59">
        <f t="shared" ca="1" si="37"/>
        <v>0</v>
      </c>
      <c r="G179" s="59">
        <f t="shared" ca="1" si="37"/>
        <v>0</v>
      </c>
      <c r="H179" s="59">
        <f t="shared" ca="1" si="37"/>
        <v>0</v>
      </c>
      <c r="I179" s="59">
        <f t="shared" ca="1" si="37"/>
        <v>0</v>
      </c>
      <c r="J179" s="59">
        <f t="shared" ca="1" si="37"/>
        <v>0</v>
      </c>
      <c r="K179" s="59">
        <f t="shared" ca="1" si="37"/>
        <v>0</v>
      </c>
      <c r="L179" s="59">
        <f t="shared" ca="1" si="37"/>
        <v>0</v>
      </c>
      <c r="M179" s="59">
        <f t="shared" ca="1" si="37"/>
        <v>0</v>
      </c>
      <c r="N179" s="32">
        <f t="shared" ca="1" si="37"/>
        <v>0</v>
      </c>
      <c r="O179" s="32">
        <f t="shared" ca="1" si="37"/>
        <v>0</v>
      </c>
      <c r="P179" s="32">
        <f t="shared" ca="1" si="37"/>
        <v>0</v>
      </c>
      <c r="Q179" s="32">
        <f t="shared" ca="1" si="37"/>
        <v>0</v>
      </c>
      <c r="R179" s="32">
        <f t="shared" ca="1" si="37"/>
        <v>0</v>
      </c>
      <c r="X179" s="281"/>
    </row>
    <row r="180" spans="1:24" x14ac:dyDescent="0.25">
      <c r="A180" s="276" t="s">
        <v>324</v>
      </c>
      <c r="B180" s="59">
        <f t="shared" ref="B180:R180" ca="1" si="38">IF(B92=0,0,(B92/B9)^2)</f>
        <v>0</v>
      </c>
      <c r="C180" s="59">
        <f t="shared" ca="1" si="38"/>
        <v>7.0556640625E-2</v>
      </c>
      <c r="D180" s="59">
        <f t="shared" ca="1" si="38"/>
        <v>6.25E-2</v>
      </c>
      <c r="E180" s="59">
        <f t="shared" ca="1" si="38"/>
        <v>7.91015625E-2</v>
      </c>
      <c r="F180" s="59">
        <f t="shared" ca="1" si="38"/>
        <v>3.515625E-2</v>
      </c>
      <c r="G180" s="59">
        <f t="shared" ca="1" si="38"/>
        <v>0.2197265625</v>
      </c>
      <c r="H180" s="59">
        <f t="shared" ca="1" si="38"/>
        <v>0.19140625</v>
      </c>
      <c r="I180" s="59">
        <f t="shared" ca="1" si="38"/>
        <v>0.234619140625</v>
      </c>
      <c r="J180" s="59">
        <f t="shared" ca="1" si="38"/>
        <v>0.140625</v>
      </c>
      <c r="K180" s="59">
        <f t="shared" ca="1" si="38"/>
        <v>0.19140625</v>
      </c>
      <c r="L180" s="59">
        <f t="shared" ca="1" si="38"/>
        <v>0.205322265625</v>
      </c>
      <c r="M180" s="59">
        <f t="shared" ca="1" si="38"/>
        <v>0.1650390625</v>
      </c>
      <c r="N180" s="32">
        <f t="shared" ca="1" si="38"/>
        <v>6.25E-2</v>
      </c>
      <c r="O180" s="32">
        <f t="shared" ca="1" si="38"/>
        <v>0.390625</v>
      </c>
      <c r="P180" s="32">
        <f t="shared" ca="1" si="38"/>
        <v>0.177978515625</v>
      </c>
      <c r="Q180" s="32">
        <f t="shared" ca="1" si="38"/>
        <v>0.140625</v>
      </c>
      <c r="R180" s="32">
        <f t="shared" ca="1" si="38"/>
        <v>6.25E-2</v>
      </c>
      <c r="X180" s="281"/>
    </row>
    <row r="181" spans="1:24" x14ac:dyDescent="0.25">
      <c r="A181" s="276" t="s">
        <v>325</v>
      </c>
      <c r="B181" s="59">
        <f t="shared" ref="B181:R181" ca="1" si="39">IF(B93=0,0,(B93/B9)^2)</f>
        <v>0</v>
      </c>
      <c r="C181" s="59">
        <f t="shared" ca="1" si="39"/>
        <v>2.44140625E-4</v>
      </c>
      <c r="D181" s="59">
        <f t="shared" ca="1" si="39"/>
        <v>6.103515625E-3</v>
      </c>
      <c r="E181" s="59">
        <f t="shared" ca="1" si="39"/>
        <v>3.90625E-3</v>
      </c>
      <c r="F181" s="59">
        <f t="shared" ca="1" si="39"/>
        <v>9.765625E-4</v>
      </c>
      <c r="G181" s="59">
        <f t="shared" ca="1" si="39"/>
        <v>0</v>
      </c>
      <c r="H181" s="59">
        <f t="shared" ca="1" si="39"/>
        <v>2.44140625E-4</v>
      </c>
      <c r="I181" s="59">
        <f t="shared" ca="1" si="39"/>
        <v>2.44140625E-4</v>
      </c>
      <c r="J181" s="59">
        <f t="shared" ca="1" si="39"/>
        <v>0</v>
      </c>
      <c r="K181" s="59">
        <f t="shared" ca="1" si="39"/>
        <v>0</v>
      </c>
      <c r="L181" s="59">
        <f t="shared" ca="1" si="39"/>
        <v>9.765625E-4</v>
      </c>
      <c r="M181" s="59">
        <f t="shared" ca="1" si="39"/>
        <v>3.90625E-3</v>
      </c>
      <c r="N181" s="32">
        <f t="shared" ca="1" si="39"/>
        <v>9.765625E-4</v>
      </c>
      <c r="O181" s="32">
        <f t="shared" ca="1" si="39"/>
        <v>1.1962890625E-2</v>
      </c>
      <c r="P181" s="32">
        <f t="shared" ca="1" si="39"/>
        <v>1.1962890625E-2</v>
      </c>
      <c r="Q181" s="32">
        <f t="shared" ca="1" si="39"/>
        <v>1.1962890625E-2</v>
      </c>
      <c r="R181" s="32">
        <f t="shared" ca="1" si="39"/>
        <v>0</v>
      </c>
      <c r="X181" s="281"/>
    </row>
    <row r="182" spans="1:24" x14ac:dyDescent="0.25">
      <c r="A182" s="276" t="s">
        <v>326</v>
      </c>
      <c r="B182" s="59">
        <f t="shared" ref="B182:R182" ca="1" si="40">IF(B94=0,0,(B94/B9)^2)</f>
        <v>0</v>
      </c>
      <c r="C182" s="59">
        <f t="shared" ca="1" si="40"/>
        <v>0</v>
      </c>
      <c r="D182" s="59">
        <f t="shared" ca="1" si="40"/>
        <v>2.44140625E-4</v>
      </c>
      <c r="E182" s="59">
        <f t="shared" ca="1" si="40"/>
        <v>0</v>
      </c>
      <c r="F182" s="59">
        <f t="shared" ca="1" si="40"/>
        <v>0</v>
      </c>
      <c r="G182" s="59">
        <f t="shared" ca="1" si="40"/>
        <v>2.44140625E-4</v>
      </c>
      <c r="H182" s="59">
        <f t="shared" ca="1" si="40"/>
        <v>0</v>
      </c>
      <c r="I182" s="59">
        <f t="shared" ca="1" si="40"/>
        <v>2.44140625E-4</v>
      </c>
      <c r="J182" s="59">
        <f t="shared" ca="1" si="40"/>
        <v>0</v>
      </c>
      <c r="K182" s="59">
        <f t="shared" ca="1" si="40"/>
        <v>0</v>
      </c>
      <c r="L182" s="59">
        <f t="shared" ca="1" si="40"/>
        <v>0</v>
      </c>
      <c r="M182" s="59">
        <f t="shared" ca="1" si="40"/>
        <v>0</v>
      </c>
      <c r="N182" s="32">
        <f t="shared" ca="1" si="40"/>
        <v>0</v>
      </c>
      <c r="O182" s="32">
        <f t="shared" ca="1" si="40"/>
        <v>2.44140625E-4</v>
      </c>
      <c r="P182" s="32">
        <f t="shared" ca="1" si="40"/>
        <v>0</v>
      </c>
      <c r="Q182" s="32">
        <f t="shared" ca="1" si="40"/>
        <v>0</v>
      </c>
      <c r="R182" s="32">
        <f t="shared" ca="1" si="40"/>
        <v>0</v>
      </c>
      <c r="X182" s="281"/>
    </row>
    <row r="183" spans="1:24" x14ac:dyDescent="0.25">
      <c r="A183" s="276" t="s">
        <v>327</v>
      </c>
      <c r="B183" s="59">
        <f t="shared" ref="B183:R183" ca="1" si="41">IF(B95=0,0,(B95/B9)^2)</f>
        <v>0</v>
      </c>
      <c r="C183" s="59">
        <f t="shared" ca="1" si="41"/>
        <v>0</v>
      </c>
      <c r="D183" s="59">
        <f t="shared" ca="1" si="41"/>
        <v>0</v>
      </c>
      <c r="E183" s="59">
        <f t="shared" ca="1" si="41"/>
        <v>0</v>
      </c>
      <c r="F183" s="59">
        <f t="shared" ca="1" si="41"/>
        <v>0</v>
      </c>
      <c r="G183" s="59">
        <f t="shared" ca="1" si="41"/>
        <v>0</v>
      </c>
      <c r="H183" s="59">
        <f t="shared" ca="1" si="41"/>
        <v>0</v>
      </c>
      <c r="I183" s="59">
        <f t="shared" ca="1" si="41"/>
        <v>0</v>
      </c>
      <c r="J183" s="59">
        <f t="shared" ca="1" si="41"/>
        <v>0</v>
      </c>
      <c r="K183" s="59">
        <f t="shared" ca="1" si="41"/>
        <v>0</v>
      </c>
      <c r="L183" s="59">
        <f t="shared" ca="1" si="41"/>
        <v>0</v>
      </c>
      <c r="M183" s="59">
        <f t="shared" ca="1" si="41"/>
        <v>0</v>
      </c>
      <c r="N183" s="32">
        <f t="shared" ca="1" si="41"/>
        <v>0</v>
      </c>
      <c r="O183" s="32">
        <f t="shared" ca="1" si="41"/>
        <v>0</v>
      </c>
      <c r="P183" s="32">
        <f t="shared" ca="1" si="41"/>
        <v>0</v>
      </c>
      <c r="Q183" s="32">
        <f t="shared" ca="1" si="41"/>
        <v>0</v>
      </c>
      <c r="R183" s="32">
        <f t="shared" ca="1" si="41"/>
        <v>0</v>
      </c>
      <c r="X183" s="281"/>
    </row>
    <row r="184" spans="1:24" x14ac:dyDescent="0.25">
      <c r="A184" s="276" t="s">
        <v>328</v>
      </c>
      <c r="B184" s="59">
        <f t="shared" ref="B184:R184" ca="1" si="42">IF(B96=0,0,(B96/B9)^2)</f>
        <v>0</v>
      </c>
      <c r="C184" s="59">
        <f t="shared" ca="1" si="42"/>
        <v>8.7890625E-3</v>
      </c>
      <c r="D184" s="59">
        <f t="shared" ca="1" si="42"/>
        <v>2.9541015625E-2</v>
      </c>
      <c r="E184" s="59">
        <f t="shared" ca="1" si="42"/>
        <v>0.107666015625</v>
      </c>
      <c r="F184" s="59">
        <f t="shared" ca="1" si="42"/>
        <v>6.103515625E-3</v>
      </c>
      <c r="G184" s="59">
        <f t="shared" ca="1" si="42"/>
        <v>6.103515625E-3</v>
      </c>
      <c r="H184" s="59">
        <f t="shared" ca="1" si="42"/>
        <v>1.9775390625E-2</v>
      </c>
      <c r="I184" s="59">
        <f t="shared" ca="1" si="42"/>
        <v>1.1962890625E-2</v>
      </c>
      <c r="J184" s="59">
        <f t="shared" ca="1" si="42"/>
        <v>0</v>
      </c>
      <c r="K184" s="59">
        <f t="shared" ca="1" si="42"/>
        <v>1.5625E-2</v>
      </c>
      <c r="L184" s="59">
        <f t="shared" ca="1" si="42"/>
        <v>6.103515625E-3</v>
      </c>
      <c r="M184" s="59">
        <f t="shared" ca="1" si="42"/>
        <v>1.9775390625E-2</v>
      </c>
      <c r="N184" s="32">
        <f t="shared" ca="1" si="42"/>
        <v>2.44140625E-4</v>
      </c>
      <c r="O184" s="32">
        <f t="shared" ca="1" si="42"/>
        <v>3.90625E-3</v>
      </c>
      <c r="P184" s="32">
        <f t="shared" ca="1" si="42"/>
        <v>6.103515625E-3</v>
      </c>
      <c r="Q184" s="32">
        <f t="shared" ca="1" si="42"/>
        <v>2.44140625E-2</v>
      </c>
      <c r="R184" s="32">
        <f t="shared" ca="1" si="42"/>
        <v>2.197265625E-3</v>
      </c>
      <c r="X184" s="281"/>
    </row>
    <row r="185" spans="1:24" ht="15.75" thickBot="1" x14ac:dyDescent="0.3">
      <c r="A185" s="278" t="s">
        <v>329</v>
      </c>
      <c r="B185" s="65">
        <f t="shared" ref="B185:R185" ca="1" si="43">IF(B97=0,0,(B97/B9)^2)</f>
        <v>0.410400390625</v>
      </c>
      <c r="C185" s="65">
        <f t="shared" ca="1" si="43"/>
        <v>5.4931640625E-2</v>
      </c>
      <c r="D185" s="65">
        <f t="shared" ca="1" si="43"/>
        <v>8.7890625E-3</v>
      </c>
      <c r="E185" s="65">
        <f t="shared" ca="1" si="43"/>
        <v>0</v>
      </c>
      <c r="F185" s="65">
        <f t="shared" ca="1" si="43"/>
        <v>9.765625E-4</v>
      </c>
      <c r="G185" s="65">
        <f t="shared" ca="1" si="43"/>
        <v>2.9541015625E-2</v>
      </c>
      <c r="H185" s="65">
        <f t="shared" ca="1" si="43"/>
        <v>0</v>
      </c>
      <c r="I185" s="65">
        <f t="shared" ca="1" si="43"/>
        <v>9.765625E-4</v>
      </c>
      <c r="J185" s="65">
        <f t="shared" ca="1" si="43"/>
        <v>0</v>
      </c>
      <c r="K185" s="65">
        <f t="shared" ca="1" si="43"/>
        <v>0</v>
      </c>
      <c r="L185" s="65">
        <f t="shared" ca="1" si="43"/>
        <v>0</v>
      </c>
      <c r="M185" s="65">
        <f t="shared" ca="1" si="43"/>
        <v>0</v>
      </c>
      <c r="N185" s="51">
        <f t="shared" ca="1" si="43"/>
        <v>0</v>
      </c>
      <c r="O185" s="51">
        <f t="shared" ca="1" si="43"/>
        <v>0</v>
      </c>
      <c r="P185" s="51">
        <f t="shared" ca="1" si="43"/>
        <v>0</v>
      </c>
      <c r="Q185" s="51">
        <f t="shared" ca="1" si="43"/>
        <v>0</v>
      </c>
      <c r="R185" s="51">
        <f t="shared" ca="1" si="43"/>
        <v>0</v>
      </c>
      <c r="S185" s="40"/>
      <c r="T185" s="40"/>
      <c r="U185" s="40"/>
      <c r="V185" s="40"/>
      <c r="W185" s="40"/>
      <c r="X185" s="282"/>
    </row>
    <row r="186" spans="1:24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6"/>
  <sheetViews>
    <sheetView workbookViewId="0"/>
  </sheetViews>
  <sheetFormatPr baseColWidth="10" defaultRowHeight="15" x14ac:dyDescent="0.25"/>
  <cols>
    <col min="1" max="1" width="9.140625" bestFit="1" customWidth="1"/>
    <col min="2" max="2" width="6.28515625" bestFit="1" customWidth="1"/>
    <col min="3" max="3" width="14.5703125" bestFit="1" customWidth="1"/>
    <col min="4" max="4" width="12" bestFit="1" customWidth="1"/>
    <col min="5" max="5" width="43.42578125" bestFit="1" customWidth="1"/>
    <col min="6" max="6" width="43.28515625" bestFit="1" customWidth="1"/>
  </cols>
  <sheetData>
    <row r="1" spans="1:34" ht="16.5" thickTop="1" thickBot="1" x14ac:dyDescent="0.3">
      <c r="A1" s="34" t="s">
        <v>286</v>
      </c>
      <c r="B1" s="34" t="s">
        <v>134</v>
      </c>
      <c r="C1" s="34" t="s">
        <v>287</v>
      </c>
      <c r="D1" s="34" t="s">
        <v>288</v>
      </c>
      <c r="E1" s="34" t="s">
        <v>289</v>
      </c>
      <c r="F1" s="34" t="s">
        <v>290</v>
      </c>
      <c r="G1" s="34" t="s">
        <v>291</v>
      </c>
      <c r="H1" s="34" t="s">
        <v>292</v>
      </c>
      <c r="I1" s="34" t="s">
        <v>293</v>
      </c>
      <c r="J1" s="34" t="s">
        <v>294</v>
      </c>
      <c r="K1" s="34" t="s">
        <v>295</v>
      </c>
      <c r="L1" s="34" t="s">
        <v>296</v>
      </c>
      <c r="M1" s="34" t="s">
        <v>297</v>
      </c>
      <c r="N1" s="34" t="s">
        <v>298</v>
      </c>
      <c r="O1" s="34" t="s">
        <v>299</v>
      </c>
      <c r="P1" s="34" t="s">
        <v>300</v>
      </c>
      <c r="Q1" s="34" t="s">
        <v>301</v>
      </c>
      <c r="R1" s="34" t="s">
        <v>302</v>
      </c>
      <c r="S1" s="34" t="s">
        <v>303</v>
      </c>
      <c r="T1" s="34" t="s">
        <v>304</v>
      </c>
      <c r="U1" s="34" t="s">
        <v>305</v>
      </c>
      <c r="V1" s="34" t="s">
        <v>306</v>
      </c>
      <c r="W1" s="34" t="s">
        <v>307</v>
      </c>
      <c r="X1" s="34" t="s">
        <v>308</v>
      </c>
      <c r="Y1" s="34" t="s">
        <v>309</v>
      </c>
      <c r="Z1" s="34" t="s">
        <v>310</v>
      </c>
      <c r="AA1" s="34" t="s">
        <v>311</v>
      </c>
      <c r="AB1" s="34" t="s">
        <v>312</v>
      </c>
      <c r="AC1" s="34" t="s">
        <v>313</v>
      </c>
      <c r="AD1" s="34" t="s">
        <v>314</v>
      </c>
      <c r="AE1" s="34" t="s">
        <v>315</v>
      </c>
      <c r="AF1" s="34" t="s">
        <v>316</v>
      </c>
      <c r="AG1" s="34" t="s">
        <v>317</v>
      </c>
      <c r="AH1" s="34" t="s">
        <v>318</v>
      </c>
    </row>
    <row r="2" spans="1:34" ht="15.75" thickTop="1" x14ac:dyDescent="0.25">
      <c r="A2" s="161">
        <v>102</v>
      </c>
      <c r="B2" s="38"/>
      <c r="C2" s="53">
        <v>100</v>
      </c>
      <c r="D2" s="53" t="s">
        <v>339</v>
      </c>
      <c r="E2" s="53" t="s">
        <v>423</v>
      </c>
      <c r="F2" s="53" t="s">
        <v>424</v>
      </c>
      <c r="G2" s="53"/>
      <c r="H2" s="53" t="s">
        <v>333</v>
      </c>
      <c r="I2" s="53" t="s">
        <v>334</v>
      </c>
      <c r="J2" s="53" t="s">
        <v>335</v>
      </c>
      <c r="K2" s="53"/>
      <c r="L2" s="53"/>
      <c r="M2" s="53"/>
      <c r="N2" s="53" t="s">
        <v>422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155"/>
    </row>
    <row r="3" spans="1:34" x14ac:dyDescent="0.25">
      <c r="A3" s="164">
        <v>501</v>
      </c>
      <c r="B3" s="31"/>
      <c r="C3">
        <v>500</v>
      </c>
      <c r="E3" t="s">
        <v>423</v>
      </c>
      <c r="F3" t="s">
        <v>424</v>
      </c>
      <c r="H3" t="s">
        <v>333</v>
      </c>
      <c r="I3" t="s">
        <v>334</v>
      </c>
      <c r="J3" t="s">
        <v>335</v>
      </c>
      <c r="N3" t="s">
        <v>422</v>
      </c>
      <c r="AH3" s="156"/>
    </row>
    <row r="4" spans="1:34" x14ac:dyDescent="0.25">
      <c r="A4" s="164">
        <v>501</v>
      </c>
      <c r="B4" s="31"/>
      <c r="C4">
        <v>500</v>
      </c>
      <c r="E4" t="s">
        <v>423</v>
      </c>
      <c r="F4" t="s">
        <v>424</v>
      </c>
      <c r="H4" t="s">
        <v>333</v>
      </c>
      <c r="I4" t="s">
        <v>334</v>
      </c>
      <c r="J4" t="s">
        <v>335</v>
      </c>
      <c r="N4" t="s">
        <v>422</v>
      </c>
      <c r="AH4" s="156"/>
    </row>
    <row r="5" spans="1:34" x14ac:dyDescent="0.25">
      <c r="A5" s="164">
        <v>303</v>
      </c>
      <c r="B5" s="31"/>
      <c r="C5">
        <v>300</v>
      </c>
      <c r="E5" t="s">
        <v>423</v>
      </c>
      <c r="F5" t="s">
        <v>424</v>
      </c>
      <c r="H5" t="s">
        <v>333</v>
      </c>
      <c r="I5" t="s">
        <v>334</v>
      </c>
      <c r="J5" t="s">
        <v>335</v>
      </c>
      <c r="N5" t="s">
        <v>422</v>
      </c>
      <c r="AH5" s="156"/>
    </row>
    <row r="6" spans="1:34" x14ac:dyDescent="0.25">
      <c r="A6" s="164">
        <v>303</v>
      </c>
      <c r="B6" s="31"/>
      <c r="C6">
        <v>300</v>
      </c>
      <c r="E6" t="s">
        <v>423</v>
      </c>
      <c r="F6" t="s">
        <v>424</v>
      </c>
      <c r="H6" t="s">
        <v>333</v>
      </c>
      <c r="I6" t="s">
        <v>334</v>
      </c>
      <c r="J6" t="s">
        <v>335</v>
      </c>
      <c r="N6" t="s">
        <v>422</v>
      </c>
      <c r="AH6" s="156"/>
    </row>
    <row r="7" spans="1:34" x14ac:dyDescent="0.25">
      <c r="A7" s="164">
        <v>303</v>
      </c>
      <c r="B7" s="31"/>
      <c r="C7">
        <v>300</v>
      </c>
      <c r="E7" t="s">
        <v>423</v>
      </c>
      <c r="F7" t="s">
        <v>424</v>
      </c>
      <c r="H7" t="s">
        <v>333</v>
      </c>
      <c r="I7" t="s">
        <v>334</v>
      </c>
      <c r="J7" t="s">
        <v>335</v>
      </c>
      <c r="N7" t="s">
        <v>422</v>
      </c>
      <c r="AH7" s="156"/>
    </row>
    <row r="8" spans="1:34" x14ac:dyDescent="0.25">
      <c r="A8" s="164">
        <v>303</v>
      </c>
      <c r="B8" s="31"/>
      <c r="C8">
        <v>300</v>
      </c>
      <c r="E8" t="s">
        <v>423</v>
      </c>
      <c r="F8" t="s">
        <v>424</v>
      </c>
      <c r="H8" t="s">
        <v>333</v>
      </c>
      <c r="I8" t="s">
        <v>334</v>
      </c>
      <c r="J8" t="s">
        <v>335</v>
      </c>
      <c r="N8" t="s">
        <v>422</v>
      </c>
      <c r="AH8" s="156"/>
    </row>
    <row r="9" spans="1:34" x14ac:dyDescent="0.25">
      <c r="A9" s="164">
        <v>104</v>
      </c>
      <c r="B9" s="31"/>
      <c r="C9">
        <v>100</v>
      </c>
      <c r="E9" t="s">
        <v>423</v>
      </c>
      <c r="F9" t="s">
        <v>424</v>
      </c>
      <c r="H9" t="s">
        <v>333</v>
      </c>
      <c r="I9" t="s">
        <v>334</v>
      </c>
      <c r="J9" t="s">
        <v>335</v>
      </c>
      <c r="N9" t="s">
        <v>422</v>
      </c>
      <c r="AH9" s="156"/>
    </row>
    <row r="10" spans="1:34" x14ac:dyDescent="0.25">
      <c r="A10" s="164">
        <v>102</v>
      </c>
      <c r="B10" s="31"/>
      <c r="C10">
        <v>100</v>
      </c>
      <c r="E10" t="s">
        <v>423</v>
      </c>
      <c r="F10" t="s">
        <v>424</v>
      </c>
      <c r="H10" t="s">
        <v>333</v>
      </c>
      <c r="I10" t="s">
        <v>334</v>
      </c>
      <c r="J10" t="s">
        <v>335</v>
      </c>
      <c r="N10" t="s">
        <v>422</v>
      </c>
      <c r="AH10" s="156"/>
    </row>
    <row r="11" spans="1:34" x14ac:dyDescent="0.25">
      <c r="A11" s="164">
        <v>109</v>
      </c>
      <c r="B11" s="31"/>
      <c r="C11">
        <v>100</v>
      </c>
      <c r="E11" t="s">
        <v>423</v>
      </c>
      <c r="F11" t="s">
        <v>424</v>
      </c>
      <c r="H11" t="s">
        <v>333</v>
      </c>
      <c r="I11" t="s">
        <v>334</v>
      </c>
      <c r="J11" t="s">
        <v>335</v>
      </c>
      <c r="N11" t="s">
        <v>422</v>
      </c>
      <c r="AH11" s="156"/>
    </row>
    <row r="12" spans="1:34" x14ac:dyDescent="0.25">
      <c r="A12" s="164">
        <v>102</v>
      </c>
      <c r="B12" s="31"/>
      <c r="C12">
        <v>100</v>
      </c>
      <c r="E12" t="s">
        <v>423</v>
      </c>
      <c r="F12" t="s">
        <v>424</v>
      </c>
      <c r="H12" t="s">
        <v>333</v>
      </c>
      <c r="I12" t="s">
        <v>334</v>
      </c>
      <c r="J12" t="s">
        <v>335</v>
      </c>
      <c r="N12" t="s">
        <v>422</v>
      </c>
      <c r="AH12" s="156"/>
    </row>
    <row r="13" spans="1:34" x14ac:dyDescent="0.25">
      <c r="A13" s="164">
        <v>501</v>
      </c>
      <c r="B13" s="31"/>
      <c r="C13">
        <v>500</v>
      </c>
      <c r="E13" t="s">
        <v>423</v>
      </c>
      <c r="F13" t="s">
        <v>424</v>
      </c>
      <c r="H13" t="s">
        <v>333</v>
      </c>
      <c r="I13" t="s">
        <v>334</v>
      </c>
      <c r="J13" t="s">
        <v>335</v>
      </c>
      <c r="N13" t="s">
        <v>422</v>
      </c>
      <c r="AH13" s="156"/>
    </row>
    <row r="14" spans="1:34" x14ac:dyDescent="0.25">
      <c r="A14" s="164">
        <v>501</v>
      </c>
      <c r="B14" s="31"/>
      <c r="C14">
        <v>500</v>
      </c>
      <c r="E14" t="s">
        <v>423</v>
      </c>
      <c r="F14" t="s">
        <v>424</v>
      </c>
      <c r="H14" t="s">
        <v>333</v>
      </c>
      <c r="I14" t="s">
        <v>334</v>
      </c>
      <c r="J14" t="s">
        <v>335</v>
      </c>
      <c r="N14" t="s">
        <v>422</v>
      </c>
      <c r="AH14" s="156"/>
    </row>
    <row r="15" spans="1:34" x14ac:dyDescent="0.25">
      <c r="A15" s="164">
        <v>501</v>
      </c>
      <c r="B15" s="31"/>
      <c r="C15">
        <v>500</v>
      </c>
      <c r="E15" t="s">
        <v>423</v>
      </c>
      <c r="F15" t="s">
        <v>424</v>
      </c>
      <c r="H15" t="s">
        <v>333</v>
      </c>
      <c r="I15" t="s">
        <v>334</v>
      </c>
      <c r="J15" t="s">
        <v>335</v>
      </c>
      <c r="N15" t="s">
        <v>422</v>
      </c>
      <c r="AH15" s="156"/>
    </row>
    <row r="16" spans="1:34" x14ac:dyDescent="0.25">
      <c r="A16" s="164">
        <v>109</v>
      </c>
      <c r="B16" s="31"/>
      <c r="C16">
        <v>100</v>
      </c>
      <c r="E16" t="s">
        <v>423</v>
      </c>
      <c r="F16" t="s">
        <v>424</v>
      </c>
      <c r="H16" t="s">
        <v>333</v>
      </c>
      <c r="I16" t="s">
        <v>334</v>
      </c>
      <c r="J16" t="s">
        <v>335</v>
      </c>
      <c r="N16" t="s">
        <v>422</v>
      </c>
      <c r="AH16" s="156"/>
    </row>
    <row r="17" spans="1:34" x14ac:dyDescent="0.25">
      <c r="A17" s="164">
        <v>501</v>
      </c>
      <c r="B17" s="31"/>
      <c r="C17">
        <v>500</v>
      </c>
      <c r="E17" t="s">
        <v>423</v>
      </c>
      <c r="F17" t="s">
        <v>424</v>
      </c>
      <c r="H17" t="s">
        <v>333</v>
      </c>
      <c r="I17" t="s">
        <v>334</v>
      </c>
      <c r="J17" t="s">
        <v>335</v>
      </c>
      <c r="N17" t="s">
        <v>422</v>
      </c>
      <c r="AH17" s="156"/>
    </row>
    <row r="18" spans="1:34" x14ac:dyDescent="0.25">
      <c r="A18" s="164">
        <v>303</v>
      </c>
      <c r="B18" s="31"/>
      <c r="C18">
        <v>300</v>
      </c>
      <c r="E18" t="s">
        <v>423</v>
      </c>
      <c r="F18" t="s">
        <v>424</v>
      </c>
      <c r="H18" t="s">
        <v>333</v>
      </c>
      <c r="I18" t="s">
        <v>334</v>
      </c>
      <c r="J18" t="s">
        <v>335</v>
      </c>
      <c r="N18" t="s">
        <v>422</v>
      </c>
      <c r="AH18" s="156"/>
    </row>
    <row r="19" spans="1:34" x14ac:dyDescent="0.25">
      <c r="A19" s="164">
        <v>501</v>
      </c>
      <c r="B19" s="31"/>
      <c r="C19">
        <v>500</v>
      </c>
      <c r="E19" t="s">
        <v>423</v>
      </c>
      <c r="F19" t="s">
        <v>424</v>
      </c>
      <c r="H19" t="s">
        <v>333</v>
      </c>
      <c r="I19" t="s">
        <v>334</v>
      </c>
      <c r="J19" t="s">
        <v>335</v>
      </c>
      <c r="N19" t="s">
        <v>422</v>
      </c>
      <c r="AH19" s="156"/>
    </row>
    <row r="20" spans="1:34" x14ac:dyDescent="0.25">
      <c r="A20" s="164">
        <v>109</v>
      </c>
      <c r="B20" s="31"/>
      <c r="C20">
        <v>100</v>
      </c>
      <c r="E20" t="s">
        <v>423</v>
      </c>
      <c r="F20" t="s">
        <v>424</v>
      </c>
      <c r="H20" t="s">
        <v>333</v>
      </c>
      <c r="I20" t="s">
        <v>334</v>
      </c>
      <c r="J20" t="s">
        <v>335</v>
      </c>
      <c r="N20" t="s">
        <v>422</v>
      </c>
      <c r="AH20" s="156"/>
    </row>
    <row r="21" spans="1:34" x14ac:dyDescent="0.25">
      <c r="A21" s="164">
        <v>501</v>
      </c>
      <c r="B21" s="31"/>
      <c r="C21">
        <v>500</v>
      </c>
      <c r="E21" t="s">
        <v>423</v>
      </c>
      <c r="F21" t="s">
        <v>424</v>
      </c>
      <c r="H21" t="s">
        <v>333</v>
      </c>
      <c r="I21" t="s">
        <v>334</v>
      </c>
      <c r="J21" t="s">
        <v>335</v>
      </c>
      <c r="N21" t="s">
        <v>422</v>
      </c>
      <c r="AH21" s="156"/>
    </row>
    <row r="22" spans="1:34" x14ac:dyDescent="0.25">
      <c r="A22" s="164">
        <v>102</v>
      </c>
      <c r="B22" s="31"/>
      <c r="C22">
        <v>100</v>
      </c>
      <c r="E22" t="s">
        <v>423</v>
      </c>
      <c r="F22" t="s">
        <v>424</v>
      </c>
      <c r="H22" t="s">
        <v>333</v>
      </c>
      <c r="I22" t="s">
        <v>334</v>
      </c>
      <c r="J22" t="s">
        <v>335</v>
      </c>
      <c r="N22" t="s">
        <v>422</v>
      </c>
      <c r="AH22" s="156"/>
    </row>
    <row r="23" spans="1:34" x14ac:dyDescent="0.25">
      <c r="A23" s="164">
        <v>109</v>
      </c>
      <c r="B23" s="31"/>
      <c r="C23">
        <v>100</v>
      </c>
      <c r="E23" t="s">
        <v>423</v>
      </c>
      <c r="F23" t="s">
        <v>424</v>
      </c>
      <c r="H23" t="s">
        <v>333</v>
      </c>
      <c r="I23" t="s">
        <v>334</v>
      </c>
      <c r="J23" t="s">
        <v>335</v>
      </c>
      <c r="N23" t="s">
        <v>422</v>
      </c>
      <c r="AH23" s="156"/>
    </row>
    <row r="24" spans="1:34" x14ac:dyDescent="0.25">
      <c r="A24" s="164">
        <v>501</v>
      </c>
      <c r="B24" s="31"/>
      <c r="C24">
        <v>500</v>
      </c>
      <c r="E24" t="s">
        <v>423</v>
      </c>
      <c r="F24" t="s">
        <v>424</v>
      </c>
      <c r="H24" t="s">
        <v>333</v>
      </c>
      <c r="I24" t="s">
        <v>334</v>
      </c>
      <c r="J24" t="s">
        <v>335</v>
      </c>
      <c r="N24" t="s">
        <v>422</v>
      </c>
      <c r="AH24" s="156"/>
    </row>
    <row r="25" spans="1:34" x14ac:dyDescent="0.25">
      <c r="A25" s="164">
        <v>104</v>
      </c>
      <c r="B25" s="31"/>
      <c r="C25">
        <v>100</v>
      </c>
      <c r="E25" t="s">
        <v>423</v>
      </c>
      <c r="F25" t="s">
        <v>424</v>
      </c>
      <c r="H25" t="s">
        <v>333</v>
      </c>
      <c r="I25" t="s">
        <v>334</v>
      </c>
      <c r="J25" t="s">
        <v>335</v>
      </c>
      <c r="N25" t="s">
        <v>422</v>
      </c>
      <c r="AH25" s="156"/>
    </row>
    <row r="26" spans="1:34" x14ac:dyDescent="0.25">
      <c r="A26" s="164">
        <v>104</v>
      </c>
      <c r="B26" s="31"/>
      <c r="C26">
        <v>100</v>
      </c>
      <c r="E26" t="s">
        <v>423</v>
      </c>
      <c r="F26" t="s">
        <v>424</v>
      </c>
      <c r="H26" t="s">
        <v>333</v>
      </c>
      <c r="I26" t="s">
        <v>334</v>
      </c>
      <c r="J26" t="s">
        <v>335</v>
      </c>
      <c r="N26" t="s">
        <v>422</v>
      </c>
      <c r="AH26" s="156"/>
    </row>
    <row r="27" spans="1:34" x14ac:dyDescent="0.25">
      <c r="A27" s="164">
        <v>501</v>
      </c>
      <c r="B27" s="31"/>
      <c r="C27">
        <v>500</v>
      </c>
      <c r="E27" t="s">
        <v>423</v>
      </c>
      <c r="F27" t="s">
        <v>424</v>
      </c>
      <c r="H27" t="s">
        <v>333</v>
      </c>
      <c r="I27" t="s">
        <v>334</v>
      </c>
      <c r="J27" t="s">
        <v>335</v>
      </c>
      <c r="N27" t="s">
        <v>422</v>
      </c>
      <c r="AH27" s="156"/>
    </row>
    <row r="28" spans="1:34" x14ac:dyDescent="0.25">
      <c r="A28" s="164">
        <v>102</v>
      </c>
      <c r="B28" s="31"/>
      <c r="C28">
        <v>100</v>
      </c>
      <c r="E28" t="s">
        <v>423</v>
      </c>
      <c r="F28" t="s">
        <v>424</v>
      </c>
      <c r="H28" t="s">
        <v>333</v>
      </c>
      <c r="I28" t="s">
        <v>334</v>
      </c>
      <c r="J28" t="s">
        <v>335</v>
      </c>
      <c r="N28" t="s">
        <v>422</v>
      </c>
      <c r="AH28" s="156"/>
    </row>
    <row r="29" spans="1:34" x14ac:dyDescent="0.25">
      <c r="A29" s="164">
        <v>109</v>
      </c>
      <c r="B29" s="31"/>
      <c r="C29">
        <v>100</v>
      </c>
      <c r="E29" t="s">
        <v>423</v>
      </c>
      <c r="F29" t="s">
        <v>424</v>
      </c>
      <c r="H29" t="s">
        <v>333</v>
      </c>
      <c r="I29" t="s">
        <v>334</v>
      </c>
      <c r="J29" t="s">
        <v>335</v>
      </c>
      <c r="N29" t="s">
        <v>422</v>
      </c>
      <c r="AH29" s="156"/>
    </row>
    <row r="30" spans="1:34" x14ac:dyDescent="0.25">
      <c r="A30" s="164">
        <v>109</v>
      </c>
      <c r="B30" s="31"/>
      <c r="C30">
        <v>100</v>
      </c>
      <c r="E30" t="s">
        <v>423</v>
      </c>
      <c r="F30" t="s">
        <v>424</v>
      </c>
      <c r="H30" t="s">
        <v>333</v>
      </c>
      <c r="I30" t="s">
        <v>334</v>
      </c>
      <c r="J30" t="s">
        <v>335</v>
      </c>
      <c r="N30" t="s">
        <v>422</v>
      </c>
      <c r="AH30" s="156"/>
    </row>
    <row r="31" spans="1:34" x14ac:dyDescent="0.25">
      <c r="A31" s="164">
        <v>501</v>
      </c>
      <c r="B31" s="31"/>
      <c r="C31">
        <v>500</v>
      </c>
      <c r="E31" t="s">
        <v>423</v>
      </c>
      <c r="F31" t="s">
        <v>424</v>
      </c>
      <c r="H31" t="s">
        <v>333</v>
      </c>
      <c r="I31" t="s">
        <v>334</v>
      </c>
      <c r="J31" t="s">
        <v>335</v>
      </c>
      <c r="N31" t="s">
        <v>422</v>
      </c>
      <c r="AH31" s="156"/>
    </row>
    <row r="32" spans="1:34" x14ac:dyDescent="0.25">
      <c r="A32" s="164">
        <v>501</v>
      </c>
      <c r="B32" s="31"/>
      <c r="C32">
        <v>500</v>
      </c>
      <c r="E32" t="s">
        <v>423</v>
      </c>
      <c r="F32" t="s">
        <v>424</v>
      </c>
      <c r="H32" t="s">
        <v>333</v>
      </c>
      <c r="I32" t="s">
        <v>334</v>
      </c>
      <c r="J32" t="s">
        <v>335</v>
      </c>
      <c r="N32" t="s">
        <v>422</v>
      </c>
      <c r="AH32" s="156"/>
    </row>
    <row r="33" spans="1:34" x14ac:dyDescent="0.25">
      <c r="A33" s="164">
        <v>303</v>
      </c>
      <c r="B33" s="31"/>
      <c r="C33">
        <v>300</v>
      </c>
      <c r="E33" t="s">
        <v>423</v>
      </c>
      <c r="F33" t="s">
        <v>424</v>
      </c>
      <c r="H33" t="s">
        <v>333</v>
      </c>
      <c r="I33" t="s">
        <v>334</v>
      </c>
      <c r="J33" t="s">
        <v>335</v>
      </c>
      <c r="N33" t="s">
        <v>422</v>
      </c>
      <c r="AH33" s="156"/>
    </row>
    <row r="34" spans="1:34" x14ac:dyDescent="0.25">
      <c r="A34" s="164">
        <v>303</v>
      </c>
      <c r="B34" s="31"/>
      <c r="C34">
        <v>300</v>
      </c>
      <c r="E34" t="s">
        <v>423</v>
      </c>
      <c r="F34" t="s">
        <v>424</v>
      </c>
      <c r="H34" t="s">
        <v>333</v>
      </c>
      <c r="I34" t="s">
        <v>334</v>
      </c>
      <c r="J34" t="s">
        <v>335</v>
      </c>
      <c r="N34" t="s">
        <v>422</v>
      </c>
      <c r="AH34" s="156"/>
    </row>
    <row r="35" spans="1:34" x14ac:dyDescent="0.25">
      <c r="A35" s="164">
        <v>501</v>
      </c>
      <c r="B35" s="31"/>
      <c r="C35">
        <v>500</v>
      </c>
      <c r="E35" t="s">
        <v>423</v>
      </c>
      <c r="F35" t="s">
        <v>424</v>
      </c>
      <c r="H35" t="s">
        <v>333</v>
      </c>
      <c r="I35" t="s">
        <v>334</v>
      </c>
      <c r="J35" t="s">
        <v>335</v>
      </c>
      <c r="N35" t="s">
        <v>422</v>
      </c>
      <c r="AH35" s="156"/>
    </row>
    <row r="36" spans="1:34" x14ac:dyDescent="0.25">
      <c r="A36" s="164">
        <v>501</v>
      </c>
      <c r="B36" s="31"/>
      <c r="C36">
        <v>500</v>
      </c>
      <c r="E36" t="s">
        <v>423</v>
      </c>
      <c r="F36" t="s">
        <v>424</v>
      </c>
      <c r="H36" t="s">
        <v>333</v>
      </c>
      <c r="I36" t="s">
        <v>334</v>
      </c>
      <c r="J36" t="s">
        <v>335</v>
      </c>
      <c r="N36" t="s">
        <v>422</v>
      </c>
      <c r="AH36" s="156"/>
    </row>
    <row r="37" spans="1:34" x14ac:dyDescent="0.25">
      <c r="A37" s="164">
        <v>109</v>
      </c>
      <c r="B37" s="31"/>
      <c r="C37">
        <v>100</v>
      </c>
      <c r="E37" t="s">
        <v>423</v>
      </c>
      <c r="F37" t="s">
        <v>424</v>
      </c>
      <c r="H37" t="s">
        <v>333</v>
      </c>
      <c r="I37" t="s">
        <v>334</v>
      </c>
      <c r="J37" t="s">
        <v>335</v>
      </c>
      <c r="N37" t="s">
        <v>422</v>
      </c>
      <c r="AH37" s="156"/>
    </row>
    <row r="38" spans="1:34" x14ac:dyDescent="0.25">
      <c r="A38" s="164">
        <v>109</v>
      </c>
      <c r="B38" s="31"/>
      <c r="C38">
        <v>100</v>
      </c>
      <c r="E38" t="s">
        <v>423</v>
      </c>
      <c r="F38" t="s">
        <v>424</v>
      </c>
      <c r="H38" t="s">
        <v>333</v>
      </c>
      <c r="I38" t="s">
        <v>334</v>
      </c>
      <c r="J38" t="s">
        <v>335</v>
      </c>
      <c r="N38" t="s">
        <v>422</v>
      </c>
      <c r="AH38" s="156"/>
    </row>
    <row r="39" spans="1:34" x14ac:dyDescent="0.25">
      <c r="A39" s="164">
        <v>501</v>
      </c>
      <c r="B39" s="31"/>
      <c r="C39">
        <v>500</v>
      </c>
      <c r="E39" t="s">
        <v>423</v>
      </c>
      <c r="F39" t="s">
        <v>424</v>
      </c>
      <c r="H39" t="s">
        <v>333</v>
      </c>
      <c r="I39" t="s">
        <v>334</v>
      </c>
      <c r="J39" t="s">
        <v>335</v>
      </c>
      <c r="N39" t="s">
        <v>422</v>
      </c>
      <c r="AH39" s="156"/>
    </row>
    <row r="40" spans="1:34" x14ac:dyDescent="0.25">
      <c r="A40" s="164">
        <v>501</v>
      </c>
      <c r="B40" s="31"/>
      <c r="C40">
        <v>500</v>
      </c>
      <c r="E40" t="s">
        <v>423</v>
      </c>
      <c r="F40" t="s">
        <v>424</v>
      </c>
      <c r="H40" t="s">
        <v>333</v>
      </c>
      <c r="I40" t="s">
        <v>334</v>
      </c>
      <c r="J40" t="s">
        <v>335</v>
      </c>
      <c r="N40" t="s">
        <v>422</v>
      </c>
      <c r="AH40" s="156"/>
    </row>
    <row r="41" spans="1:34" x14ac:dyDescent="0.25">
      <c r="A41" s="164">
        <v>303</v>
      </c>
      <c r="B41" s="31"/>
      <c r="C41">
        <v>300</v>
      </c>
      <c r="E41" t="s">
        <v>423</v>
      </c>
      <c r="F41" t="s">
        <v>424</v>
      </c>
      <c r="H41" t="s">
        <v>333</v>
      </c>
      <c r="I41" t="s">
        <v>334</v>
      </c>
      <c r="J41" t="s">
        <v>335</v>
      </c>
      <c r="N41" t="s">
        <v>422</v>
      </c>
      <c r="AH41" s="156"/>
    </row>
    <row r="42" spans="1:34" x14ac:dyDescent="0.25">
      <c r="A42" s="164">
        <v>303</v>
      </c>
      <c r="B42" s="31"/>
      <c r="C42">
        <v>300</v>
      </c>
      <c r="E42" t="s">
        <v>423</v>
      </c>
      <c r="F42" t="s">
        <v>424</v>
      </c>
      <c r="H42" t="s">
        <v>333</v>
      </c>
      <c r="I42" t="s">
        <v>334</v>
      </c>
      <c r="J42" t="s">
        <v>335</v>
      </c>
      <c r="N42" t="s">
        <v>422</v>
      </c>
      <c r="AH42" s="156"/>
    </row>
    <row r="43" spans="1:34" x14ac:dyDescent="0.25">
      <c r="A43" s="164">
        <v>501</v>
      </c>
      <c r="B43" s="31"/>
      <c r="C43">
        <v>500</v>
      </c>
      <c r="E43" t="s">
        <v>423</v>
      </c>
      <c r="F43" t="s">
        <v>424</v>
      </c>
      <c r="H43" t="s">
        <v>333</v>
      </c>
      <c r="I43" t="s">
        <v>334</v>
      </c>
      <c r="J43" t="s">
        <v>335</v>
      </c>
      <c r="N43" t="s">
        <v>422</v>
      </c>
      <c r="AH43" s="156"/>
    </row>
    <row r="44" spans="1:34" x14ac:dyDescent="0.25">
      <c r="A44" s="164">
        <v>109</v>
      </c>
      <c r="B44" s="31"/>
      <c r="C44">
        <v>100</v>
      </c>
      <c r="E44" t="s">
        <v>423</v>
      </c>
      <c r="F44" t="s">
        <v>424</v>
      </c>
      <c r="H44" t="s">
        <v>333</v>
      </c>
      <c r="I44" t="s">
        <v>334</v>
      </c>
      <c r="J44" t="s">
        <v>335</v>
      </c>
      <c r="N44" t="s">
        <v>422</v>
      </c>
      <c r="AH44" s="156"/>
    </row>
    <row r="45" spans="1:34" x14ac:dyDescent="0.25">
      <c r="A45" s="164">
        <v>501</v>
      </c>
      <c r="B45" s="31"/>
      <c r="C45">
        <v>500</v>
      </c>
      <c r="E45" t="s">
        <v>423</v>
      </c>
      <c r="F45" t="s">
        <v>424</v>
      </c>
      <c r="H45" t="s">
        <v>333</v>
      </c>
      <c r="I45" t="s">
        <v>334</v>
      </c>
      <c r="J45" t="s">
        <v>335</v>
      </c>
      <c r="N45" t="s">
        <v>422</v>
      </c>
      <c r="AH45" s="156"/>
    </row>
    <row r="46" spans="1:34" x14ac:dyDescent="0.25">
      <c r="A46" s="164">
        <v>501</v>
      </c>
      <c r="B46" s="31"/>
      <c r="C46">
        <v>500</v>
      </c>
      <c r="E46" t="s">
        <v>423</v>
      </c>
      <c r="F46" t="s">
        <v>424</v>
      </c>
      <c r="H46" t="s">
        <v>333</v>
      </c>
      <c r="I46" t="s">
        <v>334</v>
      </c>
      <c r="J46" t="s">
        <v>335</v>
      </c>
      <c r="N46" t="s">
        <v>422</v>
      </c>
      <c r="AH46" s="156"/>
    </row>
    <row r="47" spans="1:34" x14ac:dyDescent="0.25">
      <c r="A47" s="164">
        <v>109</v>
      </c>
      <c r="B47" s="31"/>
      <c r="C47">
        <v>100</v>
      </c>
      <c r="E47" t="s">
        <v>423</v>
      </c>
      <c r="F47" t="s">
        <v>424</v>
      </c>
      <c r="H47" t="s">
        <v>333</v>
      </c>
      <c r="I47" t="s">
        <v>334</v>
      </c>
      <c r="J47" t="s">
        <v>335</v>
      </c>
      <c r="N47" t="s">
        <v>422</v>
      </c>
      <c r="AH47" s="156"/>
    </row>
    <row r="48" spans="1:34" x14ac:dyDescent="0.25">
      <c r="A48" s="164">
        <v>501</v>
      </c>
      <c r="B48" s="31"/>
      <c r="C48">
        <v>500</v>
      </c>
      <c r="E48" t="s">
        <v>423</v>
      </c>
      <c r="F48" t="s">
        <v>424</v>
      </c>
      <c r="H48" t="s">
        <v>333</v>
      </c>
      <c r="I48" t="s">
        <v>334</v>
      </c>
      <c r="J48" t="s">
        <v>335</v>
      </c>
      <c r="N48" t="s">
        <v>422</v>
      </c>
      <c r="AH48" s="156"/>
    </row>
    <row r="49" spans="1:34" x14ac:dyDescent="0.25">
      <c r="A49" s="164">
        <v>303</v>
      </c>
      <c r="B49" s="31"/>
      <c r="C49">
        <v>300</v>
      </c>
      <c r="E49" t="s">
        <v>423</v>
      </c>
      <c r="F49" t="s">
        <v>424</v>
      </c>
      <c r="H49" t="s">
        <v>333</v>
      </c>
      <c r="I49" t="s">
        <v>334</v>
      </c>
      <c r="J49" t="s">
        <v>335</v>
      </c>
      <c r="N49" t="s">
        <v>422</v>
      </c>
      <c r="AH49" s="156"/>
    </row>
    <row r="50" spans="1:34" x14ac:dyDescent="0.25">
      <c r="A50" s="164">
        <v>303</v>
      </c>
      <c r="B50" s="31"/>
      <c r="C50">
        <v>300</v>
      </c>
      <c r="E50" t="s">
        <v>423</v>
      </c>
      <c r="F50" t="s">
        <v>424</v>
      </c>
      <c r="H50" t="s">
        <v>333</v>
      </c>
      <c r="I50" t="s">
        <v>334</v>
      </c>
      <c r="J50" t="s">
        <v>335</v>
      </c>
      <c r="N50" t="s">
        <v>422</v>
      </c>
      <c r="AH50" s="156"/>
    </row>
    <row r="51" spans="1:34" x14ac:dyDescent="0.25">
      <c r="A51" s="164">
        <v>109</v>
      </c>
      <c r="B51" s="31"/>
      <c r="C51">
        <v>100</v>
      </c>
      <c r="E51" t="s">
        <v>423</v>
      </c>
      <c r="F51" t="s">
        <v>424</v>
      </c>
      <c r="H51" t="s">
        <v>333</v>
      </c>
      <c r="I51" t="s">
        <v>334</v>
      </c>
      <c r="J51" t="s">
        <v>335</v>
      </c>
      <c r="N51" t="s">
        <v>422</v>
      </c>
      <c r="AH51" s="156"/>
    </row>
    <row r="52" spans="1:34" x14ac:dyDescent="0.25">
      <c r="A52" s="164">
        <v>501</v>
      </c>
      <c r="B52" s="31"/>
      <c r="C52">
        <v>500</v>
      </c>
      <c r="E52" t="s">
        <v>423</v>
      </c>
      <c r="F52" t="s">
        <v>424</v>
      </c>
      <c r="H52" t="s">
        <v>333</v>
      </c>
      <c r="I52" t="s">
        <v>334</v>
      </c>
      <c r="J52" t="s">
        <v>335</v>
      </c>
      <c r="N52" t="s">
        <v>422</v>
      </c>
      <c r="AH52" s="156"/>
    </row>
    <row r="53" spans="1:34" x14ac:dyDescent="0.25">
      <c r="A53" s="164">
        <v>501</v>
      </c>
      <c r="B53" s="31"/>
      <c r="C53">
        <v>500</v>
      </c>
      <c r="E53" t="s">
        <v>423</v>
      </c>
      <c r="F53" t="s">
        <v>424</v>
      </c>
      <c r="H53" t="s">
        <v>333</v>
      </c>
      <c r="I53" t="s">
        <v>334</v>
      </c>
      <c r="J53" t="s">
        <v>335</v>
      </c>
      <c r="N53" t="s">
        <v>422</v>
      </c>
      <c r="AH53" s="156"/>
    </row>
    <row r="54" spans="1:34" x14ac:dyDescent="0.25">
      <c r="A54" s="164">
        <v>501</v>
      </c>
      <c r="B54" s="31"/>
      <c r="C54">
        <v>500</v>
      </c>
      <c r="E54" t="s">
        <v>423</v>
      </c>
      <c r="F54" t="s">
        <v>424</v>
      </c>
      <c r="H54" t="s">
        <v>333</v>
      </c>
      <c r="I54" t="s">
        <v>334</v>
      </c>
      <c r="J54" t="s">
        <v>335</v>
      </c>
      <c r="N54" t="s">
        <v>422</v>
      </c>
      <c r="AH54" s="156"/>
    </row>
    <row r="55" spans="1:34" x14ac:dyDescent="0.25">
      <c r="A55" s="164">
        <v>501</v>
      </c>
      <c r="B55" s="31"/>
      <c r="C55">
        <v>500</v>
      </c>
      <c r="E55" t="s">
        <v>423</v>
      </c>
      <c r="F55" t="s">
        <v>424</v>
      </c>
      <c r="H55" t="s">
        <v>333</v>
      </c>
      <c r="I55" t="s">
        <v>334</v>
      </c>
      <c r="J55" t="s">
        <v>335</v>
      </c>
      <c r="N55" t="s">
        <v>422</v>
      </c>
      <c r="AH55" s="156"/>
    </row>
    <row r="56" spans="1:34" x14ac:dyDescent="0.25">
      <c r="A56" s="164">
        <v>109</v>
      </c>
      <c r="B56" s="31"/>
      <c r="C56">
        <v>100</v>
      </c>
      <c r="E56" t="s">
        <v>423</v>
      </c>
      <c r="F56" t="s">
        <v>424</v>
      </c>
      <c r="H56" t="s">
        <v>333</v>
      </c>
      <c r="I56" t="s">
        <v>334</v>
      </c>
      <c r="J56" t="s">
        <v>335</v>
      </c>
      <c r="N56" t="s">
        <v>422</v>
      </c>
      <c r="AH56" s="156"/>
    </row>
    <row r="57" spans="1:34" x14ac:dyDescent="0.25">
      <c r="A57" s="164">
        <v>303</v>
      </c>
      <c r="B57" s="31"/>
      <c r="C57">
        <v>300</v>
      </c>
      <c r="E57" t="s">
        <v>423</v>
      </c>
      <c r="F57" t="s">
        <v>424</v>
      </c>
      <c r="H57" t="s">
        <v>333</v>
      </c>
      <c r="I57" t="s">
        <v>334</v>
      </c>
      <c r="J57" t="s">
        <v>335</v>
      </c>
      <c r="N57" t="s">
        <v>422</v>
      </c>
      <c r="AH57" s="156"/>
    </row>
    <row r="58" spans="1:34" x14ac:dyDescent="0.25">
      <c r="A58" s="164">
        <v>104</v>
      </c>
      <c r="B58" s="31"/>
      <c r="C58">
        <v>100</v>
      </c>
      <c r="E58" t="s">
        <v>423</v>
      </c>
      <c r="F58" t="s">
        <v>424</v>
      </c>
      <c r="H58" t="s">
        <v>333</v>
      </c>
      <c r="I58" t="s">
        <v>334</v>
      </c>
      <c r="J58" t="s">
        <v>335</v>
      </c>
      <c r="N58" t="s">
        <v>422</v>
      </c>
      <c r="AH58" s="156"/>
    </row>
    <row r="59" spans="1:34" x14ac:dyDescent="0.25">
      <c r="A59" s="164">
        <v>102</v>
      </c>
      <c r="B59" s="31"/>
      <c r="C59">
        <v>100</v>
      </c>
      <c r="E59" t="s">
        <v>423</v>
      </c>
      <c r="F59" t="s">
        <v>424</v>
      </c>
      <c r="H59" t="s">
        <v>333</v>
      </c>
      <c r="I59" t="s">
        <v>334</v>
      </c>
      <c r="J59" t="s">
        <v>335</v>
      </c>
      <c r="N59" t="s">
        <v>422</v>
      </c>
      <c r="AH59" s="156"/>
    </row>
    <row r="60" spans="1:34" x14ac:dyDescent="0.25">
      <c r="A60" s="164">
        <v>303</v>
      </c>
      <c r="B60" s="31"/>
      <c r="C60">
        <v>300</v>
      </c>
      <c r="E60" t="s">
        <v>423</v>
      </c>
      <c r="F60" t="s">
        <v>424</v>
      </c>
      <c r="H60" t="s">
        <v>333</v>
      </c>
      <c r="I60" t="s">
        <v>334</v>
      </c>
      <c r="J60" t="s">
        <v>335</v>
      </c>
      <c r="N60" t="s">
        <v>422</v>
      </c>
      <c r="AH60" s="156"/>
    </row>
    <row r="61" spans="1:34" x14ac:dyDescent="0.25">
      <c r="A61" s="164">
        <v>303</v>
      </c>
      <c r="B61" s="31"/>
      <c r="C61">
        <v>300</v>
      </c>
      <c r="E61" t="s">
        <v>423</v>
      </c>
      <c r="F61" t="s">
        <v>424</v>
      </c>
      <c r="H61" t="s">
        <v>333</v>
      </c>
      <c r="I61" t="s">
        <v>334</v>
      </c>
      <c r="J61" t="s">
        <v>335</v>
      </c>
      <c r="N61" t="s">
        <v>422</v>
      </c>
      <c r="AH61" s="156"/>
    </row>
    <row r="62" spans="1:34" x14ac:dyDescent="0.25">
      <c r="A62" s="164">
        <v>303</v>
      </c>
      <c r="B62" s="31"/>
      <c r="C62">
        <v>300</v>
      </c>
      <c r="E62" t="s">
        <v>423</v>
      </c>
      <c r="F62" t="s">
        <v>424</v>
      </c>
      <c r="H62" t="s">
        <v>333</v>
      </c>
      <c r="I62" t="s">
        <v>334</v>
      </c>
      <c r="J62" t="s">
        <v>335</v>
      </c>
      <c r="N62" t="s">
        <v>422</v>
      </c>
      <c r="AH62" s="156"/>
    </row>
    <row r="63" spans="1:34" x14ac:dyDescent="0.25">
      <c r="A63" s="164">
        <v>303</v>
      </c>
      <c r="B63" s="31"/>
      <c r="C63">
        <v>300</v>
      </c>
      <c r="E63" t="s">
        <v>423</v>
      </c>
      <c r="F63" t="s">
        <v>424</v>
      </c>
      <c r="H63" t="s">
        <v>333</v>
      </c>
      <c r="I63" t="s">
        <v>334</v>
      </c>
      <c r="J63" t="s">
        <v>335</v>
      </c>
      <c r="N63" t="s">
        <v>422</v>
      </c>
      <c r="AH63" s="156"/>
    </row>
    <row r="64" spans="1:34" x14ac:dyDescent="0.25">
      <c r="A64" s="164">
        <v>303</v>
      </c>
      <c r="B64" s="31"/>
      <c r="C64">
        <v>300</v>
      </c>
      <c r="E64" t="s">
        <v>423</v>
      </c>
      <c r="F64" t="s">
        <v>424</v>
      </c>
      <c r="H64" t="s">
        <v>333</v>
      </c>
      <c r="I64" t="s">
        <v>334</v>
      </c>
      <c r="J64" t="s">
        <v>335</v>
      </c>
      <c r="N64" t="s">
        <v>422</v>
      </c>
      <c r="AH64" s="156"/>
    </row>
    <row r="65" spans="1:34" ht="15.75" thickBot="1" x14ac:dyDescent="0.3">
      <c r="A65" s="165">
        <v>303</v>
      </c>
      <c r="B65" s="39"/>
      <c r="C65" s="40">
        <v>300</v>
      </c>
      <c r="D65" s="40" t="s">
        <v>340</v>
      </c>
      <c r="E65" s="40" t="s">
        <v>423</v>
      </c>
      <c r="F65" s="40" t="s">
        <v>424</v>
      </c>
      <c r="G65" s="40"/>
      <c r="H65" s="40" t="s">
        <v>333</v>
      </c>
      <c r="I65" s="40" t="s">
        <v>334</v>
      </c>
      <c r="J65" s="40" t="s">
        <v>335</v>
      </c>
      <c r="K65" s="40"/>
      <c r="L65" s="40"/>
      <c r="M65" s="40"/>
      <c r="N65" s="40" t="s">
        <v>422</v>
      </c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157"/>
    </row>
    <row r="66" spans="1:34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86</vt:i4>
      </vt:variant>
    </vt:vector>
  </HeadingPairs>
  <TitlesOfParts>
    <vt:vector size="86" baseType="lpstr">
      <vt:lpstr>Lekeitio_2_1a_raw</vt:lpstr>
      <vt:lpstr>Lekeitio_2_1b_raw</vt:lpstr>
      <vt:lpstr>Lekeitio_2_2a_raw</vt:lpstr>
      <vt:lpstr>Lekeitio_2_2b_raw</vt:lpstr>
      <vt:lpstr>Lekeitio_2_3a_raw</vt:lpstr>
      <vt:lpstr>Lekeitio_2_3b_raw</vt:lpstr>
      <vt:lpstr>Lekeitio_2_4a_raw</vt:lpstr>
      <vt:lpstr>Lekeitio_2_4b_raw</vt:lpstr>
      <vt:lpstr>Lekeitio_2_5a_raw</vt:lpstr>
      <vt:lpstr>Lekeitio_2_5b_raw</vt:lpstr>
      <vt:lpstr>Lekeitio_2_6a_raw</vt:lpstr>
      <vt:lpstr>Lekeitio_2_6b_raw</vt:lpstr>
      <vt:lpstr>Lekeitio_2_7a_raw</vt:lpstr>
      <vt:lpstr>Lekeitio_2_7b_raw</vt:lpstr>
      <vt:lpstr>Lekeitio_2_8a_raw</vt:lpstr>
      <vt:lpstr>Lekeitio_2_8b_raw</vt:lpstr>
      <vt:lpstr>Lekeitio_2_9a_raw</vt:lpstr>
      <vt:lpstr>Lekeitio_2_1a_imgsummary</vt:lpstr>
      <vt:lpstr>Lekeitio_2_1b_imgsummary</vt:lpstr>
      <vt:lpstr>Lekeitio_2_2a_imgsummary</vt:lpstr>
      <vt:lpstr>Lekeitio_2_2b_imgsummary</vt:lpstr>
      <vt:lpstr>Lekeitio_2_3a_imgsummary</vt:lpstr>
      <vt:lpstr>Lekeitio_2_3b_imgsummary</vt:lpstr>
      <vt:lpstr>Lekeitio_2_4a_imgsummary</vt:lpstr>
      <vt:lpstr>Lekeitio_2_4b_imgsummary</vt:lpstr>
      <vt:lpstr>Lekeitio_2_5a_imgsummary</vt:lpstr>
      <vt:lpstr>Lekeitio_2_5b_imgsummary</vt:lpstr>
      <vt:lpstr>Lekeitio_2_6a_imgsummary</vt:lpstr>
      <vt:lpstr>Lekeitio_2_6b_imgsummary</vt:lpstr>
      <vt:lpstr>Lekeitio_2_7a_imgsummary</vt:lpstr>
      <vt:lpstr>Lekeitio_2_7b_imgsummary</vt:lpstr>
      <vt:lpstr>Lekeitio_2_8a_imgsummary</vt:lpstr>
      <vt:lpstr>Lekeitio_2_8b_imgsummary</vt:lpstr>
      <vt:lpstr>Lekeitio_2_9a_imgsummary</vt:lpstr>
      <vt:lpstr>Lekeitio_2_1a_%cover</vt:lpstr>
      <vt:lpstr>Lekeitio_2_1b_%cover</vt:lpstr>
      <vt:lpstr>Lekeitio_2_2a_%cover</vt:lpstr>
      <vt:lpstr>Lekeitio_2_2b_%cover</vt:lpstr>
      <vt:lpstr>Lekeitio_2_3a_%cover</vt:lpstr>
      <vt:lpstr>Lekeitio_2_3b_%cover</vt:lpstr>
      <vt:lpstr>Lekeitio_2_4a_%cover</vt:lpstr>
      <vt:lpstr>Lekeitio_2_4b_%cover</vt:lpstr>
      <vt:lpstr>Lekeitio_2_5a_%cover</vt:lpstr>
      <vt:lpstr>Lekeitio_2_5b_%cover</vt:lpstr>
      <vt:lpstr>Lekeitio_2_6a_%cover</vt:lpstr>
      <vt:lpstr>Lekeitio_2_6b_%cover</vt:lpstr>
      <vt:lpstr>Lekeitio_2_7a_%cover</vt:lpstr>
      <vt:lpstr>Lekeitio_2_7b_%cover</vt:lpstr>
      <vt:lpstr>Lekeitio_2_8a_%cover</vt:lpstr>
      <vt:lpstr>Lekeitio_2_8b_%cover</vt:lpstr>
      <vt:lpstr>Lekeitio_2_9a_%cover</vt:lpstr>
      <vt:lpstr>Lekeitio_2_1a</vt:lpstr>
      <vt:lpstr>Lekeitio_2_1b</vt:lpstr>
      <vt:lpstr>Lekeitio_2_2a</vt:lpstr>
      <vt:lpstr>Lekeitio_2_2b</vt:lpstr>
      <vt:lpstr>Lekeitio_2_3a</vt:lpstr>
      <vt:lpstr>Lekeitio_2_3b</vt:lpstr>
      <vt:lpstr>Lekeitio_2_4a</vt:lpstr>
      <vt:lpstr>Lekeitio_2_4b</vt:lpstr>
      <vt:lpstr>Lekeitio_2_5a</vt:lpstr>
      <vt:lpstr>Lekeitio_2_5b</vt:lpstr>
      <vt:lpstr>Lekeitio_2_6a</vt:lpstr>
      <vt:lpstr>Lekeitio_2_6b</vt:lpstr>
      <vt:lpstr>Lekeitio_2_7a</vt:lpstr>
      <vt:lpstr>Lekeitio_2_7b</vt:lpstr>
      <vt:lpstr>Lekeitio_2_8a</vt:lpstr>
      <vt:lpstr>Lekeitio_2_8b</vt:lpstr>
      <vt:lpstr>Lekeitio_2_9a</vt:lpstr>
      <vt:lpstr>Lekeitio_2_1a_archive</vt:lpstr>
      <vt:lpstr>Lekeitio_2_1b_archive</vt:lpstr>
      <vt:lpstr>Lekeitio_2_2a_archive</vt:lpstr>
      <vt:lpstr>Lekeitio_2_2b_archive</vt:lpstr>
      <vt:lpstr>Lekeitio_2_3a_archive</vt:lpstr>
      <vt:lpstr>Lekeitio_2_3b_archive</vt:lpstr>
      <vt:lpstr>Lekeitio_2_4a_archive</vt:lpstr>
      <vt:lpstr>Lekeitio_2_4b_archive</vt:lpstr>
      <vt:lpstr>Lekeitio_2_5a_archive</vt:lpstr>
      <vt:lpstr>Lekeitio_2_5b_archive</vt:lpstr>
      <vt:lpstr>Lekeitio_2_6a_archive</vt:lpstr>
      <vt:lpstr>Lekeitio_2_6b_archive</vt:lpstr>
      <vt:lpstr>Lekeitio_2_7a_archive</vt:lpstr>
      <vt:lpstr>Lekeitio_2_7b_archive</vt:lpstr>
      <vt:lpstr>Lekeitio_2_8a_archive</vt:lpstr>
      <vt:lpstr>Lekeitio_2_8b_archive</vt:lpstr>
      <vt:lpstr>Lekeitio_2_9a_archive</vt:lpstr>
      <vt:lpstr>Data Summary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Lidia Gonzalez Goñi</dc:creator>
  <cp:lastModifiedBy>Lidia Gonzalez Goñi</cp:lastModifiedBy>
  <dcterms:created xsi:type="dcterms:W3CDTF">2016-07-12T07:53:34Z</dcterms:created>
  <dcterms:modified xsi:type="dcterms:W3CDTF">2016-07-20T07:46:47Z</dcterms:modified>
</cp:coreProperties>
</file>