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72420083-11F1-4D96-AD50-63B033FA63B5}" xr6:coauthVersionLast="45" xr6:coauthVersionMax="45" xr10:uidLastSave="{00000000-0000-0000-0000-000000000000}"/>
  <bookViews>
    <workbookView xWindow="-24120" yWindow="-120" windowWidth="24240" windowHeight="13140" tabRatio="734" activeTab="7" xr2:uid="{00000000-000D-0000-FFFF-FFFF00000000}"/>
  </bookViews>
  <sheets>
    <sheet name="ENERO " sheetId="1" r:id="rId1"/>
    <sheet name="FEBRERO " sheetId="2" r:id="rId2"/>
    <sheet name="MARZO " sheetId="3" r:id="rId3"/>
    <sheet name="ABRIL " sheetId="4" r:id="rId4"/>
    <sheet name="MAYO " sheetId="5" r:id="rId5"/>
    <sheet name="JUNIO " sheetId="6" r:id="rId6"/>
    <sheet name="JULIO" sheetId="14" r:id="rId7"/>
    <sheet name="AGOSTO" sheetId="13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6" i="13" l="1"/>
  <c r="AB116" i="13"/>
  <c r="X116" i="13"/>
  <c r="W116" i="13"/>
  <c r="U116" i="13"/>
  <c r="O116" i="13"/>
  <c r="K116" i="13"/>
  <c r="N115" i="13"/>
  <c r="M115" i="13"/>
  <c r="Z114" i="13"/>
  <c r="M114" i="13"/>
  <c r="Q114" i="13" s="1"/>
  <c r="AA114" i="13" s="1"/>
  <c r="N113" i="13"/>
  <c r="M113" i="13"/>
  <c r="Z112" i="13"/>
  <c r="Q112" i="13"/>
  <c r="AA112" i="13" s="1"/>
  <c r="AD112" i="13" s="1"/>
  <c r="M112" i="13"/>
  <c r="Z111" i="13"/>
  <c r="M111" i="13"/>
  <c r="Q111" i="13" s="1"/>
  <c r="AA111" i="13" s="1"/>
  <c r="M110" i="13"/>
  <c r="Z109" i="13"/>
  <c r="N109" i="13"/>
  <c r="Q109" i="13" s="1"/>
  <c r="AA109" i="13" s="1"/>
  <c r="AD109" i="13" s="1"/>
  <c r="M109" i="13"/>
  <c r="M108" i="13"/>
  <c r="Q108" i="13" s="1"/>
  <c r="R108" i="13" s="1"/>
  <c r="Z108" i="13" s="1"/>
  <c r="AA108" i="13" s="1"/>
  <c r="AD108" i="13" s="1"/>
  <c r="T107" i="13"/>
  <c r="M107" i="13"/>
  <c r="S106" i="13"/>
  <c r="R106" i="13"/>
  <c r="M106" i="13"/>
  <c r="Q106" i="13" s="1"/>
  <c r="AA105" i="13"/>
  <c r="AD105" i="13" s="1"/>
  <c r="S105" i="13"/>
  <c r="R105" i="13"/>
  <c r="Z105" i="13" s="1"/>
  <c r="Q105" i="13"/>
  <c r="M105" i="13"/>
  <c r="Z104" i="13"/>
  <c r="S104" i="13"/>
  <c r="R104" i="13"/>
  <c r="M104" i="13"/>
  <c r="Q104" i="13" s="1"/>
  <c r="AA104" i="13" s="1"/>
  <c r="AD104" i="13" s="1"/>
  <c r="S103" i="13"/>
  <c r="M103" i="13"/>
  <c r="S102" i="13"/>
  <c r="R102" i="13"/>
  <c r="M102" i="13"/>
  <c r="Q102" i="13" s="1"/>
  <c r="AA101" i="13"/>
  <c r="AD101" i="13" s="1"/>
  <c r="Z101" i="13"/>
  <c r="M101" i="13"/>
  <c r="Q101" i="13" s="1"/>
  <c r="Z100" i="13"/>
  <c r="Q100" i="13"/>
  <c r="AA100" i="13" s="1"/>
  <c r="AD100" i="13" s="1"/>
  <c r="M100" i="13"/>
  <c r="T99" i="13"/>
  <c r="M99" i="13"/>
  <c r="Z98" i="13"/>
  <c r="M98" i="13"/>
  <c r="Q98" i="13" s="1"/>
  <c r="AA98" i="13" s="1"/>
  <c r="AD98" i="13" s="1"/>
  <c r="Z97" i="13"/>
  <c r="S97" i="13"/>
  <c r="M97" i="13"/>
  <c r="Q97" i="13" s="1"/>
  <c r="AA97" i="13" s="1"/>
  <c r="AD97" i="13" s="1"/>
  <c r="R96" i="13"/>
  <c r="Q96" i="13"/>
  <c r="AA96" i="13" s="1"/>
  <c r="N96" i="13"/>
  <c r="M96" i="13"/>
  <c r="S96" i="13" s="1"/>
  <c r="Z96" i="13" s="1"/>
  <c r="Q95" i="13"/>
  <c r="M95" i="13"/>
  <c r="T94" i="13"/>
  <c r="Z94" i="13" s="1"/>
  <c r="M94" i="13"/>
  <c r="Q94" i="13" s="1"/>
  <c r="AA94" i="13" s="1"/>
  <c r="AD94" i="13" s="1"/>
  <c r="S93" i="13"/>
  <c r="R93" i="13"/>
  <c r="Z93" i="13" s="1"/>
  <c r="Q93" i="13"/>
  <c r="AA93" i="13" s="1"/>
  <c r="AD93" i="13" s="1"/>
  <c r="M93" i="13"/>
  <c r="Q92" i="13"/>
  <c r="M92" i="13"/>
  <c r="S91" i="13"/>
  <c r="M91" i="13"/>
  <c r="Q91" i="13" s="1"/>
  <c r="Z90" i="13"/>
  <c r="Q90" i="13"/>
  <c r="AA90" i="13" s="1"/>
  <c r="AD90" i="13" s="1"/>
  <c r="M90" i="13"/>
  <c r="Z89" i="13"/>
  <c r="M89" i="13"/>
  <c r="P89" i="13" s="1"/>
  <c r="P116" i="13" s="1"/>
  <c r="S88" i="13"/>
  <c r="R88" i="13"/>
  <c r="Z88" i="13" s="1"/>
  <c r="Q88" i="13"/>
  <c r="AA88" i="13" s="1"/>
  <c r="AD88" i="13" s="1"/>
  <c r="M88" i="13"/>
  <c r="Z87" i="13"/>
  <c r="T87" i="13"/>
  <c r="S87" i="13"/>
  <c r="R87" i="13"/>
  <c r="Q87" i="13"/>
  <c r="AA87" i="13" s="1"/>
  <c r="AD87" i="13" s="1"/>
  <c r="M87" i="13"/>
  <c r="Q86" i="13"/>
  <c r="M86" i="13"/>
  <c r="T85" i="13"/>
  <c r="Q85" i="13"/>
  <c r="M85" i="13"/>
  <c r="S84" i="13"/>
  <c r="N84" i="13"/>
  <c r="M84" i="13"/>
  <c r="S83" i="13"/>
  <c r="N83" i="13"/>
  <c r="M83" i="13"/>
  <c r="S82" i="13"/>
  <c r="M82" i="13"/>
  <c r="S81" i="13"/>
  <c r="R81" i="13"/>
  <c r="Z81" i="13" s="1"/>
  <c r="M81" i="13"/>
  <c r="Q81" i="13" s="1"/>
  <c r="AA81" i="13" s="1"/>
  <c r="AD81" i="13" s="1"/>
  <c r="S80" i="13"/>
  <c r="R80" i="13"/>
  <c r="Z80" i="13" s="1"/>
  <c r="Q80" i="13"/>
  <c r="AA80" i="13" s="1"/>
  <c r="AD80" i="13" s="1"/>
  <c r="M80" i="13"/>
  <c r="Q79" i="13"/>
  <c r="M79" i="13"/>
  <c r="S78" i="13"/>
  <c r="M78" i="13"/>
  <c r="Z77" i="13"/>
  <c r="Q77" i="13"/>
  <c r="AA77" i="13" s="1"/>
  <c r="AD77" i="13" s="1"/>
  <c r="M77" i="13"/>
  <c r="S76" i="13"/>
  <c r="N76" i="13"/>
  <c r="M76" i="13"/>
  <c r="S75" i="13"/>
  <c r="N75" i="13"/>
  <c r="M75" i="13"/>
  <c r="Z74" i="13"/>
  <c r="Q74" i="13"/>
  <c r="AA74" i="13" s="1"/>
  <c r="AD74" i="13" s="1"/>
  <c r="M74" i="13"/>
  <c r="Q73" i="13"/>
  <c r="M73" i="13"/>
  <c r="M72" i="13"/>
  <c r="N71" i="13"/>
  <c r="M71" i="13"/>
  <c r="S70" i="13"/>
  <c r="R70" i="13"/>
  <c r="Z70" i="13" s="1"/>
  <c r="M70" i="13"/>
  <c r="Q70" i="13" s="1"/>
  <c r="AA70" i="13" s="1"/>
  <c r="AD70" i="13" s="1"/>
  <c r="Z69" i="13"/>
  <c r="M69" i="13"/>
  <c r="Q69" i="13" s="1"/>
  <c r="AA69" i="13" s="1"/>
  <c r="AD69" i="13" s="1"/>
  <c r="S68" i="13"/>
  <c r="R68" i="13"/>
  <c r="Z68" i="13" s="1"/>
  <c r="P68" i="13"/>
  <c r="Q68" i="13" s="1"/>
  <c r="M68" i="13"/>
  <c r="Z67" i="13"/>
  <c r="Q67" i="13"/>
  <c r="AA67" i="13" s="1"/>
  <c r="AD67" i="13" s="1"/>
  <c r="M67" i="13"/>
  <c r="T66" i="13"/>
  <c r="R66" i="13"/>
  <c r="Q66" i="13"/>
  <c r="N66" i="13"/>
  <c r="M66" i="13"/>
  <c r="S66" i="13" s="1"/>
  <c r="Z66" i="13" s="1"/>
  <c r="AA65" i="13"/>
  <c r="AD65" i="13" s="1"/>
  <c r="Z65" i="13"/>
  <c r="M65" i="13"/>
  <c r="Q65" i="13" s="1"/>
  <c r="AA64" i="13"/>
  <c r="AD64" i="13" s="1"/>
  <c r="R64" i="13"/>
  <c r="Z64" i="13" s="1"/>
  <c r="Q64" i="13"/>
  <c r="S64" i="13" s="1"/>
  <c r="M64" i="13"/>
  <c r="M63" i="13"/>
  <c r="N62" i="13"/>
  <c r="M62" i="13"/>
  <c r="M61" i="13"/>
  <c r="T60" i="13"/>
  <c r="Z60" i="13" s="1"/>
  <c r="Q60" i="13"/>
  <c r="N60" i="13"/>
  <c r="M60" i="13"/>
  <c r="M59" i="13"/>
  <c r="Q59" i="13" s="1"/>
  <c r="S58" i="13"/>
  <c r="R58" i="13"/>
  <c r="Q58" i="13"/>
  <c r="M58" i="13"/>
  <c r="Z57" i="13"/>
  <c r="M57" i="13"/>
  <c r="Q57" i="13" s="1"/>
  <c r="AA57" i="13" s="1"/>
  <c r="AD57" i="13" s="1"/>
  <c r="T56" i="13"/>
  <c r="N56" i="13"/>
  <c r="M56" i="13"/>
  <c r="M55" i="13"/>
  <c r="T54" i="13"/>
  <c r="M54" i="13"/>
  <c r="AD53" i="13"/>
  <c r="R53" i="13"/>
  <c r="Z53" i="13" s="1"/>
  <c r="Q53" i="13"/>
  <c r="AA53" i="13" s="1"/>
  <c r="N53" i="13"/>
  <c r="M53" i="13"/>
  <c r="Z52" i="13"/>
  <c r="M52" i="13"/>
  <c r="Q52" i="13" s="1"/>
  <c r="AA52" i="13" s="1"/>
  <c r="AD52" i="13" s="1"/>
  <c r="Z51" i="13"/>
  <c r="N51" i="13"/>
  <c r="N116" i="13" s="1"/>
  <c r="M51" i="13"/>
  <c r="Q50" i="13"/>
  <c r="M50" i="13"/>
  <c r="S49" i="13"/>
  <c r="R49" i="13"/>
  <c r="Z49" i="13" s="1"/>
  <c r="M49" i="13"/>
  <c r="Q49" i="13" s="1"/>
  <c r="Z48" i="13"/>
  <c r="M48" i="13"/>
  <c r="Q48" i="13" s="1"/>
  <c r="AA48" i="13" s="1"/>
  <c r="AD48" i="13" s="1"/>
  <c r="Q47" i="13"/>
  <c r="AA47" i="13" s="1"/>
  <c r="AD47" i="13" s="1"/>
  <c r="M47" i="13"/>
  <c r="Z46" i="13"/>
  <c r="Q46" i="13"/>
  <c r="AA46" i="13" s="1"/>
  <c r="AD46" i="13" s="1"/>
  <c r="M46" i="13"/>
  <c r="V45" i="13"/>
  <c r="V116" i="13" s="1"/>
  <c r="M45" i="13"/>
  <c r="Q45" i="13" s="1"/>
  <c r="S44" i="13"/>
  <c r="R44" i="13"/>
  <c r="Q44" i="13"/>
  <c r="M44" i="13"/>
  <c r="R43" i="13"/>
  <c r="Z43" i="13" s="1"/>
  <c r="Q43" i="13"/>
  <c r="M43" i="13"/>
  <c r="S43" i="13" s="1"/>
  <c r="M42" i="13"/>
  <c r="Q42" i="13" s="1"/>
  <c r="M41" i="13"/>
  <c r="Q41" i="13" s="1"/>
  <c r="S40" i="13"/>
  <c r="R40" i="13"/>
  <c r="Z40" i="13" s="1"/>
  <c r="Q40" i="13"/>
  <c r="AA40" i="13" s="1"/>
  <c r="AD40" i="13" s="1"/>
  <c r="M40" i="13"/>
  <c r="Z39" i="13"/>
  <c r="S39" i="13"/>
  <c r="R39" i="13"/>
  <c r="M39" i="13"/>
  <c r="Q39" i="13" s="1"/>
  <c r="AA39" i="13" s="1"/>
  <c r="AD39" i="13" s="1"/>
  <c r="S38" i="13"/>
  <c r="Z38" i="13" s="1"/>
  <c r="Q38" i="13"/>
  <c r="AA38" i="13" s="1"/>
  <c r="AD38" i="13" s="1"/>
  <c r="M38" i="13"/>
  <c r="R38" i="13" s="1"/>
  <c r="S37" i="13"/>
  <c r="M37" i="13"/>
  <c r="Q37" i="13" s="1"/>
  <c r="AA36" i="13"/>
  <c r="AD36" i="13" s="1"/>
  <c r="S36" i="13"/>
  <c r="R36" i="13"/>
  <c r="Z36" i="13" s="1"/>
  <c r="Q36" i="13"/>
  <c r="M36" i="13"/>
  <c r="Z35" i="13"/>
  <c r="M35" i="13"/>
  <c r="Q35" i="13" s="1"/>
  <c r="AA35" i="13" s="1"/>
  <c r="AD35" i="13" s="1"/>
  <c r="S34" i="13"/>
  <c r="R34" i="13"/>
  <c r="Z34" i="13" s="1"/>
  <c r="AA34" i="13" s="1"/>
  <c r="AD34" i="13" s="1"/>
  <c r="Q34" i="13"/>
  <c r="M34" i="13"/>
  <c r="S33" i="13"/>
  <c r="R33" i="13"/>
  <c r="Z33" i="13" s="1"/>
  <c r="Q33" i="13"/>
  <c r="AA33" i="13" s="1"/>
  <c r="AD33" i="13" s="1"/>
  <c r="M33" i="13"/>
  <c r="S32" i="13"/>
  <c r="Z32" i="13" s="1"/>
  <c r="M32" i="13"/>
  <c r="R32" i="13" s="1"/>
  <c r="M31" i="13"/>
  <c r="Q31" i="13" s="1"/>
  <c r="Q30" i="13"/>
  <c r="M30" i="13"/>
  <c r="M29" i="13"/>
  <c r="S29" i="13" s="1"/>
  <c r="T28" i="13"/>
  <c r="Z28" i="13" s="1"/>
  <c r="AA28" i="13" s="1"/>
  <c r="AD28" i="13" s="1"/>
  <c r="M28" i="13"/>
  <c r="Q28" i="13" s="1"/>
  <c r="S27" i="13"/>
  <c r="R27" i="13"/>
  <c r="Z27" i="13" s="1"/>
  <c r="Q27" i="13"/>
  <c r="AA27" i="13" s="1"/>
  <c r="AD27" i="13" s="1"/>
  <c r="M27" i="13"/>
  <c r="M26" i="13"/>
  <c r="S26" i="13" s="1"/>
  <c r="S25" i="13"/>
  <c r="Z25" i="13" s="1"/>
  <c r="R25" i="13"/>
  <c r="Q25" i="13"/>
  <c r="M25" i="13"/>
  <c r="T24" i="13"/>
  <c r="T116" i="13" s="1"/>
  <c r="Q24" i="13"/>
  <c r="M24" i="13"/>
  <c r="Z23" i="13"/>
  <c r="Y23" i="13"/>
  <c r="M23" i="13"/>
  <c r="Q23" i="13" s="1"/>
  <c r="AA23" i="13" s="1"/>
  <c r="AD23" i="13" s="1"/>
  <c r="Z22" i="13"/>
  <c r="M22" i="13"/>
  <c r="Q22" i="13" s="1"/>
  <c r="AA22" i="13" s="1"/>
  <c r="AD22" i="13" s="1"/>
  <c r="S21" i="13"/>
  <c r="Q21" i="13"/>
  <c r="AA21" i="13" s="1"/>
  <c r="AD21" i="13" s="1"/>
  <c r="M21" i="13"/>
  <c r="R21" i="13" s="1"/>
  <c r="Z21" i="13" s="1"/>
  <c r="S20" i="13"/>
  <c r="Z20" i="13" s="1"/>
  <c r="R20" i="13"/>
  <c r="M20" i="13"/>
  <c r="Q20" i="13" s="1"/>
  <c r="AA19" i="13"/>
  <c r="AD19" i="13" s="1"/>
  <c r="S19" i="13"/>
  <c r="R19" i="13"/>
  <c r="Z19" i="13" s="1"/>
  <c r="Q19" i="13"/>
  <c r="M19" i="13"/>
  <c r="R18" i="13"/>
  <c r="Z18" i="13" s="1"/>
  <c r="M18" i="13"/>
  <c r="S18" i="13" s="1"/>
  <c r="M17" i="13"/>
  <c r="R17" i="13" s="1"/>
  <c r="S16" i="13"/>
  <c r="R16" i="13"/>
  <c r="Z16" i="13" s="1"/>
  <c r="M16" i="13"/>
  <c r="Q16" i="13" s="1"/>
  <c r="AA16" i="13" s="1"/>
  <c r="AD16" i="13" s="1"/>
  <c r="Z15" i="13"/>
  <c r="M15" i="13"/>
  <c r="Q15" i="13" s="1"/>
  <c r="AA15" i="13" s="1"/>
  <c r="AD15" i="13" s="1"/>
  <c r="S14" i="13"/>
  <c r="R14" i="13"/>
  <c r="Z14" i="13" s="1"/>
  <c r="M14" i="13"/>
  <c r="Q14" i="13" s="1"/>
  <c r="AA14" i="13" s="1"/>
  <c r="AD14" i="13" s="1"/>
  <c r="Z13" i="13"/>
  <c r="M13" i="13"/>
  <c r="Q13" i="13" s="1"/>
  <c r="AA13" i="13" s="1"/>
  <c r="AD13" i="13" s="1"/>
  <c r="M12" i="13"/>
  <c r="Q12" i="13" s="1"/>
  <c r="S11" i="13"/>
  <c r="R11" i="13"/>
  <c r="Z11" i="13" s="1"/>
  <c r="Q11" i="13"/>
  <c r="M11" i="13"/>
  <c r="Y10" i="13"/>
  <c r="Y116" i="13" s="1"/>
  <c r="Q10" i="13"/>
  <c r="S10" i="13" s="1"/>
  <c r="M10" i="13"/>
  <c r="M9" i="13"/>
  <c r="S9" i="13" s="1"/>
  <c r="M8" i="13"/>
  <c r="Q8" i="13" s="1"/>
  <c r="R7" i="13"/>
  <c r="Q7" i="13"/>
  <c r="M7" i="13"/>
  <c r="Z6" i="13"/>
  <c r="S6" i="13"/>
  <c r="R6" i="13"/>
  <c r="Q6" i="13"/>
  <c r="AA6" i="13" s="1"/>
  <c r="AD6" i="13" s="1"/>
  <c r="M6" i="13"/>
  <c r="Z5" i="13"/>
  <c r="S5" i="13"/>
  <c r="R5" i="13"/>
  <c r="M5" i="13"/>
  <c r="Q5" i="13" s="1"/>
  <c r="AA5" i="13" s="1"/>
  <c r="AD5" i="13" s="1"/>
  <c r="S4" i="13"/>
  <c r="R4" i="13"/>
  <c r="Z4" i="13" s="1"/>
  <c r="M4" i="13"/>
  <c r="R42" i="13" l="1"/>
  <c r="S42" i="13"/>
  <c r="S59" i="13"/>
  <c r="R59" i="13"/>
  <c r="S12" i="13"/>
  <c r="R12" i="13"/>
  <c r="AA11" i="13"/>
  <c r="AD11" i="13" s="1"/>
  <c r="AA43" i="13"/>
  <c r="AD43" i="13" s="1"/>
  <c r="R8" i="13"/>
  <c r="Z8" i="13" s="1"/>
  <c r="AA8" i="13"/>
  <c r="AD8" i="13" s="1"/>
  <c r="S8" i="13"/>
  <c r="AA25" i="13"/>
  <c r="AD25" i="13" s="1"/>
  <c r="R56" i="13"/>
  <c r="Q56" i="13"/>
  <c r="Q62" i="13"/>
  <c r="AA62" i="13" s="1"/>
  <c r="AD62" i="13" s="1"/>
  <c r="R62" i="13"/>
  <c r="Z62" i="13" s="1"/>
  <c r="S73" i="13"/>
  <c r="R73" i="13"/>
  <c r="Z73" i="13" s="1"/>
  <c r="AA73" i="13"/>
  <c r="AD73" i="13" s="1"/>
  <c r="M116" i="13"/>
  <c r="S7" i="13"/>
  <c r="S116" i="13" s="1"/>
  <c r="Q9" i="13"/>
  <c r="R10" i="13"/>
  <c r="Z10" i="13" s="1"/>
  <c r="AA10" i="13"/>
  <c r="AD10" i="13" s="1"/>
  <c r="Z24" i="13"/>
  <c r="AA24" i="13" s="1"/>
  <c r="AD24" i="13" s="1"/>
  <c r="R30" i="13"/>
  <c r="Z45" i="13"/>
  <c r="AA45" i="13" s="1"/>
  <c r="AD45" i="13" s="1"/>
  <c r="Q51" i="13"/>
  <c r="AA51" i="13" s="1"/>
  <c r="AD51" i="13" s="1"/>
  <c r="R54" i="13"/>
  <c r="Q54" i="13"/>
  <c r="R55" i="13"/>
  <c r="Z55" i="13" s="1"/>
  <c r="Q55" i="13"/>
  <c r="Q61" i="13"/>
  <c r="S61" i="13"/>
  <c r="Q89" i="13"/>
  <c r="AA89" i="13" s="1"/>
  <c r="AD89" i="13" s="1"/>
  <c r="R99" i="13"/>
  <c r="Z99" i="13" s="1"/>
  <c r="Q99" i="13"/>
  <c r="Q4" i="13"/>
  <c r="R9" i="13"/>
  <c r="Z9" i="13" s="1"/>
  <c r="Q17" i="13"/>
  <c r="AA20" i="13"/>
  <c r="AD20" i="13" s="1"/>
  <c r="Q26" i="13"/>
  <c r="AA26" i="13" s="1"/>
  <c r="AD26" i="13" s="1"/>
  <c r="Q29" i="13"/>
  <c r="AA29" i="13" s="1"/>
  <c r="AD29" i="13" s="1"/>
  <c r="S30" i="13"/>
  <c r="R31" i="13"/>
  <c r="AA37" i="13"/>
  <c r="AD37" i="13" s="1"/>
  <c r="R41" i="13"/>
  <c r="Z41" i="13" s="1"/>
  <c r="AA41" i="13" s="1"/>
  <c r="AD41" i="13" s="1"/>
  <c r="S54" i="13"/>
  <c r="S55" i="13"/>
  <c r="S56" i="13"/>
  <c r="R61" i="13"/>
  <c r="S62" i="13"/>
  <c r="R72" i="13"/>
  <c r="Z72" i="13" s="1"/>
  <c r="Q72" i="13"/>
  <c r="AA72" i="13" s="1"/>
  <c r="AD72" i="13" s="1"/>
  <c r="S72" i="13"/>
  <c r="S99" i="13"/>
  <c r="Q113" i="13"/>
  <c r="S113" i="13"/>
  <c r="R113" i="13"/>
  <c r="S17" i="13"/>
  <c r="Z17" i="13" s="1"/>
  <c r="Q18" i="13"/>
  <c r="AA18" i="13" s="1"/>
  <c r="AD18" i="13" s="1"/>
  <c r="R26" i="13"/>
  <c r="Z26" i="13" s="1"/>
  <c r="R29" i="13"/>
  <c r="Z29" i="13" s="1"/>
  <c r="S31" i="13"/>
  <c r="Q32" i="13"/>
  <c r="AA32" i="13" s="1"/>
  <c r="AD32" i="13" s="1"/>
  <c r="R37" i="13"/>
  <c r="Z37" i="13" s="1"/>
  <c r="S41" i="13"/>
  <c r="Z44" i="13"/>
  <c r="AA44" i="13" s="1"/>
  <c r="AD44" i="13" s="1"/>
  <c r="AA49" i="13"/>
  <c r="AD49" i="13" s="1"/>
  <c r="S50" i="13"/>
  <c r="R50" i="13"/>
  <c r="Z50" i="13" s="1"/>
  <c r="AA50" i="13" s="1"/>
  <c r="AD50" i="13" s="1"/>
  <c r="Z58" i="13"/>
  <c r="AA58" i="13" s="1"/>
  <c r="AD58" i="13" s="1"/>
  <c r="AA60" i="13"/>
  <c r="AD60" i="13" s="1"/>
  <c r="AA68" i="13"/>
  <c r="AD68" i="13" s="1"/>
  <c r="Q71" i="13"/>
  <c r="S71" i="13"/>
  <c r="R71" i="13"/>
  <c r="R82" i="13"/>
  <c r="Z82" i="13" s="1"/>
  <c r="Q82" i="13"/>
  <c r="AA82" i="13" s="1"/>
  <c r="AD82" i="13" s="1"/>
  <c r="Z102" i="13"/>
  <c r="Q115" i="13"/>
  <c r="S115" i="13"/>
  <c r="R115" i="13"/>
  <c r="Z115" i="13" s="1"/>
  <c r="R63" i="13"/>
  <c r="Z63" i="13" s="1"/>
  <c r="Q63" i="13"/>
  <c r="S79" i="13"/>
  <c r="R79" i="13"/>
  <c r="Z79" i="13" s="1"/>
  <c r="AA79" i="13" s="1"/>
  <c r="AD79" i="13" s="1"/>
  <c r="S92" i="13"/>
  <c r="R92" i="13"/>
  <c r="AA106" i="13"/>
  <c r="AD106" i="13" s="1"/>
  <c r="R107" i="13"/>
  <c r="Z107" i="13" s="1"/>
  <c r="Q107" i="13"/>
  <c r="R110" i="13"/>
  <c r="Q110" i="13"/>
  <c r="AA66" i="13"/>
  <c r="AD66" i="13" s="1"/>
  <c r="R75" i="13"/>
  <c r="Z75" i="13" s="1"/>
  <c r="Q75" i="13"/>
  <c r="R76" i="13"/>
  <c r="Z76" i="13" s="1"/>
  <c r="Q76" i="13"/>
  <c r="AA76" i="13" s="1"/>
  <c r="AD76" i="13" s="1"/>
  <c r="R78" i="13"/>
  <c r="Z78" i="13" s="1"/>
  <c r="Q78" i="13"/>
  <c r="R83" i="13"/>
  <c r="Z83" i="13" s="1"/>
  <c r="Q83" i="13"/>
  <c r="AA83" i="13" s="1"/>
  <c r="AD83" i="13" s="1"/>
  <c r="R84" i="13"/>
  <c r="Z84" i="13" s="1"/>
  <c r="Q84" i="13"/>
  <c r="S85" i="13"/>
  <c r="R85" i="13"/>
  <c r="Z85" i="13" s="1"/>
  <c r="AA85" i="13" s="1"/>
  <c r="AD85" i="13" s="1"/>
  <c r="S86" i="13"/>
  <c r="R86" i="13"/>
  <c r="R91" i="13"/>
  <c r="Z91" i="13" s="1"/>
  <c r="AA91" i="13"/>
  <c r="AD91" i="13" s="1"/>
  <c r="S95" i="13"/>
  <c r="R95" i="13"/>
  <c r="AA102" i="13"/>
  <c r="AD102" i="13" s="1"/>
  <c r="R103" i="13"/>
  <c r="Z103" i="13" s="1"/>
  <c r="Q103" i="13"/>
  <c r="Z106" i="13"/>
  <c r="S107" i="13"/>
  <c r="S110" i="13"/>
  <c r="Q116" i="13" l="1"/>
  <c r="AA4" i="13"/>
  <c r="Z7" i="13"/>
  <c r="Z95" i="13"/>
  <c r="AA95" i="13" s="1"/>
  <c r="AD95" i="13" s="1"/>
  <c r="Z86" i="13"/>
  <c r="AA86" i="13" s="1"/>
  <c r="AD86" i="13" s="1"/>
  <c r="AA84" i="13"/>
  <c r="AD84" i="13" s="1"/>
  <c r="AA78" i="13"/>
  <c r="AD78" i="13" s="1"/>
  <c r="AA75" i="13"/>
  <c r="AD75" i="13" s="1"/>
  <c r="Z110" i="13"/>
  <c r="AA110" i="13" s="1"/>
  <c r="AD110" i="13" s="1"/>
  <c r="Z92" i="13"/>
  <c r="AA92" i="13" s="1"/>
  <c r="AD92" i="13" s="1"/>
  <c r="AA63" i="13"/>
  <c r="AD63" i="13" s="1"/>
  <c r="AA115" i="13"/>
  <c r="AD115" i="13" s="1"/>
  <c r="R116" i="13"/>
  <c r="Z31" i="13"/>
  <c r="AA31" i="13" s="1"/>
  <c r="AD31" i="13" s="1"/>
  <c r="AA99" i="13"/>
  <c r="Z54" i="13"/>
  <c r="AA54" i="13" s="1"/>
  <c r="AD54" i="13" s="1"/>
  <c r="Z56" i="13"/>
  <c r="AA56" i="13" s="1"/>
  <c r="AD56" i="13" s="1"/>
  <c r="AA103" i="13"/>
  <c r="AD103" i="13" s="1"/>
  <c r="AA107" i="13"/>
  <c r="AD107" i="13" s="1"/>
  <c r="Z71" i="13"/>
  <c r="AA71" i="13" s="1"/>
  <c r="AD71" i="13" s="1"/>
  <c r="Z113" i="13"/>
  <c r="AA113" i="13" s="1"/>
  <c r="AD113" i="13" s="1"/>
  <c r="Z61" i="13"/>
  <c r="AA61" i="13" s="1"/>
  <c r="AD61" i="13" s="1"/>
  <c r="AA17" i="13"/>
  <c r="AD17" i="13" s="1"/>
  <c r="AA55" i="13"/>
  <c r="AD55" i="13" s="1"/>
  <c r="Z30" i="13"/>
  <c r="AA30" i="13" s="1"/>
  <c r="AD30" i="13" s="1"/>
  <c r="AA9" i="13"/>
  <c r="AD9" i="13" s="1"/>
  <c r="Z12" i="13"/>
  <c r="AA12" i="13" s="1"/>
  <c r="AD12" i="13" s="1"/>
  <c r="Z59" i="13"/>
  <c r="AA59" i="13" s="1"/>
  <c r="AD59" i="13" s="1"/>
  <c r="Z42" i="13"/>
  <c r="AA42" i="13" s="1"/>
  <c r="AD42" i="13" s="1"/>
  <c r="Z116" i="13" l="1"/>
  <c r="AA7" i="13"/>
  <c r="AD7" i="13" s="1"/>
  <c r="AD4" i="13"/>
  <c r="AD116" i="13" s="1"/>
  <c r="AA116" i="13"/>
  <c r="AC117" i="14" l="1"/>
  <c r="AB117" i="14"/>
  <c r="X117" i="14"/>
  <c r="W117" i="14"/>
  <c r="V117" i="14"/>
  <c r="U117" i="14"/>
  <c r="T117" i="14"/>
  <c r="K117" i="14"/>
  <c r="S116" i="14"/>
  <c r="R116" i="14"/>
  <c r="Z116" i="14" s="1"/>
  <c r="N116" i="14"/>
  <c r="M116" i="14"/>
  <c r="Q116" i="14" s="1"/>
  <c r="S115" i="14"/>
  <c r="R115" i="14"/>
  <c r="Z115" i="14" s="1"/>
  <c r="M115" i="14"/>
  <c r="Q115" i="14" s="1"/>
  <c r="Z114" i="14"/>
  <c r="M114" i="14"/>
  <c r="Q114" i="14" s="1"/>
  <c r="AA114" i="14" s="1"/>
  <c r="R113" i="14"/>
  <c r="Z113" i="14" s="1"/>
  <c r="Q113" i="14"/>
  <c r="AA113" i="14" s="1"/>
  <c r="AD113" i="14" s="1"/>
  <c r="N113" i="14"/>
  <c r="M113" i="14"/>
  <c r="S113" i="14" s="1"/>
  <c r="AA112" i="14"/>
  <c r="AD112" i="14" s="1"/>
  <c r="Z112" i="14"/>
  <c r="M112" i="14"/>
  <c r="Q112" i="14" s="1"/>
  <c r="S111" i="14"/>
  <c r="R111" i="14"/>
  <c r="M111" i="14"/>
  <c r="Q111" i="14" s="1"/>
  <c r="AA110" i="14"/>
  <c r="AD110" i="14" s="1"/>
  <c r="Z110" i="14"/>
  <c r="N110" i="14"/>
  <c r="M110" i="14"/>
  <c r="Q110" i="14" s="1"/>
  <c r="M109" i="14"/>
  <c r="Q109" i="14" s="1"/>
  <c r="AA108" i="14"/>
  <c r="AD108" i="14" s="1"/>
  <c r="S108" i="14"/>
  <c r="R108" i="14"/>
  <c r="Z108" i="14" s="1"/>
  <c r="Q108" i="14"/>
  <c r="M108" i="14"/>
  <c r="Z107" i="14"/>
  <c r="S107" i="14"/>
  <c r="R107" i="14"/>
  <c r="M107" i="14"/>
  <c r="Q107" i="14" s="1"/>
  <c r="AA107" i="14" s="1"/>
  <c r="AD107" i="14" s="1"/>
  <c r="S106" i="14"/>
  <c r="M106" i="14"/>
  <c r="S105" i="14"/>
  <c r="R105" i="14"/>
  <c r="Z105" i="14" s="1"/>
  <c r="M105" i="14"/>
  <c r="Q105" i="14" s="1"/>
  <c r="AA104" i="14"/>
  <c r="AD104" i="14" s="1"/>
  <c r="S104" i="14"/>
  <c r="R104" i="14"/>
  <c r="Z104" i="14" s="1"/>
  <c r="Q104" i="14"/>
  <c r="M104" i="14"/>
  <c r="M103" i="14"/>
  <c r="R102" i="14"/>
  <c r="M102" i="14"/>
  <c r="Q102" i="14" s="1"/>
  <c r="Z101" i="14"/>
  <c r="M101" i="14"/>
  <c r="Q101" i="14" s="1"/>
  <c r="AA101" i="14" s="1"/>
  <c r="AD101" i="14" s="1"/>
  <c r="S100" i="14"/>
  <c r="R100" i="14"/>
  <c r="M100" i="14"/>
  <c r="Q100" i="14" s="1"/>
  <c r="AA99" i="14"/>
  <c r="AD99" i="14" s="1"/>
  <c r="Z99" i="14"/>
  <c r="M99" i="14"/>
  <c r="Q99" i="14" s="1"/>
  <c r="S98" i="14"/>
  <c r="Z98" i="14" s="1"/>
  <c r="Q98" i="14"/>
  <c r="M98" i="14"/>
  <c r="Z97" i="14"/>
  <c r="S97" i="14"/>
  <c r="R97" i="14"/>
  <c r="O97" i="14"/>
  <c r="N97" i="14"/>
  <c r="M97" i="14"/>
  <c r="Z96" i="14"/>
  <c r="R96" i="14"/>
  <c r="N96" i="14"/>
  <c r="Q96" i="14" s="1"/>
  <c r="M96" i="14"/>
  <c r="S96" i="14" s="1"/>
  <c r="M95" i="14"/>
  <c r="AD94" i="14"/>
  <c r="S94" i="14"/>
  <c r="R94" i="14"/>
  <c r="Z94" i="14" s="1"/>
  <c r="M94" i="14"/>
  <c r="Q94" i="14" s="1"/>
  <c r="AA94" i="14" s="1"/>
  <c r="Z93" i="14"/>
  <c r="M93" i="14"/>
  <c r="Q93" i="14" s="1"/>
  <c r="AA93" i="14" s="1"/>
  <c r="AD93" i="14" s="1"/>
  <c r="AD92" i="14"/>
  <c r="S92" i="14"/>
  <c r="R92" i="14"/>
  <c r="Z92" i="14" s="1"/>
  <c r="M92" i="14"/>
  <c r="Q92" i="14" s="1"/>
  <c r="AA92" i="14" s="1"/>
  <c r="AD91" i="14"/>
  <c r="S91" i="14"/>
  <c r="R91" i="14"/>
  <c r="Z91" i="14" s="1"/>
  <c r="Q91" i="14"/>
  <c r="AA91" i="14" s="1"/>
  <c r="M91" i="14"/>
  <c r="Q90" i="14"/>
  <c r="M90" i="14"/>
  <c r="Z89" i="14"/>
  <c r="Q89" i="14"/>
  <c r="AA89" i="14" s="1"/>
  <c r="AD89" i="14" s="1"/>
  <c r="M89" i="14"/>
  <c r="Z88" i="14"/>
  <c r="M88" i="14"/>
  <c r="P88" i="14" s="1"/>
  <c r="Q88" i="14" s="1"/>
  <c r="AA88" i="14" s="1"/>
  <c r="AD88" i="14" s="1"/>
  <c r="AD87" i="14"/>
  <c r="S87" i="14"/>
  <c r="R87" i="14"/>
  <c r="Z87" i="14" s="1"/>
  <c r="M87" i="14"/>
  <c r="Q87" i="14" s="1"/>
  <c r="AA87" i="14" s="1"/>
  <c r="AD86" i="14"/>
  <c r="S86" i="14"/>
  <c r="R86" i="14"/>
  <c r="Z86" i="14" s="1"/>
  <c r="Q86" i="14"/>
  <c r="AA86" i="14" s="1"/>
  <c r="M86" i="14"/>
  <c r="M85" i="14"/>
  <c r="S85" i="14" s="1"/>
  <c r="M84" i="14"/>
  <c r="S83" i="14"/>
  <c r="R83" i="14"/>
  <c r="Z83" i="14" s="1"/>
  <c r="N83" i="14"/>
  <c r="M83" i="14"/>
  <c r="Q83" i="14" s="1"/>
  <c r="N82" i="14"/>
  <c r="M82" i="14"/>
  <c r="S81" i="14"/>
  <c r="R81" i="14"/>
  <c r="Z81" i="14" s="1"/>
  <c r="M81" i="14"/>
  <c r="Q81" i="14" s="1"/>
  <c r="S80" i="14"/>
  <c r="R80" i="14"/>
  <c r="Q80" i="14"/>
  <c r="M80" i="14"/>
  <c r="S79" i="14"/>
  <c r="R79" i="14"/>
  <c r="Z79" i="14" s="1"/>
  <c r="M79" i="14"/>
  <c r="Q79" i="14" s="1"/>
  <c r="M78" i="14"/>
  <c r="R78" i="14" s="1"/>
  <c r="M77" i="14"/>
  <c r="R76" i="14"/>
  <c r="N76" i="14"/>
  <c r="M76" i="14"/>
  <c r="Q76" i="14" s="1"/>
  <c r="R75" i="14"/>
  <c r="Q75" i="14"/>
  <c r="N75" i="14"/>
  <c r="M75" i="14"/>
  <c r="S75" i="14" s="1"/>
  <c r="AA74" i="14"/>
  <c r="AD74" i="14" s="1"/>
  <c r="Z74" i="14"/>
  <c r="M74" i="14"/>
  <c r="Q74" i="14" s="1"/>
  <c r="M73" i="14"/>
  <c r="Q73" i="14" s="1"/>
  <c r="S72" i="14"/>
  <c r="R72" i="14"/>
  <c r="Z72" i="14" s="1"/>
  <c r="AA72" i="14" s="1"/>
  <c r="AD72" i="14" s="1"/>
  <c r="Q72" i="14"/>
  <c r="M72" i="14"/>
  <c r="AA71" i="14"/>
  <c r="AD71" i="14" s="1"/>
  <c r="R71" i="14"/>
  <c r="Z71" i="14" s="1"/>
  <c r="N71" i="14"/>
  <c r="Q71" i="14" s="1"/>
  <c r="M71" i="14"/>
  <c r="S71" i="14" s="1"/>
  <c r="M70" i="14"/>
  <c r="S70" i="14" s="1"/>
  <c r="Z69" i="14"/>
  <c r="N69" i="14"/>
  <c r="M69" i="14"/>
  <c r="Q69" i="14" s="1"/>
  <c r="AA69" i="14" s="1"/>
  <c r="AD69" i="14" s="1"/>
  <c r="S68" i="14"/>
  <c r="R68" i="14"/>
  <c r="Z68" i="14" s="1"/>
  <c r="AA68" i="14" s="1"/>
  <c r="AD68" i="14" s="1"/>
  <c r="Q68" i="14"/>
  <c r="M68" i="14"/>
  <c r="AA67" i="14"/>
  <c r="AD67" i="14" s="1"/>
  <c r="Z67" i="14"/>
  <c r="M67" i="14"/>
  <c r="Q67" i="14" s="1"/>
  <c r="R66" i="14"/>
  <c r="Q66" i="14"/>
  <c r="N66" i="14"/>
  <c r="M66" i="14"/>
  <c r="S66" i="14" s="1"/>
  <c r="Z65" i="14"/>
  <c r="M65" i="14"/>
  <c r="Q65" i="14" s="1"/>
  <c r="AA65" i="14" s="1"/>
  <c r="AD65" i="14" s="1"/>
  <c r="M64" i="14"/>
  <c r="Q64" i="14" s="1"/>
  <c r="R64" i="14" s="1"/>
  <c r="M63" i="14"/>
  <c r="S62" i="14"/>
  <c r="Q62" i="14"/>
  <c r="N62" i="14"/>
  <c r="M62" i="14"/>
  <c r="R62" i="14" s="1"/>
  <c r="Z62" i="14" s="1"/>
  <c r="M61" i="14"/>
  <c r="R61" i="14" s="1"/>
  <c r="Z60" i="14"/>
  <c r="N60" i="14"/>
  <c r="Q60" i="14" s="1"/>
  <c r="AA60" i="14" s="1"/>
  <c r="AD60" i="14" s="1"/>
  <c r="M60" i="14"/>
  <c r="M59" i="14"/>
  <c r="Q59" i="14" s="1"/>
  <c r="Z58" i="14"/>
  <c r="S58" i="14"/>
  <c r="R58" i="14"/>
  <c r="M58" i="14"/>
  <c r="Q58" i="14" s="1"/>
  <c r="AA58" i="14" s="1"/>
  <c r="AD58" i="14" s="1"/>
  <c r="Z57" i="14"/>
  <c r="M57" i="14"/>
  <c r="Q57" i="14" s="1"/>
  <c r="AA57" i="14" s="1"/>
  <c r="AD57" i="14" s="1"/>
  <c r="S56" i="14"/>
  <c r="Q56" i="14"/>
  <c r="N56" i="14"/>
  <c r="M56" i="14"/>
  <c r="R56" i="14" s="1"/>
  <c r="M55" i="14"/>
  <c r="R54" i="14"/>
  <c r="M54" i="14"/>
  <c r="R53" i="14"/>
  <c r="Z53" i="14" s="1"/>
  <c r="Q53" i="14"/>
  <c r="AA53" i="14" s="1"/>
  <c r="AD53" i="14" s="1"/>
  <c r="N53" i="14"/>
  <c r="M53" i="14"/>
  <c r="AA52" i="14"/>
  <c r="AD52" i="14" s="1"/>
  <c r="Z52" i="14"/>
  <c r="M52" i="14"/>
  <c r="Q52" i="14" s="1"/>
  <c r="Z51" i="14"/>
  <c r="N51" i="14"/>
  <c r="N117" i="14" s="1"/>
  <c r="M51" i="14"/>
  <c r="S50" i="14"/>
  <c r="Z50" i="14" s="1"/>
  <c r="Q50" i="14"/>
  <c r="AA50" i="14" s="1"/>
  <c r="AD50" i="14" s="1"/>
  <c r="M50" i="14"/>
  <c r="R50" i="14" s="1"/>
  <c r="Q49" i="14"/>
  <c r="M49" i="14"/>
  <c r="Z48" i="14"/>
  <c r="Q48" i="14"/>
  <c r="AA48" i="14" s="1"/>
  <c r="AD48" i="14" s="1"/>
  <c r="M48" i="14"/>
  <c r="AA47" i="14"/>
  <c r="AD47" i="14" s="1"/>
  <c r="Q47" i="14"/>
  <c r="M47" i="14"/>
  <c r="AA46" i="14"/>
  <c r="AD46" i="14" s="1"/>
  <c r="Z46" i="14"/>
  <c r="M46" i="14"/>
  <c r="Q46" i="14" s="1"/>
  <c r="AA45" i="14"/>
  <c r="AD45" i="14" s="1"/>
  <c r="Z45" i="14"/>
  <c r="M45" i="14"/>
  <c r="Q45" i="14" s="1"/>
  <c r="S44" i="14"/>
  <c r="R44" i="14"/>
  <c r="M44" i="14"/>
  <c r="Q44" i="14" s="1"/>
  <c r="AA43" i="14"/>
  <c r="AD43" i="14" s="1"/>
  <c r="S43" i="14"/>
  <c r="R43" i="14"/>
  <c r="Z43" i="14" s="1"/>
  <c r="Q43" i="14"/>
  <c r="M43" i="14"/>
  <c r="M42" i="14"/>
  <c r="Q42" i="14" s="1"/>
  <c r="M41" i="14"/>
  <c r="S40" i="14"/>
  <c r="R40" i="14"/>
  <c r="M40" i="14"/>
  <c r="Q40" i="14" s="1"/>
  <c r="S39" i="14"/>
  <c r="R39" i="14"/>
  <c r="Z39" i="14" s="1"/>
  <c r="Q39" i="14"/>
  <c r="AA39" i="14" s="1"/>
  <c r="AD39" i="14" s="1"/>
  <c r="M39" i="14"/>
  <c r="Q38" i="14"/>
  <c r="M38" i="14"/>
  <c r="M37" i="14"/>
  <c r="S36" i="14"/>
  <c r="R36" i="14"/>
  <c r="Z36" i="14" s="1"/>
  <c r="M36" i="14"/>
  <c r="Q36" i="14" s="1"/>
  <c r="AA36" i="14" s="1"/>
  <c r="AD36" i="14" s="1"/>
  <c r="Z35" i="14"/>
  <c r="M35" i="14"/>
  <c r="Q35" i="14" s="1"/>
  <c r="AA35" i="14" s="1"/>
  <c r="AD35" i="14" s="1"/>
  <c r="S34" i="14"/>
  <c r="R34" i="14"/>
  <c r="Z34" i="14" s="1"/>
  <c r="M34" i="14"/>
  <c r="Q34" i="14" s="1"/>
  <c r="AA34" i="14" s="1"/>
  <c r="AD34" i="14" s="1"/>
  <c r="S33" i="14"/>
  <c r="R33" i="14"/>
  <c r="Z33" i="14" s="1"/>
  <c r="Q33" i="14"/>
  <c r="AA33" i="14" s="1"/>
  <c r="AD33" i="14" s="1"/>
  <c r="M33" i="14"/>
  <c r="Q32" i="14"/>
  <c r="M32" i="14"/>
  <c r="S31" i="14"/>
  <c r="M31" i="14"/>
  <c r="Q31" i="14" s="1"/>
  <c r="S30" i="14"/>
  <c r="R30" i="14"/>
  <c r="Z30" i="14" s="1"/>
  <c r="M30" i="14"/>
  <c r="Q30" i="14" s="1"/>
  <c r="AA29" i="14"/>
  <c r="AD29" i="14" s="1"/>
  <c r="S29" i="14"/>
  <c r="R29" i="14"/>
  <c r="Z29" i="14" s="1"/>
  <c r="Q29" i="14"/>
  <c r="M29" i="14"/>
  <c r="AA28" i="14"/>
  <c r="AD28" i="14" s="1"/>
  <c r="Z28" i="14"/>
  <c r="M28" i="14"/>
  <c r="Q28" i="14" s="1"/>
  <c r="AA27" i="14"/>
  <c r="AD27" i="14" s="1"/>
  <c r="S27" i="14"/>
  <c r="R27" i="14"/>
  <c r="Z27" i="14" s="1"/>
  <c r="Q27" i="14"/>
  <c r="M27" i="14"/>
  <c r="M26" i="14"/>
  <c r="Z25" i="14"/>
  <c r="S25" i="14"/>
  <c r="R25" i="14"/>
  <c r="M25" i="14"/>
  <c r="Q25" i="14" s="1"/>
  <c r="AA25" i="14" s="1"/>
  <c r="AD25" i="14" s="1"/>
  <c r="Z24" i="14"/>
  <c r="M24" i="14"/>
  <c r="Q24" i="14" s="1"/>
  <c r="AA24" i="14" s="1"/>
  <c r="AD24" i="14" s="1"/>
  <c r="Z23" i="14"/>
  <c r="Y23" i="14"/>
  <c r="M23" i="14"/>
  <c r="Q23" i="14" s="1"/>
  <c r="AA23" i="14" s="1"/>
  <c r="AD23" i="14" s="1"/>
  <c r="Z22" i="14"/>
  <c r="M22" i="14"/>
  <c r="Q22" i="14" s="1"/>
  <c r="AA22" i="14" s="1"/>
  <c r="AD22" i="14" s="1"/>
  <c r="S21" i="14"/>
  <c r="R21" i="14"/>
  <c r="M21" i="14"/>
  <c r="Q21" i="14" s="1"/>
  <c r="S20" i="14"/>
  <c r="R20" i="14"/>
  <c r="Z20" i="14" s="1"/>
  <c r="Q20" i="14"/>
  <c r="AA20" i="14" s="1"/>
  <c r="AD20" i="14" s="1"/>
  <c r="M20" i="14"/>
  <c r="Q19" i="14"/>
  <c r="M19" i="14"/>
  <c r="M18" i="14"/>
  <c r="S17" i="14"/>
  <c r="R17" i="14"/>
  <c r="Z17" i="14" s="1"/>
  <c r="M17" i="14"/>
  <c r="Q17" i="14" s="1"/>
  <c r="AA17" i="14" s="1"/>
  <c r="AD17" i="14" s="1"/>
  <c r="S16" i="14"/>
  <c r="R16" i="14"/>
  <c r="Z16" i="14" s="1"/>
  <c r="Q16" i="14"/>
  <c r="AA16" i="14" s="1"/>
  <c r="AD16" i="14" s="1"/>
  <c r="M16" i="14"/>
  <c r="Z15" i="14"/>
  <c r="AA15" i="14" s="1"/>
  <c r="AD15" i="14" s="1"/>
  <c r="M15" i="14"/>
  <c r="Q15" i="14" s="1"/>
  <c r="AA14" i="14"/>
  <c r="AD14" i="14" s="1"/>
  <c r="S14" i="14"/>
  <c r="R14" i="14"/>
  <c r="Z14" i="14" s="1"/>
  <c r="Q14" i="14"/>
  <c r="M14" i="14"/>
  <c r="AA13" i="14"/>
  <c r="AD13" i="14" s="1"/>
  <c r="Z13" i="14"/>
  <c r="M13" i="14"/>
  <c r="Q13" i="14" s="1"/>
  <c r="AA12" i="14"/>
  <c r="AD12" i="14" s="1"/>
  <c r="R12" i="14"/>
  <c r="Z12" i="14" s="1"/>
  <c r="Q12" i="14"/>
  <c r="S12" i="14" s="1"/>
  <c r="M12" i="14"/>
  <c r="Z11" i="14"/>
  <c r="S11" i="14"/>
  <c r="R11" i="14"/>
  <c r="Q11" i="14"/>
  <c r="AA11" i="14" s="1"/>
  <c r="AD11" i="14" s="1"/>
  <c r="M11" i="14"/>
  <c r="Y10" i="14"/>
  <c r="Y117" i="14" s="1"/>
  <c r="Q10" i="14"/>
  <c r="M10" i="14"/>
  <c r="M9" i="14"/>
  <c r="M8" i="14"/>
  <c r="Q8" i="14" s="1"/>
  <c r="Q7" i="14"/>
  <c r="S7" i="14" s="1"/>
  <c r="M7" i="14"/>
  <c r="Z6" i="14"/>
  <c r="S6" i="14"/>
  <c r="R6" i="14"/>
  <c r="M6" i="14"/>
  <c r="Q6" i="14" s="1"/>
  <c r="AA6" i="14" s="1"/>
  <c r="AD6" i="14" s="1"/>
  <c r="Z5" i="14"/>
  <c r="S5" i="14"/>
  <c r="R5" i="14"/>
  <c r="M5" i="14"/>
  <c r="Q5" i="14" s="1"/>
  <c r="S4" i="14"/>
  <c r="R4" i="14"/>
  <c r="M4" i="14"/>
  <c r="S42" i="14" l="1"/>
  <c r="R42" i="14"/>
  <c r="Z42" i="14" s="1"/>
  <c r="AA42" i="14"/>
  <c r="AD42" i="14" s="1"/>
  <c r="R9" i="14"/>
  <c r="Z9" i="14" s="1"/>
  <c r="Q9" i="14"/>
  <c r="R18" i="14"/>
  <c r="Q18" i="14"/>
  <c r="S26" i="14"/>
  <c r="R26" i="14"/>
  <c r="R37" i="14"/>
  <c r="Q37" i="14"/>
  <c r="Z54" i="14"/>
  <c r="R84" i="14"/>
  <c r="Q84" i="14"/>
  <c r="S84" i="14"/>
  <c r="AA5" i="14"/>
  <c r="AD5" i="14" s="1"/>
  <c r="S18" i="14"/>
  <c r="AA21" i="14"/>
  <c r="AD21" i="14" s="1"/>
  <c r="Q26" i="14"/>
  <c r="S37" i="14"/>
  <c r="R41" i="14"/>
  <c r="Z41" i="14" s="1"/>
  <c r="Q41" i="14"/>
  <c r="AA41" i="14" s="1"/>
  <c r="AD41" i="14" s="1"/>
  <c r="Z56" i="14"/>
  <c r="S59" i="14"/>
  <c r="R63" i="14"/>
  <c r="Z63" i="14" s="1"/>
  <c r="Q63" i="14"/>
  <c r="R73" i="14"/>
  <c r="S73" i="14"/>
  <c r="Q82" i="14"/>
  <c r="S82" i="14"/>
  <c r="R82" i="14"/>
  <c r="Z82" i="14" s="1"/>
  <c r="Z4" i="14"/>
  <c r="S8" i="14"/>
  <c r="S117" i="14" s="1"/>
  <c r="Z21" i="14"/>
  <c r="S32" i="14"/>
  <c r="R32" i="14"/>
  <c r="Z32" i="14" s="1"/>
  <c r="AA32" i="14" s="1"/>
  <c r="AD32" i="14" s="1"/>
  <c r="Z40" i="14"/>
  <c r="AA40" i="14" s="1"/>
  <c r="AD40" i="14" s="1"/>
  <c r="S41" i="14"/>
  <c r="Q51" i="14"/>
  <c r="AA51" i="14" s="1"/>
  <c r="AD51" i="14" s="1"/>
  <c r="R55" i="14"/>
  <c r="Z55" i="14" s="1"/>
  <c r="S55" i="14"/>
  <c r="Q55" i="14"/>
  <c r="R59" i="14"/>
  <c r="Z59" i="14" s="1"/>
  <c r="AA59" i="14" s="1"/>
  <c r="AD59" i="14" s="1"/>
  <c r="Q77" i="14"/>
  <c r="S77" i="14"/>
  <c r="R77" i="14"/>
  <c r="AA79" i="14"/>
  <c r="AD79" i="14" s="1"/>
  <c r="AA96" i="14"/>
  <c r="S10" i="14"/>
  <c r="R10" i="14"/>
  <c r="R7" i="14"/>
  <c r="Z7" i="14" s="1"/>
  <c r="AA7" i="14" s="1"/>
  <c r="AD7" i="14" s="1"/>
  <c r="R8" i="14"/>
  <c r="S9" i="14"/>
  <c r="S19" i="14"/>
  <c r="R19" i="14"/>
  <c r="AA30" i="14"/>
  <c r="AD30" i="14" s="1"/>
  <c r="R31" i="14"/>
  <c r="Z31" i="14" s="1"/>
  <c r="AA31" i="14"/>
  <c r="AD31" i="14" s="1"/>
  <c r="S38" i="14"/>
  <c r="R38" i="14"/>
  <c r="Z44" i="14"/>
  <c r="AA44" i="14" s="1"/>
  <c r="AD44" i="14" s="1"/>
  <c r="S49" i="14"/>
  <c r="R49" i="14"/>
  <c r="Q54" i="14"/>
  <c r="S54" i="14"/>
  <c r="AA56" i="14"/>
  <c r="AD56" i="14" s="1"/>
  <c r="AA62" i="14"/>
  <c r="AD62" i="14" s="1"/>
  <c r="S90" i="14"/>
  <c r="R90" i="14"/>
  <c r="Z90" i="14" s="1"/>
  <c r="AA90" i="14" s="1"/>
  <c r="AD90" i="14" s="1"/>
  <c r="O117" i="14"/>
  <c r="Q97" i="14"/>
  <c r="AA97" i="14" s="1"/>
  <c r="AD97" i="14" s="1"/>
  <c r="Z75" i="14"/>
  <c r="AA75" i="14" s="1"/>
  <c r="AD75" i="14" s="1"/>
  <c r="S76" i="14"/>
  <c r="Z76" i="14" s="1"/>
  <c r="AA76" i="14" s="1"/>
  <c r="AD76" i="14" s="1"/>
  <c r="R95" i="14"/>
  <c r="Q95" i="14"/>
  <c r="S103" i="14"/>
  <c r="R103" i="14"/>
  <c r="Q61" i="14"/>
  <c r="Z66" i="14"/>
  <c r="AA66" i="14" s="1"/>
  <c r="AD66" i="14" s="1"/>
  <c r="Q70" i="14"/>
  <c r="Q78" i="14"/>
  <c r="AA83" i="14"/>
  <c r="AD83" i="14" s="1"/>
  <c r="Q85" i="14"/>
  <c r="S95" i="14"/>
  <c r="AA100" i="14"/>
  <c r="Q103" i="14"/>
  <c r="P117" i="14"/>
  <c r="M117" i="14"/>
  <c r="Q4" i="14"/>
  <c r="S61" i="14"/>
  <c r="Z61" i="14" s="1"/>
  <c r="S64" i="14"/>
  <c r="Z64" i="14" s="1"/>
  <c r="AA64" i="14" s="1"/>
  <c r="AD64" i="14" s="1"/>
  <c r="R70" i="14"/>
  <c r="Z70" i="14" s="1"/>
  <c r="S78" i="14"/>
  <c r="Z78" i="14" s="1"/>
  <c r="Z80" i="14"/>
  <c r="AA80" i="14" s="1"/>
  <c r="AD80" i="14" s="1"/>
  <c r="AA81" i="14"/>
  <c r="AD81" i="14" s="1"/>
  <c r="R85" i="14"/>
  <c r="Z85" i="14" s="1"/>
  <c r="AA98" i="14"/>
  <c r="AD98" i="14" s="1"/>
  <c r="Z100" i="14"/>
  <c r="S102" i="14"/>
  <c r="Z102" i="14" s="1"/>
  <c r="AA102" i="14" s="1"/>
  <c r="AD102" i="14" s="1"/>
  <c r="AA105" i="14"/>
  <c r="AD105" i="14" s="1"/>
  <c r="R106" i="14"/>
  <c r="Z106" i="14" s="1"/>
  <c r="Q106" i="14"/>
  <c r="R109" i="14"/>
  <c r="Z109" i="14" s="1"/>
  <c r="AA109" i="14" s="1"/>
  <c r="AD109" i="14" s="1"/>
  <c r="Z111" i="14"/>
  <c r="AA111" i="14" s="1"/>
  <c r="AD111" i="14" s="1"/>
  <c r="AA115" i="14"/>
  <c r="AD115" i="14" s="1"/>
  <c r="AA116" i="14"/>
  <c r="AD116" i="14" s="1"/>
  <c r="AA70" i="14" l="1"/>
  <c r="AD70" i="14" s="1"/>
  <c r="AA85" i="14"/>
  <c r="AD85" i="14" s="1"/>
  <c r="Z73" i="14"/>
  <c r="AA73" i="14" s="1"/>
  <c r="AD73" i="14" s="1"/>
  <c r="AA37" i="14"/>
  <c r="AD37" i="14" s="1"/>
  <c r="AA18" i="14"/>
  <c r="AD18" i="14" s="1"/>
  <c r="AA106" i="14"/>
  <c r="AD106" i="14" s="1"/>
  <c r="AA61" i="14"/>
  <c r="AD61" i="14" s="1"/>
  <c r="Z95" i="14"/>
  <c r="AA95" i="14" s="1"/>
  <c r="AA54" i="14"/>
  <c r="AD54" i="14" s="1"/>
  <c r="Z38" i="14"/>
  <c r="AA38" i="14" s="1"/>
  <c r="AD38" i="14" s="1"/>
  <c r="Z10" i="14"/>
  <c r="AA10" i="14" s="1"/>
  <c r="AD10" i="14" s="1"/>
  <c r="Z77" i="14"/>
  <c r="AA77" i="14" s="1"/>
  <c r="AD77" i="14" s="1"/>
  <c r="AA55" i="14"/>
  <c r="AD55" i="14" s="1"/>
  <c r="AA82" i="14"/>
  <c r="AD82" i="14" s="1"/>
  <c r="Z84" i="14"/>
  <c r="AA84" i="14" s="1"/>
  <c r="AD84" i="14" s="1"/>
  <c r="Z37" i="14"/>
  <c r="Z18" i="14"/>
  <c r="Q117" i="14"/>
  <c r="AA4" i="14"/>
  <c r="AA78" i="14"/>
  <c r="AD78" i="14" s="1"/>
  <c r="Z103" i="14"/>
  <c r="AA103" i="14" s="1"/>
  <c r="AD103" i="14" s="1"/>
  <c r="Z49" i="14"/>
  <c r="AA49" i="14" s="1"/>
  <c r="AD49" i="14" s="1"/>
  <c r="Z19" i="14"/>
  <c r="AA19" i="14" s="1"/>
  <c r="AD19" i="14" s="1"/>
  <c r="Z8" i="14"/>
  <c r="AA8" i="14" s="1"/>
  <c r="AD8" i="14" s="1"/>
  <c r="R117" i="14"/>
  <c r="AA63" i="14"/>
  <c r="AD63" i="14" s="1"/>
  <c r="Z26" i="14"/>
  <c r="AA26" i="14" s="1"/>
  <c r="AD26" i="14" s="1"/>
  <c r="AA9" i="14"/>
  <c r="AD9" i="14" s="1"/>
  <c r="Z117" i="14" l="1"/>
  <c r="AA117" i="14"/>
  <c r="AD4" i="14"/>
  <c r="AD117" i="14" s="1"/>
  <c r="C204" i="12" l="1"/>
  <c r="C184" i="12"/>
  <c r="C177" i="12"/>
  <c r="C179" i="12" s="1"/>
  <c r="M138" i="12"/>
  <c r="L138" i="12"/>
  <c r="X112" i="12"/>
  <c r="W112" i="12"/>
  <c r="S112" i="12"/>
  <c r="R112" i="12"/>
  <c r="Q112" i="12"/>
  <c r="P112" i="12"/>
  <c r="O112" i="12"/>
  <c r="J112" i="12"/>
  <c r="E112" i="12"/>
  <c r="H111" i="12"/>
  <c r="G111" i="12"/>
  <c r="N111" i="12" s="1"/>
  <c r="U110" i="12"/>
  <c r="G110" i="12"/>
  <c r="L110" i="12" s="1"/>
  <c r="V110" i="12" s="1"/>
  <c r="Y110" i="12" s="1"/>
  <c r="G109" i="12"/>
  <c r="M108" i="12"/>
  <c r="U108" i="12" s="1"/>
  <c r="G108" i="12"/>
  <c r="L108" i="12" s="1"/>
  <c r="U107" i="12"/>
  <c r="G107" i="12"/>
  <c r="L107" i="12" s="1"/>
  <c r="V107" i="12" s="1"/>
  <c r="Y107" i="12" s="1"/>
  <c r="N106" i="12"/>
  <c r="M106" i="12"/>
  <c r="U106" i="12" s="1"/>
  <c r="G106" i="12"/>
  <c r="K106" i="12" s="1"/>
  <c r="L106" i="12" s="1"/>
  <c r="V106" i="12" s="1"/>
  <c r="Y106" i="12" s="1"/>
  <c r="G105" i="12"/>
  <c r="L105" i="12" s="1"/>
  <c r="K104" i="12"/>
  <c r="L104" i="12" s="1"/>
  <c r="M104" i="12" s="1"/>
  <c r="U104" i="12" s="1"/>
  <c r="G104" i="12"/>
  <c r="N103" i="12"/>
  <c r="M103" i="12"/>
  <c r="G103" i="12"/>
  <c r="K103" i="12" s="1"/>
  <c r="L103" i="12" s="1"/>
  <c r="N102" i="12"/>
  <c r="M102" i="12"/>
  <c r="G102" i="12"/>
  <c r="K102" i="12" s="1"/>
  <c r="L102" i="12" s="1"/>
  <c r="K101" i="12"/>
  <c r="L101" i="12" s="1"/>
  <c r="G101" i="12"/>
  <c r="G100" i="12"/>
  <c r="N100" i="12" s="1"/>
  <c r="N99" i="12"/>
  <c r="M99" i="12"/>
  <c r="U99" i="12" s="1"/>
  <c r="G99" i="12"/>
  <c r="K99" i="12" s="1"/>
  <c r="L99" i="12" s="1"/>
  <c r="N98" i="12"/>
  <c r="M98" i="12"/>
  <c r="U98" i="12" s="1"/>
  <c r="G98" i="12"/>
  <c r="K98" i="12" s="1"/>
  <c r="L98" i="12" s="1"/>
  <c r="U97" i="12"/>
  <c r="G97" i="12"/>
  <c r="L97" i="12" s="1"/>
  <c r="U96" i="12"/>
  <c r="G96" i="12"/>
  <c r="K96" i="12" s="1"/>
  <c r="L96" i="12" s="1"/>
  <c r="N95" i="12"/>
  <c r="M95" i="12"/>
  <c r="G95" i="12"/>
  <c r="K95" i="12" s="1"/>
  <c r="L95" i="12" s="1"/>
  <c r="U94" i="12"/>
  <c r="G94" i="12"/>
  <c r="K94" i="12" s="1"/>
  <c r="N93" i="12"/>
  <c r="U93" i="12" s="1"/>
  <c r="K93" i="12"/>
  <c r="L93" i="12" s="1"/>
  <c r="V93" i="12" s="1"/>
  <c r="Y93" i="12" s="1"/>
  <c r="G93" i="12"/>
  <c r="K92" i="12"/>
  <c r="L92" i="12" s="1"/>
  <c r="G92" i="12"/>
  <c r="N92" i="12" s="1"/>
  <c r="N91" i="12"/>
  <c r="M91" i="12"/>
  <c r="U91" i="12" s="1"/>
  <c r="G91" i="12"/>
  <c r="K91" i="12" s="1"/>
  <c r="L91" i="12" s="1"/>
  <c r="U90" i="12"/>
  <c r="G90" i="12"/>
  <c r="K90" i="12" s="1"/>
  <c r="L90" i="12" s="1"/>
  <c r="V90" i="12" s="1"/>
  <c r="Y90" i="12" s="1"/>
  <c r="G89" i="12"/>
  <c r="N89" i="12" s="1"/>
  <c r="K88" i="12"/>
  <c r="L88" i="12" s="1"/>
  <c r="G88" i="12"/>
  <c r="N88" i="12" s="1"/>
  <c r="K87" i="12"/>
  <c r="L87" i="12" s="1"/>
  <c r="G87" i="12"/>
  <c r="M86" i="12"/>
  <c r="U86" i="12" s="1"/>
  <c r="G86" i="12"/>
  <c r="N86" i="12" s="1"/>
  <c r="N85" i="12"/>
  <c r="M85" i="12"/>
  <c r="G85" i="12"/>
  <c r="K85" i="12" s="1"/>
  <c r="L85" i="12" s="1"/>
  <c r="U84" i="12"/>
  <c r="L84" i="12"/>
  <c r="N83" i="12"/>
  <c r="M83" i="12"/>
  <c r="U83" i="12" s="1"/>
  <c r="G83" i="12"/>
  <c r="K83" i="12" s="1"/>
  <c r="L83" i="12" s="1"/>
  <c r="N82" i="12"/>
  <c r="M82" i="12"/>
  <c r="K82" i="12"/>
  <c r="L82" i="12" s="1"/>
  <c r="G82" i="12"/>
  <c r="U81" i="12"/>
  <c r="H81" i="12"/>
  <c r="G81" i="12"/>
  <c r="N80" i="12"/>
  <c r="M80" i="12"/>
  <c r="G80" i="12"/>
  <c r="K80" i="12" s="1"/>
  <c r="L80" i="12" s="1"/>
  <c r="V80" i="12" s="1"/>
  <c r="Y80" i="12" s="1"/>
  <c r="K79" i="12"/>
  <c r="L79" i="12" s="1"/>
  <c r="G79" i="12"/>
  <c r="N79" i="12" s="1"/>
  <c r="G78" i="12"/>
  <c r="N78" i="12" s="1"/>
  <c r="N77" i="12"/>
  <c r="M77" i="12"/>
  <c r="G77" i="12"/>
  <c r="K77" i="12" s="1"/>
  <c r="L77" i="12" s="1"/>
  <c r="N76" i="12"/>
  <c r="M76" i="12"/>
  <c r="U76" i="12" s="1"/>
  <c r="G76" i="12"/>
  <c r="K76" i="12" s="1"/>
  <c r="L76" i="12" s="1"/>
  <c r="G75" i="12"/>
  <c r="N74" i="12"/>
  <c r="M74" i="12"/>
  <c r="U74" i="12" s="1"/>
  <c r="G74" i="12"/>
  <c r="L74" i="12" s="1"/>
  <c r="M73" i="12"/>
  <c r="G73" i="12"/>
  <c r="L73" i="12" s="1"/>
  <c r="AB72" i="12"/>
  <c r="H72" i="12"/>
  <c r="L72" i="12" s="1"/>
  <c r="G72" i="12"/>
  <c r="N72" i="12" s="1"/>
  <c r="AB71" i="12"/>
  <c r="M71" i="12"/>
  <c r="H71" i="12"/>
  <c r="G71" i="12"/>
  <c r="U70" i="12"/>
  <c r="G70" i="12"/>
  <c r="L70" i="12" s="1"/>
  <c r="V70" i="12" s="1"/>
  <c r="Y70" i="12" s="1"/>
  <c r="AB69" i="12"/>
  <c r="N69" i="12"/>
  <c r="M69" i="12"/>
  <c r="U69" i="12" s="1"/>
  <c r="G69" i="12"/>
  <c r="K69" i="12" s="1"/>
  <c r="L69" i="12" s="1"/>
  <c r="N68" i="12"/>
  <c r="U68" i="12" s="1"/>
  <c r="M68" i="12"/>
  <c r="G68" i="12"/>
  <c r="K68" i="12" s="1"/>
  <c r="L68" i="12" s="1"/>
  <c r="K67" i="12"/>
  <c r="L67" i="12" s="1"/>
  <c r="H67" i="12"/>
  <c r="G67" i="12"/>
  <c r="N67" i="12" s="1"/>
  <c r="N66" i="12"/>
  <c r="M66" i="12"/>
  <c r="U66" i="12" s="1"/>
  <c r="G66" i="12"/>
  <c r="K66" i="12" s="1"/>
  <c r="L66" i="12" s="1"/>
  <c r="N65" i="12"/>
  <c r="M65" i="12"/>
  <c r="L65" i="12"/>
  <c r="G65" i="12"/>
  <c r="H64" i="12"/>
  <c r="G64" i="12"/>
  <c r="N64" i="12" s="1"/>
  <c r="M63" i="12"/>
  <c r="G63" i="12"/>
  <c r="G62" i="12"/>
  <c r="L62" i="12" s="1"/>
  <c r="G61" i="12"/>
  <c r="L61" i="12" s="1"/>
  <c r="N60" i="12"/>
  <c r="M60" i="12"/>
  <c r="G60" i="12"/>
  <c r="L60" i="12" s="1"/>
  <c r="N59" i="12"/>
  <c r="M59" i="12"/>
  <c r="G59" i="12"/>
  <c r="K59" i="12" s="1"/>
  <c r="L59" i="12" s="1"/>
  <c r="V59" i="12" s="1"/>
  <c r="Y59" i="12" s="1"/>
  <c r="N58" i="12"/>
  <c r="M58" i="12"/>
  <c r="G58" i="12"/>
  <c r="K58" i="12" s="1"/>
  <c r="L58" i="12" s="1"/>
  <c r="G57" i="12"/>
  <c r="N57" i="12" s="1"/>
  <c r="N56" i="12"/>
  <c r="M56" i="12"/>
  <c r="G56" i="12"/>
  <c r="L56" i="12" s="1"/>
  <c r="G55" i="12"/>
  <c r="M55" i="12" s="1"/>
  <c r="U54" i="12"/>
  <c r="G54" i="12"/>
  <c r="L54" i="12" s="1"/>
  <c r="V54" i="12" s="1"/>
  <c r="Y54" i="12" s="1"/>
  <c r="N53" i="12"/>
  <c r="M53" i="12"/>
  <c r="G53" i="12"/>
  <c r="K53" i="12" s="1"/>
  <c r="L53" i="12" s="1"/>
  <c r="N52" i="12"/>
  <c r="M52" i="12"/>
  <c r="G52" i="12"/>
  <c r="K52" i="12" s="1"/>
  <c r="L52" i="12" s="1"/>
  <c r="N51" i="12"/>
  <c r="M51" i="12"/>
  <c r="G51" i="12"/>
  <c r="L51" i="12" s="1"/>
  <c r="N50" i="12"/>
  <c r="M50" i="12"/>
  <c r="G50" i="12"/>
  <c r="L50" i="12" s="1"/>
  <c r="T49" i="12"/>
  <c r="U49" i="12" s="1"/>
  <c r="G49" i="12"/>
  <c r="K49" i="12" s="1"/>
  <c r="L49" i="12" s="1"/>
  <c r="G48" i="12"/>
  <c r="L48" i="12" s="1"/>
  <c r="V48" i="12" s="1"/>
  <c r="Y48" i="12" s="1"/>
  <c r="U47" i="12"/>
  <c r="G47" i="12"/>
  <c r="L47" i="12" s="1"/>
  <c r="G46" i="12"/>
  <c r="M45" i="12"/>
  <c r="G45" i="12"/>
  <c r="L45" i="12" s="1"/>
  <c r="G44" i="12"/>
  <c r="G43" i="12"/>
  <c r="M43" i="12" s="1"/>
  <c r="U42" i="12"/>
  <c r="N42" i="12"/>
  <c r="M42" i="12"/>
  <c r="G42" i="12"/>
  <c r="L42" i="12" s="1"/>
  <c r="N41" i="12"/>
  <c r="U41" i="12" s="1"/>
  <c r="M41" i="12"/>
  <c r="G41" i="12"/>
  <c r="L41" i="12" s="1"/>
  <c r="M40" i="12"/>
  <c r="G40" i="12"/>
  <c r="L40" i="12" s="1"/>
  <c r="U39" i="12"/>
  <c r="G39" i="12"/>
  <c r="L39" i="12" s="1"/>
  <c r="V39" i="12" s="1"/>
  <c r="Y39" i="12" s="1"/>
  <c r="G38" i="12"/>
  <c r="L38" i="12" s="1"/>
  <c r="N37" i="12"/>
  <c r="M37" i="12"/>
  <c r="G37" i="12"/>
  <c r="L37" i="12" s="1"/>
  <c r="N36" i="12"/>
  <c r="U36" i="12" s="1"/>
  <c r="M36" i="12"/>
  <c r="G36" i="12"/>
  <c r="L36" i="12" s="1"/>
  <c r="G35" i="12"/>
  <c r="G34" i="12"/>
  <c r="L34" i="12" s="1"/>
  <c r="G33" i="12"/>
  <c r="N32" i="12"/>
  <c r="M32" i="12"/>
  <c r="U32" i="12" s="1"/>
  <c r="G32" i="12"/>
  <c r="L32" i="12" s="1"/>
  <c r="G31" i="12"/>
  <c r="K31" i="12" s="1"/>
  <c r="L31" i="12" s="1"/>
  <c r="N30" i="12"/>
  <c r="M30" i="12"/>
  <c r="G30" i="12"/>
  <c r="L30" i="12" s="1"/>
  <c r="U29" i="12"/>
  <c r="G29" i="12"/>
  <c r="L29" i="12" s="1"/>
  <c r="V29" i="12" s="1"/>
  <c r="Y29" i="12" s="1"/>
  <c r="N28" i="12"/>
  <c r="M28" i="12"/>
  <c r="G28" i="12"/>
  <c r="K28" i="12" s="1"/>
  <c r="L28" i="12" s="1"/>
  <c r="G27" i="12"/>
  <c r="K27" i="12" s="1"/>
  <c r="L27" i="12" s="1"/>
  <c r="L26" i="12"/>
  <c r="G26" i="12"/>
  <c r="M26" i="12" s="1"/>
  <c r="N25" i="12"/>
  <c r="M25" i="12"/>
  <c r="G25" i="12"/>
  <c r="L25" i="12" s="1"/>
  <c r="U24" i="12"/>
  <c r="G24" i="12"/>
  <c r="L24" i="12" s="1"/>
  <c r="V24" i="12" s="1"/>
  <c r="Y24" i="12" s="1"/>
  <c r="T23" i="12"/>
  <c r="U23" i="12" s="1"/>
  <c r="G23" i="12"/>
  <c r="L23" i="12" s="1"/>
  <c r="V23" i="12" s="1"/>
  <c r="Y23" i="12" s="1"/>
  <c r="G22" i="12"/>
  <c r="N22" i="12" s="1"/>
  <c r="G21" i="12"/>
  <c r="M21" i="12" s="1"/>
  <c r="N20" i="12"/>
  <c r="U20" i="12" s="1"/>
  <c r="G20" i="12"/>
  <c r="L20" i="12" s="1"/>
  <c r="V20" i="12" s="1"/>
  <c r="Y20" i="12" s="1"/>
  <c r="N19" i="12"/>
  <c r="M19" i="12"/>
  <c r="G19" i="12"/>
  <c r="L19" i="12" s="1"/>
  <c r="N18" i="12"/>
  <c r="G18" i="12"/>
  <c r="M18" i="12" s="1"/>
  <c r="N17" i="12"/>
  <c r="M17" i="12"/>
  <c r="G17" i="12"/>
  <c r="L17" i="12" s="1"/>
  <c r="U16" i="12"/>
  <c r="G16" i="12"/>
  <c r="K16" i="12" s="1"/>
  <c r="L16" i="12" s="1"/>
  <c r="V16" i="12" s="1"/>
  <c r="Y16" i="12" s="1"/>
  <c r="N15" i="12"/>
  <c r="M15" i="12"/>
  <c r="G15" i="12"/>
  <c r="K15" i="12" s="1"/>
  <c r="U14" i="12"/>
  <c r="G14" i="12"/>
  <c r="L14" i="12" s="1"/>
  <c r="V14" i="12" s="1"/>
  <c r="Y14" i="12" s="1"/>
  <c r="G13" i="12"/>
  <c r="N13" i="12" s="1"/>
  <c r="N12" i="12"/>
  <c r="M12" i="12"/>
  <c r="L12" i="12"/>
  <c r="G12" i="12"/>
  <c r="N11" i="12"/>
  <c r="M11" i="12"/>
  <c r="G11" i="12"/>
  <c r="L11" i="12" s="1"/>
  <c r="T10" i="12"/>
  <c r="G10" i="12"/>
  <c r="L10" i="12" s="1"/>
  <c r="N9" i="12"/>
  <c r="M9" i="12"/>
  <c r="U9" i="12" s="1"/>
  <c r="G9" i="12"/>
  <c r="L9" i="12" s="1"/>
  <c r="G8" i="12"/>
  <c r="L8" i="12" s="1"/>
  <c r="G7" i="12"/>
  <c r="L7" i="12" s="1"/>
  <c r="N6" i="12"/>
  <c r="M6" i="12"/>
  <c r="G6" i="12"/>
  <c r="L6" i="12" s="1"/>
  <c r="N5" i="12"/>
  <c r="M5" i="12"/>
  <c r="G5" i="12"/>
  <c r="L5" i="12" s="1"/>
  <c r="N4" i="12"/>
  <c r="M4" i="12"/>
  <c r="G4" i="12"/>
  <c r="C203" i="11"/>
  <c r="C183" i="11"/>
  <c r="C176" i="11"/>
  <c r="C178" i="11" s="1"/>
  <c r="M137" i="11"/>
  <c r="L137" i="11"/>
  <c r="X111" i="11"/>
  <c r="W111" i="11"/>
  <c r="S111" i="11"/>
  <c r="R111" i="11"/>
  <c r="Q111" i="11"/>
  <c r="P111" i="11"/>
  <c r="O111" i="11"/>
  <c r="J111" i="11"/>
  <c r="E111" i="11"/>
  <c r="H110" i="11"/>
  <c r="G110" i="11"/>
  <c r="N110" i="11" s="1"/>
  <c r="V109" i="11"/>
  <c r="Y109" i="11" s="1"/>
  <c r="U109" i="11"/>
  <c r="G109" i="11"/>
  <c r="L109" i="11" s="1"/>
  <c r="G108" i="11"/>
  <c r="M107" i="11"/>
  <c r="U107" i="11" s="1"/>
  <c r="G107" i="11"/>
  <c r="L107" i="11" s="1"/>
  <c r="U106" i="11"/>
  <c r="G106" i="11"/>
  <c r="L106" i="11" s="1"/>
  <c r="V106" i="11" s="1"/>
  <c r="Y106" i="11" s="1"/>
  <c r="N105" i="11"/>
  <c r="M105" i="11"/>
  <c r="G105" i="11"/>
  <c r="L105" i="11" s="1"/>
  <c r="G104" i="11"/>
  <c r="G103" i="11"/>
  <c r="L103" i="11" s="1"/>
  <c r="G102" i="11"/>
  <c r="N101" i="11"/>
  <c r="M101" i="11"/>
  <c r="G101" i="11"/>
  <c r="L101" i="11" s="1"/>
  <c r="G100" i="11"/>
  <c r="L100" i="11" s="1"/>
  <c r="N100" i="11" s="1"/>
  <c r="G99" i="11"/>
  <c r="N98" i="11"/>
  <c r="M98" i="11"/>
  <c r="U98" i="11" s="1"/>
  <c r="G98" i="11"/>
  <c r="L98" i="11" s="1"/>
  <c r="G97" i="11"/>
  <c r="L97" i="11" s="1"/>
  <c r="U96" i="11"/>
  <c r="G96" i="11"/>
  <c r="L96" i="11" s="1"/>
  <c r="V96" i="11" s="1"/>
  <c r="Y96" i="11" s="1"/>
  <c r="U95" i="11"/>
  <c r="G95" i="11"/>
  <c r="L95" i="11" s="1"/>
  <c r="M94" i="11"/>
  <c r="U94" i="11" s="1"/>
  <c r="G94" i="11"/>
  <c r="N94" i="11" s="1"/>
  <c r="U93" i="11"/>
  <c r="G93" i="11"/>
  <c r="L93" i="11" s="1"/>
  <c r="N92" i="11"/>
  <c r="U92" i="11" s="1"/>
  <c r="G92" i="11"/>
  <c r="L92" i="11" s="1"/>
  <c r="G91" i="11"/>
  <c r="L91" i="11" s="1"/>
  <c r="H90" i="11"/>
  <c r="G90" i="11"/>
  <c r="U89" i="11"/>
  <c r="G89" i="11"/>
  <c r="L89" i="11" s="1"/>
  <c r="V89" i="11" s="1"/>
  <c r="Y89" i="11" s="1"/>
  <c r="G88" i="11"/>
  <c r="G87" i="11"/>
  <c r="M87" i="11" s="1"/>
  <c r="G86" i="11"/>
  <c r="L86" i="11" s="1"/>
  <c r="G85" i="11"/>
  <c r="N84" i="11"/>
  <c r="M84" i="11"/>
  <c r="U84" i="11" s="1"/>
  <c r="G84" i="11"/>
  <c r="L84" i="11" s="1"/>
  <c r="G83" i="11"/>
  <c r="N83" i="11" s="1"/>
  <c r="N82" i="11"/>
  <c r="M82" i="11"/>
  <c r="U82" i="11" s="1"/>
  <c r="G82" i="11"/>
  <c r="L82" i="11" s="1"/>
  <c r="V82" i="11" s="1"/>
  <c r="Y82" i="11" s="1"/>
  <c r="G81" i="11"/>
  <c r="M81" i="11" s="1"/>
  <c r="U80" i="11"/>
  <c r="H80" i="11"/>
  <c r="G80" i="11"/>
  <c r="H79" i="11"/>
  <c r="G79" i="11"/>
  <c r="N79" i="11" s="1"/>
  <c r="G78" i="11"/>
  <c r="N78" i="11" s="1"/>
  <c r="G77" i="11"/>
  <c r="N77" i="11" s="1"/>
  <c r="N76" i="11"/>
  <c r="U76" i="11" s="1"/>
  <c r="M76" i="11"/>
  <c r="G76" i="11"/>
  <c r="L76" i="11" s="1"/>
  <c r="N75" i="11"/>
  <c r="M75" i="11"/>
  <c r="I75" i="11"/>
  <c r="G75" i="11"/>
  <c r="L75" i="11" s="1"/>
  <c r="G74" i="11"/>
  <c r="N73" i="11"/>
  <c r="M73" i="11"/>
  <c r="I73" i="11"/>
  <c r="G73" i="11" s="1"/>
  <c r="L73" i="11" s="1"/>
  <c r="M72" i="11"/>
  <c r="G72" i="11"/>
  <c r="L72" i="11" s="1"/>
  <c r="AB71" i="11"/>
  <c r="H71" i="11"/>
  <c r="G71" i="11"/>
  <c r="N71" i="11" s="1"/>
  <c r="AB70" i="11"/>
  <c r="H70" i="11"/>
  <c r="G70" i="11"/>
  <c r="N70" i="11" s="1"/>
  <c r="U69" i="11"/>
  <c r="G69" i="11"/>
  <c r="L69" i="11" s="1"/>
  <c r="AB68" i="11"/>
  <c r="G68" i="11"/>
  <c r="N68" i="11" s="1"/>
  <c r="N67" i="11"/>
  <c r="M67" i="11"/>
  <c r="L67" i="11"/>
  <c r="H66" i="11"/>
  <c r="G66" i="11"/>
  <c r="N66" i="11" s="1"/>
  <c r="N65" i="11"/>
  <c r="M65" i="11"/>
  <c r="U65" i="11" s="1"/>
  <c r="G65" i="11"/>
  <c r="L65" i="11" s="1"/>
  <c r="V65" i="11" s="1"/>
  <c r="Y65" i="11" s="1"/>
  <c r="N64" i="11"/>
  <c r="M64" i="11"/>
  <c r="U64" i="11" s="1"/>
  <c r="G64" i="11"/>
  <c r="L64" i="11" s="1"/>
  <c r="H63" i="11"/>
  <c r="H111" i="11" s="1"/>
  <c r="G63" i="11"/>
  <c r="M63" i="11" s="1"/>
  <c r="U62" i="11"/>
  <c r="G62" i="11"/>
  <c r="L62" i="11" s="1"/>
  <c r="V62" i="11" s="1"/>
  <c r="Y62" i="11" s="1"/>
  <c r="G61" i="11"/>
  <c r="L61" i="11" s="1"/>
  <c r="G60" i="11"/>
  <c r="G59" i="11"/>
  <c r="N58" i="11"/>
  <c r="M58" i="11"/>
  <c r="I58" i="11"/>
  <c r="G58" i="11" s="1"/>
  <c r="H58" i="11"/>
  <c r="G57" i="11"/>
  <c r="G56" i="11"/>
  <c r="N56" i="11" s="1"/>
  <c r="N55" i="11"/>
  <c r="M55" i="11"/>
  <c r="G55" i="11"/>
  <c r="L55" i="11" s="1"/>
  <c r="G54" i="11"/>
  <c r="U53" i="11"/>
  <c r="G53" i="11"/>
  <c r="L53" i="11" s="1"/>
  <c r="G52" i="11"/>
  <c r="L52" i="11" s="1"/>
  <c r="N51" i="11"/>
  <c r="M51" i="11"/>
  <c r="K51" i="11"/>
  <c r="G51" i="11"/>
  <c r="L51" i="11" s="1"/>
  <c r="N50" i="11"/>
  <c r="M50" i="11"/>
  <c r="G50" i="11"/>
  <c r="L50" i="11" s="1"/>
  <c r="N49" i="11"/>
  <c r="M49" i="11"/>
  <c r="G49" i="11"/>
  <c r="L49" i="11" s="1"/>
  <c r="T48" i="11"/>
  <c r="U48" i="11" s="1"/>
  <c r="V48" i="11" s="1"/>
  <c r="Y48" i="11" s="1"/>
  <c r="G48" i="11"/>
  <c r="L48" i="11" s="1"/>
  <c r="G47" i="11"/>
  <c r="L47" i="11" s="1"/>
  <c r="V47" i="11" s="1"/>
  <c r="Y47" i="11" s="1"/>
  <c r="U46" i="11"/>
  <c r="G46" i="11"/>
  <c r="L46" i="11" s="1"/>
  <c r="G45" i="11"/>
  <c r="G44" i="11"/>
  <c r="G43" i="11"/>
  <c r="N43" i="11" s="1"/>
  <c r="G42" i="11"/>
  <c r="N41" i="11"/>
  <c r="M41" i="11"/>
  <c r="G41" i="11"/>
  <c r="L41" i="11" s="1"/>
  <c r="N40" i="11"/>
  <c r="M40" i="11"/>
  <c r="G40" i="11"/>
  <c r="L40" i="11" s="1"/>
  <c r="U39" i="11"/>
  <c r="G39" i="11"/>
  <c r="L39" i="11" s="1"/>
  <c r="V39" i="11" s="1"/>
  <c r="Y39" i="11" s="1"/>
  <c r="G38" i="11"/>
  <c r="N37" i="11"/>
  <c r="M37" i="11"/>
  <c r="U37" i="11" s="1"/>
  <c r="K37" i="11"/>
  <c r="N36" i="11"/>
  <c r="M36" i="11"/>
  <c r="G36" i="11"/>
  <c r="L36" i="11" s="1"/>
  <c r="N35" i="11"/>
  <c r="G35" i="11"/>
  <c r="M35" i="11" s="1"/>
  <c r="G34" i="11"/>
  <c r="N34" i="11" s="1"/>
  <c r="G33" i="11"/>
  <c r="L33" i="11" s="1"/>
  <c r="N33" i="11" s="1"/>
  <c r="N32" i="11"/>
  <c r="M32" i="11"/>
  <c r="U32" i="11" s="1"/>
  <c r="I32" i="11"/>
  <c r="G32" i="11" s="1"/>
  <c r="L32" i="11" s="1"/>
  <c r="K31" i="11"/>
  <c r="G31" i="11" s="1"/>
  <c r="N30" i="11"/>
  <c r="M30" i="11"/>
  <c r="K30" i="11"/>
  <c r="G30" i="11" s="1"/>
  <c r="L30" i="11" s="1"/>
  <c r="U29" i="11"/>
  <c r="G29" i="11"/>
  <c r="L29" i="11" s="1"/>
  <c r="N28" i="11"/>
  <c r="M28" i="11"/>
  <c r="G28" i="11"/>
  <c r="L28" i="11" s="1"/>
  <c r="N27" i="11"/>
  <c r="M27" i="11"/>
  <c r="U27" i="11" s="1"/>
  <c r="G27" i="11"/>
  <c r="L27" i="11" s="1"/>
  <c r="G26" i="11"/>
  <c r="L26" i="11" s="1"/>
  <c r="N25" i="11"/>
  <c r="M25" i="11"/>
  <c r="G25" i="11"/>
  <c r="L25" i="11" s="1"/>
  <c r="U24" i="11"/>
  <c r="G24" i="11"/>
  <c r="L24" i="11" s="1"/>
  <c r="V24" i="11" s="1"/>
  <c r="Y24" i="11" s="1"/>
  <c r="U23" i="11"/>
  <c r="T23" i="11"/>
  <c r="G23" i="11"/>
  <c r="L23" i="11" s="1"/>
  <c r="N22" i="11"/>
  <c r="M22" i="11"/>
  <c r="G22" i="11"/>
  <c r="L22" i="11" s="1"/>
  <c r="G21" i="11"/>
  <c r="M21" i="11" s="1"/>
  <c r="G20" i="11"/>
  <c r="N19" i="11"/>
  <c r="U19" i="11" s="1"/>
  <c r="G19" i="11"/>
  <c r="L19" i="11" s="1"/>
  <c r="G18" i="11"/>
  <c r="L18" i="11" s="1"/>
  <c r="N17" i="11"/>
  <c r="M17" i="11"/>
  <c r="G17" i="11"/>
  <c r="L17" i="11" s="1"/>
  <c r="U16" i="11"/>
  <c r="G16" i="11"/>
  <c r="L16" i="11" s="1"/>
  <c r="V16" i="11" s="1"/>
  <c r="Y16" i="11" s="1"/>
  <c r="G15" i="11"/>
  <c r="U14" i="11"/>
  <c r="G14" i="11"/>
  <c r="L14" i="11" s="1"/>
  <c r="V14" i="11" s="1"/>
  <c r="Y14" i="11" s="1"/>
  <c r="G13" i="11"/>
  <c r="L13" i="11" s="1"/>
  <c r="N12" i="11"/>
  <c r="M12" i="11"/>
  <c r="K12" i="11"/>
  <c r="G12" i="11"/>
  <c r="N11" i="11"/>
  <c r="M11" i="11"/>
  <c r="G11" i="11"/>
  <c r="L11" i="11" s="1"/>
  <c r="T10" i="11"/>
  <c r="T111" i="11" s="1"/>
  <c r="G10" i="11"/>
  <c r="L10" i="11" s="1"/>
  <c r="N9" i="11"/>
  <c r="M9" i="11"/>
  <c r="U9" i="11" s="1"/>
  <c r="I9" i="11"/>
  <c r="L9" i="11" s="1"/>
  <c r="G9" i="11"/>
  <c r="G8" i="11"/>
  <c r="L8" i="11" s="1"/>
  <c r="G7" i="11"/>
  <c r="L7" i="11" s="1"/>
  <c r="N6" i="11"/>
  <c r="M6" i="11"/>
  <c r="U6" i="11" s="1"/>
  <c r="G6" i="11"/>
  <c r="L6" i="11" s="1"/>
  <c r="V6" i="11" s="1"/>
  <c r="Y6" i="11" s="1"/>
  <c r="N5" i="11"/>
  <c r="M5" i="11"/>
  <c r="G5" i="11"/>
  <c r="L5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N4" i="11"/>
  <c r="M4" i="11"/>
  <c r="G4" i="11"/>
  <c r="L4" i="11" s="1"/>
  <c r="C205" i="10"/>
  <c r="C185" i="10"/>
  <c r="C178" i="10"/>
  <c r="C180" i="10" s="1"/>
  <c r="L139" i="10"/>
  <c r="K139" i="10"/>
  <c r="W113" i="10"/>
  <c r="V113" i="10"/>
  <c r="R113" i="10"/>
  <c r="Q113" i="10"/>
  <c r="P113" i="10"/>
  <c r="O113" i="10"/>
  <c r="N113" i="10"/>
  <c r="I113" i="10"/>
  <c r="E113" i="10"/>
  <c r="H112" i="10"/>
  <c r="G112" i="10"/>
  <c r="M112" i="10" s="1"/>
  <c r="T111" i="10"/>
  <c r="G111" i="10"/>
  <c r="K111" i="10" s="1"/>
  <c r="L110" i="10"/>
  <c r="H110" i="10"/>
  <c r="G110" i="10"/>
  <c r="M110" i="10" s="1"/>
  <c r="T109" i="10"/>
  <c r="G109" i="10"/>
  <c r="K109" i="10" s="1"/>
  <c r="U109" i="10" s="1"/>
  <c r="X109" i="10" s="1"/>
  <c r="T108" i="10"/>
  <c r="G108" i="10"/>
  <c r="K108" i="10" s="1"/>
  <c r="M107" i="10"/>
  <c r="L107" i="10"/>
  <c r="T107" i="10" s="1"/>
  <c r="K107" i="10"/>
  <c r="G106" i="10"/>
  <c r="M106" i="10" s="1"/>
  <c r="G105" i="10"/>
  <c r="K105" i="10" s="1"/>
  <c r="G104" i="10"/>
  <c r="K104" i="10" s="1"/>
  <c r="M103" i="10"/>
  <c r="L103" i="10"/>
  <c r="G103" i="10"/>
  <c r="K103" i="10" s="1"/>
  <c r="G102" i="10"/>
  <c r="K102" i="10" s="1"/>
  <c r="G101" i="10"/>
  <c r="L101" i="10" s="1"/>
  <c r="M100" i="10"/>
  <c r="L100" i="10"/>
  <c r="T100" i="10" s="1"/>
  <c r="G100" i="10"/>
  <c r="K100" i="10" s="1"/>
  <c r="G99" i="10"/>
  <c r="M99" i="10" s="1"/>
  <c r="T98" i="10"/>
  <c r="G98" i="10"/>
  <c r="K98" i="10" s="1"/>
  <c r="T97" i="10"/>
  <c r="G97" i="10"/>
  <c r="K97" i="10" s="1"/>
  <c r="G96" i="10"/>
  <c r="K96" i="10" s="1"/>
  <c r="T95" i="10"/>
  <c r="G95" i="10"/>
  <c r="K95" i="10" s="1"/>
  <c r="U95" i="10" s="1"/>
  <c r="X95" i="10" s="1"/>
  <c r="M94" i="10"/>
  <c r="T94" i="10" s="1"/>
  <c r="G94" i="10"/>
  <c r="K94" i="10" s="1"/>
  <c r="G93" i="10"/>
  <c r="M93" i="10" s="1"/>
  <c r="M92" i="10"/>
  <c r="H92" i="10"/>
  <c r="G92" i="10"/>
  <c r="L92" i="10" s="1"/>
  <c r="T91" i="10"/>
  <c r="K91" i="10"/>
  <c r="U91" i="10" s="1"/>
  <c r="X91" i="10" s="1"/>
  <c r="G91" i="10"/>
  <c r="G90" i="10"/>
  <c r="M90" i="10" s="1"/>
  <c r="G89" i="10"/>
  <c r="G88" i="10"/>
  <c r="K88" i="10" s="1"/>
  <c r="M88" i="10" s="1"/>
  <c r="M87" i="10"/>
  <c r="G87" i="10"/>
  <c r="L87" i="10" s="1"/>
  <c r="M86" i="10"/>
  <c r="L86" i="10"/>
  <c r="K86" i="10"/>
  <c r="G85" i="10"/>
  <c r="K85" i="10" s="1"/>
  <c r="M84" i="10"/>
  <c r="L84" i="10"/>
  <c r="T84" i="10" s="1"/>
  <c r="K84" i="10"/>
  <c r="G84" i="10"/>
  <c r="G83" i="10"/>
  <c r="M83" i="10" s="1"/>
  <c r="T82" i="10"/>
  <c r="H82" i="10"/>
  <c r="G82" i="10"/>
  <c r="M81" i="10"/>
  <c r="L81" i="10"/>
  <c r="H81" i="10"/>
  <c r="G81" i="10"/>
  <c r="G80" i="10"/>
  <c r="K80" i="10" s="1"/>
  <c r="M79" i="10"/>
  <c r="G79" i="10"/>
  <c r="L79" i="10" s="1"/>
  <c r="M78" i="10"/>
  <c r="L78" i="10"/>
  <c r="G78" i="10"/>
  <c r="K78" i="10" s="1"/>
  <c r="G77" i="10"/>
  <c r="M76" i="10"/>
  <c r="G76" i="10"/>
  <c r="K76" i="10" s="1"/>
  <c r="T75" i="10"/>
  <c r="G75" i="10"/>
  <c r="K75" i="10" s="1"/>
  <c r="U75" i="10" s="1"/>
  <c r="X75" i="10" s="1"/>
  <c r="G74" i="10"/>
  <c r="K74" i="10" s="1"/>
  <c r="AA73" i="10"/>
  <c r="H73" i="10"/>
  <c r="G73" i="10"/>
  <c r="AA72" i="10"/>
  <c r="H72" i="10"/>
  <c r="G72" i="10"/>
  <c r="T71" i="10"/>
  <c r="G71" i="10"/>
  <c r="K71" i="10" s="1"/>
  <c r="U71" i="10" s="1"/>
  <c r="X71" i="10" s="1"/>
  <c r="AA70" i="10"/>
  <c r="G70" i="10"/>
  <c r="L70" i="10" s="1"/>
  <c r="K69" i="10"/>
  <c r="H68" i="10"/>
  <c r="G68" i="10"/>
  <c r="M68" i="10" s="1"/>
  <c r="T67" i="10"/>
  <c r="G67" i="10"/>
  <c r="K67" i="10" s="1"/>
  <c r="U67" i="10" s="1"/>
  <c r="X67" i="10" s="1"/>
  <c r="M66" i="10"/>
  <c r="L66" i="10"/>
  <c r="G66" i="10"/>
  <c r="K66" i="10" s="1"/>
  <c r="T65" i="10"/>
  <c r="G65" i="10"/>
  <c r="K65" i="10" s="1"/>
  <c r="U65" i="10" s="1"/>
  <c r="X65" i="10" s="1"/>
  <c r="H64" i="10"/>
  <c r="G64" i="10"/>
  <c r="L64" i="10" s="1"/>
  <c r="T63" i="10"/>
  <c r="G63" i="10"/>
  <c r="K63" i="10" s="1"/>
  <c r="U63" i="10" s="1"/>
  <c r="X63" i="10" s="1"/>
  <c r="G62" i="10"/>
  <c r="K62" i="10" s="1"/>
  <c r="G61" i="10"/>
  <c r="L61" i="10" s="1"/>
  <c r="G60" i="10"/>
  <c r="L60" i="10" s="1"/>
  <c r="T60" i="10" s="1"/>
  <c r="M59" i="10"/>
  <c r="H59" i="10"/>
  <c r="G59" i="10"/>
  <c r="L59" i="10" s="1"/>
  <c r="G58" i="10"/>
  <c r="L58" i="10" s="1"/>
  <c r="M57" i="10"/>
  <c r="L57" i="10"/>
  <c r="T57" i="10" s="1"/>
  <c r="K57" i="10"/>
  <c r="G56" i="10"/>
  <c r="M56" i="10" s="1"/>
  <c r="M55" i="10"/>
  <c r="L55" i="10"/>
  <c r="G55" i="10"/>
  <c r="K55" i="10" s="1"/>
  <c r="G54" i="10"/>
  <c r="T53" i="10"/>
  <c r="G53" i="10"/>
  <c r="K53" i="10" s="1"/>
  <c r="U53" i="10" s="1"/>
  <c r="X53" i="10" s="1"/>
  <c r="G52" i="10"/>
  <c r="K52" i="10" s="1"/>
  <c r="L51" i="10"/>
  <c r="K51" i="10"/>
  <c r="G51" i="10"/>
  <c r="M51" i="10" s="1"/>
  <c r="T50" i="10"/>
  <c r="G50" i="10"/>
  <c r="K50" i="10" s="1"/>
  <c r="U50" i="10" s="1"/>
  <c r="X50" i="10" s="1"/>
  <c r="M49" i="10"/>
  <c r="L49" i="10"/>
  <c r="G49" i="10"/>
  <c r="K49" i="10" s="1"/>
  <c r="M48" i="10"/>
  <c r="T48" i="10" s="1"/>
  <c r="L48" i="10"/>
  <c r="J48" i="10"/>
  <c r="K48" i="10" s="1"/>
  <c r="S47" i="10"/>
  <c r="T47" i="10" s="1"/>
  <c r="G47" i="10"/>
  <c r="K47" i="10" s="1"/>
  <c r="G46" i="10"/>
  <c r="K46" i="10" s="1"/>
  <c r="U46" i="10" s="1"/>
  <c r="X46" i="10" s="1"/>
  <c r="T45" i="10"/>
  <c r="G45" i="10"/>
  <c r="K45" i="10" s="1"/>
  <c r="U45" i="10" s="1"/>
  <c r="X45" i="10" s="1"/>
  <c r="G44" i="10"/>
  <c r="K44" i="10" s="1"/>
  <c r="G43" i="10"/>
  <c r="G42" i="10"/>
  <c r="L42" i="10" s="1"/>
  <c r="S41" i="10"/>
  <c r="G41" i="10"/>
  <c r="L41" i="10" s="1"/>
  <c r="M40" i="10"/>
  <c r="L40" i="10"/>
  <c r="T40" i="10" s="1"/>
  <c r="G40" i="10"/>
  <c r="K40" i="10" s="1"/>
  <c r="G39" i="10"/>
  <c r="M39" i="10" s="1"/>
  <c r="T38" i="10"/>
  <c r="G38" i="10"/>
  <c r="K38" i="10" s="1"/>
  <c r="U38" i="10" s="1"/>
  <c r="X38" i="10" s="1"/>
  <c r="G37" i="10"/>
  <c r="T36" i="10"/>
  <c r="G36" i="10"/>
  <c r="K36" i="10" s="1"/>
  <c r="U36" i="10" s="1"/>
  <c r="X36" i="10" s="1"/>
  <c r="M35" i="10"/>
  <c r="L35" i="10"/>
  <c r="J35" i="10"/>
  <c r="K35" i="10" s="1"/>
  <c r="G34" i="10"/>
  <c r="L34" i="10" s="1"/>
  <c r="M33" i="10"/>
  <c r="G33" i="10"/>
  <c r="L33" i="10" s="1"/>
  <c r="G32" i="10"/>
  <c r="K32" i="10" s="1"/>
  <c r="L32" i="10" s="1"/>
  <c r="G31" i="10"/>
  <c r="M31" i="10" s="1"/>
  <c r="G30" i="10"/>
  <c r="K30" i="10" s="1"/>
  <c r="L30" i="10" s="1"/>
  <c r="G29" i="10"/>
  <c r="L29" i="10" s="1"/>
  <c r="T28" i="10"/>
  <c r="G28" i="10"/>
  <c r="K28" i="10" s="1"/>
  <c r="U28" i="10" s="1"/>
  <c r="X28" i="10" s="1"/>
  <c r="M27" i="10"/>
  <c r="L27" i="10"/>
  <c r="G27" i="10"/>
  <c r="K27" i="10" s="1"/>
  <c r="M26" i="10"/>
  <c r="L26" i="10"/>
  <c r="T26" i="10" s="1"/>
  <c r="G26" i="10"/>
  <c r="K26" i="10" s="1"/>
  <c r="M25" i="10"/>
  <c r="L25" i="10"/>
  <c r="T25" i="10" s="1"/>
  <c r="G25" i="10"/>
  <c r="K25" i="10" s="1"/>
  <c r="T24" i="10"/>
  <c r="G24" i="10"/>
  <c r="K24" i="10" s="1"/>
  <c r="U24" i="10" s="1"/>
  <c r="X24" i="10" s="1"/>
  <c r="S23" i="10"/>
  <c r="T23" i="10" s="1"/>
  <c r="G23" i="10"/>
  <c r="K23" i="10" s="1"/>
  <c r="T22" i="10"/>
  <c r="G22" i="10"/>
  <c r="K22" i="10" s="1"/>
  <c r="U22" i="10" s="1"/>
  <c r="X22" i="10" s="1"/>
  <c r="G21" i="10"/>
  <c r="L21" i="10" s="1"/>
  <c r="G20" i="10"/>
  <c r="K20" i="10" s="1"/>
  <c r="M19" i="10"/>
  <c r="T19" i="10" s="1"/>
  <c r="K19" i="10"/>
  <c r="U19" i="10" s="1"/>
  <c r="X19" i="10" s="1"/>
  <c r="G19" i="10"/>
  <c r="G18" i="10"/>
  <c r="M18" i="10" s="1"/>
  <c r="G17" i="10"/>
  <c r="M17" i="10" s="1"/>
  <c r="T16" i="10"/>
  <c r="G16" i="10"/>
  <c r="K16" i="10" s="1"/>
  <c r="G15" i="10"/>
  <c r="M15" i="10" s="1"/>
  <c r="T14" i="10"/>
  <c r="G14" i="10"/>
  <c r="K14" i="10" s="1"/>
  <c r="U14" i="10" s="1"/>
  <c r="X14" i="10" s="1"/>
  <c r="G13" i="10"/>
  <c r="M13" i="10" s="1"/>
  <c r="G12" i="10"/>
  <c r="L12" i="10" s="1"/>
  <c r="M11" i="10"/>
  <c r="L11" i="10"/>
  <c r="G11" i="10"/>
  <c r="K11" i="10" s="1"/>
  <c r="S10" i="10"/>
  <c r="G10" i="10"/>
  <c r="K10" i="10" s="1"/>
  <c r="G9" i="10"/>
  <c r="M9" i="10" s="1"/>
  <c r="G8" i="10"/>
  <c r="K8" i="10" s="1"/>
  <c r="G7" i="10"/>
  <c r="K7" i="10" s="1"/>
  <c r="M6" i="10"/>
  <c r="L6" i="10"/>
  <c r="T6" i="10" s="1"/>
  <c r="G6" i="10"/>
  <c r="K6" i="10" s="1"/>
  <c r="U6" i="10" s="1"/>
  <c r="X6" i="10" s="1"/>
  <c r="M5" i="10"/>
  <c r="L5" i="10"/>
  <c r="T5" i="10" s="1"/>
  <c r="G5" i="10"/>
  <c r="K5" i="10" s="1"/>
  <c r="M4" i="10"/>
  <c r="L4" i="10"/>
  <c r="T4" i="10" s="1"/>
  <c r="J4" i="10"/>
  <c r="K4" i="10" s="1"/>
  <c r="C205" i="9"/>
  <c r="C185" i="9"/>
  <c r="C178" i="9"/>
  <c r="C180" i="9" s="1"/>
  <c r="L139" i="9"/>
  <c r="K139" i="9"/>
  <c r="W113" i="9"/>
  <c r="V113" i="9"/>
  <c r="R113" i="9"/>
  <c r="Q113" i="9"/>
  <c r="P113" i="9"/>
  <c r="O113" i="9"/>
  <c r="I113" i="9"/>
  <c r="E113" i="9"/>
  <c r="H112" i="9"/>
  <c r="G112" i="9"/>
  <c r="M112" i="9" s="1"/>
  <c r="T111" i="9"/>
  <c r="G111" i="9"/>
  <c r="K111" i="9" s="1"/>
  <c r="H110" i="9"/>
  <c r="G110" i="9"/>
  <c r="M110" i="9" s="1"/>
  <c r="T109" i="9"/>
  <c r="G109" i="9"/>
  <c r="K109" i="9" s="1"/>
  <c r="U109" i="9" s="1"/>
  <c r="X109" i="9" s="1"/>
  <c r="X108" i="9"/>
  <c r="T108" i="9"/>
  <c r="G108" i="9"/>
  <c r="K108" i="9" s="1"/>
  <c r="U108" i="9" s="1"/>
  <c r="M107" i="9"/>
  <c r="L107" i="9"/>
  <c r="G107" i="9"/>
  <c r="K107" i="9" s="1"/>
  <c r="L106" i="9"/>
  <c r="T106" i="9" s="1"/>
  <c r="K106" i="9"/>
  <c r="U106" i="9" s="1"/>
  <c r="X106" i="9" s="1"/>
  <c r="G106" i="9"/>
  <c r="M106" i="9" s="1"/>
  <c r="G105" i="9"/>
  <c r="K105" i="9" s="1"/>
  <c r="L105" i="9" s="1"/>
  <c r="T105" i="9" s="1"/>
  <c r="M104" i="9"/>
  <c r="L104" i="9"/>
  <c r="G104" i="9"/>
  <c r="K104" i="9" s="1"/>
  <c r="M103" i="9"/>
  <c r="L103" i="9"/>
  <c r="T103" i="9" s="1"/>
  <c r="G103" i="9"/>
  <c r="K103" i="9" s="1"/>
  <c r="G102" i="9"/>
  <c r="K102" i="9" s="1"/>
  <c r="G101" i="9"/>
  <c r="M100" i="9"/>
  <c r="L100" i="9"/>
  <c r="K100" i="9"/>
  <c r="G100" i="9"/>
  <c r="G99" i="9"/>
  <c r="T98" i="9"/>
  <c r="G98" i="9"/>
  <c r="K98" i="9" s="1"/>
  <c r="U98" i="9" s="1"/>
  <c r="X98" i="9" s="1"/>
  <c r="T97" i="9"/>
  <c r="G97" i="9"/>
  <c r="K97" i="9" s="1"/>
  <c r="U97" i="9" s="1"/>
  <c r="X97" i="9" s="1"/>
  <c r="N96" i="9"/>
  <c r="G96" i="9"/>
  <c r="T95" i="9"/>
  <c r="K95" i="9"/>
  <c r="U95" i="9" s="1"/>
  <c r="X95" i="9" s="1"/>
  <c r="G95" i="9"/>
  <c r="M94" i="9"/>
  <c r="T94" i="9" s="1"/>
  <c r="G94" i="9"/>
  <c r="K94" i="9" s="1"/>
  <c r="L93" i="9"/>
  <c r="H93" i="9"/>
  <c r="K93" i="9" s="1"/>
  <c r="U93" i="9" s="1"/>
  <c r="X93" i="9" s="1"/>
  <c r="G93" i="9"/>
  <c r="M93" i="9" s="1"/>
  <c r="T92" i="9"/>
  <c r="G92" i="9"/>
  <c r="K92" i="9" s="1"/>
  <c r="U92" i="9" s="1"/>
  <c r="X92" i="9" s="1"/>
  <c r="G91" i="9"/>
  <c r="G90" i="9"/>
  <c r="M90" i="9" s="1"/>
  <c r="G89" i="9"/>
  <c r="K89" i="9" s="1"/>
  <c r="M88" i="9"/>
  <c r="G88" i="9"/>
  <c r="L88" i="9" s="1"/>
  <c r="T87" i="9"/>
  <c r="G87" i="9"/>
  <c r="K87" i="9" s="1"/>
  <c r="U87" i="9" s="1"/>
  <c r="X87" i="9" s="1"/>
  <c r="G86" i="9"/>
  <c r="L86" i="9" s="1"/>
  <c r="N85" i="9"/>
  <c r="M85" i="9"/>
  <c r="G85" i="9"/>
  <c r="L85" i="9" s="1"/>
  <c r="M84" i="9"/>
  <c r="L84" i="9"/>
  <c r="T84" i="9" s="1"/>
  <c r="K84" i="9"/>
  <c r="U84" i="9" s="1"/>
  <c r="X84" i="9" s="1"/>
  <c r="G84" i="9"/>
  <c r="N83" i="9"/>
  <c r="M83" i="9"/>
  <c r="G83" i="9"/>
  <c r="L83" i="9" s="1"/>
  <c r="U82" i="9"/>
  <c r="X82" i="9" s="1"/>
  <c r="T82" i="9"/>
  <c r="L82" i="9"/>
  <c r="H82" i="9"/>
  <c r="K82" i="9" s="1"/>
  <c r="G82" i="9"/>
  <c r="M82" i="9" s="1"/>
  <c r="H81" i="9"/>
  <c r="G81" i="9"/>
  <c r="M81" i="9" s="1"/>
  <c r="G80" i="9"/>
  <c r="G79" i="9"/>
  <c r="L79" i="9" s="1"/>
  <c r="M78" i="9"/>
  <c r="L78" i="9"/>
  <c r="T78" i="9" s="1"/>
  <c r="G78" i="9"/>
  <c r="K78" i="9" s="1"/>
  <c r="L77" i="9"/>
  <c r="T77" i="9" s="1"/>
  <c r="K77" i="9"/>
  <c r="U77" i="9" s="1"/>
  <c r="X77" i="9" s="1"/>
  <c r="G77" i="9"/>
  <c r="M77" i="9" s="1"/>
  <c r="G76" i="9"/>
  <c r="T75" i="9"/>
  <c r="K75" i="9"/>
  <c r="U75" i="9" s="1"/>
  <c r="X75" i="9" s="1"/>
  <c r="G75" i="9"/>
  <c r="G74" i="9"/>
  <c r="AA73" i="9"/>
  <c r="H73" i="9"/>
  <c r="K73" i="9" s="1"/>
  <c r="G73" i="9"/>
  <c r="M73" i="9" s="1"/>
  <c r="AA72" i="9"/>
  <c r="L72" i="9"/>
  <c r="T72" i="9" s="1"/>
  <c r="K72" i="9"/>
  <c r="U72" i="9" s="1"/>
  <c r="X72" i="9" s="1"/>
  <c r="H72" i="9"/>
  <c r="G72" i="9"/>
  <c r="M72" i="9" s="1"/>
  <c r="T71" i="9"/>
  <c r="U71" i="9" s="1"/>
  <c r="X71" i="9" s="1"/>
  <c r="G71" i="9"/>
  <c r="K71" i="9" s="1"/>
  <c r="AA70" i="9"/>
  <c r="G70" i="9"/>
  <c r="G69" i="9"/>
  <c r="H68" i="9"/>
  <c r="G68" i="9"/>
  <c r="T67" i="9"/>
  <c r="G67" i="9"/>
  <c r="K67" i="9" s="1"/>
  <c r="U67" i="9" s="1"/>
  <c r="X67" i="9" s="1"/>
  <c r="M66" i="9"/>
  <c r="L66" i="9"/>
  <c r="G66" i="9"/>
  <c r="K66" i="9" s="1"/>
  <c r="U65" i="9"/>
  <c r="X65" i="9" s="1"/>
  <c r="T65" i="9"/>
  <c r="G65" i="9"/>
  <c r="K65" i="9" s="1"/>
  <c r="N64" i="9"/>
  <c r="M64" i="9"/>
  <c r="H64" i="9"/>
  <c r="G64" i="9"/>
  <c r="T63" i="9"/>
  <c r="K63" i="9"/>
  <c r="U63" i="9" s="1"/>
  <c r="X63" i="9" s="1"/>
  <c r="G63" i="9"/>
  <c r="G62" i="9"/>
  <c r="K62" i="9" s="1"/>
  <c r="L61" i="9"/>
  <c r="T61" i="9" s="1"/>
  <c r="K61" i="9"/>
  <c r="G61" i="9"/>
  <c r="H60" i="9"/>
  <c r="G60" i="9"/>
  <c r="M60" i="9" s="1"/>
  <c r="G59" i="9"/>
  <c r="N58" i="9"/>
  <c r="G58" i="9"/>
  <c r="G57" i="9"/>
  <c r="K57" i="9" s="1"/>
  <c r="M57" i="9" s="1"/>
  <c r="M56" i="9"/>
  <c r="L56" i="9"/>
  <c r="T56" i="9" s="1"/>
  <c r="G56" i="9"/>
  <c r="K56" i="9" s="1"/>
  <c r="G55" i="9"/>
  <c r="T54" i="9"/>
  <c r="G54" i="9"/>
  <c r="K54" i="9" s="1"/>
  <c r="U54" i="9" s="1"/>
  <c r="X54" i="9" s="1"/>
  <c r="L53" i="9"/>
  <c r="G53" i="9"/>
  <c r="M53" i="9" s="1"/>
  <c r="G52" i="9"/>
  <c r="T51" i="9"/>
  <c r="H51" i="9"/>
  <c r="K51" i="9" s="1"/>
  <c r="M50" i="9"/>
  <c r="T50" i="9" s="1"/>
  <c r="L50" i="9"/>
  <c r="G50" i="9"/>
  <c r="K50" i="9" s="1"/>
  <c r="M49" i="9"/>
  <c r="G49" i="9"/>
  <c r="K49" i="9" s="1"/>
  <c r="S48" i="9"/>
  <c r="T48" i="9" s="1"/>
  <c r="G48" i="9"/>
  <c r="K48" i="9" s="1"/>
  <c r="G47" i="9"/>
  <c r="K47" i="9" s="1"/>
  <c r="U47" i="9" s="1"/>
  <c r="X47" i="9" s="1"/>
  <c r="T46" i="9"/>
  <c r="G46" i="9"/>
  <c r="K46" i="9" s="1"/>
  <c r="K45" i="9"/>
  <c r="G45" i="9"/>
  <c r="G44" i="9"/>
  <c r="G43" i="9"/>
  <c r="S42" i="9"/>
  <c r="G42" i="9"/>
  <c r="M41" i="9"/>
  <c r="T41" i="9" s="1"/>
  <c r="L41" i="9"/>
  <c r="G41" i="9"/>
  <c r="K41" i="9" s="1"/>
  <c r="M40" i="9"/>
  <c r="L40" i="9"/>
  <c r="T40" i="9" s="1"/>
  <c r="G40" i="9"/>
  <c r="K40" i="9" s="1"/>
  <c r="T39" i="9"/>
  <c r="G39" i="9"/>
  <c r="K39" i="9" s="1"/>
  <c r="U39" i="9" s="1"/>
  <c r="X39" i="9" s="1"/>
  <c r="G38" i="9"/>
  <c r="T37" i="9"/>
  <c r="G37" i="9"/>
  <c r="K37" i="9" s="1"/>
  <c r="M36" i="9"/>
  <c r="L36" i="9"/>
  <c r="T36" i="9" s="1"/>
  <c r="G36" i="9"/>
  <c r="K36" i="9" s="1"/>
  <c r="G35" i="9"/>
  <c r="G34" i="9"/>
  <c r="G33" i="9"/>
  <c r="K33" i="9" s="1"/>
  <c r="M33" i="9" s="1"/>
  <c r="L32" i="9"/>
  <c r="G32" i="9"/>
  <c r="J32" i="9" s="1"/>
  <c r="G31" i="9"/>
  <c r="K31" i="9" s="1"/>
  <c r="L31" i="9" s="1"/>
  <c r="G30" i="9"/>
  <c r="T29" i="9"/>
  <c r="N29" i="9"/>
  <c r="G29" i="9"/>
  <c r="K29" i="9" s="1"/>
  <c r="U29" i="9" s="1"/>
  <c r="X29" i="9" s="1"/>
  <c r="M28" i="9"/>
  <c r="L28" i="9"/>
  <c r="G28" i="9"/>
  <c r="K28" i="9" s="1"/>
  <c r="G27" i="9"/>
  <c r="M27" i="9" s="1"/>
  <c r="T26" i="9"/>
  <c r="M26" i="9"/>
  <c r="L26" i="9"/>
  <c r="G26" i="9"/>
  <c r="K26" i="9" s="1"/>
  <c r="U26" i="9" s="1"/>
  <c r="X26" i="9" s="1"/>
  <c r="N25" i="9"/>
  <c r="G25" i="9"/>
  <c r="K25" i="9" s="1"/>
  <c r="S24" i="9"/>
  <c r="T24" i="9" s="1"/>
  <c r="G24" i="9"/>
  <c r="K24" i="9" s="1"/>
  <c r="T23" i="9"/>
  <c r="K23" i="9"/>
  <c r="G23" i="9"/>
  <c r="G22" i="9"/>
  <c r="G21" i="9"/>
  <c r="L21" i="9" s="1"/>
  <c r="M20" i="9"/>
  <c r="T20" i="9" s="1"/>
  <c r="K20" i="9"/>
  <c r="U20" i="9" s="1"/>
  <c r="X20" i="9" s="1"/>
  <c r="G20" i="9"/>
  <c r="G19" i="9"/>
  <c r="G18" i="9"/>
  <c r="M18" i="9" s="1"/>
  <c r="G17" i="9"/>
  <c r="K17" i="9" s="1"/>
  <c r="U16" i="9"/>
  <c r="X16" i="9" s="1"/>
  <c r="T16" i="9"/>
  <c r="G16" i="9"/>
  <c r="K16" i="9" s="1"/>
  <c r="M15" i="9"/>
  <c r="L15" i="9"/>
  <c r="T15" i="9" s="1"/>
  <c r="G15" i="9"/>
  <c r="K15" i="9" s="1"/>
  <c r="T14" i="9"/>
  <c r="G14" i="9"/>
  <c r="K14" i="9" s="1"/>
  <c r="U14" i="9" s="1"/>
  <c r="X14" i="9" s="1"/>
  <c r="G13" i="9"/>
  <c r="K13" i="9" s="1"/>
  <c r="G12" i="9"/>
  <c r="M12" i="9" s="1"/>
  <c r="M11" i="9"/>
  <c r="L11" i="9"/>
  <c r="T11" i="9" s="1"/>
  <c r="K11" i="9"/>
  <c r="G11" i="9"/>
  <c r="S10" i="9"/>
  <c r="G10" i="9"/>
  <c r="K10" i="9" s="1"/>
  <c r="G9" i="9"/>
  <c r="G8" i="9"/>
  <c r="K8" i="9" s="1"/>
  <c r="G7" i="9"/>
  <c r="K7" i="9" s="1"/>
  <c r="M7" i="9" s="1"/>
  <c r="M6" i="9"/>
  <c r="L6" i="9"/>
  <c r="T6" i="9" s="1"/>
  <c r="G6" i="9"/>
  <c r="K6" i="9" s="1"/>
  <c r="M5" i="9"/>
  <c r="L5" i="9"/>
  <c r="G5" i="9"/>
  <c r="K5" i="9" s="1"/>
  <c r="G4" i="9"/>
  <c r="K38" i="9" l="1"/>
  <c r="M38" i="9"/>
  <c r="L38" i="9"/>
  <c r="T38" i="9" s="1"/>
  <c r="M44" i="9"/>
  <c r="L44" i="9"/>
  <c r="M68" i="9"/>
  <c r="L68" i="9"/>
  <c r="T68" i="9" s="1"/>
  <c r="K68" i="9"/>
  <c r="U68" i="9" s="1"/>
  <c r="X68" i="9" s="1"/>
  <c r="L44" i="12"/>
  <c r="M44" i="12"/>
  <c r="K12" i="9"/>
  <c r="U12" i="9" s="1"/>
  <c r="X12" i="9" s="1"/>
  <c r="M30" i="9"/>
  <c r="L30" i="9"/>
  <c r="T30" i="9" s="1"/>
  <c r="M35" i="9"/>
  <c r="L35" i="9"/>
  <c r="T35" i="9" s="1"/>
  <c r="K44" i="9"/>
  <c r="U6" i="9"/>
  <c r="X6" i="9" s="1"/>
  <c r="L27" i="9"/>
  <c r="T27" i="9" s="1"/>
  <c r="K27" i="9"/>
  <c r="U27" i="9" s="1"/>
  <c r="X27" i="9" s="1"/>
  <c r="M35" i="12"/>
  <c r="N35" i="12"/>
  <c r="U35" i="12" s="1"/>
  <c r="S113" i="9"/>
  <c r="L12" i="9"/>
  <c r="T12" i="9" s="1"/>
  <c r="L13" i="9"/>
  <c r="L17" i="9"/>
  <c r="T17" i="9" s="1"/>
  <c r="K30" i="9"/>
  <c r="U30" i="9" s="1"/>
  <c r="X30" i="9" s="1"/>
  <c r="K35" i="9"/>
  <c r="M45" i="9"/>
  <c r="L45" i="9"/>
  <c r="M69" i="9"/>
  <c r="L69" i="9"/>
  <c r="T69" i="9" s="1"/>
  <c r="K69" i="9"/>
  <c r="U69" i="9" s="1"/>
  <c r="X69" i="9" s="1"/>
  <c r="M99" i="9"/>
  <c r="L99" i="9"/>
  <c r="T99" i="9" s="1"/>
  <c r="K99" i="9"/>
  <c r="U99" i="9" s="1"/>
  <c r="X99" i="9" s="1"/>
  <c r="U5" i="10"/>
  <c r="X5" i="10" s="1"/>
  <c r="M69" i="10"/>
  <c r="L69" i="10"/>
  <c r="T69" i="10" s="1"/>
  <c r="U69" i="10" s="1"/>
  <c r="X69" i="10" s="1"/>
  <c r="K73" i="10"/>
  <c r="L73" i="10"/>
  <c r="T79" i="10"/>
  <c r="N57" i="11"/>
  <c r="M57" i="11"/>
  <c r="L57" i="11"/>
  <c r="L88" i="11"/>
  <c r="N88" i="11"/>
  <c r="M99" i="11"/>
  <c r="N99" i="11"/>
  <c r="U4" i="12"/>
  <c r="M33" i="12"/>
  <c r="N33" i="12"/>
  <c r="L33" i="12"/>
  <c r="N75" i="12"/>
  <c r="M75" i="12"/>
  <c r="U75" i="12" s="1"/>
  <c r="K75" i="12"/>
  <c r="L75" i="12" s="1"/>
  <c r="U11" i="9"/>
  <c r="X11" i="9" s="1"/>
  <c r="M91" i="9"/>
  <c r="L91" i="9"/>
  <c r="T91" i="9" s="1"/>
  <c r="K91" i="9"/>
  <c r="U91" i="9" s="1"/>
  <c r="X91" i="9" s="1"/>
  <c r="V65" i="12"/>
  <c r="Y65" i="12" s="1"/>
  <c r="T5" i="9"/>
  <c r="M13" i="9"/>
  <c r="M17" i="9"/>
  <c r="M21" i="9"/>
  <c r="T21" i="9" s="1"/>
  <c r="U36" i="9"/>
  <c r="X36" i="9" s="1"/>
  <c r="U48" i="9"/>
  <c r="X48" i="9" s="1"/>
  <c r="U50" i="9"/>
  <c r="X50" i="9" s="1"/>
  <c r="U51" i="9"/>
  <c r="X51" i="9" s="1"/>
  <c r="M55" i="9"/>
  <c r="L55" i="9"/>
  <c r="K55" i="9"/>
  <c r="L70" i="9"/>
  <c r="T70" i="9" s="1"/>
  <c r="M70" i="9"/>
  <c r="U78" i="9"/>
  <c r="X78" i="9" s="1"/>
  <c r="T83" i="9"/>
  <c r="U94" i="9"/>
  <c r="X94" i="9" s="1"/>
  <c r="U26" i="10"/>
  <c r="X26" i="10" s="1"/>
  <c r="L37" i="10"/>
  <c r="M37" i="10"/>
  <c r="L72" i="10"/>
  <c r="T72" i="10" s="1"/>
  <c r="M72" i="10"/>
  <c r="M20" i="11"/>
  <c r="N20" i="11"/>
  <c r="G37" i="11"/>
  <c r="L37" i="11" s="1"/>
  <c r="V37" i="11" s="1"/>
  <c r="Y37" i="11" s="1"/>
  <c r="L59" i="11"/>
  <c r="N59" i="11"/>
  <c r="M59" i="11"/>
  <c r="U59" i="11" s="1"/>
  <c r="V59" i="11" s="1"/>
  <c r="Y59" i="11" s="1"/>
  <c r="M46" i="12"/>
  <c r="N46" i="12"/>
  <c r="L46" i="12"/>
  <c r="V88" i="12"/>
  <c r="Y88" i="12" s="1"/>
  <c r="T51" i="10"/>
  <c r="U51" i="10" s="1"/>
  <c r="X51" i="10" s="1"/>
  <c r="U22" i="11"/>
  <c r="L58" i="11"/>
  <c r="V58" i="11" s="1"/>
  <c r="Y58" i="11" s="1"/>
  <c r="U73" i="11"/>
  <c r="V73" i="11" s="1"/>
  <c r="Y73" i="11" s="1"/>
  <c r="N26" i="12"/>
  <c r="U52" i="12"/>
  <c r="V52" i="12" s="1"/>
  <c r="Y52" i="12" s="1"/>
  <c r="U85" i="12"/>
  <c r="M88" i="12"/>
  <c r="U88" i="12" s="1"/>
  <c r="V96" i="12"/>
  <c r="Y96" i="12" s="1"/>
  <c r="U102" i="12"/>
  <c r="V102" i="12" s="1"/>
  <c r="Y102" i="12" s="1"/>
  <c r="U24" i="9"/>
  <c r="X24" i="9" s="1"/>
  <c r="K60" i="9"/>
  <c r="U60" i="9" s="1"/>
  <c r="X60" i="9" s="1"/>
  <c r="K81" i="9"/>
  <c r="U81" i="9" s="1"/>
  <c r="X81" i="9" s="1"/>
  <c r="K83" i="9"/>
  <c r="S113" i="10"/>
  <c r="U48" i="10"/>
  <c r="X48" i="10" s="1"/>
  <c r="K79" i="10"/>
  <c r="U79" i="10" s="1"/>
  <c r="X79" i="10" s="1"/>
  <c r="V23" i="11"/>
  <c r="Y23" i="11" s="1"/>
  <c r="V29" i="11"/>
  <c r="Y29" i="11" s="1"/>
  <c r="U30" i="11"/>
  <c r="N52" i="11"/>
  <c r="L56" i="11"/>
  <c r="V56" i="11" s="1"/>
  <c r="Y56" i="11" s="1"/>
  <c r="U101" i="11"/>
  <c r="V101" i="11" s="1"/>
  <c r="Y101" i="11" s="1"/>
  <c r="U12" i="12"/>
  <c r="L43" i="12"/>
  <c r="H112" i="12"/>
  <c r="U65" i="12"/>
  <c r="M78" i="12"/>
  <c r="U78" i="12" s="1"/>
  <c r="U23" i="9"/>
  <c r="X23" i="9" s="1"/>
  <c r="T28" i="9"/>
  <c r="U37" i="9"/>
  <c r="X37" i="9" s="1"/>
  <c r="U40" i="9"/>
  <c r="X40" i="9" s="1"/>
  <c r="K53" i="9"/>
  <c r="T66" i="9"/>
  <c r="M79" i="9"/>
  <c r="T79" i="9" s="1"/>
  <c r="T85" i="9"/>
  <c r="M86" i="9"/>
  <c r="T86" i="9" s="1"/>
  <c r="T88" i="9"/>
  <c r="K90" i="9"/>
  <c r="K110" i="9"/>
  <c r="U16" i="10"/>
  <c r="X16" i="10" s="1"/>
  <c r="T27" i="10"/>
  <c r="M70" i="10"/>
  <c r="T70" i="10" s="1"/>
  <c r="T78" i="10"/>
  <c r="U78" i="10" s="1"/>
  <c r="X78" i="10" s="1"/>
  <c r="U84" i="10"/>
  <c r="X84" i="10" s="1"/>
  <c r="U97" i="10"/>
  <c r="X97" i="10" s="1"/>
  <c r="K110" i="10"/>
  <c r="U111" i="10"/>
  <c r="X111" i="10" s="1"/>
  <c r="U4" i="11"/>
  <c r="U11" i="11"/>
  <c r="V27" i="11"/>
  <c r="Y27" i="11" s="1"/>
  <c r="U35" i="11"/>
  <c r="V53" i="11"/>
  <c r="Y53" i="11" s="1"/>
  <c r="M56" i="11"/>
  <c r="U56" i="11" s="1"/>
  <c r="U67" i="11"/>
  <c r="N72" i="11"/>
  <c r="U72" i="11" s="1"/>
  <c r="V72" i="11" s="1"/>
  <c r="Y72" i="11" s="1"/>
  <c r="M79" i="11"/>
  <c r="N87" i="11"/>
  <c r="U87" i="11" s="1"/>
  <c r="V92" i="11"/>
  <c r="Y92" i="11" s="1"/>
  <c r="U105" i="11"/>
  <c r="V105" i="11" s="1"/>
  <c r="Y105" i="11" s="1"/>
  <c r="M110" i="11"/>
  <c r="U6" i="12"/>
  <c r="V9" i="12"/>
  <c r="Y9" i="12" s="1"/>
  <c r="L18" i="12"/>
  <c r="U19" i="12"/>
  <c r="U26" i="12"/>
  <c r="M38" i="12"/>
  <c r="N43" i="12"/>
  <c r="U43" i="12" s="1"/>
  <c r="V43" i="12" s="1"/>
  <c r="Y43" i="12" s="1"/>
  <c r="V47" i="12"/>
  <c r="Y47" i="12" s="1"/>
  <c r="U53" i="12"/>
  <c r="L71" i="12"/>
  <c r="U77" i="12"/>
  <c r="V77" i="12" s="1"/>
  <c r="Y77" i="12" s="1"/>
  <c r="M89" i="12"/>
  <c r="V97" i="12"/>
  <c r="Y97" i="12" s="1"/>
  <c r="U103" i="12"/>
  <c r="M62" i="12"/>
  <c r="N62" i="12"/>
  <c r="M7" i="12"/>
  <c r="N7" i="12"/>
  <c r="U89" i="12"/>
  <c r="V99" i="12"/>
  <c r="Y99" i="12" s="1"/>
  <c r="V6" i="12"/>
  <c r="Y6" i="12" s="1"/>
  <c r="T112" i="12"/>
  <c r="T116" i="12" s="1"/>
  <c r="T117" i="12" s="1"/>
  <c r="U18" i="12"/>
  <c r="L21" i="12"/>
  <c r="U25" i="12"/>
  <c r="U28" i="12"/>
  <c r="V32" i="12"/>
  <c r="Y32" i="12" s="1"/>
  <c r="V36" i="12"/>
  <c r="Y36" i="12" s="1"/>
  <c r="V42" i="12"/>
  <c r="Y42" i="12" s="1"/>
  <c r="U46" i="12"/>
  <c r="M61" i="12"/>
  <c r="M64" i="12"/>
  <c r="U64" i="12" s="1"/>
  <c r="N73" i="12"/>
  <c r="U73" i="12" s="1"/>
  <c r="V73" i="12" s="1"/>
  <c r="Y73" i="12" s="1"/>
  <c r="U82" i="12"/>
  <c r="V82" i="12" s="1"/>
  <c r="Y82" i="12" s="1"/>
  <c r="V84" i="12"/>
  <c r="Y84" i="12" s="1"/>
  <c r="L94" i="12"/>
  <c r="V94" i="12" s="1"/>
  <c r="Y94" i="12" s="1"/>
  <c r="K100" i="12"/>
  <c r="L100" i="12" s="1"/>
  <c r="M100" i="12"/>
  <c r="U100" i="12" s="1"/>
  <c r="M105" i="12"/>
  <c r="V19" i="12"/>
  <c r="Y19" i="12" s="1"/>
  <c r="N21" i="12"/>
  <c r="U21" i="12" s="1"/>
  <c r="U5" i="12"/>
  <c r="U11" i="12"/>
  <c r="U15" i="12"/>
  <c r="U17" i="12"/>
  <c r="U30" i="12"/>
  <c r="V30" i="12" s="1"/>
  <c r="Y30" i="12" s="1"/>
  <c r="L35" i="12"/>
  <c r="U37" i="12"/>
  <c r="V49" i="12"/>
  <c r="Y49" i="12" s="1"/>
  <c r="U51" i="12"/>
  <c r="U58" i="12"/>
  <c r="V58" i="12" s="1"/>
  <c r="Y58" i="12" s="1"/>
  <c r="U60" i="12"/>
  <c r="V60" i="12" s="1"/>
  <c r="Y60" i="12" s="1"/>
  <c r="V66" i="12"/>
  <c r="Y66" i="12" s="1"/>
  <c r="V74" i="12"/>
  <c r="Y74" i="12" s="1"/>
  <c r="K78" i="12"/>
  <c r="L78" i="12" s="1"/>
  <c r="M79" i="12"/>
  <c r="K86" i="12"/>
  <c r="L86" i="12" s="1"/>
  <c r="V86" i="12" s="1"/>
  <c r="Y86" i="12" s="1"/>
  <c r="K89" i="12"/>
  <c r="L89" i="12" s="1"/>
  <c r="V89" i="12" s="1"/>
  <c r="Y89" i="12" s="1"/>
  <c r="M92" i="12"/>
  <c r="U92" i="12" s="1"/>
  <c r="V92" i="12" s="1"/>
  <c r="Y92" i="12" s="1"/>
  <c r="V108" i="12"/>
  <c r="Y108" i="12" s="1"/>
  <c r="V76" i="11"/>
  <c r="Y76" i="11" s="1"/>
  <c r="U81" i="11"/>
  <c r="V67" i="11"/>
  <c r="Y67" i="11" s="1"/>
  <c r="L34" i="11"/>
  <c r="L63" i="11"/>
  <c r="M68" i="11"/>
  <c r="U68" i="11" s="1"/>
  <c r="N81" i="11"/>
  <c r="V4" i="11"/>
  <c r="V11" i="11"/>
  <c r="Y11" i="11" s="1"/>
  <c r="K111" i="11"/>
  <c r="M13" i="11"/>
  <c r="M18" i="11"/>
  <c r="U20" i="11"/>
  <c r="V22" i="11"/>
  <c r="Y22" i="11" s="1"/>
  <c r="M26" i="11"/>
  <c r="M34" i="11"/>
  <c r="U34" i="11" s="1"/>
  <c r="L35" i="11"/>
  <c r="U41" i="11"/>
  <c r="V41" i="11" s="1"/>
  <c r="Y41" i="11" s="1"/>
  <c r="L43" i="11"/>
  <c r="V46" i="11"/>
  <c r="Y46" i="11" s="1"/>
  <c r="U49" i="11"/>
  <c r="U55" i="11"/>
  <c r="V55" i="11" s="1"/>
  <c r="Y55" i="11" s="1"/>
  <c r="N63" i="11"/>
  <c r="L66" i="11"/>
  <c r="M78" i="11"/>
  <c r="U78" i="11" s="1"/>
  <c r="M83" i="11"/>
  <c r="U83" i="11" s="1"/>
  <c r="L87" i="11"/>
  <c r="M91" i="11"/>
  <c r="V93" i="11"/>
  <c r="Y93" i="11" s="1"/>
  <c r="L99" i="11"/>
  <c r="N21" i="11"/>
  <c r="U21" i="11" s="1"/>
  <c r="L78" i="11"/>
  <c r="L83" i="11"/>
  <c r="U5" i="11"/>
  <c r="V5" i="11" s="1"/>
  <c r="Y5" i="11" s="1"/>
  <c r="U12" i="11"/>
  <c r="N13" i="11"/>
  <c r="U17" i="11"/>
  <c r="V17" i="11" s="1"/>
  <c r="Y17" i="11" s="1"/>
  <c r="N18" i="11"/>
  <c r="U25" i="11"/>
  <c r="N26" i="11"/>
  <c r="V32" i="11"/>
  <c r="Y32" i="11" s="1"/>
  <c r="U36" i="11"/>
  <c r="V36" i="11" s="1"/>
  <c r="Y36" i="11" s="1"/>
  <c r="M43" i="11"/>
  <c r="U43" i="11" s="1"/>
  <c r="U51" i="11"/>
  <c r="V51" i="11" s="1"/>
  <c r="Y51" i="11" s="1"/>
  <c r="U63" i="11"/>
  <c r="M66" i="11"/>
  <c r="U66" i="11" s="1"/>
  <c r="V69" i="11"/>
  <c r="Y69" i="11" s="1"/>
  <c r="U75" i="11"/>
  <c r="M77" i="11"/>
  <c r="U77" i="11" s="1"/>
  <c r="L79" i="11"/>
  <c r="V79" i="11" s="1"/>
  <c r="Y79" i="11" s="1"/>
  <c r="N91" i="11"/>
  <c r="V95" i="11"/>
  <c r="Y95" i="11" s="1"/>
  <c r="V107" i="11"/>
  <c r="Y107" i="11" s="1"/>
  <c r="L110" i="11"/>
  <c r="M10" i="10"/>
  <c r="L10" i="10"/>
  <c r="T10" i="10" s="1"/>
  <c r="U10" i="10" s="1"/>
  <c r="X10" i="10" s="1"/>
  <c r="U66" i="10"/>
  <c r="X66" i="10" s="1"/>
  <c r="U23" i="10"/>
  <c r="X23" i="10" s="1"/>
  <c r="U94" i="10"/>
  <c r="X94" i="10" s="1"/>
  <c r="T42" i="10"/>
  <c r="K18" i="10"/>
  <c r="K41" i="10"/>
  <c r="T55" i="10"/>
  <c r="M58" i="10"/>
  <c r="T58" i="10" s="1"/>
  <c r="K99" i="10"/>
  <c r="K106" i="10"/>
  <c r="K9" i="10"/>
  <c r="M12" i="10"/>
  <c r="T12" i="10" s="1"/>
  <c r="L18" i="10"/>
  <c r="T33" i="10"/>
  <c r="K37" i="10"/>
  <c r="L39" i="10"/>
  <c r="T39" i="10" s="1"/>
  <c r="U39" i="10" s="1"/>
  <c r="X39" i="10" s="1"/>
  <c r="M41" i="10"/>
  <c r="M42" i="10"/>
  <c r="K60" i="10"/>
  <c r="U60" i="10" s="1"/>
  <c r="X60" i="10" s="1"/>
  <c r="M61" i="10"/>
  <c r="T61" i="10" s="1"/>
  <c r="T66" i="10"/>
  <c r="K70" i="10"/>
  <c r="L83" i="10"/>
  <c r="T83" i="10" s="1"/>
  <c r="K87" i="10"/>
  <c r="L88" i="10"/>
  <c r="T88" i="10" s="1"/>
  <c r="K90" i="10"/>
  <c r="T92" i="10"/>
  <c r="L99" i="10"/>
  <c r="M104" i="10"/>
  <c r="L106" i="10"/>
  <c r="T106" i="10" s="1"/>
  <c r="U106" i="10" s="1"/>
  <c r="X106" i="10" s="1"/>
  <c r="K112" i="10"/>
  <c r="T41" i="10"/>
  <c r="U107" i="10"/>
  <c r="X107" i="10" s="1"/>
  <c r="K39" i="10"/>
  <c r="K42" i="10"/>
  <c r="M44" i="10"/>
  <c r="M52" i="10"/>
  <c r="M80" i="10"/>
  <c r="M85" i="10"/>
  <c r="M101" i="10"/>
  <c r="L104" i="10"/>
  <c r="T104" i="10" s="1"/>
  <c r="U104" i="10" s="1"/>
  <c r="X104" i="10" s="1"/>
  <c r="L9" i="10"/>
  <c r="T9" i="10" s="1"/>
  <c r="T11" i="10"/>
  <c r="U11" i="10" s="1"/>
  <c r="X11" i="10" s="1"/>
  <c r="K33" i="10"/>
  <c r="U47" i="10"/>
  <c r="X47" i="10" s="1"/>
  <c r="T49" i="10"/>
  <c r="U49" i="10" s="1"/>
  <c r="X49" i="10" s="1"/>
  <c r="K56" i="10"/>
  <c r="M64" i="10"/>
  <c r="K72" i="10"/>
  <c r="L74" i="10"/>
  <c r="L76" i="10"/>
  <c r="T76" i="10" s="1"/>
  <c r="T86" i="10"/>
  <c r="K92" i="10"/>
  <c r="K93" i="10"/>
  <c r="L96" i="10"/>
  <c r="U98" i="10"/>
  <c r="X98" i="10" s="1"/>
  <c r="L112" i="10"/>
  <c r="V5" i="12"/>
  <c r="Y5" i="12" s="1"/>
  <c r="V11" i="12"/>
  <c r="Y11" i="12" s="1"/>
  <c r="V12" i="12"/>
  <c r="Y12" i="12" s="1"/>
  <c r="V17" i="12"/>
  <c r="Y17" i="12" s="1"/>
  <c r="M27" i="12"/>
  <c r="N27" i="12"/>
  <c r="V37" i="12"/>
  <c r="Y37" i="12" s="1"/>
  <c r="V41" i="12"/>
  <c r="Y41" i="12" s="1"/>
  <c r="V46" i="12"/>
  <c r="Y46" i="12" s="1"/>
  <c r="G112" i="12"/>
  <c r="L4" i="12"/>
  <c r="L15" i="12"/>
  <c r="V15" i="12" s="1"/>
  <c r="Y15" i="12" s="1"/>
  <c r="M34" i="12"/>
  <c r="N34" i="12"/>
  <c r="N8" i="12"/>
  <c r="M8" i="12"/>
  <c r="V28" i="12"/>
  <c r="Y28" i="12" s="1"/>
  <c r="N10" i="12"/>
  <c r="M10" i="12"/>
  <c r="V25" i="12"/>
  <c r="Y25" i="12" s="1"/>
  <c r="V26" i="12"/>
  <c r="Y26" i="12" s="1"/>
  <c r="M31" i="12"/>
  <c r="N31" i="12"/>
  <c r="V51" i="12"/>
  <c r="Y51" i="12" s="1"/>
  <c r="N63" i="12"/>
  <c r="U63" i="12" s="1"/>
  <c r="L63" i="12"/>
  <c r="N87" i="12"/>
  <c r="L13" i="12"/>
  <c r="L22" i="12"/>
  <c r="N38" i="12"/>
  <c r="U38" i="12" s="1"/>
  <c r="V38" i="12" s="1"/>
  <c r="Y38" i="12" s="1"/>
  <c r="N40" i="12"/>
  <c r="U40" i="12" s="1"/>
  <c r="V40" i="12" s="1"/>
  <c r="Y40" i="12" s="1"/>
  <c r="N44" i="12"/>
  <c r="U44" i="12" s="1"/>
  <c r="V44" i="12" s="1"/>
  <c r="Y44" i="12" s="1"/>
  <c r="AA44" i="12" s="1"/>
  <c r="N45" i="12"/>
  <c r="U45" i="12" s="1"/>
  <c r="V45" i="12" s="1"/>
  <c r="Y45" i="12" s="1"/>
  <c r="U50" i="12"/>
  <c r="V50" i="12" s="1"/>
  <c r="Y50" i="12" s="1"/>
  <c r="L55" i="12"/>
  <c r="N55" i="12"/>
  <c r="U55" i="12" s="1"/>
  <c r="M57" i="12"/>
  <c r="U57" i="12" s="1"/>
  <c r="K57" i="12"/>
  <c r="L57" i="12" s="1"/>
  <c r="M87" i="12"/>
  <c r="U87" i="12" s="1"/>
  <c r="V87" i="12" s="1"/>
  <c r="Y87" i="12" s="1"/>
  <c r="N101" i="12"/>
  <c r="M101" i="12"/>
  <c r="V103" i="12"/>
  <c r="Y103" i="12" s="1"/>
  <c r="K81" i="12"/>
  <c r="L81" i="12" s="1"/>
  <c r="V81" i="12" s="1"/>
  <c r="Y81" i="12" s="1"/>
  <c r="N81" i="12"/>
  <c r="M13" i="12"/>
  <c r="U13" i="12" s="1"/>
  <c r="M22" i="12"/>
  <c r="U22" i="12" s="1"/>
  <c r="V68" i="12"/>
  <c r="Y68" i="12" s="1"/>
  <c r="U79" i="12"/>
  <c r="V79" i="12" s="1"/>
  <c r="Y79" i="12" s="1"/>
  <c r="M81" i="12"/>
  <c r="N109" i="12"/>
  <c r="M109" i="12"/>
  <c r="L109" i="12"/>
  <c r="V53" i="12"/>
  <c r="Y53" i="12" s="1"/>
  <c r="U56" i="12"/>
  <c r="V56" i="12" s="1"/>
  <c r="Y56" i="12" s="1"/>
  <c r="V69" i="12"/>
  <c r="Y69" i="12" s="1"/>
  <c r="V75" i="12"/>
  <c r="Y75" i="12" s="1"/>
  <c r="V76" i="12"/>
  <c r="Y76" i="12" s="1"/>
  <c r="V83" i="12"/>
  <c r="Y83" i="12" s="1"/>
  <c r="V85" i="12"/>
  <c r="Y85" i="12" s="1"/>
  <c r="V91" i="12"/>
  <c r="Y91" i="12" s="1"/>
  <c r="U95" i="12"/>
  <c r="V95" i="12" s="1"/>
  <c r="Y95" i="12" s="1"/>
  <c r="V98" i="12"/>
  <c r="Y98" i="12" s="1"/>
  <c r="V104" i="12"/>
  <c r="Y104" i="12" s="1"/>
  <c r="M111" i="12"/>
  <c r="U111" i="12" s="1"/>
  <c r="L111" i="12"/>
  <c r="N61" i="12"/>
  <c r="U61" i="12" s="1"/>
  <c r="V61" i="12" s="1"/>
  <c r="Y61" i="12" s="1"/>
  <c r="L64" i="12"/>
  <c r="V64" i="12" s="1"/>
  <c r="Y64" i="12" s="1"/>
  <c r="N71" i="12"/>
  <c r="U71" i="12" s="1"/>
  <c r="V71" i="12" s="1"/>
  <c r="Y71" i="12" s="1"/>
  <c r="M72" i="12"/>
  <c r="U72" i="12" s="1"/>
  <c r="V72" i="12" s="1"/>
  <c r="Y72" i="12" s="1"/>
  <c r="N105" i="12"/>
  <c r="U105" i="12" s="1"/>
  <c r="V105" i="12" s="1"/>
  <c r="Y105" i="12" s="1"/>
  <c r="M67" i="12"/>
  <c r="U67" i="12" s="1"/>
  <c r="V67" i="12" s="1"/>
  <c r="Y67" i="12" s="1"/>
  <c r="Y4" i="11"/>
  <c r="V9" i="11"/>
  <c r="Y9" i="11" s="1"/>
  <c r="N10" i="11"/>
  <c r="M10" i="11"/>
  <c r="M8" i="11"/>
  <c r="N8" i="11"/>
  <c r="N61" i="11"/>
  <c r="M61" i="11"/>
  <c r="M7" i="11"/>
  <c r="N7" i="11"/>
  <c r="N15" i="11"/>
  <c r="M15" i="11"/>
  <c r="L15" i="11"/>
  <c r="L74" i="11"/>
  <c r="N74" i="11"/>
  <c r="M74" i="11"/>
  <c r="N102" i="11"/>
  <c r="M102" i="11"/>
  <c r="L102" i="11"/>
  <c r="V19" i="11"/>
  <c r="Y19" i="11" s="1"/>
  <c r="M60" i="11"/>
  <c r="N60" i="11"/>
  <c r="L21" i="11"/>
  <c r="L108" i="11"/>
  <c r="N108" i="11"/>
  <c r="M108" i="11"/>
  <c r="L31" i="11"/>
  <c r="N38" i="11"/>
  <c r="M38" i="11"/>
  <c r="U38" i="11" s="1"/>
  <c r="M45" i="11"/>
  <c r="N45" i="11"/>
  <c r="L54" i="11"/>
  <c r="N54" i="11"/>
  <c r="M90" i="11"/>
  <c r="L90" i="11"/>
  <c r="M103" i="11"/>
  <c r="U103" i="11" s="1"/>
  <c r="V103" i="11" s="1"/>
  <c r="Y103" i="11" s="1"/>
  <c r="L20" i="11"/>
  <c r="V30" i="11"/>
  <c r="Y30" i="11" s="1"/>
  <c r="M33" i="11"/>
  <c r="U33" i="11" s="1"/>
  <c r="V33" i="11" s="1"/>
  <c r="Y33" i="11" s="1"/>
  <c r="L38" i="11"/>
  <c r="N44" i="11"/>
  <c r="M44" i="11"/>
  <c r="L44" i="11"/>
  <c r="L45" i="11"/>
  <c r="M54" i="11"/>
  <c r="L60" i="11"/>
  <c r="L70" i="11"/>
  <c r="M70" i="11"/>
  <c r="U70" i="11" s="1"/>
  <c r="L80" i="11"/>
  <c r="V80" i="11" s="1"/>
  <c r="Y80" i="11" s="1"/>
  <c r="N80" i="11"/>
  <c r="M80" i="11"/>
  <c r="N86" i="11"/>
  <c r="V98" i="11"/>
  <c r="Y98" i="11" s="1"/>
  <c r="M104" i="11"/>
  <c r="N104" i="11"/>
  <c r="L12" i="11"/>
  <c r="V12" i="11" s="1"/>
  <c r="Y12" i="11" s="1"/>
  <c r="V25" i="11"/>
  <c r="Y25" i="11" s="1"/>
  <c r="U28" i="11"/>
  <c r="V28" i="11" s="1"/>
  <c r="Y28" i="11" s="1"/>
  <c r="U40" i="11"/>
  <c r="V40" i="11" s="1"/>
  <c r="Y40" i="11" s="1"/>
  <c r="N42" i="11"/>
  <c r="M42" i="11"/>
  <c r="L42" i="11"/>
  <c r="V43" i="11"/>
  <c r="Y43" i="11" s="1"/>
  <c r="V49" i="11"/>
  <c r="Y49" i="11" s="1"/>
  <c r="V64" i="11"/>
  <c r="Y64" i="11" s="1"/>
  <c r="V66" i="11"/>
  <c r="Y66" i="11" s="1"/>
  <c r="M71" i="11"/>
  <c r="U71" i="11" s="1"/>
  <c r="L71" i="11"/>
  <c r="V84" i="11"/>
  <c r="Y84" i="11" s="1"/>
  <c r="M85" i="11"/>
  <c r="N85" i="11"/>
  <c r="L85" i="11"/>
  <c r="M86" i="11"/>
  <c r="N90" i="11"/>
  <c r="M97" i="11"/>
  <c r="U97" i="11" s="1"/>
  <c r="V97" i="11" s="1"/>
  <c r="Y97" i="11" s="1"/>
  <c r="N97" i="11"/>
  <c r="L104" i="11"/>
  <c r="V75" i="11"/>
  <c r="Y75" i="11" s="1"/>
  <c r="U110" i="11"/>
  <c r="V110" i="11" s="1"/>
  <c r="Y110" i="11" s="1"/>
  <c r="U50" i="11"/>
  <c r="V50" i="11" s="1"/>
  <c r="Y50" i="11" s="1"/>
  <c r="M52" i="11"/>
  <c r="U52" i="11" s="1"/>
  <c r="V52" i="11" s="1"/>
  <c r="Y52" i="11" s="1"/>
  <c r="U57" i="11"/>
  <c r="V57" i="11" s="1"/>
  <c r="Y57" i="11" s="1"/>
  <c r="L68" i="11"/>
  <c r="L77" i="11"/>
  <c r="L81" i="11"/>
  <c r="V81" i="11" s="1"/>
  <c r="Y81" i="11" s="1"/>
  <c r="M88" i="11"/>
  <c r="U88" i="11" s="1"/>
  <c r="V88" i="11" s="1"/>
  <c r="Y88" i="11" s="1"/>
  <c r="L94" i="11"/>
  <c r="V94" i="11" s="1"/>
  <c r="Y94" i="11" s="1"/>
  <c r="M100" i="11"/>
  <c r="U100" i="11" s="1"/>
  <c r="V100" i="11" s="1"/>
  <c r="Y100" i="11" s="1"/>
  <c r="M8" i="10"/>
  <c r="L8" i="10"/>
  <c r="T8" i="10" s="1"/>
  <c r="U8" i="10" s="1"/>
  <c r="X8" i="10" s="1"/>
  <c r="U9" i="10"/>
  <c r="X9" i="10" s="1"/>
  <c r="T18" i="10"/>
  <c r="U18" i="10" s="1"/>
  <c r="X18" i="10" s="1"/>
  <c r="U4" i="10"/>
  <c r="L7" i="10"/>
  <c r="M7" i="10"/>
  <c r="K43" i="10"/>
  <c r="M43" i="10"/>
  <c r="M62" i="10"/>
  <c r="L62" i="10"/>
  <c r="T62" i="10" s="1"/>
  <c r="U62" i="10" s="1"/>
  <c r="X62" i="10" s="1"/>
  <c r="K13" i="10"/>
  <c r="K15" i="10"/>
  <c r="K17" i="10"/>
  <c r="L20" i="10"/>
  <c r="U25" i="10"/>
  <c r="X25" i="10" s="1"/>
  <c r="U40" i="10"/>
  <c r="X40" i="10" s="1"/>
  <c r="L43" i="10"/>
  <c r="U55" i="10"/>
  <c r="X55" i="10" s="1"/>
  <c r="U56" i="10"/>
  <c r="X56" i="10" s="1"/>
  <c r="L89" i="10"/>
  <c r="M89" i="10"/>
  <c r="K89" i="10"/>
  <c r="M32" i="10"/>
  <c r="T32" i="10" s="1"/>
  <c r="U32" i="10" s="1"/>
  <c r="X32" i="10" s="1"/>
  <c r="K12" i="10"/>
  <c r="L13" i="10"/>
  <c r="T13" i="10" s="1"/>
  <c r="L15" i="10"/>
  <c r="T15" i="10" s="1"/>
  <c r="L17" i="10"/>
  <c r="T17" i="10" s="1"/>
  <c r="M20" i="10"/>
  <c r="K21" i="10"/>
  <c r="M30" i="10"/>
  <c r="T30" i="10" s="1"/>
  <c r="U30" i="10" s="1"/>
  <c r="X30" i="10" s="1"/>
  <c r="T35" i="10"/>
  <c r="U35" i="10" s="1"/>
  <c r="X35" i="10" s="1"/>
  <c r="T37" i="10"/>
  <c r="U37" i="10" s="1"/>
  <c r="X37" i="10" s="1"/>
  <c r="K54" i="10"/>
  <c r="M54" i="10"/>
  <c r="L54" i="10"/>
  <c r="H113" i="10"/>
  <c r="T64" i="10"/>
  <c r="L82" i="10"/>
  <c r="M82" i="10"/>
  <c r="K82" i="10"/>
  <c r="U82" i="10" s="1"/>
  <c r="X82" i="10" s="1"/>
  <c r="U86" i="10"/>
  <c r="X86" i="10" s="1"/>
  <c r="M102" i="10"/>
  <c r="L102" i="10"/>
  <c r="K29" i="10"/>
  <c r="M29" i="10"/>
  <c r="T29" i="10" s="1"/>
  <c r="L31" i="10"/>
  <c r="T31" i="10" s="1"/>
  <c r="J31" i="10"/>
  <c r="K31" i="10" s="1"/>
  <c r="K34" i="10"/>
  <c r="M34" i="10"/>
  <c r="T34" i="10" s="1"/>
  <c r="L77" i="10"/>
  <c r="M77" i="10"/>
  <c r="K77" i="10"/>
  <c r="G113" i="10"/>
  <c r="M21" i="10"/>
  <c r="T21" i="10" s="1"/>
  <c r="U27" i="10"/>
  <c r="X27" i="10" s="1"/>
  <c r="U41" i="10"/>
  <c r="X41" i="10" s="1"/>
  <c r="U87" i="10"/>
  <c r="X87" i="10" s="1"/>
  <c r="T101" i="10"/>
  <c r="L105" i="10"/>
  <c r="T105" i="10" s="1"/>
  <c r="U105" i="10"/>
  <c r="X105" i="10" s="1"/>
  <c r="L56" i="10"/>
  <c r="T56" i="10" s="1"/>
  <c r="U57" i="10"/>
  <c r="X57" i="10" s="1"/>
  <c r="K59" i="10"/>
  <c r="U59" i="10" s="1"/>
  <c r="X59" i="10" s="1"/>
  <c r="K68" i="10"/>
  <c r="M73" i="10"/>
  <c r="T73" i="10" s="1"/>
  <c r="U73" i="10" s="1"/>
  <c r="X73" i="10" s="1"/>
  <c r="T99" i="10"/>
  <c r="U99" i="10" s="1"/>
  <c r="X99" i="10" s="1"/>
  <c r="U100" i="10"/>
  <c r="X100" i="10" s="1"/>
  <c r="U108" i="10"/>
  <c r="X108" i="10" s="1"/>
  <c r="T110" i="10"/>
  <c r="U52" i="10"/>
  <c r="X52" i="10" s="1"/>
  <c r="L44" i="10"/>
  <c r="T44" i="10" s="1"/>
  <c r="U44" i="10" s="1"/>
  <c r="X44" i="10" s="1"/>
  <c r="L52" i="10"/>
  <c r="T52" i="10" s="1"/>
  <c r="K58" i="10"/>
  <c r="K61" i="10"/>
  <c r="K64" i="10"/>
  <c r="L68" i="10"/>
  <c r="T68" i="10" s="1"/>
  <c r="M74" i="10"/>
  <c r="T74" i="10" s="1"/>
  <c r="U74" i="10" s="1"/>
  <c r="X74" i="10" s="1"/>
  <c r="U76" i="10"/>
  <c r="X76" i="10" s="1"/>
  <c r="L80" i="10"/>
  <c r="K81" i="10"/>
  <c r="U81" i="10" s="1"/>
  <c r="X81" i="10" s="1"/>
  <c r="K83" i="10"/>
  <c r="L85" i="10"/>
  <c r="T85" i="10" s="1"/>
  <c r="U85" i="10" s="1"/>
  <c r="X85" i="10" s="1"/>
  <c r="T87" i="10"/>
  <c r="U88" i="10"/>
  <c r="X88" i="10" s="1"/>
  <c r="L90" i="10"/>
  <c r="T90" i="10" s="1"/>
  <c r="U90" i="10" s="1"/>
  <c r="X90" i="10" s="1"/>
  <c r="L93" i="10"/>
  <c r="T93" i="10" s="1"/>
  <c r="M96" i="10"/>
  <c r="K101" i="10"/>
  <c r="T103" i="10"/>
  <c r="U103" i="10" s="1"/>
  <c r="X103" i="10" s="1"/>
  <c r="U110" i="10"/>
  <c r="X110" i="10" s="1"/>
  <c r="T112" i="10"/>
  <c r="U5" i="9"/>
  <c r="X5" i="9" s="1"/>
  <c r="L9" i="9"/>
  <c r="K9" i="9"/>
  <c r="J113" i="9"/>
  <c r="K32" i="9"/>
  <c r="K4" i="9"/>
  <c r="G113" i="9"/>
  <c r="L7" i="9"/>
  <c r="T7" i="9" s="1"/>
  <c r="M9" i="9"/>
  <c r="U28" i="9"/>
  <c r="X28" i="9" s="1"/>
  <c r="M31" i="9"/>
  <c r="T31" i="9" s="1"/>
  <c r="U31" i="9" s="1"/>
  <c r="X31" i="9" s="1"/>
  <c r="M34" i="9"/>
  <c r="L34" i="9"/>
  <c r="T34" i="9" s="1"/>
  <c r="K34" i="9"/>
  <c r="U34" i="9" s="1"/>
  <c r="X34" i="9" s="1"/>
  <c r="M42" i="9"/>
  <c r="L42" i="9"/>
  <c r="K42" i="9"/>
  <c r="M52" i="9"/>
  <c r="L52" i="9"/>
  <c r="K52" i="9"/>
  <c r="M10" i="9"/>
  <c r="L10" i="9"/>
  <c r="M19" i="9"/>
  <c r="L19" i="9"/>
  <c r="K19" i="9"/>
  <c r="M22" i="9"/>
  <c r="L22" i="9"/>
  <c r="K22" i="9"/>
  <c r="U41" i="9"/>
  <c r="X41" i="9" s="1"/>
  <c r="M74" i="9"/>
  <c r="L74" i="9"/>
  <c r="K74" i="9"/>
  <c r="L8" i="9"/>
  <c r="L4" i="9"/>
  <c r="U7" i="9"/>
  <c r="X7" i="9" s="1"/>
  <c r="M8" i="9"/>
  <c r="M4" i="9"/>
  <c r="U15" i="9"/>
  <c r="X15" i="9" s="1"/>
  <c r="U17" i="9"/>
  <c r="X17" i="9" s="1"/>
  <c r="L18" i="9"/>
  <c r="T18" i="9" s="1"/>
  <c r="K18" i="9"/>
  <c r="N113" i="9"/>
  <c r="T25" i="9"/>
  <c r="U25" i="9" s="1"/>
  <c r="X25" i="9" s="1"/>
  <c r="L33" i="9"/>
  <c r="T33" i="9" s="1"/>
  <c r="U33" i="9" s="1"/>
  <c r="X33" i="9" s="1"/>
  <c r="U38" i="9"/>
  <c r="X38" i="9" s="1"/>
  <c r="M43" i="9"/>
  <c r="L43" i="9"/>
  <c r="T43" i="9" s="1"/>
  <c r="K43" i="9"/>
  <c r="U46" i="9"/>
  <c r="X46" i="9" s="1"/>
  <c r="M32" i="9"/>
  <c r="T32" i="9" s="1"/>
  <c r="H113" i="9"/>
  <c r="M59" i="9"/>
  <c r="L59" i="9"/>
  <c r="T59" i="9" s="1"/>
  <c r="K59" i="9"/>
  <c r="U59" i="9" s="1"/>
  <c r="X59" i="9" s="1"/>
  <c r="M62" i="9"/>
  <c r="L62" i="9"/>
  <c r="M76" i="9"/>
  <c r="L76" i="9"/>
  <c r="K76" i="9"/>
  <c r="T100" i="9"/>
  <c r="U100" i="9" s="1"/>
  <c r="X100" i="9" s="1"/>
  <c r="U103" i="9"/>
  <c r="X103" i="9" s="1"/>
  <c r="T107" i="9"/>
  <c r="U107" i="9" s="1"/>
  <c r="X107" i="9" s="1"/>
  <c r="K21" i="9"/>
  <c r="T53" i="9"/>
  <c r="U53" i="9" s="1"/>
  <c r="X53" i="9" s="1"/>
  <c r="M58" i="9"/>
  <c r="L58" i="9"/>
  <c r="T58" i="9" s="1"/>
  <c r="L64" i="9"/>
  <c r="T64" i="9" s="1"/>
  <c r="K64" i="9"/>
  <c r="M80" i="9"/>
  <c r="L80" i="9"/>
  <c r="T80" i="9" s="1"/>
  <c r="K80" i="9"/>
  <c r="U80" i="9" s="1"/>
  <c r="X80" i="9" s="1"/>
  <c r="M102" i="9"/>
  <c r="L102" i="9"/>
  <c r="U105" i="9"/>
  <c r="X105" i="9" s="1"/>
  <c r="L49" i="9"/>
  <c r="T49" i="9" s="1"/>
  <c r="U49" i="9" s="1"/>
  <c r="X49" i="9" s="1"/>
  <c r="T55" i="9"/>
  <c r="U55" i="9" s="1"/>
  <c r="X55" i="9" s="1"/>
  <c r="U56" i="9"/>
  <c r="X56" i="9" s="1"/>
  <c r="L57" i="9"/>
  <c r="T57" i="9" s="1"/>
  <c r="U57" i="9"/>
  <c r="X57" i="9" s="1"/>
  <c r="K58" i="9"/>
  <c r="U61" i="9"/>
  <c r="X61" i="9" s="1"/>
  <c r="U66" i="9"/>
  <c r="X66" i="9" s="1"/>
  <c r="M89" i="9"/>
  <c r="L89" i="9"/>
  <c r="M96" i="9"/>
  <c r="L96" i="9"/>
  <c r="T96" i="9" s="1"/>
  <c r="K96" i="9"/>
  <c r="M101" i="9"/>
  <c r="L101" i="9"/>
  <c r="T101" i="9" s="1"/>
  <c r="K101" i="9"/>
  <c r="U101" i="9" s="1"/>
  <c r="X101" i="9" s="1"/>
  <c r="T104" i="9"/>
  <c r="U104" i="9" s="1"/>
  <c r="X104" i="9" s="1"/>
  <c r="U111" i="9"/>
  <c r="X111" i="9" s="1"/>
  <c r="L90" i="9"/>
  <c r="T90" i="9" s="1"/>
  <c r="U90" i="9" s="1"/>
  <c r="X90" i="9" s="1"/>
  <c r="L110" i="9"/>
  <c r="T110" i="9" s="1"/>
  <c r="U110" i="9" s="1"/>
  <c r="X110" i="9" s="1"/>
  <c r="K112" i="9"/>
  <c r="L60" i="9"/>
  <c r="K70" i="9"/>
  <c r="U70" i="9" s="1"/>
  <c r="X70" i="9" s="1"/>
  <c r="L73" i="9"/>
  <c r="T73" i="9" s="1"/>
  <c r="U73" i="9" s="1"/>
  <c r="X73" i="9" s="1"/>
  <c r="K79" i="9"/>
  <c r="L81" i="9"/>
  <c r="K85" i="9"/>
  <c r="K86" i="9"/>
  <c r="K88" i="9"/>
  <c r="U88" i="9" s="1"/>
  <c r="X88" i="9" s="1"/>
  <c r="L112" i="9"/>
  <c r="T112" i="9" s="1"/>
  <c r="G111" i="11" l="1"/>
  <c r="U27" i="12"/>
  <c r="V27" i="12" s="1"/>
  <c r="Y27" i="12" s="1"/>
  <c r="V35" i="11"/>
  <c r="Y35" i="11" s="1"/>
  <c r="V63" i="11"/>
  <c r="Y63" i="11" s="1"/>
  <c r="U7" i="12"/>
  <c r="V7" i="12" s="1"/>
  <c r="Y7" i="12" s="1"/>
  <c r="U99" i="11"/>
  <c r="V99" i="11" s="1"/>
  <c r="Y99" i="11" s="1"/>
  <c r="U35" i="9"/>
  <c r="X35" i="9" s="1"/>
  <c r="T13" i="9"/>
  <c r="U13" i="9" s="1"/>
  <c r="X13" i="9" s="1"/>
  <c r="U79" i="9"/>
  <c r="X79" i="9" s="1"/>
  <c r="U21" i="9"/>
  <c r="X21" i="9" s="1"/>
  <c r="U86" i="9"/>
  <c r="X86" i="9" s="1"/>
  <c r="T7" i="10"/>
  <c r="U7" i="10" s="1"/>
  <c r="X7" i="10" s="1"/>
  <c r="V77" i="11"/>
  <c r="Y77" i="11" s="1"/>
  <c r="U72" i="10"/>
  <c r="X72" i="10" s="1"/>
  <c r="U70" i="10"/>
  <c r="X70" i="10" s="1"/>
  <c r="V78" i="11"/>
  <c r="Y78" i="11" s="1"/>
  <c r="V18" i="12"/>
  <c r="Y18" i="12" s="1"/>
  <c r="U33" i="12"/>
  <c r="V33" i="12" s="1"/>
  <c r="Y33" i="12" s="1"/>
  <c r="V35" i="12"/>
  <c r="Y35" i="12" s="1"/>
  <c r="U83" i="10"/>
  <c r="X83" i="10" s="1"/>
  <c r="U85" i="9"/>
  <c r="X85" i="9" s="1"/>
  <c r="U58" i="9"/>
  <c r="X58" i="9" s="1"/>
  <c r="U64" i="9"/>
  <c r="X64" i="9" s="1"/>
  <c r="U43" i="9"/>
  <c r="X43" i="9" s="1"/>
  <c r="U18" i="9"/>
  <c r="X18" i="9" s="1"/>
  <c r="T19" i="9"/>
  <c r="U19" i="9" s="1"/>
  <c r="X19" i="9" s="1"/>
  <c r="U112" i="10"/>
  <c r="X112" i="10" s="1"/>
  <c r="T96" i="10"/>
  <c r="U96" i="10" s="1"/>
  <c r="X96" i="10" s="1"/>
  <c r="U31" i="10"/>
  <c r="X31" i="10" s="1"/>
  <c r="T102" i="10"/>
  <c r="U102" i="10" s="1"/>
  <c r="X102" i="10" s="1"/>
  <c r="U61" i="11"/>
  <c r="V61" i="11" s="1"/>
  <c r="Y61" i="11" s="1"/>
  <c r="V87" i="11"/>
  <c r="Y87" i="11" s="1"/>
  <c r="V100" i="12"/>
  <c r="Y100" i="12" s="1"/>
  <c r="U83" i="9"/>
  <c r="X83" i="9" s="1"/>
  <c r="T45" i="9"/>
  <c r="U45" i="9" s="1"/>
  <c r="X45" i="9" s="1"/>
  <c r="T44" i="9"/>
  <c r="U44" i="9" s="1"/>
  <c r="X44" i="9" s="1"/>
  <c r="Z44" i="9" s="1"/>
  <c r="V57" i="12"/>
  <c r="Y57" i="12" s="1"/>
  <c r="U10" i="12"/>
  <c r="V10" i="12" s="1"/>
  <c r="Y10" i="12" s="1"/>
  <c r="U62" i="12"/>
  <c r="V62" i="12" s="1"/>
  <c r="Y62" i="12" s="1"/>
  <c r="N112" i="12"/>
  <c r="V78" i="12"/>
  <c r="Y78" i="12" s="1"/>
  <c r="V21" i="12"/>
  <c r="Y21" i="12" s="1"/>
  <c r="V68" i="11"/>
  <c r="Y68" i="11" s="1"/>
  <c r="U54" i="11"/>
  <c r="V54" i="11" s="1"/>
  <c r="Y54" i="11" s="1"/>
  <c r="V21" i="11"/>
  <c r="Y21" i="11" s="1"/>
  <c r="U91" i="11"/>
  <c r="V91" i="11" s="1"/>
  <c r="Y91" i="11" s="1"/>
  <c r="U18" i="11"/>
  <c r="V18" i="11" s="1"/>
  <c r="Y18" i="11" s="1"/>
  <c r="V34" i="11"/>
  <c r="Y34" i="11" s="1"/>
  <c r="V83" i="11"/>
  <c r="Y83" i="11" s="1"/>
  <c r="V20" i="11"/>
  <c r="Y20" i="11" s="1"/>
  <c r="U74" i="11"/>
  <c r="V74" i="11" s="1"/>
  <c r="Y74" i="11" s="1"/>
  <c r="U15" i="11"/>
  <c r="V15" i="11" s="1"/>
  <c r="Y15" i="11" s="1"/>
  <c r="U26" i="11"/>
  <c r="V26" i="11" s="1"/>
  <c r="Y26" i="11" s="1"/>
  <c r="U13" i="11"/>
  <c r="V13" i="11" s="1"/>
  <c r="Y13" i="11" s="1"/>
  <c r="U12" i="10"/>
  <c r="X12" i="10" s="1"/>
  <c r="U42" i="10"/>
  <c r="X42" i="10" s="1"/>
  <c r="T80" i="10"/>
  <c r="U80" i="10" s="1"/>
  <c r="X80" i="10" s="1"/>
  <c r="U68" i="10"/>
  <c r="X68" i="10" s="1"/>
  <c r="T43" i="10"/>
  <c r="U17" i="10"/>
  <c r="X17" i="10" s="1"/>
  <c r="U33" i="10"/>
  <c r="X33" i="10" s="1"/>
  <c r="U58" i="10"/>
  <c r="X58" i="10" s="1"/>
  <c r="U101" i="10"/>
  <c r="X101" i="10" s="1"/>
  <c r="U92" i="10"/>
  <c r="X92" i="10" s="1"/>
  <c r="U93" i="10"/>
  <c r="X93" i="10" s="1"/>
  <c r="U61" i="10"/>
  <c r="X61" i="10" s="1"/>
  <c r="T89" i="10"/>
  <c r="K112" i="12"/>
  <c r="U101" i="12"/>
  <c r="V101" i="12" s="1"/>
  <c r="Y101" i="12" s="1"/>
  <c r="V22" i="12"/>
  <c r="Y22" i="12" s="1"/>
  <c r="V63" i="12"/>
  <c r="Y63" i="12" s="1"/>
  <c r="U31" i="12"/>
  <c r="V31" i="12" s="1"/>
  <c r="Y31" i="12" s="1"/>
  <c r="U34" i="12"/>
  <c r="V34" i="12" s="1"/>
  <c r="Y34" i="12" s="1"/>
  <c r="L112" i="12"/>
  <c r="V4" i="12"/>
  <c r="V13" i="12"/>
  <c r="Y13" i="12" s="1"/>
  <c r="U8" i="12"/>
  <c r="V111" i="12"/>
  <c r="Y111" i="12" s="1"/>
  <c r="U109" i="12"/>
  <c r="V109" i="12" s="1"/>
  <c r="Y109" i="12" s="1"/>
  <c r="M112" i="12"/>
  <c r="V55" i="12"/>
  <c r="Y55" i="12" s="1"/>
  <c r="U104" i="11"/>
  <c r="V70" i="11"/>
  <c r="Y70" i="11" s="1"/>
  <c r="V38" i="11"/>
  <c r="Y38" i="11" s="1"/>
  <c r="N31" i="11"/>
  <c r="N111" i="11" s="1"/>
  <c r="M31" i="11"/>
  <c r="U7" i="11"/>
  <c r="U10" i="11"/>
  <c r="V10" i="11" s="1"/>
  <c r="Y10" i="11" s="1"/>
  <c r="U85" i="11"/>
  <c r="U60" i="11"/>
  <c r="V60" i="11" s="1"/>
  <c r="Y60" i="11" s="1"/>
  <c r="U8" i="11"/>
  <c r="V8" i="11" s="1"/>
  <c r="Y8" i="11" s="1"/>
  <c r="V104" i="11"/>
  <c r="Y104" i="11" s="1"/>
  <c r="U86" i="11"/>
  <c r="V86" i="11" s="1"/>
  <c r="Y86" i="11" s="1"/>
  <c r="V85" i="11"/>
  <c r="Y85" i="11" s="1"/>
  <c r="V71" i="11"/>
  <c r="Y71" i="11" s="1"/>
  <c r="U42" i="11"/>
  <c r="V42" i="11" s="1"/>
  <c r="Y42" i="11" s="1"/>
  <c r="U44" i="11"/>
  <c r="V44" i="11" s="1"/>
  <c r="Y44" i="11" s="1"/>
  <c r="AA44" i="11" s="1"/>
  <c r="U90" i="11"/>
  <c r="V90" i="11" s="1"/>
  <c r="Y90" i="11" s="1"/>
  <c r="U45" i="11"/>
  <c r="V45" i="11" s="1"/>
  <c r="Y45" i="11" s="1"/>
  <c r="U108" i="11"/>
  <c r="V108" i="11" s="1"/>
  <c r="Y108" i="11" s="1"/>
  <c r="U102" i="11"/>
  <c r="V102" i="11" s="1"/>
  <c r="Y102" i="11" s="1"/>
  <c r="L111" i="11"/>
  <c r="U34" i="10"/>
  <c r="X34" i="10" s="1"/>
  <c r="J113" i="10"/>
  <c r="U21" i="10"/>
  <c r="X21" i="10" s="1"/>
  <c r="U89" i="10"/>
  <c r="X89" i="10" s="1"/>
  <c r="U15" i="10"/>
  <c r="X15" i="10" s="1"/>
  <c r="U29" i="10"/>
  <c r="X29" i="10" s="1"/>
  <c r="M113" i="10"/>
  <c r="T77" i="10"/>
  <c r="U77" i="10" s="1"/>
  <c r="X77" i="10" s="1"/>
  <c r="T54" i="10"/>
  <c r="U54" i="10" s="1"/>
  <c r="X54" i="10" s="1"/>
  <c r="U13" i="10"/>
  <c r="X13" i="10" s="1"/>
  <c r="K113" i="10"/>
  <c r="U64" i="10"/>
  <c r="X64" i="10" s="1"/>
  <c r="L113" i="10"/>
  <c r="T20" i="10"/>
  <c r="U20" i="10" s="1"/>
  <c r="X20" i="10" s="1"/>
  <c r="U43" i="10"/>
  <c r="X43" i="10" s="1"/>
  <c r="Z43" i="10" s="1"/>
  <c r="X4" i="10"/>
  <c r="L113" i="9"/>
  <c r="T4" i="9"/>
  <c r="U4" i="9" s="1"/>
  <c r="U22" i="9"/>
  <c r="X22" i="9" s="1"/>
  <c r="U112" i="9"/>
  <c r="X112" i="9" s="1"/>
  <c r="M113" i="9"/>
  <c r="T8" i="9"/>
  <c r="U8" i="9" s="1"/>
  <c r="X8" i="9" s="1"/>
  <c r="T74" i="9"/>
  <c r="U74" i="9" s="1"/>
  <c r="X74" i="9" s="1"/>
  <c r="T22" i="9"/>
  <c r="T42" i="9"/>
  <c r="U42" i="9" s="1"/>
  <c r="X42" i="9" s="1"/>
  <c r="K113" i="9"/>
  <c r="T9" i="9"/>
  <c r="U9" i="9" s="1"/>
  <c r="X9" i="9" s="1"/>
  <c r="U96" i="9"/>
  <c r="X96" i="9" s="1"/>
  <c r="T89" i="9"/>
  <c r="U89" i="9" s="1"/>
  <c r="X89" i="9" s="1"/>
  <c r="T102" i="9"/>
  <c r="U102" i="9" s="1"/>
  <c r="X102" i="9" s="1"/>
  <c r="T76" i="9"/>
  <c r="U76" i="9" s="1"/>
  <c r="X76" i="9" s="1"/>
  <c r="T62" i="9"/>
  <c r="U62" i="9" s="1"/>
  <c r="X62" i="9" s="1"/>
  <c r="T10" i="9"/>
  <c r="U10" i="9" s="1"/>
  <c r="X10" i="9" s="1"/>
  <c r="T52" i="9"/>
  <c r="U52" i="9" s="1"/>
  <c r="X52" i="9" s="1"/>
  <c r="U32" i="9"/>
  <c r="X32" i="9" s="1"/>
  <c r="U112" i="12" l="1"/>
  <c r="V8" i="12"/>
  <c r="Y8" i="12" s="1"/>
  <c r="Y4" i="12"/>
  <c r="Y112" i="12" s="1"/>
  <c r="V7" i="11"/>
  <c r="U31" i="11"/>
  <c r="V31" i="11" s="1"/>
  <c r="Y31" i="11" s="1"/>
  <c r="M111" i="11"/>
  <c r="U113" i="10"/>
  <c r="X113" i="10"/>
  <c r="T113" i="10"/>
  <c r="T113" i="9"/>
  <c r="U113" i="9"/>
  <c r="X4" i="9"/>
  <c r="X113" i="9" s="1"/>
  <c r="V112" i="12" l="1"/>
  <c r="U111" i="11"/>
  <c r="Y7" i="11"/>
  <c r="Y111" i="11" s="1"/>
  <c r="V111" i="11"/>
  <c r="C208" i="6" l="1"/>
  <c r="C188" i="6"/>
  <c r="C181" i="6"/>
  <c r="C183" i="6" s="1"/>
  <c r="W116" i="6"/>
  <c r="V116" i="6"/>
  <c r="R116" i="6"/>
  <c r="Q116" i="6"/>
  <c r="P116" i="6"/>
  <c r="O116" i="6"/>
  <c r="N116" i="6"/>
  <c r="I116" i="6"/>
  <c r="E116" i="6"/>
  <c r="G115" i="6"/>
  <c r="L115" i="6" s="1"/>
  <c r="T114" i="6"/>
  <c r="G114" i="6"/>
  <c r="K114" i="6" s="1"/>
  <c r="U114" i="6" s="1"/>
  <c r="M113" i="6"/>
  <c r="H113" i="6"/>
  <c r="G113" i="6"/>
  <c r="T112" i="6"/>
  <c r="G112" i="6"/>
  <c r="J112" i="6" s="1"/>
  <c r="K112" i="6" s="1"/>
  <c r="U112" i="6" s="1"/>
  <c r="X112" i="6" s="1"/>
  <c r="G111" i="6"/>
  <c r="M111" i="6" s="1"/>
  <c r="T110" i="6"/>
  <c r="H110" i="6"/>
  <c r="G110" i="6"/>
  <c r="K110" i="6" s="1"/>
  <c r="G109" i="6"/>
  <c r="K109" i="6" s="1"/>
  <c r="G108" i="6"/>
  <c r="L108" i="6" s="1"/>
  <c r="M107" i="6"/>
  <c r="L107" i="6"/>
  <c r="G107" i="6"/>
  <c r="K107" i="6" s="1"/>
  <c r="M106" i="6"/>
  <c r="L106" i="6"/>
  <c r="G106" i="6"/>
  <c r="K106" i="6" s="1"/>
  <c r="M105" i="6"/>
  <c r="L105" i="6"/>
  <c r="T105" i="6" s="1"/>
  <c r="G105" i="6"/>
  <c r="K105" i="6" s="1"/>
  <c r="G104" i="6"/>
  <c r="L103" i="6"/>
  <c r="G103" i="6"/>
  <c r="K103" i="6" s="1"/>
  <c r="L102" i="6"/>
  <c r="G102" i="6"/>
  <c r="J102" i="6" s="1"/>
  <c r="K102" i="6" s="1"/>
  <c r="G101" i="6"/>
  <c r="J101" i="6" s="1"/>
  <c r="L100" i="6"/>
  <c r="T100" i="6" s="1"/>
  <c r="G100" i="6"/>
  <c r="M100" i="6" s="1"/>
  <c r="G99" i="6"/>
  <c r="L99" i="6" s="1"/>
  <c r="M98" i="6"/>
  <c r="T98" i="6" s="1"/>
  <c r="G98" i="6"/>
  <c r="K98" i="6" s="1"/>
  <c r="M97" i="6"/>
  <c r="L97" i="6"/>
  <c r="T97" i="6" s="1"/>
  <c r="H97" i="6"/>
  <c r="K97" i="6" s="1"/>
  <c r="G97" i="6"/>
  <c r="G96" i="6"/>
  <c r="L96" i="6" s="1"/>
  <c r="G95" i="6"/>
  <c r="K95" i="6" s="1"/>
  <c r="T94" i="6"/>
  <c r="G94" i="6"/>
  <c r="K94" i="6" s="1"/>
  <c r="G93" i="6"/>
  <c r="M93" i="6" s="1"/>
  <c r="H92" i="6"/>
  <c r="K92" i="6" s="1"/>
  <c r="G92" i="6"/>
  <c r="M92" i="6" s="1"/>
  <c r="G91" i="6"/>
  <c r="M91" i="6" s="1"/>
  <c r="G90" i="6"/>
  <c r="K90" i="6" s="1"/>
  <c r="T89" i="6"/>
  <c r="G89" i="6"/>
  <c r="K89" i="6" s="1"/>
  <c r="U89" i="6" s="1"/>
  <c r="X89" i="6" s="1"/>
  <c r="T88" i="6"/>
  <c r="G88" i="6"/>
  <c r="K88" i="6" s="1"/>
  <c r="G87" i="6"/>
  <c r="L87" i="6" s="1"/>
  <c r="G86" i="6"/>
  <c r="H85" i="6"/>
  <c r="G85" i="6"/>
  <c r="L85" i="6" s="1"/>
  <c r="G84" i="6"/>
  <c r="L84" i="6" s="1"/>
  <c r="H83" i="6"/>
  <c r="G83" i="6"/>
  <c r="M83" i="6" s="1"/>
  <c r="H82" i="6"/>
  <c r="G82" i="6"/>
  <c r="K82" i="6" s="1"/>
  <c r="G81" i="6"/>
  <c r="G80" i="6"/>
  <c r="M80" i="6" s="1"/>
  <c r="M79" i="6"/>
  <c r="L79" i="6"/>
  <c r="T79" i="6" s="1"/>
  <c r="K79" i="6"/>
  <c r="G79" i="6"/>
  <c r="H78" i="6"/>
  <c r="G78" i="6"/>
  <c r="L78" i="6" s="1"/>
  <c r="T77" i="6"/>
  <c r="G77" i="6"/>
  <c r="K77" i="6" s="1"/>
  <c r="AA76" i="6"/>
  <c r="H76" i="6"/>
  <c r="G76" i="6"/>
  <c r="T75" i="6"/>
  <c r="G75" i="6"/>
  <c r="K75" i="6" s="1"/>
  <c r="AA74" i="6"/>
  <c r="G74" i="6"/>
  <c r="K74" i="6" s="1"/>
  <c r="G73" i="6"/>
  <c r="K73" i="6" s="1"/>
  <c r="H72" i="6"/>
  <c r="G72" i="6"/>
  <c r="M72" i="6" s="1"/>
  <c r="G71" i="6"/>
  <c r="M71" i="6" s="1"/>
  <c r="G70" i="6"/>
  <c r="M70" i="6" s="1"/>
  <c r="M69" i="6"/>
  <c r="L69" i="6"/>
  <c r="T69" i="6" s="1"/>
  <c r="H69" i="6"/>
  <c r="G69" i="6"/>
  <c r="T68" i="6"/>
  <c r="G68" i="6"/>
  <c r="K68" i="6" s="1"/>
  <c r="H67" i="6"/>
  <c r="G67" i="6"/>
  <c r="M67" i="6" s="1"/>
  <c r="T66" i="6"/>
  <c r="G66" i="6"/>
  <c r="K66" i="6" s="1"/>
  <c r="G65" i="6"/>
  <c r="K65" i="6" s="1"/>
  <c r="G64" i="6"/>
  <c r="M63" i="6"/>
  <c r="H63" i="6"/>
  <c r="K63" i="6" s="1"/>
  <c r="G63" i="6"/>
  <c r="L63" i="6" s="1"/>
  <c r="T62" i="6"/>
  <c r="H62" i="6"/>
  <c r="G62" i="6"/>
  <c r="J62" i="6" s="1"/>
  <c r="K62" i="6" s="1"/>
  <c r="G61" i="6"/>
  <c r="K61" i="6" s="1"/>
  <c r="M60" i="6"/>
  <c r="L60" i="6"/>
  <c r="K60" i="6"/>
  <c r="G60" i="6"/>
  <c r="T59" i="6"/>
  <c r="G59" i="6"/>
  <c r="K59" i="6" s="1"/>
  <c r="H58" i="6"/>
  <c r="G58" i="6"/>
  <c r="M58" i="6" s="1"/>
  <c r="T57" i="6"/>
  <c r="G57" i="6"/>
  <c r="K57" i="6" s="1"/>
  <c r="T56" i="6"/>
  <c r="H56" i="6"/>
  <c r="K56" i="6" s="1"/>
  <c r="G55" i="6"/>
  <c r="H54" i="6"/>
  <c r="G54" i="6"/>
  <c r="L54" i="6" s="1"/>
  <c r="T54" i="6" s="1"/>
  <c r="T53" i="6"/>
  <c r="H53" i="6"/>
  <c r="G53" i="6"/>
  <c r="G52" i="6"/>
  <c r="K52" i="6" s="1"/>
  <c r="L51" i="6"/>
  <c r="G51" i="6"/>
  <c r="K51" i="6" s="1"/>
  <c r="M50" i="6"/>
  <c r="K50" i="6"/>
  <c r="L50" i="6" s="1"/>
  <c r="G50" i="6"/>
  <c r="T49" i="6"/>
  <c r="G49" i="6"/>
  <c r="K49" i="6" s="1"/>
  <c r="G48" i="6"/>
  <c r="K48" i="6" s="1"/>
  <c r="U48" i="6" s="1"/>
  <c r="X48" i="6" s="1"/>
  <c r="T47" i="6"/>
  <c r="K47" i="6"/>
  <c r="U47" i="6" s="1"/>
  <c r="X47" i="6" s="1"/>
  <c r="G47" i="6"/>
  <c r="T46" i="6"/>
  <c r="G46" i="6"/>
  <c r="K46" i="6" s="1"/>
  <c r="G45" i="6"/>
  <c r="K45" i="6" s="1"/>
  <c r="G44" i="6"/>
  <c r="K44" i="6" s="1"/>
  <c r="J43" i="6"/>
  <c r="G43" i="6" s="1"/>
  <c r="G42" i="6"/>
  <c r="L41" i="6"/>
  <c r="G41" i="6"/>
  <c r="K41" i="6" s="1"/>
  <c r="M40" i="6"/>
  <c r="L40" i="6"/>
  <c r="K40" i="6"/>
  <c r="G40" i="6"/>
  <c r="J40" i="6" s="1"/>
  <c r="M39" i="6"/>
  <c r="K39" i="6"/>
  <c r="G39" i="6"/>
  <c r="L39" i="6" s="1"/>
  <c r="T39" i="6" s="1"/>
  <c r="G38" i="6"/>
  <c r="G37" i="6"/>
  <c r="T36" i="6"/>
  <c r="G36" i="6"/>
  <c r="K36" i="6" s="1"/>
  <c r="M35" i="6"/>
  <c r="L35" i="6"/>
  <c r="G35" i="6"/>
  <c r="K35" i="6" s="1"/>
  <c r="M34" i="6"/>
  <c r="L34" i="6"/>
  <c r="G34" i="6"/>
  <c r="K34" i="6" s="1"/>
  <c r="G33" i="6"/>
  <c r="M33" i="6" s="1"/>
  <c r="G32" i="6"/>
  <c r="K32" i="6" s="1"/>
  <c r="G31" i="6"/>
  <c r="K31" i="6" s="1"/>
  <c r="G30" i="6"/>
  <c r="L30" i="6" s="1"/>
  <c r="T29" i="6"/>
  <c r="G29" i="6"/>
  <c r="K29" i="6" s="1"/>
  <c r="M28" i="6"/>
  <c r="L28" i="6"/>
  <c r="G28" i="6"/>
  <c r="K28" i="6" s="1"/>
  <c r="G27" i="6"/>
  <c r="K27" i="6" s="1"/>
  <c r="M26" i="6"/>
  <c r="L26" i="6"/>
  <c r="K26" i="6"/>
  <c r="T25" i="6"/>
  <c r="G25" i="6"/>
  <c r="K25" i="6" s="1"/>
  <c r="U25" i="6" s="1"/>
  <c r="X25" i="6" s="1"/>
  <c r="S24" i="6"/>
  <c r="M24" i="6"/>
  <c r="G24" i="6"/>
  <c r="L24" i="6" s="1"/>
  <c r="T23" i="6"/>
  <c r="G23" i="6"/>
  <c r="K23" i="6" s="1"/>
  <c r="G22" i="6"/>
  <c r="M22" i="6" s="1"/>
  <c r="G21" i="6"/>
  <c r="M21" i="6" s="1"/>
  <c r="T20" i="6"/>
  <c r="G20" i="6"/>
  <c r="K20" i="6" s="1"/>
  <c r="G19" i="6"/>
  <c r="M19" i="6" s="1"/>
  <c r="G18" i="6"/>
  <c r="L18" i="6" s="1"/>
  <c r="M17" i="6"/>
  <c r="G17" i="6"/>
  <c r="K17" i="6" s="1"/>
  <c r="T16" i="6"/>
  <c r="G16" i="6"/>
  <c r="K16" i="6" s="1"/>
  <c r="U16" i="6" s="1"/>
  <c r="X16" i="6" s="1"/>
  <c r="G15" i="6"/>
  <c r="K15" i="6" s="1"/>
  <c r="T14" i="6"/>
  <c r="G14" i="6"/>
  <c r="K14" i="6" s="1"/>
  <c r="G13" i="6"/>
  <c r="K13" i="6" s="1"/>
  <c r="M12" i="6"/>
  <c r="L12" i="6"/>
  <c r="T12" i="6" s="1"/>
  <c r="G12" i="6"/>
  <c r="K12" i="6" s="1"/>
  <c r="S11" i="6"/>
  <c r="S116" i="6" s="1"/>
  <c r="K11" i="6"/>
  <c r="L11" i="6" s="1"/>
  <c r="G11" i="6"/>
  <c r="G10" i="6"/>
  <c r="M10" i="6" s="1"/>
  <c r="G9" i="6"/>
  <c r="K9" i="6" s="1"/>
  <c r="G8" i="6"/>
  <c r="K8" i="6" s="1"/>
  <c r="M7" i="6"/>
  <c r="L7" i="6"/>
  <c r="G7" i="6"/>
  <c r="K7" i="6" s="1"/>
  <c r="M6" i="6"/>
  <c r="L6" i="6"/>
  <c r="G6" i="6"/>
  <c r="M5" i="6"/>
  <c r="L5" i="6"/>
  <c r="K5" i="6"/>
  <c r="L4" i="6"/>
  <c r="T4" i="6" s="1"/>
  <c r="G4" i="6"/>
  <c r="M4" i="6" s="1"/>
  <c r="C201" i="5"/>
  <c r="C181" i="5"/>
  <c r="C174" i="5"/>
  <c r="C176" i="5" s="1"/>
  <c r="W109" i="5"/>
  <c r="V109" i="5"/>
  <c r="R109" i="5"/>
  <c r="Q109" i="5"/>
  <c r="P109" i="5"/>
  <c r="O109" i="5"/>
  <c r="N109" i="5"/>
  <c r="I109" i="5"/>
  <c r="E109" i="5"/>
  <c r="G108" i="5"/>
  <c r="T107" i="5"/>
  <c r="G107" i="5"/>
  <c r="K107" i="5" s="1"/>
  <c r="H106" i="5"/>
  <c r="G106" i="5"/>
  <c r="M106" i="5" s="1"/>
  <c r="T105" i="5"/>
  <c r="G105" i="5"/>
  <c r="G104" i="5"/>
  <c r="T103" i="5"/>
  <c r="H103" i="5"/>
  <c r="K103" i="5" s="1"/>
  <c r="U103" i="5" s="1"/>
  <c r="X103" i="5" s="1"/>
  <c r="G103" i="5"/>
  <c r="G102" i="5"/>
  <c r="K102" i="5" s="1"/>
  <c r="L102" i="5" s="1"/>
  <c r="T102" i="5" s="1"/>
  <c r="U102" i="5" s="1"/>
  <c r="X102" i="5" s="1"/>
  <c r="M101" i="5"/>
  <c r="L101" i="5"/>
  <c r="G101" i="5"/>
  <c r="K101" i="5" s="1"/>
  <c r="G100" i="5"/>
  <c r="K100" i="5" s="1"/>
  <c r="M99" i="5"/>
  <c r="L99" i="5"/>
  <c r="G99" i="5"/>
  <c r="K99" i="5" s="1"/>
  <c r="G98" i="5"/>
  <c r="M98" i="5" s="1"/>
  <c r="G97" i="5"/>
  <c r="L97" i="5" s="1"/>
  <c r="L96" i="5"/>
  <c r="G96" i="5"/>
  <c r="M96" i="5" s="1"/>
  <c r="T96" i="5" s="1"/>
  <c r="G95" i="5"/>
  <c r="J95" i="5" s="1"/>
  <c r="K95" i="5" s="1"/>
  <c r="K94" i="5"/>
  <c r="G94" i="5"/>
  <c r="L94" i="5" s="1"/>
  <c r="L93" i="5"/>
  <c r="T93" i="5" s="1"/>
  <c r="G93" i="5"/>
  <c r="M93" i="5" s="1"/>
  <c r="M92" i="5"/>
  <c r="T92" i="5" s="1"/>
  <c r="G92" i="5"/>
  <c r="K92" i="5" s="1"/>
  <c r="M91" i="5"/>
  <c r="L91" i="5"/>
  <c r="H91" i="5"/>
  <c r="G91" i="5"/>
  <c r="K90" i="5"/>
  <c r="G90" i="5"/>
  <c r="M90" i="5" s="1"/>
  <c r="G89" i="5"/>
  <c r="L89" i="5" s="1"/>
  <c r="T88" i="5"/>
  <c r="G88" i="5"/>
  <c r="K88" i="5" s="1"/>
  <c r="G87" i="5"/>
  <c r="K87" i="5" s="1"/>
  <c r="K86" i="5"/>
  <c r="H86" i="5"/>
  <c r="G86" i="5"/>
  <c r="M86" i="5" s="1"/>
  <c r="T85" i="5"/>
  <c r="G85" i="5"/>
  <c r="J85" i="5" s="1"/>
  <c r="K85" i="5" s="1"/>
  <c r="G84" i="5"/>
  <c r="K84" i="5" s="1"/>
  <c r="T83" i="5"/>
  <c r="G83" i="5"/>
  <c r="K83" i="5" s="1"/>
  <c r="T82" i="5"/>
  <c r="G82" i="5"/>
  <c r="K82" i="5" s="1"/>
  <c r="U82" i="5" s="1"/>
  <c r="X82" i="5" s="1"/>
  <c r="G81" i="5"/>
  <c r="M81" i="5" s="1"/>
  <c r="H80" i="5"/>
  <c r="G80" i="5"/>
  <c r="G79" i="5"/>
  <c r="L79" i="5" s="1"/>
  <c r="M78" i="5"/>
  <c r="L78" i="5"/>
  <c r="G78" i="5"/>
  <c r="K78" i="5" s="1"/>
  <c r="L77" i="5"/>
  <c r="H77" i="5"/>
  <c r="G77" i="5"/>
  <c r="M77" i="5" s="1"/>
  <c r="T76" i="5"/>
  <c r="G76" i="5"/>
  <c r="K76" i="5" s="1"/>
  <c r="U76" i="5" s="1"/>
  <c r="X76" i="5" s="1"/>
  <c r="T75" i="5"/>
  <c r="J75" i="5"/>
  <c r="K75" i="5" s="1"/>
  <c r="U75" i="5" s="1"/>
  <c r="X75" i="5" s="1"/>
  <c r="G75" i="5"/>
  <c r="AA74" i="5"/>
  <c r="H74" i="5"/>
  <c r="G74" i="5"/>
  <c r="K74" i="5" s="1"/>
  <c r="T73" i="5"/>
  <c r="G73" i="5"/>
  <c r="K73" i="5" s="1"/>
  <c r="U73" i="5" s="1"/>
  <c r="X73" i="5" s="1"/>
  <c r="AA72" i="5"/>
  <c r="G72" i="5"/>
  <c r="K72" i="5" s="1"/>
  <c r="G71" i="5"/>
  <c r="M70" i="5"/>
  <c r="G70" i="5"/>
  <c r="L70" i="5" s="1"/>
  <c r="L69" i="5"/>
  <c r="T69" i="5" s="1"/>
  <c r="H69" i="5"/>
  <c r="G69" i="5"/>
  <c r="M69" i="5" s="1"/>
  <c r="G68" i="5"/>
  <c r="M68" i="5" s="1"/>
  <c r="M67" i="5"/>
  <c r="L67" i="5"/>
  <c r="H67" i="5"/>
  <c r="K67" i="5" s="1"/>
  <c r="G67" i="5"/>
  <c r="T66" i="5"/>
  <c r="G66" i="5"/>
  <c r="K66" i="5" s="1"/>
  <c r="H65" i="5"/>
  <c r="G65" i="5"/>
  <c r="M65" i="5" s="1"/>
  <c r="T64" i="5"/>
  <c r="G64" i="5"/>
  <c r="K64" i="5" s="1"/>
  <c r="G63" i="5"/>
  <c r="K63" i="5" s="1"/>
  <c r="G62" i="5"/>
  <c r="L62" i="5" s="1"/>
  <c r="T62" i="5" s="1"/>
  <c r="M61" i="5"/>
  <c r="H61" i="5"/>
  <c r="G61" i="5"/>
  <c r="L61" i="5" s="1"/>
  <c r="T60" i="5"/>
  <c r="H60" i="5"/>
  <c r="G60" i="5"/>
  <c r="J60" i="5" s="1"/>
  <c r="G59" i="5"/>
  <c r="K59" i="5" s="1"/>
  <c r="M58" i="5"/>
  <c r="L58" i="5"/>
  <c r="T58" i="5" s="1"/>
  <c r="G58" i="5"/>
  <c r="K58" i="5" s="1"/>
  <c r="T57" i="5"/>
  <c r="G57" i="5"/>
  <c r="K57" i="5" s="1"/>
  <c r="L56" i="5"/>
  <c r="H56" i="5"/>
  <c r="G56" i="5"/>
  <c r="M56" i="5" s="1"/>
  <c r="K55" i="5"/>
  <c r="G55" i="5"/>
  <c r="L55" i="5" s="1"/>
  <c r="T54" i="5"/>
  <c r="H54" i="5"/>
  <c r="G54" i="5"/>
  <c r="H53" i="5"/>
  <c r="K53" i="5" s="1"/>
  <c r="G53" i="5"/>
  <c r="L53" i="5" s="1"/>
  <c r="T53" i="5" s="1"/>
  <c r="T52" i="5"/>
  <c r="H52" i="5"/>
  <c r="G52" i="5"/>
  <c r="K52" i="5" s="1"/>
  <c r="K51" i="5"/>
  <c r="G51" i="5"/>
  <c r="L51" i="5" s="1"/>
  <c r="M50" i="5"/>
  <c r="G50" i="5"/>
  <c r="K50" i="5" s="1"/>
  <c r="M49" i="5"/>
  <c r="L49" i="5"/>
  <c r="G49" i="5"/>
  <c r="K49" i="5" s="1"/>
  <c r="T48" i="5"/>
  <c r="G48" i="5"/>
  <c r="K48" i="5" s="1"/>
  <c r="U48" i="5" s="1"/>
  <c r="X48" i="5" s="1"/>
  <c r="G47" i="5"/>
  <c r="K47" i="5" s="1"/>
  <c r="U47" i="5" s="1"/>
  <c r="X47" i="5" s="1"/>
  <c r="T46" i="5"/>
  <c r="G46" i="5"/>
  <c r="K46" i="5" s="1"/>
  <c r="T45" i="5"/>
  <c r="G45" i="5"/>
  <c r="K45" i="5" s="1"/>
  <c r="K44" i="5"/>
  <c r="G44" i="5"/>
  <c r="L44" i="5" s="1"/>
  <c r="G43" i="5"/>
  <c r="G42" i="5"/>
  <c r="K42" i="5" s="1"/>
  <c r="L42" i="5" s="1"/>
  <c r="G41" i="5"/>
  <c r="M41" i="5" s="1"/>
  <c r="K40" i="5"/>
  <c r="G40" i="5"/>
  <c r="L40" i="5" s="1"/>
  <c r="M39" i="5"/>
  <c r="T39" i="5" s="1"/>
  <c r="L39" i="5"/>
  <c r="G39" i="5"/>
  <c r="J39" i="5" s="1"/>
  <c r="G38" i="5"/>
  <c r="K38" i="5" s="1"/>
  <c r="G37" i="5"/>
  <c r="L37" i="5" s="1"/>
  <c r="G36" i="5"/>
  <c r="M36" i="5" s="1"/>
  <c r="T35" i="5"/>
  <c r="G35" i="5"/>
  <c r="K35" i="5" s="1"/>
  <c r="U35" i="5" s="1"/>
  <c r="X35" i="5" s="1"/>
  <c r="M34" i="5"/>
  <c r="T34" i="5" s="1"/>
  <c r="L34" i="5"/>
  <c r="G34" i="5"/>
  <c r="K34" i="5" s="1"/>
  <c r="M33" i="5"/>
  <c r="L33" i="5"/>
  <c r="G33" i="5"/>
  <c r="K33" i="5" s="1"/>
  <c r="G32" i="5"/>
  <c r="K32" i="5" s="1"/>
  <c r="G31" i="5"/>
  <c r="K31" i="5" s="1"/>
  <c r="M31" i="5" s="1"/>
  <c r="G30" i="5"/>
  <c r="M30" i="5" s="1"/>
  <c r="G29" i="5"/>
  <c r="L29" i="5" s="1"/>
  <c r="T28" i="5"/>
  <c r="G28" i="5"/>
  <c r="K28" i="5" s="1"/>
  <c r="M27" i="5"/>
  <c r="L27" i="5"/>
  <c r="G27" i="5"/>
  <c r="K27" i="5" s="1"/>
  <c r="G26" i="5"/>
  <c r="K26" i="5" s="1"/>
  <c r="M25" i="5"/>
  <c r="L25" i="5"/>
  <c r="K25" i="5"/>
  <c r="G25" i="5"/>
  <c r="T24" i="5"/>
  <c r="G24" i="5"/>
  <c r="K24" i="5" s="1"/>
  <c r="S23" i="5"/>
  <c r="G23" i="5"/>
  <c r="K23" i="5" s="1"/>
  <c r="T22" i="5"/>
  <c r="G22" i="5"/>
  <c r="K22" i="5" s="1"/>
  <c r="G21" i="5"/>
  <c r="K21" i="5" s="1"/>
  <c r="M20" i="5"/>
  <c r="K20" i="5"/>
  <c r="G20" i="5"/>
  <c r="L20" i="5" s="1"/>
  <c r="U19" i="5"/>
  <c r="X19" i="5" s="1"/>
  <c r="T19" i="5"/>
  <c r="G19" i="5"/>
  <c r="K19" i="5" s="1"/>
  <c r="K18" i="5"/>
  <c r="G18" i="5"/>
  <c r="L18" i="5" s="1"/>
  <c r="L17" i="5"/>
  <c r="T17" i="5" s="1"/>
  <c r="G17" i="5"/>
  <c r="M17" i="5" s="1"/>
  <c r="G16" i="5"/>
  <c r="L16" i="5" s="1"/>
  <c r="T15" i="5"/>
  <c r="G15" i="5"/>
  <c r="K15" i="5" s="1"/>
  <c r="U15" i="5" s="1"/>
  <c r="X15" i="5" s="1"/>
  <c r="K14" i="5"/>
  <c r="M14" i="5" s="1"/>
  <c r="T14" i="5" s="1"/>
  <c r="U14" i="5" s="1"/>
  <c r="X14" i="5" s="1"/>
  <c r="T13" i="5"/>
  <c r="G13" i="5"/>
  <c r="K13" i="5" s="1"/>
  <c r="K12" i="5"/>
  <c r="M11" i="5"/>
  <c r="L11" i="5"/>
  <c r="G11" i="5"/>
  <c r="K11" i="5" s="1"/>
  <c r="S10" i="5"/>
  <c r="M10" i="5"/>
  <c r="L10" i="5"/>
  <c r="T10" i="5" s="1"/>
  <c r="G10" i="5"/>
  <c r="K10" i="5" s="1"/>
  <c r="G9" i="5"/>
  <c r="K9" i="5" s="1"/>
  <c r="G8" i="5"/>
  <c r="K8" i="5" s="1"/>
  <c r="M8" i="5" s="1"/>
  <c r="G7" i="5"/>
  <c r="K7" i="5" s="1"/>
  <c r="M6" i="5"/>
  <c r="L6" i="5"/>
  <c r="T6" i="5" s="1"/>
  <c r="G6" i="5"/>
  <c r="K6" i="5" s="1"/>
  <c r="M5" i="5"/>
  <c r="L5" i="5"/>
  <c r="G5" i="5"/>
  <c r="M4" i="5"/>
  <c r="L4" i="5"/>
  <c r="K4" i="5"/>
  <c r="G116" i="6" l="1"/>
  <c r="T11" i="5"/>
  <c r="U11" i="5" s="1"/>
  <c r="X11" i="5" s="1"/>
  <c r="M18" i="5"/>
  <c r="T20" i="5"/>
  <c r="U20" i="5" s="1"/>
  <c r="X20" i="5" s="1"/>
  <c r="U22" i="5"/>
  <c r="X22" i="5" s="1"/>
  <c r="K37" i="5"/>
  <c r="U46" i="5"/>
  <c r="X46" i="5" s="1"/>
  <c r="M51" i="5"/>
  <c r="T51" i="5" s="1"/>
  <c r="M55" i="5"/>
  <c r="U57" i="5"/>
  <c r="X57" i="5" s="1"/>
  <c r="M79" i="5"/>
  <c r="T79" i="5" s="1"/>
  <c r="L81" i="5"/>
  <c r="T81" i="5" s="1"/>
  <c r="U83" i="5"/>
  <c r="X83" i="5" s="1"/>
  <c r="U85" i="5"/>
  <c r="X85" i="5" s="1"/>
  <c r="M94" i="5"/>
  <c r="L100" i="5"/>
  <c r="T101" i="5"/>
  <c r="T6" i="6"/>
  <c r="T24" i="6"/>
  <c r="M30" i="6"/>
  <c r="T30" i="6" s="1"/>
  <c r="K33" i="6"/>
  <c r="U46" i="6"/>
  <c r="X46" i="6" s="1"/>
  <c r="K53" i="6"/>
  <c r="T63" i="6"/>
  <c r="U75" i="6"/>
  <c r="X75" i="6" s="1"/>
  <c r="M87" i="6"/>
  <c r="J91" i="6"/>
  <c r="K91" i="6" s="1"/>
  <c r="K93" i="6"/>
  <c r="M103" i="6"/>
  <c r="T103" i="6" s="1"/>
  <c r="U103" i="6" s="1"/>
  <c r="X103" i="6" s="1"/>
  <c r="T87" i="6"/>
  <c r="M37" i="5"/>
  <c r="U52" i="5"/>
  <c r="X52" i="5" s="1"/>
  <c r="T70" i="5"/>
  <c r="M100" i="5"/>
  <c r="L33" i="6"/>
  <c r="U39" i="6"/>
  <c r="X39" i="6" s="1"/>
  <c r="U40" i="6"/>
  <c r="X40" i="6" s="1"/>
  <c r="K54" i="6"/>
  <c r="U54" i="6" s="1"/>
  <c r="X54" i="6" s="1"/>
  <c r="U62" i="6"/>
  <c r="X62" i="6" s="1"/>
  <c r="U66" i="6"/>
  <c r="X66" i="6" s="1"/>
  <c r="L67" i="6"/>
  <c r="U77" i="6"/>
  <c r="X77" i="6" s="1"/>
  <c r="U88" i="6"/>
  <c r="X88" i="6" s="1"/>
  <c r="L93" i="6"/>
  <c r="M108" i="6"/>
  <c r="T37" i="5"/>
  <c r="U51" i="5"/>
  <c r="X51" i="5" s="1"/>
  <c r="U10" i="5"/>
  <c r="X10" i="5" s="1"/>
  <c r="U13" i="5"/>
  <c r="X13" i="5" s="1"/>
  <c r="T18" i="5"/>
  <c r="U28" i="5"/>
  <c r="X28" i="5" s="1"/>
  <c r="L30" i="5"/>
  <c r="T30" i="5" s="1"/>
  <c r="M32" i="5"/>
  <c r="T33" i="5"/>
  <c r="U45" i="5"/>
  <c r="X45" i="5" s="1"/>
  <c r="T49" i="5"/>
  <c r="U49" i="5" s="1"/>
  <c r="X49" i="5" s="1"/>
  <c r="U64" i="5"/>
  <c r="X64" i="5" s="1"/>
  <c r="U66" i="5"/>
  <c r="X66" i="5" s="1"/>
  <c r="T67" i="5"/>
  <c r="U67" i="5" s="1"/>
  <c r="X67" i="5" s="1"/>
  <c r="K69" i="5"/>
  <c r="K70" i="5"/>
  <c r="K91" i="5"/>
  <c r="L95" i="5"/>
  <c r="U107" i="5"/>
  <c r="K4" i="6"/>
  <c r="L17" i="6"/>
  <c r="U20" i="6"/>
  <c r="X20" i="6" s="1"/>
  <c r="U29" i="6"/>
  <c r="X29" i="6" s="1"/>
  <c r="T40" i="6"/>
  <c r="M41" i="6"/>
  <c r="T41" i="6" s="1"/>
  <c r="U41" i="6" s="1"/>
  <c r="X41" i="6" s="1"/>
  <c r="U49" i="6"/>
  <c r="X49" i="6" s="1"/>
  <c r="M51" i="6"/>
  <c r="U53" i="6"/>
  <c r="X53" i="6" s="1"/>
  <c r="U57" i="6"/>
  <c r="X57" i="6" s="1"/>
  <c r="U59" i="6"/>
  <c r="X59" i="6" s="1"/>
  <c r="T60" i="6"/>
  <c r="U60" i="6" s="1"/>
  <c r="X60" i="6" s="1"/>
  <c r="U68" i="6"/>
  <c r="X68" i="6" s="1"/>
  <c r="K76" i="6"/>
  <c r="U79" i="6"/>
  <c r="X79" i="6" s="1"/>
  <c r="L74" i="6"/>
  <c r="M74" i="6"/>
  <c r="T74" i="6" s="1"/>
  <c r="U98" i="6"/>
  <c r="X98" i="6" s="1"/>
  <c r="M65" i="6"/>
  <c r="L65" i="6"/>
  <c r="K22" i="6"/>
  <c r="T33" i="6"/>
  <c r="U33" i="6" s="1"/>
  <c r="X33" i="6" s="1"/>
  <c r="T35" i="6"/>
  <c r="K69" i="6"/>
  <c r="U69" i="6" s="1"/>
  <c r="X69" i="6" s="1"/>
  <c r="K71" i="6"/>
  <c r="K80" i="6"/>
  <c r="U80" i="6" s="1"/>
  <c r="X80" i="6" s="1"/>
  <c r="K96" i="6"/>
  <c r="T107" i="6"/>
  <c r="U97" i="6"/>
  <c r="X97" i="6" s="1"/>
  <c r="T7" i="6"/>
  <c r="U7" i="6" s="1"/>
  <c r="X7" i="6" s="1"/>
  <c r="L15" i="6"/>
  <c r="M18" i="6"/>
  <c r="T18" i="6" s="1"/>
  <c r="L22" i="6"/>
  <c r="K24" i="6"/>
  <c r="U24" i="6" s="1"/>
  <c r="X24" i="6" s="1"/>
  <c r="L27" i="6"/>
  <c r="K30" i="6"/>
  <c r="U36" i="6"/>
  <c r="X36" i="6" s="1"/>
  <c r="T67" i="6"/>
  <c r="U67" i="6" s="1"/>
  <c r="X67" i="6" s="1"/>
  <c r="K70" i="6"/>
  <c r="L71" i="6"/>
  <c r="K72" i="6"/>
  <c r="L76" i="6"/>
  <c r="T76" i="6" s="1"/>
  <c r="U76" i="6" s="1"/>
  <c r="X76" i="6" s="1"/>
  <c r="M78" i="6"/>
  <c r="L80" i="6"/>
  <c r="T80" i="6" s="1"/>
  <c r="L83" i="6"/>
  <c r="T83" i="6" s="1"/>
  <c r="K85" i="6"/>
  <c r="K87" i="6"/>
  <c r="L91" i="6"/>
  <c r="T91" i="6" s="1"/>
  <c r="U91" i="6" s="1"/>
  <c r="X91" i="6" s="1"/>
  <c r="L92" i="6"/>
  <c r="T92" i="6" s="1"/>
  <c r="U92" i="6" s="1"/>
  <c r="X92" i="6" s="1"/>
  <c r="L95" i="6"/>
  <c r="M96" i="6"/>
  <c r="K101" i="6"/>
  <c r="M102" i="6"/>
  <c r="T108" i="6"/>
  <c r="U110" i="6"/>
  <c r="X110" i="6" s="1"/>
  <c r="K111" i="6"/>
  <c r="K115" i="6"/>
  <c r="T85" i="6"/>
  <c r="T96" i="6"/>
  <c r="U4" i="6"/>
  <c r="X4" i="6" s="1"/>
  <c r="U12" i="6"/>
  <c r="X12" i="6" s="1"/>
  <c r="U14" i="6"/>
  <c r="X14" i="6" s="1"/>
  <c r="M15" i="6"/>
  <c r="T17" i="6"/>
  <c r="U23" i="6"/>
  <c r="X23" i="6" s="1"/>
  <c r="T26" i="6"/>
  <c r="U26" i="6" s="1"/>
  <c r="X26" i="6" s="1"/>
  <c r="M27" i="6"/>
  <c r="T51" i="6"/>
  <c r="H116" i="6"/>
  <c r="K58" i="6"/>
  <c r="K67" i="6"/>
  <c r="L70" i="6"/>
  <c r="T70" i="6" s="1"/>
  <c r="L72" i="6"/>
  <c r="T72" i="6" s="1"/>
  <c r="U72" i="6" s="1"/>
  <c r="X72" i="6" s="1"/>
  <c r="M82" i="6"/>
  <c r="M85" i="6"/>
  <c r="U94" i="6"/>
  <c r="X94" i="6" s="1"/>
  <c r="M95" i="6"/>
  <c r="T95" i="6" s="1"/>
  <c r="U95" i="6" s="1"/>
  <c r="X95" i="6" s="1"/>
  <c r="K100" i="6"/>
  <c r="L101" i="6"/>
  <c r="U105" i="6"/>
  <c r="X105" i="6" s="1"/>
  <c r="K108" i="6"/>
  <c r="U108" i="6" s="1"/>
  <c r="X108" i="6" s="1"/>
  <c r="L111" i="6"/>
  <c r="T111" i="6" s="1"/>
  <c r="K113" i="6"/>
  <c r="M115" i="6"/>
  <c r="T115" i="6" s="1"/>
  <c r="U115" i="6" s="1"/>
  <c r="X115" i="6" s="1"/>
  <c r="M63" i="5"/>
  <c r="T63" i="5" s="1"/>
  <c r="U63" i="5" s="1"/>
  <c r="X63" i="5" s="1"/>
  <c r="L63" i="5"/>
  <c r="U18" i="5"/>
  <c r="X18" i="5" s="1"/>
  <c r="U6" i="5"/>
  <c r="X6" i="5" s="1"/>
  <c r="M9" i="5"/>
  <c r="M23" i="5"/>
  <c r="U34" i="5"/>
  <c r="X34" i="5" s="1"/>
  <c r="K60" i="5"/>
  <c r="U60" i="5" s="1"/>
  <c r="X60" i="5" s="1"/>
  <c r="K65" i="5"/>
  <c r="U65" i="5" s="1"/>
  <c r="X65" i="5" s="1"/>
  <c r="L68" i="5"/>
  <c r="T68" i="5" s="1"/>
  <c r="K77" i="5"/>
  <c r="T78" i="5"/>
  <c r="L86" i="5"/>
  <c r="U92" i="5"/>
  <c r="X92" i="5" s="1"/>
  <c r="K98" i="5"/>
  <c r="J105" i="5"/>
  <c r="K105" i="5" s="1"/>
  <c r="U105" i="5" s="1"/>
  <c r="X105" i="5" s="1"/>
  <c r="U53" i="5"/>
  <c r="X53" i="5" s="1"/>
  <c r="U58" i="5"/>
  <c r="X58" i="5" s="1"/>
  <c r="L65" i="5"/>
  <c r="T65" i="5" s="1"/>
  <c r="U69" i="5"/>
  <c r="X69" i="5" s="1"/>
  <c r="L74" i="5"/>
  <c r="L98" i="5"/>
  <c r="T98" i="5" s="1"/>
  <c r="U101" i="5"/>
  <c r="X101" i="5" s="1"/>
  <c r="L106" i="5"/>
  <c r="T106" i="5" s="1"/>
  <c r="U33" i="5"/>
  <c r="X33" i="5" s="1"/>
  <c r="T5" i="5"/>
  <c r="U24" i="5"/>
  <c r="X24" i="5" s="1"/>
  <c r="T25" i="5"/>
  <c r="U25" i="5" s="1"/>
  <c r="X25" i="5" s="1"/>
  <c r="M26" i="5"/>
  <c r="T27" i="5"/>
  <c r="U27" i="5" s="1"/>
  <c r="X27" i="5" s="1"/>
  <c r="M40" i="5"/>
  <c r="T40" i="5" s="1"/>
  <c r="U40" i="5" s="1"/>
  <c r="X40" i="5" s="1"/>
  <c r="M44" i="5"/>
  <c r="T44" i="5" s="1"/>
  <c r="U44" i="5" s="1"/>
  <c r="X44" i="5" s="1"/>
  <c r="H109" i="5"/>
  <c r="K56" i="5"/>
  <c r="K61" i="5"/>
  <c r="M74" i="5"/>
  <c r="K79" i="5"/>
  <c r="U79" i="5" s="1"/>
  <c r="X79" i="5" s="1"/>
  <c r="M87" i="5"/>
  <c r="M89" i="5"/>
  <c r="T89" i="5" s="1"/>
  <c r="L90" i="5"/>
  <c r="T90" i="5" s="1"/>
  <c r="U90" i="5" s="1"/>
  <c r="K93" i="5"/>
  <c r="U93" i="5" s="1"/>
  <c r="X93" i="5" s="1"/>
  <c r="M95" i="5"/>
  <c r="M97" i="5"/>
  <c r="T97" i="5" s="1"/>
  <c r="M8" i="6"/>
  <c r="L8" i="6"/>
  <c r="L9" i="6"/>
  <c r="M9" i="6"/>
  <c r="L13" i="6"/>
  <c r="M13" i="6"/>
  <c r="U17" i="6"/>
  <c r="X17" i="6" s="1"/>
  <c r="T22" i="6"/>
  <c r="U22" i="6" s="1"/>
  <c r="X22" i="6" s="1"/>
  <c r="M32" i="6"/>
  <c r="L32" i="6"/>
  <c r="M90" i="6"/>
  <c r="L90" i="6"/>
  <c r="K6" i="6"/>
  <c r="K10" i="6"/>
  <c r="K19" i="6"/>
  <c r="K21" i="6"/>
  <c r="M38" i="6"/>
  <c r="L38" i="6"/>
  <c r="L42" i="6"/>
  <c r="K42" i="6"/>
  <c r="K43" i="6"/>
  <c r="M86" i="6"/>
  <c r="L86" i="6"/>
  <c r="K86" i="6"/>
  <c r="M45" i="6"/>
  <c r="L45" i="6"/>
  <c r="L52" i="6"/>
  <c r="M52" i="6"/>
  <c r="T5" i="6"/>
  <c r="U5" i="6" s="1"/>
  <c r="L10" i="6"/>
  <c r="T10" i="6" s="1"/>
  <c r="M11" i="6"/>
  <c r="T11" i="6" s="1"/>
  <c r="U11" i="6" s="1"/>
  <c r="X11" i="6" s="1"/>
  <c r="K18" i="6"/>
  <c r="L19" i="6"/>
  <c r="T19" i="6" s="1"/>
  <c r="L21" i="6"/>
  <c r="T21" i="6" s="1"/>
  <c r="L31" i="6"/>
  <c r="T31" i="6" s="1"/>
  <c r="U31" i="6" s="1"/>
  <c r="X31" i="6" s="1"/>
  <c r="U35" i="6"/>
  <c r="X35" i="6" s="1"/>
  <c r="L37" i="6"/>
  <c r="K37" i="6"/>
  <c r="K38" i="6"/>
  <c r="M42" i="6"/>
  <c r="U63" i="6"/>
  <c r="X63" i="6" s="1"/>
  <c r="T78" i="6"/>
  <c r="K81" i="6"/>
  <c r="M81" i="6"/>
  <c r="L81" i="6"/>
  <c r="U100" i="6"/>
  <c r="L104" i="6"/>
  <c r="M104" i="6"/>
  <c r="K104" i="6"/>
  <c r="M44" i="6"/>
  <c r="L44" i="6"/>
  <c r="L64" i="6"/>
  <c r="T64" i="6" s="1"/>
  <c r="J64" i="6"/>
  <c r="K64" i="6" s="1"/>
  <c r="U64" i="6" s="1"/>
  <c r="X64" i="6" s="1"/>
  <c r="T28" i="6"/>
  <c r="U28" i="6" s="1"/>
  <c r="X28" i="6" s="1"/>
  <c r="T34" i="6"/>
  <c r="U34" i="6" s="1"/>
  <c r="X34" i="6" s="1"/>
  <c r="M37" i="6"/>
  <c r="L55" i="6"/>
  <c r="T55" i="6" s="1"/>
  <c r="M55" i="6"/>
  <c r="K55" i="6"/>
  <c r="U55" i="6" s="1"/>
  <c r="X55" i="6" s="1"/>
  <c r="M61" i="6"/>
  <c r="L61" i="6"/>
  <c r="L109" i="6"/>
  <c r="T109" i="6" s="1"/>
  <c r="U109" i="6" s="1"/>
  <c r="X109" i="6" s="1"/>
  <c r="M76" i="6"/>
  <c r="L58" i="6"/>
  <c r="T58" i="6" s="1"/>
  <c r="U58" i="6" s="1"/>
  <c r="X58" i="6" s="1"/>
  <c r="T71" i="6"/>
  <c r="U71" i="6" s="1"/>
  <c r="X71" i="6" s="1"/>
  <c r="L73" i="6"/>
  <c r="U74" i="6"/>
  <c r="X74" i="6" s="1"/>
  <c r="K84" i="6"/>
  <c r="U84" i="6" s="1"/>
  <c r="X84" i="6" s="1"/>
  <c r="T93" i="6"/>
  <c r="U93" i="6" s="1"/>
  <c r="K99" i="6"/>
  <c r="M101" i="6"/>
  <c r="T101" i="6" s="1"/>
  <c r="U101" i="6" s="1"/>
  <c r="X101" i="6" s="1"/>
  <c r="T106" i="6"/>
  <c r="U106" i="6" s="1"/>
  <c r="X106" i="6" s="1"/>
  <c r="U107" i="6"/>
  <c r="X107" i="6" s="1"/>
  <c r="T50" i="6"/>
  <c r="U50" i="6" s="1"/>
  <c r="X50" i="6" s="1"/>
  <c r="U51" i="6"/>
  <c r="X51" i="6" s="1"/>
  <c r="U56" i="6"/>
  <c r="X56" i="6" s="1"/>
  <c r="M73" i="6"/>
  <c r="K78" i="6"/>
  <c r="L82" i="6"/>
  <c r="T82" i="6" s="1"/>
  <c r="U82" i="6" s="1"/>
  <c r="X82" i="6" s="1"/>
  <c r="K83" i="6"/>
  <c r="U83" i="6" s="1"/>
  <c r="X83" i="6" s="1"/>
  <c r="M84" i="6"/>
  <c r="T84" i="6" s="1"/>
  <c r="M99" i="6"/>
  <c r="T99" i="6" s="1"/>
  <c r="T102" i="6"/>
  <c r="U102" i="6" s="1"/>
  <c r="X102" i="6" s="1"/>
  <c r="L113" i="6"/>
  <c r="T113" i="6" s="1"/>
  <c r="U113" i="6" s="1"/>
  <c r="X113" i="6" s="1"/>
  <c r="K39" i="5"/>
  <c r="U39" i="5" s="1"/>
  <c r="X39" i="5" s="1"/>
  <c r="L84" i="5"/>
  <c r="M84" i="5"/>
  <c r="M7" i="5"/>
  <c r="L7" i="5"/>
  <c r="L12" i="5"/>
  <c r="L21" i="5"/>
  <c r="K36" i="5"/>
  <c r="L38" i="5"/>
  <c r="K41" i="5"/>
  <c r="T61" i="5"/>
  <c r="U61" i="5" s="1"/>
  <c r="X61" i="5" s="1"/>
  <c r="J96" i="5"/>
  <c r="K96" i="5" s="1"/>
  <c r="U96" i="5" s="1"/>
  <c r="X96" i="5" s="1"/>
  <c r="M104" i="5"/>
  <c r="L104" i="5"/>
  <c r="T104" i="5" s="1"/>
  <c r="L108" i="5"/>
  <c r="M108" i="5"/>
  <c r="K108" i="5"/>
  <c r="L8" i="5"/>
  <c r="T8" i="5" s="1"/>
  <c r="U8" i="5" s="1"/>
  <c r="X8" i="5" s="1"/>
  <c r="M12" i="5"/>
  <c r="K16" i="5"/>
  <c r="M21" i="5"/>
  <c r="K29" i="5"/>
  <c r="L31" i="5"/>
  <c r="T31" i="5" s="1"/>
  <c r="U31" i="5" s="1"/>
  <c r="X31" i="5" s="1"/>
  <c r="L36" i="5"/>
  <c r="T36" i="5" s="1"/>
  <c r="M38" i="5"/>
  <c r="L41" i="5"/>
  <c r="T41" i="5" s="1"/>
  <c r="L43" i="5"/>
  <c r="M43" i="5"/>
  <c r="K43" i="5"/>
  <c r="M59" i="5"/>
  <c r="J62" i="5"/>
  <c r="K62" i="5" s="1"/>
  <c r="U62" i="5" s="1"/>
  <c r="X62" i="5" s="1"/>
  <c r="L72" i="5"/>
  <c r="K104" i="5"/>
  <c r="T4" i="5"/>
  <c r="G109" i="5"/>
  <c r="K5" i="5"/>
  <c r="U5" i="5" s="1"/>
  <c r="X5" i="5" s="1"/>
  <c r="L9" i="5"/>
  <c r="S109" i="5"/>
  <c r="M16" i="5"/>
  <c r="T16" i="5" s="1"/>
  <c r="K17" i="5"/>
  <c r="U17" i="5" s="1"/>
  <c r="X17" i="5" s="1"/>
  <c r="L23" i="5"/>
  <c r="L26" i="5"/>
  <c r="T26" i="5" s="1"/>
  <c r="U26" i="5" s="1"/>
  <c r="X26" i="5" s="1"/>
  <c r="M29" i="5"/>
  <c r="T29" i="5" s="1"/>
  <c r="K30" i="5"/>
  <c r="U30" i="5" s="1"/>
  <c r="X30" i="5" s="1"/>
  <c r="L32" i="5"/>
  <c r="T32" i="5" s="1"/>
  <c r="U32" i="5" s="1"/>
  <c r="X32" i="5" s="1"/>
  <c r="M42" i="5"/>
  <c r="T42" i="5" s="1"/>
  <c r="U42" i="5" s="1"/>
  <c r="X42" i="5" s="1"/>
  <c r="K54" i="5"/>
  <c r="U54" i="5" s="1"/>
  <c r="X54" i="5" s="1"/>
  <c r="L59" i="5"/>
  <c r="U70" i="5"/>
  <c r="X70" i="5" s="1"/>
  <c r="K71" i="5"/>
  <c r="M71" i="5"/>
  <c r="L71" i="5"/>
  <c r="M72" i="5"/>
  <c r="L80" i="5"/>
  <c r="M80" i="5"/>
  <c r="K80" i="5"/>
  <c r="U88" i="5"/>
  <c r="X88" i="5" s="1"/>
  <c r="T56" i="5"/>
  <c r="U56" i="5" s="1"/>
  <c r="X56" i="5" s="1"/>
  <c r="T77" i="5"/>
  <c r="U77" i="5" s="1"/>
  <c r="X77" i="5" s="1"/>
  <c r="U78" i="5"/>
  <c r="X78" i="5" s="1"/>
  <c r="T86" i="5"/>
  <c r="U86" i="5" s="1"/>
  <c r="X86" i="5" s="1"/>
  <c r="L50" i="5"/>
  <c r="T50" i="5" s="1"/>
  <c r="U50" i="5" s="1"/>
  <c r="X50" i="5" s="1"/>
  <c r="T55" i="5"/>
  <c r="U55" i="5" s="1"/>
  <c r="X55" i="5" s="1"/>
  <c r="K68" i="5"/>
  <c r="U68" i="5" s="1"/>
  <c r="X68" i="5" s="1"/>
  <c r="K81" i="5"/>
  <c r="U81" i="5" s="1"/>
  <c r="X81" i="5" s="1"/>
  <c r="L87" i="5"/>
  <c r="T87" i="5" s="1"/>
  <c r="U87" i="5" s="1"/>
  <c r="K89" i="5"/>
  <c r="U89" i="5" s="1"/>
  <c r="X89" i="5" s="1"/>
  <c r="T91" i="5"/>
  <c r="U91" i="5" s="1"/>
  <c r="X91" i="5" s="1"/>
  <c r="T94" i="5"/>
  <c r="U94" i="5" s="1"/>
  <c r="K97" i="5"/>
  <c r="U97" i="5" s="1"/>
  <c r="X97" i="5" s="1"/>
  <c r="T99" i="5"/>
  <c r="U99" i="5" s="1"/>
  <c r="X99" i="5" s="1"/>
  <c r="K106" i="5"/>
  <c r="U85" i="6" l="1"/>
  <c r="X85" i="6" s="1"/>
  <c r="T71" i="5"/>
  <c r="T9" i="5"/>
  <c r="U9" i="5" s="1"/>
  <c r="X9" i="5" s="1"/>
  <c r="U37" i="5"/>
  <c r="X37" i="5" s="1"/>
  <c r="U6" i="6"/>
  <c r="X6" i="6" s="1"/>
  <c r="T95" i="5"/>
  <c r="U95" i="5" s="1"/>
  <c r="X95" i="5" s="1"/>
  <c r="U30" i="6"/>
  <c r="X30" i="6" s="1"/>
  <c r="T100" i="5"/>
  <c r="U100" i="5" s="1"/>
  <c r="X100" i="5" s="1"/>
  <c r="T59" i="5"/>
  <c r="U59" i="5" s="1"/>
  <c r="X59" i="5" s="1"/>
  <c r="U87" i="6"/>
  <c r="X87" i="6" s="1"/>
  <c r="U96" i="6"/>
  <c r="T104" i="6"/>
  <c r="U104" i="6" s="1"/>
  <c r="X104" i="6" s="1"/>
  <c r="T86" i="6"/>
  <c r="U86" i="6" s="1"/>
  <c r="X86" i="6" s="1"/>
  <c r="T90" i="6"/>
  <c r="U90" i="6" s="1"/>
  <c r="X90" i="6" s="1"/>
  <c r="T8" i="6"/>
  <c r="U8" i="6" s="1"/>
  <c r="X8" i="6" s="1"/>
  <c r="T65" i="6"/>
  <c r="U65" i="6" s="1"/>
  <c r="X65" i="6" s="1"/>
  <c r="U18" i="6"/>
  <c r="X18" i="6" s="1"/>
  <c r="U111" i="6"/>
  <c r="X111" i="6" s="1"/>
  <c r="T81" i="6"/>
  <c r="T38" i="6"/>
  <c r="U38" i="6" s="1"/>
  <c r="X38" i="6" s="1"/>
  <c r="T32" i="6"/>
  <c r="U32" i="6" s="1"/>
  <c r="X32" i="6" s="1"/>
  <c r="T9" i="6"/>
  <c r="U9" i="6" s="1"/>
  <c r="X9" i="6" s="1"/>
  <c r="U70" i="6"/>
  <c r="X70" i="6" s="1"/>
  <c r="T27" i="6"/>
  <c r="U27" i="6" s="1"/>
  <c r="X27" i="6" s="1"/>
  <c r="T15" i="6"/>
  <c r="U15" i="6" s="1"/>
  <c r="X15" i="6" s="1"/>
  <c r="T12" i="5"/>
  <c r="U12" i="5" s="1"/>
  <c r="X12" i="5" s="1"/>
  <c r="T74" i="5"/>
  <c r="U74" i="5" s="1"/>
  <c r="X74" i="5" s="1"/>
  <c r="U98" i="5"/>
  <c r="X98" i="5" s="1"/>
  <c r="T72" i="5"/>
  <c r="U72" i="5" s="1"/>
  <c r="X72" i="5" s="1"/>
  <c r="U106" i="5"/>
  <c r="X106" i="5" s="1"/>
  <c r="T23" i="5"/>
  <c r="U23" i="5" s="1"/>
  <c r="X23" i="5" s="1"/>
  <c r="X5" i="6"/>
  <c r="U19" i="6"/>
  <c r="X19" i="6" s="1"/>
  <c r="K116" i="6"/>
  <c r="L43" i="6"/>
  <c r="T43" i="6" s="1"/>
  <c r="U43" i="6" s="1"/>
  <c r="X43" i="6" s="1"/>
  <c r="M43" i="6"/>
  <c r="M116" i="6" s="1"/>
  <c r="U10" i="6"/>
  <c r="X10" i="6" s="1"/>
  <c r="J116" i="6"/>
  <c r="U78" i="6"/>
  <c r="X78" i="6" s="1"/>
  <c r="U99" i="6"/>
  <c r="X99" i="6" s="1"/>
  <c r="T61" i="6"/>
  <c r="U61" i="6" s="1"/>
  <c r="X61" i="6" s="1"/>
  <c r="T44" i="6"/>
  <c r="U44" i="6" s="1"/>
  <c r="X44" i="6" s="1"/>
  <c r="Z44" i="6" s="1"/>
  <c r="T52" i="6"/>
  <c r="U52" i="6" s="1"/>
  <c r="X52" i="6" s="1"/>
  <c r="T13" i="6"/>
  <c r="U13" i="6" s="1"/>
  <c r="X13" i="6" s="1"/>
  <c r="T73" i="6"/>
  <c r="U73" i="6" s="1"/>
  <c r="X73" i="6" s="1"/>
  <c r="U81" i="6"/>
  <c r="X81" i="6" s="1"/>
  <c r="T37" i="6"/>
  <c r="U37" i="6" s="1"/>
  <c r="X37" i="6" s="1"/>
  <c r="T45" i="6"/>
  <c r="U45" i="6" s="1"/>
  <c r="X45" i="6" s="1"/>
  <c r="T42" i="6"/>
  <c r="U42" i="6" s="1"/>
  <c r="X42" i="6" s="1"/>
  <c r="U21" i="6"/>
  <c r="X21" i="6" s="1"/>
  <c r="U16" i="5"/>
  <c r="X16" i="5" s="1"/>
  <c r="K109" i="5"/>
  <c r="U41" i="5"/>
  <c r="X41" i="5" s="1"/>
  <c r="M109" i="5"/>
  <c r="L109" i="5"/>
  <c r="U4" i="5"/>
  <c r="U29" i="5"/>
  <c r="X29" i="5" s="1"/>
  <c r="T38" i="5"/>
  <c r="U38" i="5" s="1"/>
  <c r="X38" i="5" s="1"/>
  <c r="T84" i="5"/>
  <c r="U84" i="5" s="1"/>
  <c r="X84" i="5" s="1"/>
  <c r="T80" i="5"/>
  <c r="U80" i="5" s="1"/>
  <c r="X80" i="5" s="1"/>
  <c r="U71" i="5"/>
  <c r="X71" i="5" s="1"/>
  <c r="U104" i="5"/>
  <c r="X104" i="5" s="1"/>
  <c r="U36" i="5"/>
  <c r="X36" i="5" s="1"/>
  <c r="J109" i="5"/>
  <c r="T43" i="5"/>
  <c r="U43" i="5" s="1"/>
  <c r="X43" i="5" s="1"/>
  <c r="Z43" i="5" s="1"/>
  <c r="T108" i="5"/>
  <c r="U108" i="5" s="1"/>
  <c r="X108" i="5" s="1"/>
  <c r="T21" i="5"/>
  <c r="U21" i="5" s="1"/>
  <c r="X21" i="5" s="1"/>
  <c r="T7" i="5"/>
  <c r="U7" i="5" s="1"/>
  <c r="X7" i="5" s="1"/>
  <c r="T116" i="6" l="1"/>
  <c r="L116" i="6"/>
  <c r="X116" i="6"/>
  <c r="U116" i="6"/>
  <c r="U109" i="5"/>
  <c r="X4" i="5"/>
  <c r="X109" i="5" s="1"/>
  <c r="T109" i="5"/>
  <c r="C197" i="4" l="1"/>
  <c r="C177" i="4"/>
  <c r="C170" i="4"/>
  <c r="C172" i="4" s="1"/>
  <c r="W105" i="4"/>
  <c r="V105" i="4"/>
  <c r="R105" i="4"/>
  <c r="Q105" i="4"/>
  <c r="P105" i="4"/>
  <c r="O105" i="4"/>
  <c r="N105" i="4"/>
  <c r="I105" i="4"/>
  <c r="G104" i="4"/>
  <c r="M104" i="4" s="1"/>
  <c r="H103" i="4"/>
  <c r="G103" i="4"/>
  <c r="K103" i="4" s="1"/>
  <c r="T102" i="4"/>
  <c r="G102" i="4"/>
  <c r="J102" i="4" s="1"/>
  <c r="K102" i="4" s="1"/>
  <c r="U102" i="4" s="1"/>
  <c r="X102" i="4" s="1"/>
  <c r="G101" i="4"/>
  <c r="K101" i="4" s="1"/>
  <c r="T100" i="4"/>
  <c r="H100" i="4"/>
  <c r="G100" i="4"/>
  <c r="K100" i="4" s="1"/>
  <c r="G99" i="4"/>
  <c r="K99" i="4" s="1"/>
  <c r="M98" i="4"/>
  <c r="L98" i="4"/>
  <c r="T98" i="4" s="1"/>
  <c r="G98" i="4"/>
  <c r="K98" i="4" s="1"/>
  <c r="G97" i="4"/>
  <c r="K97" i="4" s="1"/>
  <c r="M96" i="4"/>
  <c r="L96" i="4"/>
  <c r="T96" i="4" s="1"/>
  <c r="G96" i="4"/>
  <c r="K96" i="4" s="1"/>
  <c r="G95" i="4"/>
  <c r="K95" i="4" s="1"/>
  <c r="G94" i="4"/>
  <c r="M94" i="4" s="1"/>
  <c r="L93" i="4"/>
  <c r="G93" i="4"/>
  <c r="K93" i="4" s="1"/>
  <c r="L92" i="4"/>
  <c r="G92" i="4"/>
  <c r="J92" i="4" s="1"/>
  <c r="G91" i="4"/>
  <c r="J91" i="4" s="1"/>
  <c r="K91" i="4" s="1"/>
  <c r="G90" i="4"/>
  <c r="M90" i="4" s="1"/>
  <c r="M89" i="4"/>
  <c r="T89" i="4" s="1"/>
  <c r="G89" i="4"/>
  <c r="K89" i="4" s="1"/>
  <c r="M88" i="4"/>
  <c r="L88" i="4"/>
  <c r="H88" i="4"/>
  <c r="G88" i="4"/>
  <c r="K88" i="4" s="1"/>
  <c r="G87" i="4"/>
  <c r="K87" i="4" s="1"/>
  <c r="T86" i="4"/>
  <c r="G86" i="4"/>
  <c r="K86" i="4" s="1"/>
  <c r="U86" i="4" s="1"/>
  <c r="X86" i="4" s="1"/>
  <c r="H85" i="4"/>
  <c r="G85" i="4"/>
  <c r="K85" i="4" s="1"/>
  <c r="T84" i="4"/>
  <c r="G84" i="4"/>
  <c r="T83" i="4"/>
  <c r="G83" i="4"/>
  <c r="K83" i="4" s="1"/>
  <c r="T82" i="4"/>
  <c r="G82" i="4"/>
  <c r="K82" i="4" s="1"/>
  <c r="U82" i="4" s="1"/>
  <c r="X82" i="4" s="1"/>
  <c r="T81" i="4"/>
  <c r="G81" i="4"/>
  <c r="K81" i="4" s="1"/>
  <c r="U81" i="4" s="1"/>
  <c r="X81" i="4" s="1"/>
  <c r="G80" i="4"/>
  <c r="H79" i="4"/>
  <c r="G79" i="4"/>
  <c r="M79" i="4" s="1"/>
  <c r="G78" i="4"/>
  <c r="K78" i="4" s="1"/>
  <c r="M77" i="4"/>
  <c r="L77" i="4"/>
  <c r="T77" i="4" s="1"/>
  <c r="G77" i="4"/>
  <c r="K77" i="4" s="1"/>
  <c r="U77" i="4" s="1"/>
  <c r="X77" i="4" s="1"/>
  <c r="H76" i="4"/>
  <c r="G76" i="4"/>
  <c r="M76" i="4" s="1"/>
  <c r="T75" i="4"/>
  <c r="G75" i="4"/>
  <c r="K75" i="4" s="1"/>
  <c r="T74" i="4"/>
  <c r="G74" i="4"/>
  <c r="J74" i="4" s="1"/>
  <c r="K74" i="4" s="1"/>
  <c r="U74" i="4" s="1"/>
  <c r="X74" i="4" s="1"/>
  <c r="AA73" i="4"/>
  <c r="H73" i="4"/>
  <c r="G73" i="4"/>
  <c r="M73" i="4" s="1"/>
  <c r="T72" i="4"/>
  <c r="G72" i="4"/>
  <c r="K72" i="4" s="1"/>
  <c r="AA71" i="4"/>
  <c r="T71" i="4"/>
  <c r="G71" i="4"/>
  <c r="J71" i="4" s="1"/>
  <c r="K71" i="4" s="1"/>
  <c r="G70" i="4"/>
  <c r="K70" i="4" s="1"/>
  <c r="G69" i="4"/>
  <c r="H68" i="4"/>
  <c r="G68" i="4"/>
  <c r="M67" i="4"/>
  <c r="L67" i="4"/>
  <c r="T67" i="4" s="1"/>
  <c r="H67" i="4"/>
  <c r="G67" i="4"/>
  <c r="T66" i="4"/>
  <c r="G66" i="4"/>
  <c r="K66" i="4" s="1"/>
  <c r="U66" i="4" s="1"/>
  <c r="X66" i="4" s="1"/>
  <c r="H65" i="4"/>
  <c r="G65" i="4"/>
  <c r="M65" i="4" s="1"/>
  <c r="T64" i="4"/>
  <c r="G64" i="4"/>
  <c r="K64" i="4" s="1"/>
  <c r="T63" i="4"/>
  <c r="K63" i="4"/>
  <c r="G63" i="4"/>
  <c r="G62" i="4"/>
  <c r="L62" i="4" s="1"/>
  <c r="T62" i="4" s="1"/>
  <c r="H61" i="4"/>
  <c r="K61" i="4" s="1"/>
  <c r="G61" i="4"/>
  <c r="M61" i="4" s="1"/>
  <c r="T60" i="4"/>
  <c r="H60" i="4"/>
  <c r="G60" i="4"/>
  <c r="J60" i="4" s="1"/>
  <c r="G59" i="4"/>
  <c r="M59" i="4" s="1"/>
  <c r="M58" i="4"/>
  <c r="L58" i="4"/>
  <c r="G58" i="4"/>
  <c r="K58" i="4" s="1"/>
  <c r="T57" i="4"/>
  <c r="G57" i="4"/>
  <c r="K57" i="4" s="1"/>
  <c r="U57" i="4" s="1"/>
  <c r="X57" i="4" s="1"/>
  <c r="H56" i="4"/>
  <c r="G56" i="4"/>
  <c r="M55" i="4"/>
  <c r="L55" i="4"/>
  <c r="T55" i="4" s="1"/>
  <c r="G55" i="4"/>
  <c r="K55" i="4" s="1"/>
  <c r="T54" i="4"/>
  <c r="H54" i="4"/>
  <c r="G54" i="4"/>
  <c r="H53" i="4"/>
  <c r="G53" i="4"/>
  <c r="K53" i="4" s="1"/>
  <c r="T52" i="4"/>
  <c r="H52" i="4"/>
  <c r="G52" i="4"/>
  <c r="K52" i="4" s="1"/>
  <c r="G51" i="4"/>
  <c r="E50" i="4"/>
  <c r="G50" i="4" s="1"/>
  <c r="M49" i="4"/>
  <c r="L49" i="4"/>
  <c r="G49" i="4"/>
  <c r="K49" i="4" s="1"/>
  <c r="T48" i="4"/>
  <c r="G48" i="4"/>
  <c r="K48" i="4" s="1"/>
  <c r="G47" i="4"/>
  <c r="K47" i="4" s="1"/>
  <c r="U47" i="4" s="1"/>
  <c r="X47" i="4" s="1"/>
  <c r="T46" i="4"/>
  <c r="G46" i="4"/>
  <c r="K46" i="4" s="1"/>
  <c r="T45" i="4"/>
  <c r="G45" i="4"/>
  <c r="K45" i="4" s="1"/>
  <c r="U45" i="4" s="1"/>
  <c r="X45" i="4" s="1"/>
  <c r="L44" i="4"/>
  <c r="G44" i="4"/>
  <c r="M44" i="4" s="1"/>
  <c r="G43" i="4"/>
  <c r="M43" i="4" s="1"/>
  <c r="G42" i="4"/>
  <c r="K42" i="4" s="1"/>
  <c r="G41" i="4"/>
  <c r="G40" i="4"/>
  <c r="M40" i="4" s="1"/>
  <c r="M39" i="4"/>
  <c r="L39" i="4"/>
  <c r="J39" i="4"/>
  <c r="K39" i="4" s="1"/>
  <c r="G39" i="4"/>
  <c r="G38" i="4"/>
  <c r="M37" i="4"/>
  <c r="T37" i="4" s="1"/>
  <c r="K37" i="4"/>
  <c r="G37" i="4"/>
  <c r="L37" i="4" s="1"/>
  <c r="G36" i="4"/>
  <c r="M36" i="4" s="1"/>
  <c r="T35" i="4"/>
  <c r="G35" i="4"/>
  <c r="K35" i="4" s="1"/>
  <c r="U35" i="4" s="1"/>
  <c r="X35" i="4" s="1"/>
  <c r="M34" i="4"/>
  <c r="T34" i="4" s="1"/>
  <c r="L34" i="4"/>
  <c r="G34" i="4"/>
  <c r="K34" i="4" s="1"/>
  <c r="M33" i="4"/>
  <c r="L33" i="4"/>
  <c r="G33" i="4"/>
  <c r="K33" i="4" s="1"/>
  <c r="M32" i="4"/>
  <c r="L32" i="4"/>
  <c r="T32" i="4" s="1"/>
  <c r="G32" i="4"/>
  <c r="K32" i="4" s="1"/>
  <c r="U32" i="4" s="1"/>
  <c r="X32" i="4" s="1"/>
  <c r="G31" i="4"/>
  <c r="K31" i="4" s="1"/>
  <c r="G30" i="4"/>
  <c r="G29" i="4"/>
  <c r="K29" i="4" s="1"/>
  <c r="T28" i="4"/>
  <c r="U28" i="4" s="1"/>
  <c r="X28" i="4" s="1"/>
  <c r="G28" i="4"/>
  <c r="K28" i="4" s="1"/>
  <c r="M27" i="4"/>
  <c r="L27" i="4"/>
  <c r="G27" i="4"/>
  <c r="K27" i="4" s="1"/>
  <c r="G26" i="4"/>
  <c r="M26" i="4" s="1"/>
  <c r="M25" i="4"/>
  <c r="L25" i="4"/>
  <c r="G25" i="4"/>
  <c r="K25" i="4" s="1"/>
  <c r="T24" i="4"/>
  <c r="G24" i="4"/>
  <c r="K24" i="4" s="1"/>
  <c r="U24" i="4" s="1"/>
  <c r="X24" i="4" s="1"/>
  <c r="S23" i="4"/>
  <c r="M23" i="4"/>
  <c r="G23" i="4"/>
  <c r="K23" i="4" s="1"/>
  <c r="T22" i="4"/>
  <c r="G22" i="4"/>
  <c r="K22" i="4" s="1"/>
  <c r="G21" i="4"/>
  <c r="M21" i="4" s="1"/>
  <c r="G20" i="4"/>
  <c r="K20" i="4" s="1"/>
  <c r="T19" i="4"/>
  <c r="G19" i="4"/>
  <c r="K19" i="4" s="1"/>
  <c r="G18" i="4"/>
  <c r="G17" i="4"/>
  <c r="G16" i="4"/>
  <c r="K16" i="4" s="1"/>
  <c r="T15" i="4"/>
  <c r="G15" i="4"/>
  <c r="K15" i="4" s="1"/>
  <c r="T14" i="4"/>
  <c r="G14" i="4"/>
  <c r="K14" i="4" s="1"/>
  <c r="T13" i="4"/>
  <c r="G13" i="4"/>
  <c r="K13" i="4" s="1"/>
  <c r="G12" i="4"/>
  <c r="M11" i="4"/>
  <c r="L11" i="4"/>
  <c r="G11" i="4"/>
  <c r="K11" i="4" s="1"/>
  <c r="S10" i="4"/>
  <c r="M10" i="4"/>
  <c r="L10" i="4"/>
  <c r="G10" i="4"/>
  <c r="K10" i="4" s="1"/>
  <c r="G9" i="4"/>
  <c r="K9" i="4" s="1"/>
  <c r="G8" i="4"/>
  <c r="K8" i="4" s="1"/>
  <c r="M8" i="4" s="1"/>
  <c r="G7" i="4"/>
  <c r="K7" i="4" s="1"/>
  <c r="M6" i="4"/>
  <c r="L6" i="4"/>
  <c r="G6" i="4"/>
  <c r="K6" i="4" s="1"/>
  <c r="M5" i="4"/>
  <c r="L5" i="4"/>
  <c r="T5" i="4" s="1"/>
  <c r="G5" i="4"/>
  <c r="M4" i="4"/>
  <c r="L4" i="4"/>
  <c r="K4" i="4"/>
  <c r="C202" i="3"/>
  <c r="C182" i="3"/>
  <c r="C175" i="3"/>
  <c r="C177" i="3" s="1"/>
  <c r="W110" i="3"/>
  <c r="V110" i="3"/>
  <c r="R110" i="3"/>
  <c r="Q110" i="3"/>
  <c r="P110" i="3"/>
  <c r="O110" i="3"/>
  <c r="N110" i="3"/>
  <c r="I110" i="3"/>
  <c r="E110" i="3"/>
  <c r="G109" i="3"/>
  <c r="L109" i="3" s="1"/>
  <c r="L108" i="3"/>
  <c r="H108" i="3"/>
  <c r="G108" i="3"/>
  <c r="T107" i="3"/>
  <c r="H107" i="3"/>
  <c r="G107" i="3"/>
  <c r="J107" i="3" s="1"/>
  <c r="T106" i="3"/>
  <c r="G106" i="3"/>
  <c r="J106" i="3" s="1"/>
  <c r="K106" i="3" s="1"/>
  <c r="U106" i="3" s="1"/>
  <c r="X106" i="3" s="1"/>
  <c r="M105" i="3"/>
  <c r="G105" i="3"/>
  <c r="L105" i="3" s="1"/>
  <c r="H104" i="3"/>
  <c r="G104" i="3"/>
  <c r="L104" i="3" s="1"/>
  <c r="T104" i="3" s="1"/>
  <c r="J103" i="3"/>
  <c r="K103" i="3" s="1"/>
  <c r="L103" i="3" s="1"/>
  <c r="T103" i="3" s="1"/>
  <c r="G103" i="3"/>
  <c r="G102" i="3"/>
  <c r="M101" i="3"/>
  <c r="K101" i="3"/>
  <c r="G101" i="3"/>
  <c r="L101" i="3" s="1"/>
  <c r="G100" i="3"/>
  <c r="K100" i="3" s="1"/>
  <c r="G99" i="3"/>
  <c r="L99" i="3" s="1"/>
  <c r="G98" i="3"/>
  <c r="G97" i="3"/>
  <c r="L97" i="3" s="1"/>
  <c r="L96" i="3"/>
  <c r="T96" i="3" s="1"/>
  <c r="G96" i="3"/>
  <c r="J96" i="3" s="1"/>
  <c r="K96" i="3" s="1"/>
  <c r="G95" i="3"/>
  <c r="J95" i="3" s="1"/>
  <c r="G94" i="3"/>
  <c r="L94" i="3" s="1"/>
  <c r="M93" i="3"/>
  <c r="T93" i="3" s="1"/>
  <c r="G93" i="3"/>
  <c r="K93" i="3" s="1"/>
  <c r="H92" i="3"/>
  <c r="K92" i="3" s="1"/>
  <c r="G92" i="3"/>
  <c r="M92" i="3" s="1"/>
  <c r="G91" i="3"/>
  <c r="K91" i="3" s="1"/>
  <c r="G90" i="3"/>
  <c r="L90" i="3" s="1"/>
  <c r="H89" i="3"/>
  <c r="G89" i="3"/>
  <c r="M89" i="3" s="1"/>
  <c r="T88" i="3"/>
  <c r="G88" i="3"/>
  <c r="J88" i="3" s="1"/>
  <c r="K88" i="3" s="1"/>
  <c r="U88" i="3" s="1"/>
  <c r="X88" i="3" s="1"/>
  <c r="T87" i="3"/>
  <c r="G87" i="3"/>
  <c r="K87" i="3" s="1"/>
  <c r="U87" i="3" s="1"/>
  <c r="X87" i="3" s="1"/>
  <c r="G86" i="3"/>
  <c r="K86" i="3" s="1"/>
  <c r="T85" i="3"/>
  <c r="G85" i="3"/>
  <c r="K85" i="3" s="1"/>
  <c r="T84" i="3"/>
  <c r="G84" i="3"/>
  <c r="K84" i="3" s="1"/>
  <c r="U84" i="3" s="1"/>
  <c r="X84" i="3" s="1"/>
  <c r="K83" i="3"/>
  <c r="G83" i="3"/>
  <c r="L83" i="3" s="1"/>
  <c r="T83" i="3" s="1"/>
  <c r="H82" i="3"/>
  <c r="G82" i="3"/>
  <c r="M82" i="3" s="1"/>
  <c r="G81" i="3"/>
  <c r="M80" i="3"/>
  <c r="L80" i="3"/>
  <c r="G80" i="3"/>
  <c r="K80" i="3" s="1"/>
  <c r="H79" i="3"/>
  <c r="G79" i="3"/>
  <c r="M79" i="3" s="1"/>
  <c r="T78" i="3"/>
  <c r="G78" i="3"/>
  <c r="K78" i="3" s="1"/>
  <c r="T77" i="3"/>
  <c r="G77" i="3"/>
  <c r="J77" i="3" s="1"/>
  <c r="K77" i="3" s="1"/>
  <c r="U77" i="3" s="1"/>
  <c r="X77" i="3" s="1"/>
  <c r="AA76" i="3"/>
  <c r="T76" i="3"/>
  <c r="G76" i="3"/>
  <c r="K76" i="3" s="1"/>
  <c r="T75" i="3"/>
  <c r="K75" i="3"/>
  <c r="U75" i="3" s="1"/>
  <c r="X75" i="3" s="1"/>
  <c r="G75" i="3"/>
  <c r="AA74" i="3"/>
  <c r="T74" i="3"/>
  <c r="G74" i="3"/>
  <c r="J74" i="3" s="1"/>
  <c r="H73" i="3"/>
  <c r="G73" i="3"/>
  <c r="L73" i="3" s="1"/>
  <c r="M72" i="3"/>
  <c r="G72" i="3"/>
  <c r="L72" i="3" s="1"/>
  <c r="L71" i="3"/>
  <c r="H71" i="3"/>
  <c r="G71" i="3"/>
  <c r="M71" i="3" s="1"/>
  <c r="H70" i="3"/>
  <c r="G70" i="3"/>
  <c r="M70" i="3" s="1"/>
  <c r="T69" i="3"/>
  <c r="G69" i="3"/>
  <c r="J69" i="3" s="1"/>
  <c r="K69" i="3" s="1"/>
  <c r="T68" i="3"/>
  <c r="G68" i="3"/>
  <c r="K68" i="3" s="1"/>
  <c r="U68" i="3" s="1"/>
  <c r="X68" i="3" s="1"/>
  <c r="T67" i="3"/>
  <c r="G67" i="3"/>
  <c r="J67" i="3" s="1"/>
  <c r="K67" i="3" s="1"/>
  <c r="T66" i="3"/>
  <c r="G66" i="3"/>
  <c r="K66" i="3" s="1"/>
  <c r="U66" i="3" s="1"/>
  <c r="X66" i="3" s="1"/>
  <c r="G65" i="3"/>
  <c r="H64" i="3"/>
  <c r="G64" i="3"/>
  <c r="L64" i="3" s="1"/>
  <c r="T63" i="3"/>
  <c r="H63" i="3"/>
  <c r="K63" i="3" s="1"/>
  <c r="G63" i="3"/>
  <c r="J63" i="3" s="1"/>
  <c r="G62" i="3"/>
  <c r="L62" i="3" s="1"/>
  <c r="G61" i="3"/>
  <c r="L61" i="3" s="1"/>
  <c r="G60" i="3"/>
  <c r="M60" i="3" s="1"/>
  <c r="H59" i="3"/>
  <c r="G59" i="3"/>
  <c r="G58" i="3"/>
  <c r="L58" i="3" s="1"/>
  <c r="H57" i="3"/>
  <c r="G57" i="3"/>
  <c r="K57" i="3" s="1"/>
  <c r="H56" i="3"/>
  <c r="G56" i="3"/>
  <c r="L56" i="3" s="1"/>
  <c r="T56" i="3" s="1"/>
  <c r="H55" i="3"/>
  <c r="G55" i="3"/>
  <c r="M55" i="3" s="1"/>
  <c r="L54" i="3"/>
  <c r="G54" i="3"/>
  <c r="K54" i="3" s="1"/>
  <c r="G53" i="3"/>
  <c r="L53" i="3" s="1"/>
  <c r="T53" i="3" s="1"/>
  <c r="G52" i="3"/>
  <c r="T51" i="3"/>
  <c r="G51" i="3"/>
  <c r="K51" i="3" s="1"/>
  <c r="U51" i="3" s="1"/>
  <c r="X51" i="3" s="1"/>
  <c r="G50" i="3"/>
  <c r="K50" i="3" s="1"/>
  <c r="U50" i="3" s="1"/>
  <c r="X50" i="3" s="1"/>
  <c r="T49" i="3"/>
  <c r="G49" i="3"/>
  <c r="K49" i="3" s="1"/>
  <c r="T48" i="3"/>
  <c r="G48" i="3"/>
  <c r="K48" i="3" s="1"/>
  <c r="U48" i="3" s="1"/>
  <c r="X48" i="3" s="1"/>
  <c r="G47" i="3"/>
  <c r="M47" i="3" s="1"/>
  <c r="G46" i="3"/>
  <c r="G45" i="3"/>
  <c r="K45" i="3" s="1"/>
  <c r="L44" i="3"/>
  <c r="G44" i="3"/>
  <c r="K44" i="3" s="1"/>
  <c r="G43" i="3"/>
  <c r="M43" i="3" s="1"/>
  <c r="G42" i="3"/>
  <c r="M41" i="3"/>
  <c r="L41" i="3"/>
  <c r="G41" i="3"/>
  <c r="J41" i="3" s="1"/>
  <c r="G40" i="3"/>
  <c r="L40" i="3" s="1"/>
  <c r="T40" i="3" s="1"/>
  <c r="K39" i="3"/>
  <c r="G39" i="3"/>
  <c r="M39" i="3" s="1"/>
  <c r="G38" i="3"/>
  <c r="T37" i="3"/>
  <c r="K37" i="3"/>
  <c r="G37" i="3"/>
  <c r="G36" i="3"/>
  <c r="M35" i="3"/>
  <c r="L35" i="3"/>
  <c r="G35" i="3"/>
  <c r="K35" i="3" s="1"/>
  <c r="M34" i="3"/>
  <c r="K34" i="3"/>
  <c r="G34" i="3"/>
  <c r="L34" i="3" s="1"/>
  <c r="G33" i="3"/>
  <c r="K33" i="3" s="1"/>
  <c r="G32" i="3"/>
  <c r="G31" i="3"/>
  <c r="L31" i="3" s="1"/>
  <c r="T30" i="3"/>
  <c r="G30" i="3"/>
  <c r="K30" i="3" s="1"/>
  <c r="U30" i="3" s="1"/>
  <c r="X30" i="3" s="1"/>
  <c r="M29" i="3"/>
  <c r="L29" i="3"/>
  <c r="G29" i="3"/>
  <c r="K29" i="3" s="1"/>
  <c r="M28" i="3"/>
  <c r="K28" i="3"/>
  <c r="G28" i="3"/>
  <c r="L28" i="3" s="1"/>
  <c r="M27" i="3"/>
  <c r="G27" i="3"/>
  <c r="L27" i="3" s="1"/>
  <c r="T27" i="3" s="1"/>
  <c r="T26" i="3"/>
  <c r="G26" i="3"/>
  <c r="K26" i="3" s="1"/>
  <c r="S25" i="3"/>
  <c r="S110" i="3" s="1"/>
  <c r="M25" i="3"/>
  <c r="K25" i="3"/>
  <c r="G25" i="3"/>
  <c r="L25" i="3" s="1"/>
  <c r="T24" i="3"/>
  <c r="G24" i="3"/>
  <c r="K24" i="3" s="1"/>
  <c r="U24" i="3" s="1"/>
  <c r="X24" i="3" s="1"/>
  <c r="G23" i="3"/>
  <c r="M23" i="3" s="1"/>
  <c r="G22" i="3"/>
  <c r="M22" i="3" s="1"/>
  <c r="T21" i="3"/>
  <c r="G21" i="3"/>
  <c r="K21" i="3" s="1"/>
  <c r="G20" i="3"/>
  <c r="M20" i="3" s="1"/>
  <c r="G19" i="3"/>
  <c r="K19" i="3" s="1"/>
  <c r="G18" i="3"/>
  <c r="M18" i="3" s="1"/>
  <c r="G17" i="3"/>
  <c r="M17" i="3" s="1"/>
  <c r="T16" i="3"/>
  <c r="G16" i="3"/>
  <c r="K16" i="3" s="1"/>
  <c r="T15" i="3"/>
  <c r="G15" i="3"/>
  <c r="K15" i="3" s="1"/>
  <c r="U15" i="3" s="1"/>
  <c r="X15" i="3" s="1"/>
  <c r="T14" i="3"/>
  <c r="K14" i="3"/>
  <c r="G14" i="3"/>
  <c r="G13" i="3"/>
  <c r="K13" i="3" s="1"/>
  <c r="G12" i="3"/>
  <c r="M11" i="3"/>
  <c r="L11" i="3"/>
  <c r="G11" i="3"/>
  <c r="K11" i="3" s="1"/>
  <c r="M10" i="3"/>
  <c r="L10" i="3"/>
  <c r="G10" i="3"/>
  <c r="K10" i="3" s="1"/>
  <c r="K9" i="3"/>
  <c r="G9" i="3"/>
  <c r="L9" i="3" s="1"/>
  <c r="G8" i="3"/>
  <c r="K8" i="3" s="1"/>
  <c r="G7" i="3"/>
  <c r="K7" i="3" s="1"/>
  <c r="M6" i="3"/>
  <c r="L6" i="3"/>
  <c r="G6" i="3"/>
  <c r="K6" i="3" s="1"/>
  <c r="M5" i="3"/>
  <c r="L5" i="3"/>
  <c r="G5" i="3"/>
  <c r="M4" i="3"/>
  <c r="L4" i="3"/>
  <c r="K4" i="3"/>
  <c r="C208" i="2"/>
  <c r="C188" i="2"/>
  <c r="C183" i="2"/>
  <c r="C181" i="2"/>
  <c r="O120" i="2"/>
  <c r="W116" i="2"/>
  <c r="V116" i="2"/>
  <c r="R116" i="2"/>
  <c r="Q116" i="2"/>
  <c r="P116" i="2"/>
  <c r="O116" i="2"/>
  <c r="N116" i="2"/>
  <c r="I116" i="2"/>
  <c r="E116" i="2"/>
  <c r="T115" i="2"/>
  <c r="U115" i="2" s="1"/>
  <c r="X115" i="2" s="1"/>
  <c r="G115" i="2"/>
  <c r="J115" i="2" s="1"/>
  <c r="K115" i="2" s="1"/>
  <c r="G114" i="2"/>
  <c r="M114" i="2" s="1"/>
  <c r="H113" i="2"/>
  <c r="K113" i="2" s="1"/>
  <c r="G113" i="2"/>
  <c r="M113" i="2" s="1"/>
  <c r="H112" i="2"/>
  <c r="G112" i="2"/>
  <c r="M112" i="2" s="1"/>
  <c r="T111" i="2"/>
  <c r="G111" i="2"/>
  <c r="J111" i="2" s="1"/>
  <c r="K111" i="2" s="1"/>
  <c r="U111" i="2" s="1"/>
  <c r="X111" i="2" s="1"/>
  <c r="G110" i="2"/>
  <c r="G109" i="2"/>
  <c r="J109" i="2" s="1"/>
  <c r="K109" i="2" s="1"/>
  <c r="H108" i="2"/>
  <c r="G108" i="2"/>
  <c r="L108" i="2" s="1"/>
  <c r="T108" i="2" s="1"/>
  <c r="G107" i="2"/>
  <c r="G106" i="2"/>
  <c r="G105" i="2"/>
  <c r="M105" i="2" s="1"/>
  <c r="M104" i="2"/>
  <c r="G104" i="2"/>
  <c r="L104" i="2" s="1"/>
  <c r="T104" i="2" s="1"/>
  <c r="G103" i="2"/>
  <c r="M103" i="2" s="1"/>
  <c r="K102" i="2"/>
  <c r="G102" i="2"/>
  <c r="L102" i="2" s="1"/>
  <c r="G101" i="2"/>
  <c r="L100" i="2"/>
  <c r="T100" i="2" s="1"/>
  <c r="G100" i="2"/>
  <c r="J100" i="2" s="1"/>
  <c r="K100" i="2" s="1"/>
  <c r="G99" i="2"/>
  <c r="M99" i="2" s="1"/>
  <c r="G98" i="2"/>
  <c r="M98" i="2" s="1"/>
  <c r="M97" i="2"/>
  <c r="T97" i="2" s="1"/>
  <c r="G97" i="2"/>
  <c r="K97" i="2" s="1"/>
  <c r="H96" i="2"/>
  <c r="G96" i="2"/>
  <c r="M96" i="2" s="1"/>
  <c r="G95" i="2"/>
  <c r="M95" i="2" s="1"/>
  <c r="G94" i="2"/>
  <c r="M94" i="2" s="1"/>
  <c r="H93" i="2"/>
  <c r="G93" i="2"/>
  <c r="T92" i="2"/>
  <c r="G92" i="2"/>
  <c r="J92" i="2" s="1"/>
  <c r="K92" i="2" s="1"/>
  <c r="T91" i="2"/>
  <c r="G91" i="2"/>
  <c r="J91" i="2" s="1"/>
  <c r="K91" i="2" s="1"/>
  <c r="T90" i="2"/>
  <c r="K90" i="2"/>
  <c r="G90" i="2"/>
  <c r="T89" i="2"/>
  <c r="G89" i="2"/>
  <c r="K89" i="2" s="1"/>
  <c r="U89" i="2" s="1"/>
  <c r="X89" i="2" s="1"/>
  <c r="T88" i="2"/>
  <c r="G88" i="2"/>
  <c r="K88" i="2" s="1"/>
  <c r="H87" i="2"/>
  <c r="G87" i="2"/>
  <c r="M87" i="2" s="1"/>
  <c r="M86" i="2"/>
  <c r="G86" i="2"/>
  <c r="K86" i="2" s="1"/>
  <c r="M85" i="2"/>
  <c r="L85" i="2"/>
  <c r="K85" i="2"/>
  <c r="G85" i="2"/>
  <c r="L84" i="2"/>
  <c r="T84" i="2" s="1"/>
  <c r="H84" i="2"/>
  <c r="K84" i="2" s="1"/>
  <c r="G84" i="2"/>
  <c r="M84" i="2" s="1"/>
  <c r="T83" i="2"/>
  <c r="G83" i="2"/>
  <c r="K83" i="2" s="1"/>
  <c r="U83" i="2" s="1"/>
  <c r="X83" i="2" s="1"/>
  <c r="T82" i="2"/>
  <c r="G82" i="2"/>
  <c r="J82" i="2" s="1"/>
  <c r="K82" i="2" s="1"/>
  <c r="T81" i="2"/>
  <c r="G81" i="2"/>
  <c r="J81" i="2" s="1"/>
  <c r="K81" i="2" s="1"/>
  <c r="M80" i="2"/>
  <c r="L80" i="2"/>
  <c r="G80" i="2"/>
  <c r="J80" i="2" s="1"/>
  <c r="K80" i="2" s="1"/>
  <c r="AA79" i="2"/>
  <c r="T79" i="2"/>
  <c r="G79" i="2"/>
  <c r="K79" i="2" s="1"/>
  <c r="T78" i="2"/>
  <c r="K78" i="2"/>
  <c r="G78" i="2"/>
  <c r="AA77" i="2"/>
  <c r="T77" i="2"/>
  <c r="J77" i="2"/>
  <c r="K77" i="2" s="1"/>
  <c r="G77" i="2"/>
  <c r="T76" i="2"/>
  <c r="K76" i="2"/>
  <c r="U76" i="2" s="1"/>
  <c r="X76" i="2" s="1"/>
  <c r="G76" i="2"/>
  <c r="G75" i="2"/>
  <c r="M75" i="2" s="1"/>
  <c r="M74" i="2"/>
  <c r="G74" i="2"/>
  <c r="L74" i="2" s="1"/>
  <c r="H73" i="2"/>
  <c r="G73" i="2"/>
  <c r="H72" i="2"/>
  <c r="G72" i="2"/>
  <c r="T71" i="2"/>
  <c r="G71" i="2"/>
  <c r="J71" i="2" s="1"/>
  <c r="K71" i="2" s="1"/>
  <c r="U71" i="2" s="1"/>
  <c r="X71" i="2" s="1"/>
  <c r="T70" i="2"/>
  <c r="G70" i="2"/>
  <c r="K70" i="2" s="1"/>
  <c r="T69" i="2"/>
  <c r="J69" i="2"/>
  <c r="K69" i="2" s="1"/>
  <c r="U69" i="2" s="1"/>
  <c r="X69" i="2" s="1"/>
  <c r="G69" i="2"/>
  <c r="T68" i="2"/>
  <c r="G68" i="2"/>
  <c r="K68" i="2" s="1"/>
  <c r="U68" i="2" s="1"/>
  <c r="X68" i="2" s="1"/>
  <c r="T67" i="2"/>
  <c r="J67" i="2"/>
  <c r="K67" i="2" s="1"/>
  <c r="G67" i="2"/>
  <c r="L67" i="2" s="1"/>
  <c r="M66" i="2"/>
  <c r="H66" i="2"/>
  <c r="G66" i="2"/>
  <c r="L66" i="2" s="1"/>
  <c r="T65" i="2"/>
  <c r="H65" i="2"/>
  <c r="K65" i="2" s="1"/>
  <c r="U65" i="2" s="1"/>
  <c r="X65" i="2" s="1"/>
  <c r="G65" i="2"/>
  <c r="J65" i="2" s="1"/>
  <c r="G64" i="2"/>
  <c r="K64" i="2" s="1"/>
  <c r="G63" i="2"/>
  <c r="M63" i="2" s="1"/>
  <c r="G62" i="2"/>
  <c r="M62" i="2" s="1"/>
  <c r="H61" i="2"/>
  <c r="K61" i="2" s="1"/>
  <c r="G61" i="2"/>
  <c r="L61" i="2" s="1"/>
  <c r="G60" i="2"/>
  <c r="L60" i="2" s="1"/>
  <c r="H59" i="2"/>
  <c r="G59" i="2"/>
  <c r="T58" i="2"/>
  <c r="H58" i="2"/>
  <c r="G58" i="2"/>
  <c r="H57" i="2"/>
  <c r="G57" i="2"/>
  <c r="L57" i="2" s="1"/>
  <c r="T57" i="2" s="1"/>
  <c r="H56" i="2"/>
  <c r="G56" i="2"/>
  <c r="L56" i="2" s="1"/>
  <c r="M55" i="2"/>
  <c r="G55" i="2"/>
  <c r="L55" i="2" s="1"/>
  <c r="G54" i="2"/>
  <c r="L54" i="2" s="1"/>
  <c r="T54" i="2" s="1"/>
  <c r="K53" i="2"/>
  <c r="G53" i="2"/>
  <c r="M53" i="2" s="1"/>
  <c r="T52" i="2"/>
  <c r="G52" i="2"/>
  <c r="K52" i="2" s="1"/>
  <c r="U51" i="2"/>
  <c r="X51" i="2" s="1"/>
  <c r="G51" i="2"/>
  <c r="K51" i="2" s="1"/>
  <c r="G50" i="2"/>
  <c r="M50" i="2" s="1"/>
  <c r="T49" i="2"/>
  <c r="G49" i="2"/>
  <c r="K49" i="2" s="1"/>
  <c r="G48" i="2"/>
  <c r="M48" i="2" s="1"/>
  <c r="G47" i="2"/>
  <c r="M47" i="2" s="1"/>
  <c r="G46" i="2"/>
  <c r="K46" i="2" s="1"/>
  <c r="L46" i="2" s="1"/>
  <c r="G45" i="2"/>
  <c r="L44" i="2"/>
  <c r="K44" i="2"/>
  <c r="G44" i="2"/>
  <c r="M44" i="2" s="1"/>
  <c r="G43" i="2"/>
  <c r="L43" i="2" s="1"/>
  <c r="M42" i="2"/>
  <c r="L42" i="2"/>
  <c r="G42" i="2"/>
  <c r="J42" i="2" s="1"/>
  <c r="L41" i="2"/>
  <c r="G41" i="2"/>
  <c r="L40" i="2"/>
  <c r="K40" i="2"/>
  <c r="G40" i="2"/>
  <c r="M40" i="2" s="1"/>
  <c r="T39" i="2"/>
  <c r="G39" i="2"/>
  <c r="K39" i="2" s="1"/>
  <c r="T38" i="2"/>
  <c r="K38" i="2"/>
  <c r="G38" i="2"/>
  <c r="G37" i="2"/>
  <c r="L37" i="2" s="1"/>
  <c r="M36" i="2"/>
  <c r="L36" i="2"/>
  <c r="G36" i="2"/>
  <c r="K36" i="2" s="1"/>
  <c r="G35" i="2"/>
  <c r="G34" i="2"/>
  <c r="K34" i="2" s="1"/>
  <c r="G33" i="2"/>
  <c r="G32" i="2"/>
  <c r="L32" i="2" s="1"/>
  <c r="T31" i="2"/>
  <c r="G31" i="2"/>
  <c r="K31" i="2" s="1"/>
  <c r="T30" i="2"/>
  <c r="G30" i="2"/>
  <c r="K30" i="2" s="1"/>
  <c r="U30" i="2" s="1"/>
  <c r="X30" i="2" s="1"/>
  <c r="M29" i="2"/>
  <c r="L29" i="2"/>
  <c r="G29" i="2"/>
  <c r="K29" i="2" s="1"/>
  <c r="L28" i="2"/>
  <c r="K28" i="2"/>
  <c r="G28" i="2"/>
  <c r="M28" i="2" s="1"/>
  <c r="M27" i="2"/>
  <c r="L27" i="2"/>
  <c r="T27" i="2" s="1"/>
  <c r="K27" i="2"/>
  <c r="G27" i="2"/>
  <c r="G26" i="2"/>
  <c r="M26" i="2" s="1"/>
  <c r="S25" i="2"/>
  <c r="S116" i="2" s="1"/>
  <c r="G25" i="2"/>
  <c r="M25" i="2" s="1"/>
  <c r="T24" i="2"/>
  <c r="G24" i="2"/>
  <c r="K24" i="2" s="1"/>
  <c r="U24" i="2" s="1"/>
  <c r="X24" i="2" s="1"/>
  <c r="G23" i="2"/>
  <c r="M23" i="2" s="1"/>
  <c r="M22" i="2"/>
  <c r="G22" i="2"/>
  <c r="L22" i="2" s="1"/>
  <c r="T21" i="2"/>
  <c r="G21" i="2"/>
  <c r="K21" i="2" s="1"/>
  <c r="M20" i="2"/>
  <c r="G20" i="2"/>
  <c r="L20" i="2" s="1"/>
  <c r="G19" i="2"/>
  <c r="K19" i="2" s="1"/>
  <c r="G18" i="2"/>
  <c r="M18" i="2" s="1"/>
  <c r="G17" i="2"/>
  <c r="M17" i="2" s="1"/>
  <c r="T16" i="2"/>
  <c r="G16" i="2"/>
  <c r="K16" i="2" s="1"/>
  <c r="T15" i="2"/>
  <c r="G15" i="2"/>
  <c r="K15" i="2" s="1"/>
  <c r="T14" i="2"/>
  <c r="G14" i="2"/>
  <c r="K14" i="2" s="1"/>
  <c r="U14" i="2" s="1"/>
  <c r="X14" i="2" s="1"/>
  <c r="G13" i="2"/>
  <c r="K13" i="2" s="1"/>
  <c r="L12" i="2"/>
  <c r="T12" i="2" s="1"/>
  <c r="G12" i="2"/>
  <c r="M12" i="2" s="1"/>
  <c r="M11" i="2"/>
  <c r="L11" i="2"/>
  <c r="T11" i="2" s="1"/>
  <c r="G11" i="2"/>
  <c r="K11" i="2" s="1"/>
  <c r="M10" i="2"/>
  <c r="L10" i="2"/>
  <c r="G10" i="2"/>
  <c r="K10" i="2" s="1"/>
  <c r="G9" i="2"/>
  <c r="M9" i="2" s="1"/>
  <c r="G8" i="2"/>
  <c r="K8" i="2" s="1"/>
  <c r="M8" i="2" s="1"/>
  <c r="G7" i="2"/>
  <c r="K7" i="2" s="1"/>
  <c r="M6" i="2"/>
  <c r="L6" i="2"/>
  <c r="K6" i="2"/>
  <c r="M5" i="2"/>
  <c r="L5" i="2"/>
  <c r="G5" i="2"/>
  <c r="K5" i="2" s="1"/>
  <c r="M4" i="2"/>
  <c r="T4" i="2" s="1"/>
  <c r="L4" i="2"/>
  <c r="K4" i="2"/>
  <c r="C207" i="1"/>
  <c r="C187" i="1"/>
  <c r="C180" i="1"/>
  <c r="C182" i="1" s="1"/>
  <c r="W115" i="1"/>
  <c r="V115" i="1"/>
  <c r="R115" i="1"/>
  <c r="Q115" i="1"/>
  <c r="P115" i="1"/>
  <c r="O115" i="1"/>
  <c r="N115" i="1"/>
  <c r="I115" i="1"/>
  <c r="E115" i="1"/>
  <c r="T114" i="1"/>
  <c r="G114" i="1"/>
  <c r="J114" i="1" s="1"/>
  <c r="K114" i="1" s="1"/>
  <c r="U114" i="1" s="1"/>
  <c r="X114" i="1" s="1"/>
  <c r="M113" i="1"/>
  <c r="L113" i="1"/>
  <c r="T113" i="1" s="1"/>
  <c r="G113" i="1"/>
  <c r="K113" i="1" s="1"/>
  <c r="U113" i="1" s="1"/>
  <c r="X113" i="1" s="1"/>
  <c r="H112" i="1"/>
  <c r="G112" i="1"/>
  <c r="M112" i="1" s="1"/>
  <c r="H111" i="1"/>
  <c r="G111" i="1"/>
  <c r="M111" i="1" s="1"/>
  <c r="T110" i="1"/>
  <c r="U110" i="1" s="1"/>
  <c r="X110" i="1" s="1"/>
  <c r="G110" i="1"/>
  <c r="J110" i="1" s="1"/>
  <c r="K110" i="1" s="1"/>
  <c r="L109" i="1"/>
  <c r="H109" i="1"/>
  <c r="G109" i="1"/>
  <c r="M109" i="1" s="1"/>
  <c r="T108" i="1"/>
  <c r="H108" i="1"/>
  <c r="G108" i="1"/>
  <c r="H107" i="1"/>
  <c r="G107" i="1"/>
  <c r="M107" i="1" s="1"/>
  <c r="G106" i="1"/>
  <c r="L105" i="1"/>
  <c r="H105" i="1"/>
  <c r="G105" i="1"/>
  <c r="M105" i="1" s="1"/>
  <c r="G104" i="1"/>
  <c r="G103" i="1"/>
  <c r="M103" i="1" s="1"/>
  <c r="H102" i="1"/>
  <c r="G102" i="1"/>
  <c r="L102" i="1" s="1"/>
  <c r="G101" i="1"/>
  <c r="K101" i="1" s="1"/>
  <c r="G100" i="1"/>
  <c r="M100" i="1" s="1"/>
  <c r="G99" i="1"/>
  <c r="L98" i="1"/>
  <c r="T98" i="1" s="1"/>
  <c r="G98" i="1"/>
  <c r="K98" i="1" s="1"/>
  <c r="T97" i="1"/>
  <c r="G97" i="1"/>
  <c r="J97" i="1" s="1"/>
  <c r="K97" i="1" s="1"/>
  <c r="G96" i="1"/>
  <c r="M96" i="1" s="1"/>
  <c r="M95" i="1"/>
  <c r="T95" i="1" s="1"/>
  <c r="K95" i="1"/>
  <c r="G95" i="1"/>
  <c r="H94" i="1"/>
  <c r="G94" i="1"/>
  <c r="M94" i="1" s="1"/>
  <c r="G93" i="1"/>
  <c r="K93" i="1" s="1"/>
  <c r="G92" i="1"/>
  <c r="M91" i="1"/>
  <c r="H91" i="1"/>
  <c r="G91" i="1"/>
  <c r="T90" i="1"/>
  <c r="G90" i="1"/>
  <c r="J90" i="1" s="1"/>
  <c r="K90" i="1" s="1"/>
  <c r="U90" i="1" s="1"/>
  <c r="X90" i="1" s="1"/>
  <c r="T89" i="1"/>
  <c r="G89" i="1"/>
  <c r="J89" i="1" s="1"/>
  <c r="K89" i="1" s="1"/>
  <c r="T88" i="1"/>
  <c r="G88" i="1"/>
  <c r="K88" i="1" s="1"/>
  <c r="U88" i="1" s="1"/>
  <c r="X88" i="1" s="1"/>
  <c r="T87" i="1"/>
  <c r="G87" i="1"/>
  <c r="J87" i="1" s="1"/>
  <c r="K87" i="1" s="1"/>
  <c r="T86" i="1"/>
  <c r="G86" i="1"/>
  <c r="K86" i="1" s="1"/>
  <c r="U86" i="1" s="1"/>
  <c r="X86" i="1" s="1"/>
  <c r="M85" i="1"/>
  <c r="H85" i="1"/>
  <c r="G85" i="1"/>
  <c r="M84" i="1"/>
  <c r="L84" i="1"/>
  <c r="T84" i="1" s="1"/>
  <c r="G84" i="1"/>
  <c r="K84" i="1" s="1"/>
  <c r="M83" i="1"/>
  <c r="L83" i="1"/>
  <c r="T83" i="1" s="1"/>
  <c r="K83" i="1"/>
  <c r="U83" i="1" s="1"/>
  <c r="X83" i="1" s="1"/>
  <c r="G83" i="1"/>
  <c r="H82" i="1"/>
  <c r="G82" i="1"/>
  <c r="M82" i="1" s="1"/>
  <c r="T81" i="1"/>
  <c r="H81" i="1"/>
  <c r="G81" i="1"/>
  <c r="T80" i="1"/>
  <c r="G80" i="1"/>
  <c r="T79" i="1"/>
  <c r="G79" i="1"/>
  <c r="J79" i="1" s="1"/>
  <c r="K79" i="1" s="1"/>
  <c r="M78" i="1"/>
  <c r="L78" i="1"/>
  <c r="T78" i="1" s="1"/>
  <c r="G78" i="1"/>
  <c r="J78" i="1" s="1"/>
  <c r="K78" i="1" s="1"/>
  <c r="AA77" i="1"/>
  <c r="T77" i="1"/>
  <c r="G77" i="1"/>
  <c r="K77" i="1" s="1"/>
  <c r="U77" i="1" s="1"/>
  <c r="X77" i="1" s="1"/>
  <c r="K76" i="1"/>
  <c r="G76" i="1"/>
  <c r="T75" i="1"/>
  <c r="K75" i="1"/>
  <c r="G75" i="1"/>
  <c r="AA74" i="1"/>
  <c r="T74" i="1"/>
  <c r="J74" i="1"/>
  <c r="K74" i="1" s="1"/>
  <c r="U74" i="1" s="1"/>
  <c r="X74" i="1" s="1"/>
  <c r="G74" i="1"/>
  <c r="T73" i="1"/>
  <c r="G73" i="1"/>
  <c r="K73" i="1" s="1"/>
  <c r="U73" i="1" s="1"/>
  <c r="X73" i="1" s="1"/>
  <c r="G72" i="1"/>
  <c r="G71" i="1"/>
  <c r="K71" i="1" s="1"/>
  <c r="H70" i="1"/>
  <c r="G70" i="1"/>
  <c r="M70" i="1" s="1"/>
  <c r="H69" i="1"/>
  <c r="G69" i="1"/>
  <c r="M69" i="1" s="1"/>
  <c r="T68" i="1"/>
  <c r="G68" i="1"/>
  <c r="J68" i="1" s="1"/>
  <c r="K68" i="1" s="1"/>
  <c r="U68" i="1" s="1"/>
  <c r="X68" i="1" s="1"/>
  <c r="T67" i="1"/>
  <c r="K67" i="1"/>
  <c r="G67" i="1"/>
  <c r="T66" i="1"/>
  <c r="G66" i="1"/>
  <c r="J66" i="1" s="1"/>
  <c r="K66" i="1" s="1"/>
  <c r="T65" i="1"/>
  <c r="G65" i="1"/>
  <c r="K65" i="1" s="1"/>
  <c r="U65" i="1" s="1"/>
  <c r="X65" i="1" s="1"/>
  <c r="G64" i="1"/>
  <c r="J64" i="1" s="1"/>
  <c r="K64" i="1" s="1"/>
  <c r="G63" i="1"/>
  <c r="M63" i="1" s="1"/>
  <c r="T62" i="1"/>
  <c r="H62" i="1"/>
  <c r="G62" i="1"/>
  <c r="J62" i="1" s="1"/>
  <c r="M61" i="1"/>
  <c r="G61" i="1"/>
  <c r="G60" i="1"/>
  <c r="K60" i="1" s="1"/>
  <c r="L59" i="1"/>
  <c r="K59" i="1"/>
  <c r="G59" i="1"/>
  <c r="M59" i="1" s="1"/>
  <c r="H58" i="1"/>
  <c r="G58" i="1"/>
  <c r="M58" i="1" s="1"/>
  <c r="G57" i="1"/>
  <c r="H56" i="1"/>
  <c r="G56" i="1"/>
  <c r="L56" i="1" s="1"/>
  <c r="T55" i="1"/>
  <c r="H55" i="1"/>
  <c r="K55" i="1" s="1"/>
  <c r="G55" i="1"/>
  <c r="L54" i="1"/>
  <c r="T54" i="1" s="1"/>
  <c r="H54" i="1"/>
  <c r="K54" i="1" s="1"/>
  <c r="U54" i="1" s="1"/>
  <c r="X54" i="1" s="1"/>
  <c r="G54" i="1"/>
  <c r="H53" i="1"/>
  <c r="G53" i="1"/>
  <c r="M53" i="1" s="1"/>
  <c r="H52" i="1"/>
  <c r="G52" i="1"/>
  <c r="L52" i="1" s="1"/>
  <c r="T52" i="1" s="1"/>
  <c r="T51" i="1"/>
  <c r="K51" i="1"/>
  <c r="M50" i="1"/>
  <c r="K50" i="1"/>
  <c r="G50" i="1"/>
  <c r="L50" i="1" s="1"/>
  <c r="T49" i="1"/>
  <c r="G49" i="1"/>
  <c r="K49" i="1" s="1"/>
  <c r="G48" i="1"/>
  <c r="L48" i="1" s="1"/>
  <c r="T47" i="1"/>
  <c r="G47" i="1"/>
  <c r="K47" i="1" s="1"/>
  <c r="U47" i="1" s="1"/>
  <c r="X47" i="1" s="1"/>
  <c r="T46" i="1"/>
  <c r="K46" i="1"/>
  <c r="G46" i="1"/>
  <c r="G45" i="1"/>
  <c r="G44" i="1"/>
  <c r="K44" i="1" s="1"/>
  <c r="K43" i="1"/>
  <c r="G43" i="1"/>
  <c r="M43" i="1" s="1"/>
  <c r="G42" i="1"/>
  <c r="L41" i="1"/>
  <c r="T41" i="1" s="1"/>
  <c r="K41" i="1"/>
  <c r="G41" i="1"/>
  <c r="M41" i="1" s="1"/>
  <c r="M40" i="1"/>
  <c r="L40" i="1"/>
  <c r="T40" i="1" s="1"/>
  <c r="G40" i="1"/>
  <c r="G39" i="1"/>
  <c r="M39" i="1" s="1"/>
  <c r="G38" i="1"/>
  <c r="T37" i="1"/>
  <c r="G37" i="1"/>
  <c r="K37" i="1" s="1"/>
  <c r="U37" i="1" s="1"/>
  <c r="X37" i="1" s="1"/>
  <c r="T36" i="1"/>
  <c r="G36" i="1"/>
  <c r="K36" i="1" s="1"/>
  <c r="G35" i="1"/>
  <c r="M34" i="1"/>
  <c r="L34" i="1"/>
  <c r="T34" i="1" s="1"/>
  <c r="G34" i="1"/>
  <c r="K34" i="1" s="1"/>
  <c r="G33" i="1"/>
  <c r="M33" i="1" s="1"/>
  <c r="G32" i="1"/>
  <c r="K32" i="1" s="1"/>
  <c r="T31" i="1"/>
  <c r="G31" i="1"/>
  <c r="K31" i="1" s="1"/>
  <c r="U31" i="1" s="1"/>
  <c r="X31" i="1" s="1"/>
  <c r="G30" i="1"/>
  <c r="M30" i="1" s="1"/>
  <c r="T29" i="1"/>
  <c r="G29" i="1"/>
  <c r="K29" i="1" s="1"/>
  <c r="T28" i="1"/>
  <c r="G28" i="1"/>
  <c r="K28" i="1" s="1"/>
  <c r="M27" i="1"/>
  <c r="L27" i="1"/>
  <c r="T27" i="1" s="1"/>
  <c r="G27" i="1"/>
  <c r="K27" i="1" s="1"/>
  <c r="G26" i="1"/>
  <c r="M26" i="1" s="1"/>
  <c r="M25" i="1"/>
  <c r="G25" i="1"/>
  <c r="L25" i="1" s="1"/>
  <c r="G24" i="1"/>
  <c r="K24" i="1" s="1"/>
  <c r="S23" i="1"/>
  <c r="S115" i="1" s="1"/>
  <c r="G23" i="1"/>
  <c r="K23" i="1" s="1"/>
  <c r="T22" i="1"/>
  <c r="G22" i="1"/>
  <c r="K22" i="1" s="1"/>
  <c r="G21" i="1"/>
  <c r="K21" i="1" s="1"/>
  <c r="L20" i="1"/>
  <c r="K20" i="1"/>
  <c r="G20" i="1"/>
  <c r="M20" i="1" s="1"/>
  <c r="T19" i="1"/>
  <c r="G19" i="1"/>
  <c r="K19" i="1" s="1"/>
  <c r="U19" i="1" s="1"/>
  <c r="X19" i="1" s="1"/>
  <c r="G18" i="1"/>
  <c r="M18" i="1" s="1"/>
  <c r="G17" i="1"/>
  <c r="M17" i="1" s="1"/>
  <c r="G16" i="1"/>
  <c r="M16" i="1" s="1"/>
  <c r="T15" i="1"/>
  <c r="G15" i="1"/>
  <c r="K15" i="1" s="1"/>
  <c r="U15" i="1" s="1"/>
  <c r="X15" i="1" s="1"/>
  <c r="T14" i="1"/>
  <c r="G14" i="1"/>
  <c r="K14" i="1" s="1"/>
  <c r="T13" i="1"/>
  <c r="G13" i="1"/>
  <c r="K13" i="1" s="1"/>
  <c r="U13" i="1" s="1"/>
  <c r="X13" i="1" s="1"/>
  <c r="L12" i="1"/>
  <c r="K12" i="1"/>
  <c r="G12" i="1"/>
  <c r="M12" i="1" s="1"/>
  <c r="G11" i="1"/>
  <c r="M11" i="1" s="1"/>
  <c r="M10" i="1"/>
  <c r="L10" i="1"/>
  <c r="G10" i="1"/>
  <c r="K10" i="1" s="1"/>
  <c r="M9" i="1"/>
  <c r="L9" i="1"/>
  <c r="G9" i="1"/>
  <c r="K9" i="1" s="1"/>
  <c r="G8" i="1"/>
  <c r="M8" i="1" s="1"/>
  <c r="G7" i="1"/>
  <c r="K7" i="1" s="1"/>
  <c r="M7" i="1" s="1"/>
  <c r="M6" i="1"/>
  <c r="L6" i="1"/>
  <c r="T6" i="1" s="1"/>
  <c r="G6" i="1"/>
  <c r="K6" i="1" s="1"/>
  <c r="M5" i="1"/>
  <c r="L5" i="1"/>
  <c r="G5" i="1"/>
  <c r="K5" i="1" s="1"/>
  <c r="M4" i="1"/>
  <c r="L4" i="1"/>
  <c r="K4" i="1"/>
  <c r="L34" i="2" l="1"/>
  <c r="M34" i="2"/>
  <c r="L19" i="2"/>
  <c r="K50" i="2"/>
  <c r="M60" i="2"/>
  <c r="K112" i="2"/>
  <c r="T4" i="3"/>
  <c r="U4" i="3" s="1"/>
  <c r="X4" i="3" s="1"/>
  <c r="K20" i="3"/>
  <c r="K22" i="3"/>
  <c r="K27" i="3"/>
  <c r="K56" i="3"/>
  <c r="U56" i="3" s="1"/>
  <c r="X56" i="3" s="1"/>
  <c r="K58" i="3"/>
  <c r="L91" i="3"/>
  <c r="U96" i="3"/>
  <c r="X96" i="3" s="1"/>
  <c r="K97" i="3"/>
  <c r="G105" i="4"/>
  <c r="K26" i="4"/>
  <c r="K40" i="4"/>
  <c r="K43" i="4"/>
  <c r="U43" i="4" s="1"/>
  <c r="X43" i="4" s="1"/>
  <c r="Z43" i="4" s="1"/>
  <c r="K76" i="4"/>
  <c r="U89" i="4"/>
  <c r="X89" i="4" s="1"/>
  <c r="K58" i="1"/>
  <c r="U66" i="1"/>
  <c r="X66" i="1" s="1"/>
  <c r="K100" i="1"/>
  <c r="J99" i="2"/>
  <c r="K99" i="2" s="1"/>
  <c r="K18" i="1"/>
  <c r="L21" i="1"/>
  <c r="L24" i="1"/>
  <c r="U29" i="1"/>
  <c r="X29" i="1" s="1"/>
  <c r="L33" i="1"/>
  <c r="K39" i="1"/>
  <c r="K53" i="1"/>
  <c r="K56" i="1"/>
  <c r="K81" i="1"/>
  <c r="U81" i="1" s="1"/>
  <c r="X81" i="1" s="1"/>
  <c r="L100" i="1"/>
  <c r="T100" i="1" s="1"/>
  <c r="L13" i="2"/>
  <c r="K18" i="2"/>
  <c r="M19" i="2"/>
  <c r="K43" i="2"/>
  <c r="L50" i="2"/>
  <c r="K54" i="2"/>
  <c r="K56" i="2"/>
  <c r="K75" i="2"/>
  <c r="U75" i="2" s="1"/>
  <c r="X75" i="2" s="1"/>
  <c r="U88" i="2"/>
  <c r="X88" i="2" s="1"/>
  <c r="L95" i="2"/>
  <c r="U97" i="2"/>
  <c r="X97" i="2" s="1"/>
  <c r="L99" i="2"/>
  <c r="T99" i="2" s="1"/>
  <c r="U99" i="2" s="1"/>
  <c r="X99" i="2" s="1"/>
  <c r="K104" i="2"/>
  <c r="L114" i="2"/>
  <c r="T10" i="3"/>
  <c r="L22" i="3"/>
  <c r="T22" i="3" s="1"/>
  <c r="U22" i="3" s="1"/>
  <c r="X22" i="3" s="1"/>
  <c r="T25" i="3"/>
  <c r="U25" i="3" s="1"/>
  <c r="X25" i="3" s="1"/>
  <c r="K43" i="3"/>
  <c r="K61" i="3"/>
  <c r="K64" i="3"/>
  <c r="M97" i="3"/>
  <c r="L100" i="3"/>
  <c r="T11" i="4"/>
  <c r="T25" i="4"/>
  <c r="U25" i="4" s="1"/>
  <c r="X25" i="4" s="1"/>
  <c r="L26" i="4"/>
  <c r="T26" i="4" s="1"/>
  <c r="T39" i="4"/>
  <c r="L43" i="4"/>
  <c r="T43" i="4" s="1"/>
  <c r="U52" i="4"/>
  <c r="X52" i="4" s="1"/>
  <c r="T97" i="3"/>
  <c r="U72" i="4"/>
  <c r="X72" i="4" s="1"/>
  <c r="K25" i="1"/>
  <c r="K33" i="1"/>
  <c r="K95" i="2"/>
  <c r="K114" i="2"/>
  <c r="T4" i="1"/>
  <c r="T5" i="1"/>
  <c r="T10" i="1"/>
  <c r="U14" i="1"/>
  <c r="X14" i="1" s="1"/>
  <c r="L18" i="1"/>
  <c r="M21" i="1"/>
  <c r="M24" i="1"/>
  <c r="U36" i="1"/>
  <c r="X36" i="1" s="1"/>
  <c r="K91" i="1"/>
  <c r="U95" i="1"/>
  <c r="X95" i="1" s="1"/>
  <c r="U97" i="1"/>
  <c r="X97" i="1" s="1"/>
  <c r="K109" i="1"/>
  <c r="T6" i="2"/>
  <c r="K9" i="2"/>
  <c r="K12" i="2"/>
  <c r="M13" i="2"/>
  <c r="L18" i="2"/>
  <c r="T18" i="2" s="1"/>
  <c r="T20" i="2"/>
  <c r="T29" i="2"/>
  <c r="U38" i="2"/>
  <c r="X38" i="2" s="1"/>
  <c r="M56" i="2"/>
  <c r="U67" i="2"/>
  <c r="X67" i="2" s="1"/>
  <c r="K72" i="2"/>
  <c r="U77" i="2"/>
  <c r="X77" i="2" s="1"/>
  <c r="U78" i="2"/>
  <c r="X78" i="2" s="1"/>
  <c r="U82" i="2"/>
  <c r="X82" i="2" s="1"/>
  <c r="U92" i="2"/>
  <c r="X92" i="2" s="1"/>
  <c r="U100" i="2"/>
  <c r="X100" i="2" s="1"/>
  <c r="T5" i="3"/>
  <c r="U14" i="3"/>
  <c r="X14" i="3" s="1"/>
  <c r="U16" i="3"/>
  <c r="X16" i="3" s="1"/>
  <c r="T28" i="3"/>
  <c r="T34" i="3"/>
  <c r="U37" i="3"/>
  <c r="X37" i="3" s="1"/>
  <c r="U49" i="3"/>
  <c r="X49" i="3" s="1"/>
  <c r="M61" i="3"/>
  <c r="U63" i="3"/>
  <c r="X63" i="3" s="1"/>
  <c r="U67" i="3"/>
  <c r="X67" i="3" s="1"/>
  <c r="U69" i="3"/>
  <c r="X69" i="3" s="1"/>
  <c r="K72" i="3"/>
  <c r="M73" i="3"/>
  <c r="T73" i="3" s="1"/>
  <c r="T80" i="3"/>
  <c r="U80" i="3" s="1"/>
  <c r="X80" i="3" s="1"/>
  <c r="L86" i="3"/>
  <c r="M90" i="3"/>
  <c r="M94" i="3"/>
  <c r="T94" i="3" s="1"/>
  <c r="K107" i="3"/>
  <c r="U107" i="3" s="1"/>
  <c r="X107" i="3" s="1"/>
  <c r="M9" i="4"/>
  <c r="S105" i="4"/>
  <c r="U14" i="4"/>
  <c r="X14" i="4" s="1"/>
  <c r="K21" i="4"/>
  <c r="L23" i="4"/>
  <c r="T23" i="4" s="1"/>
  <c r="U23" i="4" s="1"/>
  <c r="X23" i="4" s="1"/>
  <c r="M29" i="4"/>
  <c r="T33" i="4"/>
  <c r="U33" i="4" s="1"/>
  <c r="X33" i="4" s="1"/>
  <c r="U46" i="4"/>
  <c r="X46" i="4" s="1"/>
  <c r="U48" i="4"/>
  <c r="X48" i="4" s="1"/>
  <c r="U71" i="4"/>
  <c r="X71" i="4" s="1"/>
  <c r="M87" i="4"/>
  <c r="K90" i="4"/>
  <c r="U96" i="4"/>
  <c r="X96" i="4" s="1"/>
  <c r="L97" i="4"/>
  <c r="L103" i="4"/>
  <c r="T6" i="4"/>
  <c r="U6" i="4" s="1"/>
  <c r="X6" i="4" s="1"/>
  <c r="L16" i="4"/>
  <c r="L21" i="4"/>
  <c r="T21" i="4" s="1"/>
  <c r="U21" i="4" s="1"/>
  <c r="X21" i="4" s="1"/>
  <c r="U39" i="4"/>
  <c r="X39" i="4" s="1"/>
  <c r="L40" i="4"/>
  <c r="T40" i="4" s="1"/>
  <c r="U40" i="4" s="1"/>
  <c r="X40" i="4" s="1"/>
  <c r="T49" i="4"/>
  <c r="U63" i="4"/>
  <c r="X63" i="4" s="1"/>
  <c r="L78" i="4"/>
  <c r="L79" i="4"/>
  <c r="T79" i="4" s="1"/>
  <c r="J84" i="4"/>
  <c r="K84" i="4" s="1"/>
  <c r="U84" i="4" s="1"/>
  <c r="X84" i="4" s="1"/>
  <c r="U88" i="4"/>
  <c r="X88" i="4" s="1"/>
  <c r="L91" i="4"/>
  <c r="M103" i="4"/>
  <c r="L9" i="4"/>
  <c r="T9" i="4" s="1"/>
  <c r="U9" i="4" s="1"/>
  <c r="X9" i="4" s="1"/>
  <c r="U15" i="4"/>
  <c r="X15" i="4" s="1"/>
  <c r="M16" i="4"/>
  <c r="L29" i="4"/>
  <c r="K44" i="4"/>
  <c r="L53" i="4"/>
  <c r="T53" i="4" s="1"/>
  <c r="J62" i="4"/>
  <c r="J105" i="4" s="1"/>
  <c r="K73" i="4"/>
  <c r="M78" i="4"/>
  <c r="L85" i="4"/>
  <c r="T97" i="4"/>
  <c r="U97" i="4" s="1"/>
  <c r="X97" i="4" s="1"/>
  <c r="U19" i="4"/>
  <c r="X19" i="4" s="1"/>
  <c r="U22" i="4"/>
  <c r="X22" i="4" s="1"/>
  <c r="U55" i="4"/>
  <c r="X55" i="4" s="1"/>
  <c r="K60" i="4"/>
  <c r="U60" i="4" s="1"/>
  <c r="X60" i="4" s="1"/>
  <c r="U64" i="4"/>
  <c r="X64" i="4" s="1"/>
  <c r="K67" i="4"/>
  <c r="U75" i="4"/>
  <c r="X75" i="4" s="1"/>
  <c r="K79" i="4"/>
  <c r="U83" i="4"/>
  <c r="X83" i="4" s="1"/>
  <c r="M85" i="4"/>
  <c r="L87" i="4"/>
  <c r="T88" i="4"/>
  <c r="L90" i="4"/>
  <c r="T90" i="4" s="1"/>
  <c r="U90" i="4" s="1"/>
  <c r="X90" i="4" s="1"/>
  <c r="K92" i="4"/>
  <c r="M93" i="4"/>
  <c r="T93" i="4" s="1"/>
  <c r="U93" i="4" s="1"/>
  <c r="X93" i="4" s="1"/>
  <c r="M97" i="4"/>
  <c r="T6" i="3"/>
  <c r="K17" i="3"/>
  <c r="L20" i="3"/>
  <c r="T20" i="3" s="1"/>
  <c r="U20" i="3" s="1"/>
  <c r="X20" i="3" s="1"/>
  <c r="K23" i="3"/>
  <c r="T29" i="3"/>
  <c r="M31" i="3"/>
  <c r="T31" i="3" s="1"/>
  <c r="K40" i="3"/>
  <c r="U40" i="3" s="1"/>
  <c r="X40" i="3" s="1"/>
  <c r="T41" i="3"/>
  <c r="L43" i="3"/>
  <c r="M44" i="3"/>
  <c r="T44" i="3" s="1"/>
  <c r="U44" i="3" s="1"/>
  <c r="X44" i="3" s="1"/>
  <c r="K47" i="3"/>
  <c r="M54" i="3"/>
  <c r="T54" i="3" s="1"/>
  <c r="U54" i="3" s="1"/>
  <c r="X54" i="3" s="1"/>
  <c r="M58" i="3"/>
  <c r="K60" i="3"/>
  <c r="L70" i="3"/>
  <c r="T70" i="3" s="1"/>
  <c r="T72" i="3"/>
  <c r="U72" i="3" s="1"/>
  <c r="X72" i="3" s="1"/>
  <c r="K74" i="3"/>
  <c r="U74" i="3" s="1"/>
  <c r="X74" i="3" s="1"/>
  <c r="K82" i="3"/>
  <c r="U82" i="3" s="1"/>
  <c r="X82" i="3" s="1"/>
  <c r="M86" i="3"/>
  <c r="L89" i="3"/>
  <c r="T89" i="3" s="1"/>
  <c r="L92" i="3"/>
  <c r="T92" i="3" s="1"/>
  <c r="K99" i="3"/>
  <c r="K104" i="3"/>
  <c r="U104" i="3" s="1"/>
  <c r="X104" i="3" s="1"/>
  <c r="K108" i="3"/>
  <c r="K109" i="3"/>
  <c r="L23" i="3"/>
  <c r="T23" i="3" s="1"/>
  <c r="U26" i="3"/>
  <c r="X26" i="3" s="1"/>
  <c r="L47" i="3"/>
  <c r="T47" i="3" s="1"/>
  <c r="M57" i="3"/>
  <c r="L60" i="3"/>
  <c r="T60" i="3" s="1"/>
  <c r="T71" i="3"/>
  <c r="L79" i="3"/>
  <c r="T79" i="3" s="1"/>
  <c r="L82" i="3"/>
  <c r="T82" i="3" s="1"/>
  <c r="T90" i="3"/>
  <c r="M99" i="3"/>
  <c r="T99" i="3" s="1"/>
  <c r="M109" i="3"/>
  <c r="U21" i="3"/>
  <c r="X21" i="3" s="1"/>
  <c r="U27" i="3"/>
  <c r="X27" i="3" s="1"/>
  <c r="L17" i="3"/>
  <c r="T17" i="3" s="1"/>
  <c r="U17" i="3" s="1"/>
  <c r="X17" i="3" s="1"/>
  <c r="G110" i="3"/>
  <c r="U10" i="3"/>
  <c r="X10" i="3" s="1"/>
  <c r="U29" i="3"/>
  <c r="X29" i="3" s="1"/>
  <c r="T35" i="3"/>
  <c r="L39" i="3"/>
  <c r="T39" i="3" s="1"/>
  <c r="U39" i="3" s="1"/>
  <c r="X39" i="3" s="1"/>
  <c r="T58" i="3"/>
  <c r="U85" i="3"/>
  <c r="X85" i="3" s="1"/>
  <c r="K90" i="3"/>
  <c r="U90" i="3" s="1"/>
  <c r="X90" i="3" s="1"/>
  <c r="K94" i="3"/>
  <c r="K95" i="3"/>
  <c r="K105" i="3"/>
  <c r="U85" i="2"/>
  <c r="X85" i="2" s="1"/>
  <c r="T28" i="2"/>
  <c r="T50" i="2"/>
  <c r="U50" i="2" s="1"/>
  <c r="X50" i="2" s="1"/>
  <c r="U4" i="2"/>
  <c r="L9" i="2"/>
  <c r="T9" i="2" s="1"/>
  <c r="T10" i="2"/>
  <c r="U10" i="2" s="1"/>
  <c r="X10" i="2" s="1"/>
  <c r="U15" i="2"/>
  <c r="X15" i="2" s="1"/>
  <c r="T22" i="2"/>
  <c r="K32" i="2"/>
  <c r="T42" i="2"/>
  <c r="M43" i="2"/>
  <c r="T43" i="2" s="1"/>
  <c r="K47" i="2"/>
  <c r="K48" i="2"/>
  <c r="U52" i="2"/>
  <c r="X52" i="2" s="1"/>
  <c r="L53" i="2"/>
  <c r="T53" i="2" s="1"/>
  <c r="U53" i="2" s="1"/>
  <c r="X53" i="2" s="1"/>
  <c r="T56" i="2"/>
  <c r="U56" i="2" s="1"/>
  <c r="X56" i="2" s="1"/>
  <c r="K58" i="2"/>
  <c r="U58" i="2" s="1"/>
  <c r="X58" i="2" s="1"/>
  <c r="M61" i="2"/>
  <c r="T61" i="2" s="1"/>
  <c r="U61" i="2" s="1"/>
  <c r="X61" i="2" s="1"/>
  <c r="K63" i="2"/>
  <c r="L64" i="2"/>
  <c r="T74" i="2"/>
  <c r="L75" i="2"/>
  <c r="T75" i="2" s="1"/>
  <c r="U90" i="2"/>
  <c r="X90" i="2" s="1"/>
  <c r="L94" i="2"/>
  <c r="T94" i="2" s="1"/>
  <c r="K96" i="2"/>
  <c r="K98" i="2"/>
  <c r="L103" i="2"/>
  <c r="T103" i="2" s="1"/>
  <c r="M109" i="2"/>
  <c r="T114" i="2"/>
  <c r="T95" i="2"/>
  <c r="U95" i="2" s="1"/>
  <c r="X95" i="2" s="1"/>
  <c r="U11" i="2"/>
  <c r="X11" i="2" s="1"/>
  <c r="U29" i="2"/>
  <c r="X29" i="2" s="1"/>
  <c r="M32" i="2"/>
  <c r="T32" i="2" s="1"/>
  <c r="L47" i="2"/>
  <c r="T47" i="2" s="1"/>
  <c r="U47" i="2" s="1"/>
  <c r="X47" i="2" s="1"/>
  <c r="Z47" i="2" s="1"/>
  <c r="L48" i="2"/>
  <c r="T48" i="2" s="1"/>
  <c r="L63" i="2"/>
  <c r="T66" i="2"/>
  <c r="L72" i="2"/>
  <c r="U79" i="2"/>
  <c r="X79" i="2" s="1"/>
  <c r="U81" i="2"/>
  <c r="X81" i="2" s="1"/>
  <c r="L87" i="2"/>
  <c r="T87" i="2" s="1"/>
  <c r="U91" i="2"/>
  <c r="X91" i="2" s="1"/>
  <c r="J107" i="2"/>
  <c r="J116" i="2" s="1"/>
  <c r="K108" i="2"/>
  <c r="L112" i="2"/>
  <c r="L113" i="2"/>
  <c r="T113" i="2" s="1"/>
  <c r="U113" i="2" s="1"/>
  <c r="X113" i="2" s="1"/>
  <c r="T13" i="2"/>
  <c r="U16" i="2"/>
  <c r="X16" i="2" s="1"/>
  <c r="T19" i="2"/>
  <c r="U19" i="2" s="1"/>
  <c r="X19" i="2" s="1"/>
  <c r="U21" i="2"/>
  <c r="X21" i="2" s="1"/>
  <c r="K62" i="2"/>
  <c r="K66" i="2"/>
  <c r="U66" i="2" s="1"/>
  <c r="X66" i="2" s="1"/>
  <c r="U70" i="2"/>
  <c r="X70" i="2" s="1"/>
  <c r="U84" i="2"/>
  <c r="X84" i="2" s="1"/>
  <c r="T85" i="2"/>
  <c r="M32" i="1"/>
  <c r="L32" i="1"/>
  <c r="K40" i="1"/>
  <c r="U40" i="1" s="1"/>
  <c r="X40" i="1" s="1"/>
  <c r="L44" i="1"/>
  <c r="T44" i="1" s="1"/>
  <c r="U44" i="1" s="1"/>
  <c r="X44" i="1" s="1"/>
  <c r="M44" i="1"/>
  <c r="K17" i="1"/>
  <c r="K48" i="1"/>
  <c r="T59" i="1"/>
  <c r="U59" i="1" s="1"/>
  <c r="X59" i="1" s="1"/>
  <c r="L64" i="1"/>
  <c r="T64" i="1" s="1"/>
  <c r="U64" i="1" s="1"/>
  <c r="X64" i="1" s="1"/>
  <c r="L71" i="1"/>
  <c r="K94" i="1"/>
  <c r="L101" i="1"/>
  <c r="T111" i="1"/>
  <c r="K8" i="1"/>
  <c r="T9" i="1"/>
  <c r="U9" i="1" s="1"/>
  <c r="X9" i="1" s="1"/>
  <c r="T25" i="1"/>
  <c r="U28" i="1"/>
  <c r="X28" i="1" s="1"/>
  <c r="J40" i="1"/>
  <c r="M48" i="1"/>
  <c r="T48" i="1" s="1"/>
  <c r="K52" i="1"/>
  <c r="U52" i="1" s="1"/>
  <c r="X52" i="1" s="1"/>
  <c r="L53" i="1"/>
  <c r="T53" i="1" s="1"/>
  <c r="U53" i="1" s="1"/>
  <c r="X53" i="1" s="1"/>
  <c r="L58" i="1"/>
  <c r="M60" i="1"/>
  <c r="L63" i="1"/>
  <c r="T63" i="1" s="1"/>
  <c r="K69" i="1"/>
  <c r="K70" i="1"/>
  <c r="M71" i="1"/>
  <c r="J80" i="1"/>
  <c r="K80" i="1" s="1"/>
  <c r="U80" i="1" s="1"/>
  <c r="X80" i="1" s="1"/>
  <c r="L82" i="1"/>
  <c r="T82" i="1" s="1"/>
  <c r="K85" i="1"/>
  <c r="L94" i="1"/>
  <c r="T94" i="1" s="1"/>
  <c r="M101" i="1"/>
  <c r="J106" i="1"/>
  <c r="K106" i="1" s="1"/>
  <c r="K107" i="1"/>
  <c r="J108" i="1"/>
  <c r="K108" i="1" s="1"/>
  <c r="U108" i="1" s="1"/>
  <c r="X108" i="1" s="1"/>
  <c r="K111" i="1"/>
  <c r="L112" i="1"/>
  <c r="T112" i="1" s="1"/>
  <c r="U10" i="1"/>
  <c r="X10" i="1" s="1"/>
  <c r="K11" i="1"/>
  <c r="L60" i="1"/>
  <c r="K63" i="1"/>
  <c r="U63" i="1" s="1"/>
  <c r="K82" i="1"/>
  <c r="T105" i="1"/>
  <c r="K112" i="1"/>
  <c r="U6" i="1"/>
  <c r="X6" i="1" s="1"/>
  <c r="L8" i="1"/>
  <c r="T8" i="1" s="1"/>
  <c r="U8" i="1" s="1"/>
  <c r="X8" i="1" s="1"/>
  <c r="U22" i="1"/>
  <c r="X22" i="1" s="1"/>
  <c r="U25" i="1"/>
  <c r="X25" i="1" s="1"/>
  <c r="U27" i="1"/>
  <c r="X27" i="1" s="1"/>
  <c r="U34" i="1"/>
  <c r="X34" i="1" s="1"/>
  <c r="U46" i="1"/>
  <c r="X46" i="1" s="1"/>
  <c r="T50" i="1"/>
  <c r="T58" i="1"/>
  <c r="U58" i="1" s="1"/>
  <c r="X58" i="1" s="1"/>
  <c r="L69" i="1"/>
  <c r="L70" i="1"/>
  <c r="T70" i="1" s="1"/>
  <c r="U70" i="1" s="1"/>
  <c r="X70" i="1" s="1"/>
  <c r="U87" i="1"/>
  <c r="X87" i="1" s="1"/>
  <c r="K102" i="1"/>
  <c r="K105" i="1"/>
  <c r="L107" i="1"/>
  <c r="T107" i="1" s="1"/>
  <c r="U107" i="1" s="1"/>
  <c r="X107" i="1" s="1"/>
  <c r="L111" i="1"/>
  <c r="M31" i="4"/>
  <c r="L31" i="4"/>
  <c r="M7" i="4"/>
  <c r="L7" i="4"/>
  <c r="L8" i="4"/>
  <c r="T8" i="4" s="1"/>
  <c r="U8" i="4" s="1"/>
  <c r="X8" i="4" s="1"/>
  <c r="T4" i="4"/>
  <c r="M18" i="4"/>
  <c r="L18" i="4"/>
  <c r="L41" i="4"/>
  <c r="K41" i="4"/>
  <c r="L50" i="4"/>
  <c r="K50" i="4"/>
  <c r="L80" i="4"/>
  <c r="K80" i="4"/>
  <c r="L17" i="4"/>
  <c r="T17" i="4" s="1"/>
  <c r="K17" i="4"/>
  <c r="K18" i="4"/>
  <c r="M38" i="4"/>
  <c r="L38" i="4"/>
  <c r="T38" i="4" s="1"/>
  <c r="M41" i="4"/>
  <c r="M50" i="4"/>
  <c r="K56" i="4"/>
  <c r="L56" i="4"/>
  <c r="M80" i="4"/>
  <c r="L99" i="4"/>
  <c r="T99" i="4" s="1"/>
  <c r="U99" i="4" s="1"/>
  <c r="X99" i="4" s="1"/>
  <c r="U11" i="4"/>
  <c r="X11" i="4" s="1"/>
  <c r="M12" i="4"/>
  <c r="L12" i="4"/>
  <c r="M17" i="4"/>
  <c r="L30" i="4"/>
  <c r="K30" i="4"/>
  <c r="K38" i="4"/>
  <c r="K62" i="4"/>
  <c r="U62" i="4" s="1"/>
  <c r="X62" i="4" s="1"/>
  <c r="L69" i="4"/>
  <c r="K69" i="4"/>
  <c r="M69" i="4"/>
  <c r="T10" i="4"/>
  <c r="U10" i="4" s="1"/>
  <c r="X10" i="4" s="1"/>
  <c r="K12" i="4"/>
  <c r="U13" i="4"/>
  <c r="X13" i="4" s="1"/>
  <c r="M20" i="4"/>
  <c r="L20" i="4"/>
  <c r="T20" i="4" s="1"/>
  <c r="U20" i="4" s="1"/>
  <c r="X20" i="4" s="1"/>
  <c r="T27" i="4"/>
  <c r="U27" i="4" s="1"/>
  <c r="X27" i="4" s="1"/>
  <c r="T29" i="4"/>
  <c r="U29" i="4" s="1"/>
  <c r="X29" i="4" s="1"/>
  <c r="M30" i="4"/>
  <c r="U34" i="4"/>
  <c r="X34" i="4" s="1"/>
  <c r="L36" i="4"/>
  <c r="T36" i="4" s="1"/>
  <c r="K36" i="4"/>
  <c r="U37" i="4"/>
  <c r="X37" i="4" s="1"/>
  <c r="M42" i="4"/>
  <c r="L42" i="4"/>
  <c r="M56" i="4"/>
  <c r="T58" i="4"/>
  <c r="U58" i="4" s="1"/>
  <c r="X58" i="4" s="1"/>
  <c r="K68" i="4"/>
  <c r="M68" i="4"/>
  <c r="L68" i="4"/>
  <c r="M70" i="4"/>
  <c r="L70" i="4"/>
  <c r="L94" i="4"/>
  <c r="T94" i="4" s="1"/>
  <c r="K94" i="4"/>
  <c r="T44" i="4"/>
  <c r="U49" i="4"/>
  <c r="X49" i="4" s="1"/>
  <c r="M51" i="4"/>
  <c r="L51" i="4"/>
  <c r="E105" i="4"/>
  <c r="U98" i="4"/>
  <c r="X98" i="4" s="1"/>
  <c r="M101" i="4"/>
  <c r="L101" i="4"/>
  <c r="K5" i="4"/>
  <c r="U5" i="4" s="1"/>
  <c r="X5" i="4" s="1"/>
  <c r="K51" i="4"/>
  <c r="H105" i="4"/>
  <c r="U53" i="4"/>
  <c r="X53" i="4" s="1"/>
  <c r="K54" i="4"/>
  <c r="U54" i="4" s="1"/>
  <c r="X54" i="4" s="1"/>
  <c r="L59" i="4"/>
  <c r="T59" i="4" s="1"/>
  <c r="K59" i="4"/>
  <c r="U59" i="4" s="1"/>
  <c r="X59" i="4" s="1"/>
  <c r="L65" i="4"/>
  <c r="T65" i="4" s="1"/>
  <c r="K65" i="4"/>
  <c r="U67" i="4"/>
  <c r="X67" i="4" s="1"/>
  <c r="U79" i="4"/>
  <c r="X79" i="4" s="1"/>
  <c r="M95" i="4"/>
  <c r="L95" i="4"/>
  <c r="U100" i="4"/>
  <c r="X100" i="4" s="1"/>
  <c r="L104" i="4"/>
  <c r="T104" i="4" s="1"/>
  <c r="K104" i="4"/>
  <c r="U104" i="4" s="1"/>
  <c r="X104" i="4" s="1"/>
  <c r="L61" i="4"/>
  <c r="T61" i="4" s="1"/>
  <c r="U61" i="4" s="1"/>
  <c r="X61" i="4" s="1"/>
  <c r="L73" i="4"/>
  <c r="T73" i="4" s="1"/>
  <c r="U73" i="4" s="1"/>
  <c r="X73" i="4" s="1"/>
  <c r="L76" i="4"/>
  <c r="T76" i="4" s="1"/>
  <c r="U76" i="4" s="1"/>
  <c r="X76" i="4" s="1"/>
  <c r="M91" i="4"/>
  <c r="T91" i="4" s="1"/>
  <c r="U91" i="4" s="1"/>
  <c r="X91" i="4" s="1"/>
  <c r="M92" i="4"/>
  <c r="T92" i="4" s="1"/>
  <c r="U92" i="4" s="1"/>
  <c r="X92" i="4" s="1"/>
  <c r="L7" i="3"/>
  <c r="T7" i="3" s="1"/>
  <c r="U7" i="3" s="1"/>
  <c r="X7" i="3" s="1"/>
  <c r="M7" i="3"/>
  <c r="U6" i="3"/>
  <c r="X6" i="3" s="1"/>
  <c r="M33" i="3"/>
  <c r="L33" i="3"/>
  <c r="K41" i="3"/>
  <c r="M46" i="3"/>
  <c r="L46" i="3"/>
  <c r="T46" i="3" s="1"/>
  <c r="K46" i="3"/>
  <c r="K5" i="3"/>
  <c r="L8" i="3"/>
  <c r="M13" i="3"/>
  <c r="L13" i="3"/>
  <c r="L18" i="3"/>
  <c r="T18" i="3" s="1"/>
  <c r="K18" i="3"/>
  <c r="U18" i="3" s="1"/>
  <c r="X18" i="3" s="1"/>
  <c r="U28" i="3"/>
  <c r="X28" i="3" s="1"/>
  <c r="M32" i="3"/>
  <c r="L32" i="3"/>
  <c r="K32" i="3"/>
  <c r="U58" i="3"/>
  <c r="X58" i="3" s="1"/>
  <c r="M8" i="3"/>
  <c r="L12" i="3"/>
  <c r="K12" i="3"/>
  <c r="M36" i="3"/>
  <c r="L36" i="3"/>
  <c r="K36" i="3"/>
  <c r="L45" i="3"/>
  <c r="K52" i="3"/>
  <c r="M52" i="3"/>
  <c r="L52" i="3"/>
  <c r="L55" i="3"/>
  <c r="T55" i="3" s="1"/>
  <c r="K55" i="3"/>
  <c r="M19" i="3"/>
  <c r="L19" i="3"/>
  <c r="T19" i="3" s="1"/>
  <c r="U19" i="3" s="1"/>
  <c r="X19" i="3" s="1"/>
  <c r="J65" i="3"/>
  <c r="K65" i="3" s="1"/>
  <c r="L65" i="3"/>
  <c r="T65" i="3" s="1"/>
  <c r="K81" i="3"/>
  <c r="M81" i="3"/>
  <c r="L81" i="3"/>
  <c r="M9" i="3"/>
  <c r="T9" i="3" s="1"/>
  <c r="U9" i="3" s="1"/>
  <c r="X9" i="3" s="1"/>
  <c r="T11" i="3"/>
  <c r="U11" i="3" s="1"/>
  <c r="X11" i="3" s="1"/>
  <c r="M12" i="3"/>
  <c r="U34" i="3"/>
  <c r="X34" i="3" s="1"/>
  <c r="U35" i="3"/>
  <c r="X35" i="3" s="1"/>
  <c r="M38" i="3"/>
  <c r="L38" i="3"/>
  <c r="K38" i="3"/>
  <c r="M42" i="3"/>
  <c r="L42" i="3"/>
  <c r="K42" i="3"/>
  <c r="T43" i="3"/>
  <c r="U43" i="3" s="1"/>
  <c r="X43" i="3" s="1"/>
  <c r="M45" i="3"/>
  <c r="U47" i="3"/>
  <c r="X47" i="3" s="1"/>
  <c r="L59" i="3"/>
  <c r="M59" i="3"/>
  <c r="K59" i="3"/>
  <c r="H110" i="3"/>
  <c r="U57" i="3"/>
  <c r="X57" i="3" s="1"/>
  <c r="K31" i="3"/>
  <c r="K53" i="3"/>
  <c r="U53" i="3" s="1"/>
  <c r="X53" i="3" s="1"/>
  <c r="T61" i="3"/>
  <c r="U61" i="3" s="1"/>
  <c r="X61" i="3" s="1"/>
  <c r="M62" i="3"/>
  <c r="T62" i="3" s="1"/>
  <c r="K62" i="3"/>
  <c r="M64" i="3"/>
  <c r="T64" i="3" s="1"/>
  <c r="U83" i="3"/>
  <c r="X83" i="3" s="1"/>
  <c r="M98" i="3"/>
  <c r="L98" i="3"/>
  <c r="K98" i="3"/>
  <c r="M102" i="3"/>
  <c r="L102" i="3"/>
  <c r="K102" i="3"/>
  <c r="U103" i="3"/>
  <c r="X103" i="3" s="1"/>
  <c r="T109" i="3"/>
  <c r="U109" i="3" s="1"/>
  <c r="X109" i="3" s="1"/>
  <c r="L57" i="3"/>
  <c r="T57" i="3" s="1"/>
  <c r="K73" i="3"/>
  <c r="U76" i="3"/>
  <c r="X76" i="3" s="1"/>
  <c r="U78" i="3"/>
  <c r="X78" i="3" s="1"/>
  <c r="T86" i="3"/>
  <c r="U86" i="3" s="1"/>
  <c r="X86" i="3" s="1"/>
  <c r="U92" i="3"/>
  <c r="X92" i="3" s="1"/>
  <c r="U93" i="3"/>
  <c r="X93" i="3" s="1"/>
  <c r="U97" i="3"/>
  <c r="X97" i="3" s="1"/>
  <c r="T101" i="3"/>
  <c r="U101" i="3" s="1"/>
  <c r="X101" i="3" s="1"/>
  <c r="T105" i="3"/>
  <c r="U105" i="3" s="1"/>
  <c r="X105" i="3" s="1"/>
  <c r="K70" i="3"/>
  <c r="U70" i="3" s="1"/>
  <c r="X70" i="3" s="1"/>
  <c r="K71" i="3"/>
  <c r="U71" i="3" s="1"/>
  <c r="X71" i="3" s="1"/>
  <c r="K79" i="3"/>
  <c r="K89" i="3"/>
  <c r="M91" i="3"/>
  <c r="T91" i="3" s="1"/>
  <c r="U91" i="3" s="1"/>
  <c r="X91" i="3" s="1"/>
  <c r="L95" i="3"/>
  <c r="M100" i="3"/>
  <c r="T100" i="3" s="1"/>
  <c r="U100" i="3" s="1"/>
  <c r="X100" i="3" s="1"/>
  <c r="M108" i="3"/>
  <c r="T108" i="3" s="1"/>
  <c r="U108" i="3" s="1"/>
  <c r="X108" i="3" s="1"/>
  <c r="M95" i="3"/>
  <c r="M7" i="2"/>
  <c r="L7" i="2"/>
  <c r="X4" i="2"/>
  <c r="U6" i="2"/>
  <c r="X6" i="2" s="1"/>
  <c r="U13" i="2"/>
  <c r="X13" i="2" s="1"/>
  <c r="U12" i="2"/>
  <c r="X12" i="2" s="1"/>
  <c r="U18" i="2"/>
  <c r="X18" i="2" s="1"/>
  <c r="U27" i="2"/>
  <c r="X27" i="2" s="1"/>
  <c r="U28" i="2"/>
  <c r="X28" i="2" s="1"/>
  <c r="L8" i="2"/>
  <c r="T8" i="2" s="1"/>
  <c r="U8" i="2" s="1"/>
  <c r="X8" i="2" s="1"/>
  <c r="K17" i="2"/>
  <c r="K23" i="2"/>
  <c r="K25" i="2"/>
  <c r="K26" i="2"/>
  <c r="K33" i="2"/>
  <c r="M33" i="2"/>
  <c r="M35" i="2"/>
  <c r="K35" i="2"/>
  <c r="K45" i="2"/>
  <c r="M45" i="2"/>
  <c r="H116" i="2"/>
  <c r="M46" i="2"/>
  <c r="T46" i="2" s="1"/>
  <c r="U46" i="2" s="1"/>
  <c r="X46" i="2" s="1"/>
  <c r="M106" i="2"/>
  <c r="L106" i="2"/>
  <c r="K106" i="2"/>
  <c r="L17" i="2"/>
  <c r="T17" i="2" s="1"/>
  <c r="K20" i="2"/>
  <c r="K22" i="2"/>
  <c r="U22" i="2" s="1"/>
  <c r="X22" i="2" s="1"/>
  <c r="L23" i="2"/>
  <c r="T23" i="2" s="1"/>
  <c r="L25" i="2"/>
  <c r="T25" i="2" s="1"/>
  <c r="L26" i="2"/>
  <c r="T26" i="2" s="1"/>
  <c r="U31" i="2"/>
  <c r="X31" i="2" s="1"/>
  <c r="L33" i="2"/>
  <c r="T34" i="2"/>
  <c r="U34" i="2" s="1"/>
  <c r="X34" i="2" s="1"/>
  <c r="L35" i="2"/>
  <c r="T35" i="2" s="1"/>
  <c r="K37" i="2"/>
  <c r="M37" i="2"/>
  <c r="T37" i="2" s="1"/>
  <c r="U39" i="2"/>
  <c r="X39" i="2" s="1"/>
  <c r="K41" i="2"/>
  <c r="M41" i="2"/>
  <c r="T41" i="2" s="1"/>
  <c r="T44" i="2"/>
  <c r="U44" i="2" s="1"/>
  <c r="X44" i="2" s="1"/>
  <c r="L45" i="2"/>
  <c r="T60" i="2"/>
  <c r="K73" i="2"/>
  <c r="M73" i="2"/>
  <c r="L73" i="2"/>
  <c r="L93" i="2"/>
  <c r="M93" i="2"/>
  <c r="K93" i="2"/>
  <c r="K101" i="2"/>
  <c r="M101" i="2"/>
  <c r="L101" i="2"/>
  <c r="G116" i="2"/>
  <c r="T5" i="2"/>
  <c r="T36" i="2"/>
  <c r="U36" i="2" s="1"/>
  <c r="X36" i="2" s="1"/>
  <c r="T40" i="2"/>
  <c r="U40" i="2" s="1"/>
  <c r="X40" i="2" s="1"/>
  <c r="K42" i="2"/>
  <c r="U42" i="2" s="1"/>
  <c r="X42" i="2" s="1"/>
  <c r="U49" i="2"/>
  <c r="X49" i="2" s="1"/>
  <c r="T55" i="2"/>
  <c r="K59" i="2"/>
  <c r="M59" i="2"/>
  <c r="L59" i="2"/>
  <c r="T63" i="2"/>
  <c r="M72" i="2"/>
  <c r="T72" i="2" s="1"/>
  <c r="U72" i="2" s="1"/>
  <c r="X72" i="2" s="1"/>
  <c r="L96" i="2"/>
  <c r="T96" i="2" s="1"/>
  <c r="U96" i="2" s="1"/>
  <c r="X96" i="2" s="1"/>
  <c r="U104" i="2"/>
  <c r="X104" i="2" s="1"/>
  <c r="L105" i="2"/>
  <c r="T105" i="2" s="1"/>
  <c r="K105" i="2"/>
  <c r="T112" i="2"/>
  <c r="U112" i="2" s="1"/>
  <c r="X112" i="2" s="1"/>
  <c r="U54" i="2"/>
  <c r="X54" i="2" s="1"/>
  <c r="L110" i="2"/>
  <c r="K110" i="2"/>
  <c r="K55" i="2"/>
  <c r="K57" i="2"/>
  <c r="U57" i="2" s="1"/>
  <c r="X57" i="2" s="1"/>
  <c r="K60" i="2"/>
  <c r="L62" i="2"/>
  <c r="T62" i="2" s="1"/>
  <c r="U62" i="2" s="1"/>
  <c r="X62" i="2" s="1"/>
  <c r="M64" i="2"/>
  <c r="K74" i="2"/>
  <c r="U74" i="2" s="1"/>
  <c r="X74" i="2" s="1"/>
  <c r="T80" i="2"/>
  <c r="U80" i="2" s="1"/>
  <c r="X80" i="2" s="1"/>
  <c r="L86" i="2"/>
  <c r="T86" i="2" s="1"/>
  <c r="U86" i="2" s="1"/>
  <c r="X86" i="2" s="1"/>
  <c r="K87" i="2"/>
  <c r="U87" i="2" s="1"/>
  <c r="X87" i="2" s="1"/>
  <c r="K94" i="2"/>
  <c r="U94" i="2" s="1"/>
  <c r="X94" i="2" s="1"/>
  <c r="L98" i="2"/>
  <c r="T98" i="2" s="1"/>
  <c r="M102" i="2"/>
  <c r="T102" i="2" s="1"/>
  <c r="U102" i="2" s="1"/>
  <c r="X102" i="2" s="1"/>
  <c r="K103" i="2"/>
  <c r="U108" i="2"/>
  <c r="X108" i="2" s="1"/>
  <c r="L109" i="2"/>
  <c r="M110" i="2"/>
  <c r="U114" i="2"/>
  <c r="X114" i="2" s="1"/>
  <c r="U4" i="1"/>
  <c r="T12" i="1"/>
  <c r="U12" i="1" s="1"/>
  <c r="X12" i="1" s="1"/>
  <c r="T18" i="1"/>
  <c r="U18" i="1" s="1"/>
  <c r="X18" i="1" s="1"/>
  <c r="M35" i="1"/>
  <c r="L35" i="1"/>
  <c r="M42" i="1"/>
  <c r="L42" i="1"/>
  <c r="K42" i="1"/>
  <c r="L92" i="1"/>
  <c r="K92" i="1"/>
  <c r="M92" i="1"/>
  <c r="G115" i="1"/>
  <c r="L7" i="1"/>
  <c r="T7" i="1" s="1"/>
  <c r="L11" i="1"/>
  <c r="T11" i="1" s="1"/>
  <c r="U11" i="1" s="1"/>
  <c r="X11" i="1" s="1"/>
  <c r="K16" i="1"/>
  <c r="L17" i="1"/>
  <c r="T17" i="1" s="1"/>
  <c r="U17" i="1" s="1"/>
  <c r="X17" i="1" s="1"/>
  <c r="L23" i="1"/>
  <c r="K26" i="1"/>
  <c r="K30" i="1"/>
  <c r="T33" i="1"/>
  <c r="U33" i="1" s="1"/>
  <c r="X33" i="1" s="1"/>
  <c r="K35" i="1"/>
  <c r="M38" i="1"/>
  <c r="L38" i="1"/>
  <c r="K38" i="1"/>
  <c r="M45" i="1"/>
  <c r="L45" i="1"/>
  <c r="K45" i="1"/>
  <c r="U50" i="1"/>
  <c r="X50" i="1" s="1"/>
  <c r="L72" i="1"/>
  <c r="T72" i="1" s="1"/>
  <c r="K72" i="1"/>
  <c r="U72" i="1" s="1"/>
  <c r="X72" i="1" s="1"/>
  <c r="U79" i="1"/>
  <c r="X79" i="1" s="1"/>
  <c r="U7" i="1"/>
  <c r="X7" i="1" s="1"/>
  <c r="M57" i="1"/>
  <c r="L57" i="1"/>
  <c r="K57" i="1"/>
  <c r="U5" i="1"/>
  <c r="X5" i="1" s="1"/>
  <c r="L16" i="1"/>
  <c r="T16" i="1" s="1"/>
  <c r="T20" i="1"/>
  <c r="U20" i="1" s="1"/>
  <c r="X20" i="1" s="1"/>
  <c r="M23" i="1"/>
  <c r="L26" i="1"/>
  <c r="T26" i="1" s="1"/>
  <c r="L30" i="1"/>
  <c r="T30" i="1" s="1"/>
  <c r="U41" i="1"/>
  <c r="M99" i="1"/>
  <c r="L99" i="1"/>
  <c r="T99" i="1" s="1"/>
  <c r="K99" i="1"/>
  <c r="U51" i="1"/>
  <c r="X51" i="1" s="1"/>
  <c r="U55" i="1"/>
  <c r="X55" i="1" s="1"/>
  <c r="U89" i="1"/>
  <c r="X89" i="1" s="1"/>
  <c r="L39" i="1"/>
  <c r="T39" i="1" s="1"/>
  <c r="U39" i="1" s="1"/>
  <c r="X39" i="1" s="1"/>
  <c r="L43" i="1"/>
  <c r="T43" i="1" s="1"/>
  <c r="U43" i="1" s="1"/>
  <c r="M56" i="1"/>
  <c r="T56" i="1" s="1"/>
  <c r="U56" i="1" s="1"/>
  <c r="X56" i="1" s="1"/>
  <c r="K62" i="1"/>
  <c r="U62" i="1" s="1"/>
  <c r="X62" i="1" s="1"/>
  <c r="U67" i="1"/>
  <c r="X67" i="1" s="1"/>
  <c r="T71" i="1"/>
  <c r="U71" i="1" s="1"/>
  <c r="X71" i="1" s="1"/>
  <c r="U75" i="1"/>
  <c r="X75" i="1" s="1"/>
  <c r="L85" i="1"/>
  <c r="T85" i="1" s="1"/>
  <c r="U85" i="1" s="1"/>
  <c r="X85" i="1" s="1"/>
  <c r="L91" i="1"/>
  <c r="T91" i="1" s="1"/>
  <c r="L96" i="1"/>
  <c r="T96" i="1" s="1"/>
  <c r="K96" i="1"/>
  <c r="U98" i="1"/>
  <c r="X98" i="1" s="1"/>
  <c r="M102" i="1"/>
  <c r="T102" i="1" s="1"/>
  <c r="L61" i="1"/>
  <c r="T61" i="1" s="1"/>
  <c r="K61" i="1"/>
  <c r="M104" i="1"/>
  <c r="L104" i="1"/>
  <c r="U49" i="1"/>
  <c r="X49" i="1" s="1"/>
  <c r="H115" i="1"/>
  <c r="T69" i="1"/>
  <c r="M76" i="1"/>
  <c r="L76" i="1"/>
  <c r="T76" i="1" s="1"/>
  <c r="U76" i="1" s="1"/>
  <c r="X76" i="1" s="1"/>
  <c r="U78" i="1"/>
  <c r="X78" i="1" s="1"/>
  <c r="U84" i="1"/>
  <c r="X84" i="1" s="1"/>
  <c r="U91" i="1"/>
  <c r="X91" i="1" s="1"/>
  <c r="M93" i="1"/>
  <c r="L93" i="1"/>
  <c r="T101" i="1"/>
  <c r="U101" i="1" s="1"/>
  <c r="X101" i="1" s="1"/>
  <c r="L103" i="1"/>
  <c r="T103" i="1" s="1"/>
  <c r="K103" i="1"/>
  <c r="K104" i="1"/>
  <c r="T109" i="1"/>
  <c r="U109" i="1" s="1"/>
  <c r="X109" i="1" s="1"/>
  <c r="U73" i="3" l="1"/>
  <c r="X73" i="3" s="1"/>
  <c r="T21" i="1"/>
  <c r="U21" i="1" s="1"/>
  <c r="X21" i="1" s="1"/>
  <c r="T104" i="1"/>
  <c r="U104" i="1" s="1"/>
  <c r="X104" i="1" s="1"/>
  <c r="U102" i="1"/>
  <c r="X102" i="1" s="1"/>
  <c r="T109" i="2"/>
  <c r="U109" i="2" s="1"/>
  <c r="X109" i="2" s="1"/>
  <c r="U98" i="2"/>
  <c r="X98" i="2" s="1"/>
  <c r="U60" i="2"/>
  <c r="X60" i="2" s="1"/>
  <c r="U79" i="3"/>
  <c r="X79" i="3" s="1"/>
  <c r="T102" i="3"/>
  <c r="T95" i="4"/>
  <c r="U95" i="4" s="1"/>
  <c r="X95" i="4" s="1"/>
  <c r="T69" i="4"/>
  <c r="T30" i="4"/>
  <c r="U30" i="4" s="1"/>
  <c r="X30" i="4" s="1"/>
  <c r="T18" i="4"/>
  <c r="T60" i="1"/>
  <c r="U60" i="1" s="1"/>
  <c r="X60" i="1" s="1"/>
  <c r="U9" i="2"/>
  <c r="X9" i="2" s="1"/>
  <c r="U94" i="3"/>
  <c r="X94" i="3" s="1"/>
  <c r="T103" i="4"/>
  <c r="U103" i="4" s="1"/>
  <c r="X103" i="4" s="1"/>
  <c r="U26" i="4"/>
  <c r="X26" i="4" s="1"/>
  <c r="U89" i="3"/>
  <c r="X89" i="3" s="1"/>
  <c r="M115" i="1"/>
  <c r="U41" i="3"/>
  <c r="X41" i="3" s="1"/>
  <c r="U23" i="3"/>
  <c r="X23" i="3" s="1"/>
  <c r="U60" i="3"/>
  <c r="X60" i="3" s="1"/>
  <c r="T87" i="4"/>
  <c r="U87" i="4" s="1"/>
  <c r="X87" i="4" s="1"/>
  <c r="K115" i="1"/>
  <c r="T42" i="1"/>
  <c r="U42" i="1" s="1"/>
  <c r="X42" i="1" s="1"/>
  <c r="T64" i="2"/>
  <c r="U64" i="2" s="1"/>
  <c r="X64" i="2" s="1"/>
  <c r="U55" i="2"/>
  <c r="X55" i="2" s="1"/>
  <c r="T73" i="2"/>
  <c r="U41" i="2"/>
  <c r="X41" i="2" s="1"/>
  <c r="U20" i="2"/>
  <c r="X20" i="2" s="1"/>
  <c r="U64" i="3"/>
  <c r="X64" i="3" s="1"/>
  <c r="T59" i="3"/>
  <c r="T33" i="3"/>
  <c r="U33" i="3" s="1"/>
  <c r="X33" i="3" s="1"/>
  <c r="T101" i="4"/>
  <c r="U101" i="4" s="1"/>
  <c r="X101" i="4" s="1"/>
  <c r="U105" i="1"/>
  <c r="X105" i="1" s="1"/>
  <c r="T32" i="1"/>
  <c r="U32" i="1" s="1"/>
  <c r="X32" i="1" s="1"/>
  <c r="U43" i="2"/>
  <c r="T24" i="1"/>
  <c r="U24" i="1" s="1"/>
  <c r="X24" i="1" s="1"/>
  <c r="U100" i="1"/>
  <c r="X100" i="1" s="1"/>
  <c r="U44" i="4"/>
  <c r="X44" i="4" s="1"/>
  <c r="M105" i="4"/>
  <c r="T51" i="4"/>
  <c r="U51" i="4" s="1"/>
  <c r="X51" i="4" s="1"/>
  <c r="T68" i="4"/>
  <c r="U36" i="4"/>
  <c r="X36" i="4" s="1"/>
  <c r="T16" i="4"/>
  <c r="U16" i="4" s="1"/>
  <c r="X16" i="4" s="1"/>
  <c r="T41" i="4"/>
  <c r="T12" i="4"/>
  <c r="U12" i="4" s="1"/>
  <c r="X12" i="4" s="1"/>
  <c r="U18" i="4"/>
  <c r="X18" i="4" s="1"/>
  <c r="U41" i="4"/>
  <c r="X41" i="4" s="1"/>
  <c r="T7" i="4"/>
  <c r="U7" i="4" s="1"/>
  <c r="X7" i="4" s="1"/>
  <c r="T85" i="4"/>
  <c r="U85" i="4" s="1"/>
  <c r="X85" i="4" s="1"/>
  <c r="T78" i="4"/>
  <c r="U78" i="4" s="1"/>
  <c r="X78" i="4" s="1"/>
  <c r="U99" i="3"/>
  <c r="X99" i="3" s="1"/>
  <c r="U62" i="3"/>
  <c r="X62" i="3" s="1"/>
  <c r="U31" i="3"/>
  <c r="X31" i="3" s="1"/>
  <c r="U46" i="3"/>
  <c r="X46" i="3" s="1"/>
  <c r="Z46" i="3" s="1"/>
  <c r="J110" i="3"/>
  <c r="T12" i="3"/>
  <c r="M110" i="3"/>
  <c r="T32" i="3"/>
  <c r="U32" i="3" s="1"/>
  <c r="X32" i="3" s="1"/>
  <c r="K107" i="2"/>
  <c r="K116" i="2" s="1"/>
  <c r="U103" i="2"/>
  <c r="X103" i="2" s="1"/>
  <c r="U63" i="2"/>
  <c r="X63" i="2" s="1"/>
  <c r="U73" i="2"/>
  <c r="X73" i="2" s="1"/>
  <c r="T33" i="2"/>
  <c r="U35" i="2"/>
  <c r="X35" i="2" s="1"/>
  <c r="U26" i="2"/>
  <c r="X26" i="2" s="1"/>
  <c r="U48" i="2"/>
  <c r="X48" i="2" s="1"/>
  <c r="U32" i="2"/>
  <c r="X32" i="2" s="1"/>
  <c r="T45" i="2"/>
  <c r="T59" i="2"/>
  <c r="U59" i="2" s="1"/>
  <c r="X59" i="2" s="1"/>
  <c r="T106" i="2"/>
  <c r="U106" i="2" s="1"/>
  <c r="X106" i="2" s="1"/>
  <c r="T7" i="2"/>
  <c r="U7" i="2" s="1"/>
  <c r="X7" i="2" s="1"/>
  <c r="L106" i="1"/>
  <c r="T106" i="1" s="1"/>
  <c r="U106" i="1" s="1"/>
  <c r="X106" i="1" s="1"/>
  <c r="U48" i="1"/>
  <c r="X48" i="1" s="1"/>
  <c r="U82" i="1"/>
  <c r="X82" i="1" s="1"/>
  <c r="U111" i="1"/>
  <c r="X111" i="1" s="1"/>
  <c r="U112" i="1"/>
  <c r="X112" i="1" s="1"/>
  <c r="U94" i="1"/>
  <c r="X94" i="1" s="1"/>
  <c r="U69" i="1"/>
  <c r="X69" i="1" s="1"/>
  <c r="T93" i="1"/>
  <c r="U93" i="1" s="1"/>
  <c r="X93" i="1" s="1"/>
  <c r="U96" i="1"/>
  <c r="X96" i="1" s="1"/>
  <c r="T57" i="1"/>
  <c r="U57" i="1" s="1"/>
  <c r="X57" i="1" s="1"/>
  <c r="T38" i="1"/>
  <c r="U38" i="1" s="1"/>
  <c r="X38" i="1" s="1"/>
  <c r="T35" i="1"/>
  <c r="J115" i="1"/>
  <c r="U4" i="4"/>
  <c r="L105" i="4"/>
  <c r="U65" i="4"/>
  <c r="X65" i="4" s="1"/>
  <c r="U94" i="4"/>
  <c r="X94" i="4" s="1"/>
  <c r="T70" i="4"/>
  <c r="U70" i="4" s="1"/>
  <c r="X70" i="4" s="1"/>
  <c r="U68" i="4"/>
  <c r="X68" i="4" s="1"/>
  <c r="T42" i="4"/>
  <c r="U42" i="4" s="1"/>
  <c r="X42" i="4" s="1"/>
  <c r="K105" i="4"/>
  <c r="U69" i="4"/>
  <c r="X69" i="4" s="1"/>
  <c r="U38" i="4"/>
  <c r="X38" i="4" s="1"/>
  <c r="T56" i="4"/>
  <c r="U56" i="4" s="1"/>
  <c r="X56" i="4" s="1"/>
  <c r="U17" i="4"/>
  <c r="X17" i="4" s="1"/>
  <c r="T80" i="4"/>
  <c r="U80" i="4" s="1"/>
  <c r="X80" i="4" s="1"/>
  <c r="T50" i="4"/>
  <c r="U50" i="4" s="1"/>
  <c r="X50" i="4" s="1"/>
  <c r="T31" i="4"/>
  <c r="U31" i="4" s="1"/>
  <c r="X31" i="4" s="1"/>
  <c r="T95" i="3"/>
  <c r="U95" i="3" s="1"/>
  <c r="X95" i="3" s="1"/>
  <c r="U59" i="3"/>
  <c r="X59" i="3" s="1"/>
  <c r="T42" i="3"/>
  <c r="T38" i="3"/>
  <c r="U38" i="3" s="1"/>
  <c r="X38" i="3" s="1"/>
  <c r="U55" i="3"/>
  <c r="X55" i="3" s="1"/>
  <c r="T36" i="3"/>
  <c r="T8" i="3"/>
  <c r="U42" i="3"/>
  <c r="X42" i="3" s="1"/>
  <c r="U36" i="3"/>
  <c r="X36" i="3" s="1"/>
  <c r="K110" i="3"/>
  <c r="U5" i="3"/>
  <c r="U102" i="3"/>
  <c r="X102" i="3" s="1"/>
  <c r="T98" i="3"/>
  <c r="U98" i="3" s="1"/>
  <c r="X98" i="3" s="1"/>
  <c r="T81" i="3"/>
  <c r="U81" i="3" s="1"/>
  <c r="X81" i="3" s="1"/>
  <c r="U65" i="3"/>
  <c r="X65" i="3" s="1"/>
  <c r="T52" i="3"/>
  <c r="U52" i="3" s="1"/>
  <c r="X52" i="3" s="1"/>
  <c r="T45" i="3"/>
  <c r="U45" i="3" s="1"/>
  <c r="X45" i="3" s="1"/>
  <c r="U12" i="3"/>
  <c r="X12" i="3" s="1"/>
  <c r="L110" i="3"/>
  <c r="T13" i="3"/>
  <c r="U13" i="3" s="1"/>
  <c r="X13" i="3" s="1"/>
  <c r="M116" i="2"/>
  <c r="T110" i="2"/>
  <c r="T93" i="2"/>
  <c r="U37" i="2"/>
  <c r="X37" i="2" s="1"/>
  <c r="U25" i="2"/>
  <c r="X25" i="2" s="1"/>
  <c r="U5" i="2"/>
  <c r="U110" i="2"/>
  <c r="X110" i="2" s="1"/>
  <c r="U23" i="2"/>
  <c r="X23" i="2" s="1"/>
  <c r="U105" i="2"/>
  <c r="X105" i="2" s="1"/>
  <c r="T101" i="2"/>
  <c r="U101" i="2" s="1"/>
  <c r="X101" i="2" s="1"/>
  <c r="U45" i="2"/>
  <c r="U33" i="2"/>
  <c r="X33" i="2" s="1"/>
  <c r="U17" i="2"/>
  <c r="X17" i="2" s="1"/>
  <c r="T45" i="1"/>
  <c r="U45" i="1" s="1"/>
  <c r="X45" i="1" s="1"/>
  <c r="U30" i="1"/>
  <c r="X30" i="1" s="1"/>
  <c r="U16" i="1"/>
  <c r="X16" i="1" s="1"/>
  <c r="L115" i="1"/>
  <c r="U35" i="1"/>
  <c r="X35" i="1" s="1"/>
  <c r="U26" i="1"/>
  <c r="X26" i="1" s="1"/>
  <c r="U103" i="1"/>
  <c r="X103" i="1" s="1"/>
  <c r="U61" i="1"/>
  <c r="X61" i="1" s="1"/>
  <c r="U99" i="1"/>
  <c r="X99" i="1" s="1"/>
  <c r="T23" i="1"/>
  <c r="U23" i="1" s="1"/>
  <c r="X23" i="1" s="1"/>
  <c r="T92" i="1"/>
  <c r="X4" i="1"/>
  <c r="U93" i="2" l="1"/>
  <c r="X93" i="2" s="1"/>
  <c r="L107" i="2"/>
  <c r="T115" i="1"/>
  <c r="T105" i="4"/>
  <c r="U105" i="4"/>
  <c r="X4" i="4"/>
  <c r="X105" i="4" s="1"/>
  <c r="X5" i="3"/>
  <c r="U8" i="3"/>
  <c r="X8" i="3" s="1"/>
  <c r="T110" i="3"/>
  <c r="X5" i="2"/>
  <c r="U92" i="1"/>
  <c r="U110" i="3" l="1"/>
  <c r="T107" i="2"/>
  <c r="L116" i="2"/>
  <c r="X110" i="3"/>
  <c r="X92" i="1"/>
  <c r="X115" i="1" s="1"/>
  <c r="U115" i="1"/>
  <c r="T116" i="2" l="1"/>
  <c r="U107" i="2"/>
  <c r="X107" i="2" l="1"/>
  <c r="X116" i="2" s="1"/>
  <c r="U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7" authorId="0" shapeId="0" xr:uid="{2732B106-A2DC-440C-9BE4-0589F9E3094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98000</t>
        </r>
      </text>
    </comment>
    <comment ref="P17" authorId="0" shapeId="0" xr:uid="{8D6BC787-5C42-43D8-9177-FFB70CC26D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150,521</t>
        </r>
      </text>
    </comment>
    <comment ref="J92" authorId="0" shapeId="0" xr:uid="{0652BA89-229E-4BCA-82D9-B7D6AD1904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HORAS EXTRAS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3" authorId="0" shapeId="0" xr:uid="{E0CC0B0C-A258-4E36-8546-94B5A2A7B57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9" authorId="0" shapeId="0" xr:uid="{92FC3BE2-4E75-43AF-A6CA-F3071391B75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X8" authorId="0" shapeId="0" xr:uid="{F9A9808B-0D7C-4682-823C-3951F6405B2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P99" authorId="0" shapeId="0" xr:uid="{1799707D-ECE7-40FC-96FF-B28BEB7BF82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X8" authorId="0" shapeId="0" xr:uid="{7105CEC6-344E-4F2F-8432-A8F97732632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P98" authorId="0" shapeId="0" xr:uid="{293B9338-96E7-4971-BBFA-BEF7129B4A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8" authorId="0" shapeId="0" xr:uid="{677694AC-17E2-4178-95CE-AC733A0857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DEF6491E-9556-4795-A2A5-2D9FEEB43B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3CCB2046-55FF-479B-ACAA-594FD2C7D14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7" authorId="0" shapeId="0" xr:uid="{9D7DB37D-8CBC-4499-BD9D-B679F4A59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05A40827-EF54-4B39-B7C4-372E2342DE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473A9DBB-A919-407A-B2E7-2390C044EF0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3" authorId="0" shapeId="0" xr:uid="{712F4AB6-83DB-4904-A3AD-E9892BBB48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6" authorId="0" shapeId="0" xr:uid="{3E525ABF-D118-452B-90EF-5C219C6683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4" authorId="0" shapeId="0" xr:uid="{78BE37CC-CE4D-45AF-853A-4868E6A686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7" authorId="0" shapeId="0" xr:uid="{11F652F2-D48B-42F5-B9D9-0A8AECB66E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sharedStrings.xml><?xml version="1.0" encoding="utf-8"?>
<sst xmlns="http://schemas.openxmlformats.org/spreadsheetml/2006/main" count="3471" uniqueCount="274">
  <si>
    <t>PLANILLA DE NOMINA EXSIS SOFTWARE DE NOMINA 2017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</si>
  <si>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</si>
  <si>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</si>
  <si>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</si>
  <si>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</si>
  <si>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</si>
  <si>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</si>
  <si>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</si>
  <si>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</si>
  <si>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</si>
  <si>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</si>
  <si>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</si>
  <si>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VACACIONES</t>
  </si>
  <si>
    <t>Devengos</t>
  </si>
  <si>
    <t>Salud</t>
  </si>
  <si>
    <t>PENSION+ FONDO DE SOLIDARIDAD</t>
  </si>
  <si>
    <t>Cooperativa</t>
  </si>
  <si>
    <t>DESCUENTO NESTLE O CARRERA UNICEF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</si>
  <si>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</si>
  <si>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</si>
  <si>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</si>
  <si>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</si>
  <si>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</si>
  <si>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</si>
  <si>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</si>
  <si>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ADRIANA CUELLAR JIMENEZ</t>
  </si>
  <si>
    <t>NOMINA</t>
  </si>
  <si>
    <t>ALBERTO ALBEIRO ALMARIO VALBUENA</t>
  </si>
  <si>
    <t>ALEJANDRO TOVAR ALVARADO</t>
  </si>
  <si>
    <t>ANA LUCIA ARBELAEZ BARBOSA</t>
  </si>
  <si>
    <t>ANDRES HERRERA MALDONADO</t>
  </si>
  <si>
    <t>ANGELA ENITH RODRGUEZ MORENO</t>
  </si>
  <si>
    <t>AURORA VARGAS MORENO</t>
  </si>
  <si>
    <t>CARLOS ENRIQUE MENDEZ CUENTAS</t>
  </si>
  <si>
    <t xml:space="preserve">NOMINA </t>
  </si>
  <si>
    <t>CARMEN ALEIDA QUINTERO REYES</t>
  </si>
  <si>
    <t>DIEGO ANDRES MONCADA VEGA</t>
  </si>
  <si>
    <t>EDGAR ALEXANDER ESPINOSA GONZALEZ</t>
  </si>
  <si>
    <t>EDISON DAVID TORRES RUIZ</t>
  </si>
  <si>
    <t>ELEONORA PEÑA RODRIGUEZ</t>
  </si>
  <si>
    <t>GUSTAVO IGNACIO MAGGI WULFF</t>
  </si>
  <si>
    <t>HAROLD STEVEN ARENAS CHAVEZ</t>
  </si>
  <si>
    <t>HECTOR GERMAN CHAPARRO RODRIGUEZ</t>
  </si>
  <si>
    <t>JAIME CARLOS SANMARTIN DAZA</t>
  </si>
  <si>
    <t>JAIRO ERNESTO MALAGON GAITAN</t>
  </si>
  <si>
    <t>JAVIER CRUZ RODRIGUEZ</t>
  </si>
  <si>
    <t>JIMMY ALEXANDER CIFUENTES</t>
  </si>
  <si>
    <t>JOHANA KARINA PELAEZ PUENTES</t>
  </si>
  <si>
    <t>JOSE ANDRES MENESES QUINTERO</t>
  </si>
  <si>
    <t>JOSE RAFAEL GOMEZ GONZALEZ</t>
  </si>
  <si>
    <t>JUAN CAMILO MENDIETA SILVA</t>
  </si>
  <si>
    <t>JUAN CAMILO MOYA MUÑOZ</t>
  </si>
  <si>
    <t>JUAN PABLO VIVAS REINOSO</t>
  </si>
  <si>
    <t>JUAN RAMON BELTRAN ALFARO</t>
  </si>
  <si>
    <t>JULIAN ANDRES RAMIREZ CELIS</t>
  </si>
  <si>
    <t>LEONEL SIERRA MARTINEZ</t>
  </si>
  <si>
    <t xml:space="preserve">LUIS DANIEL HERRERA MALDONADO </t>
  </si>
  <si>
    <t>LUIS IVAN GONZALEZ SANTIAGO</t>
  </si>
  <si>
    <t>MANUEL EDUARDO HERNANDEZ RODRIGUEZ</t>
  </si>
  <si>
    <t>MANUELA RODRIGUEZ BENITEZ</t>
  </si>
  <si>
    <t>MARTHA NUBIA GONZALEZ RINCON</t>
  </si>
  <si>
    <t>MONICA JULIETH SANCHEZ FUENTES</t>
  </si>
  <si>
    <t xml:space="preserve">NYDIA CASTILBLANCO MARIN </t>
  </si>
  <si>
    <t>ORLANDO SUAREZ LABOTON</t>
  </si>
  <si>
    <t xml:space="preserve">OSCAR DAVID ERNESTO VEGA BONILLA </t>
  </si>
  <si>
    <t>OTTO DARLING NIETO GUERRERO</t>
  </si>
  <si>
    <t>RAMON ANTONIO SUAREZ BUITRAGO</t>
  </si>
  <si>
    <t>ROBERTO JOSE DUQUE DIASGRANADOS</t>
  </si>
  <si>
    <t>ROGER BARRIOS AMOROCHO</t>
  </si>
  <si>
    <t>SERGIO BAYARDO CORDOBA</t>
  </si>
  <si>
    <t>TICSIANA LORENA CARRILLO</t>
  </si>
  <si>
    <t>WILLIAM JOSE VIVAS ESCALANTE</t>
  </si>
  <si>
    <t>ALVARO JAVIER BARBOSA</t>
  </si>
  <si>
    <t>ANA MARCELA PEÑA MURALLAS</t>
  </si>
  <si>
    <t>ANDREA TATIANA ACEVEDO CASTAÑEDA</t>
  </si>
  <si>
    <t>ANGEL JULIAN  GONZALEZ PINZON</t>
  </si>
  <si>
    <t>ARIANA VALENTINA JIMENEZ PEDRAZA</t>
  </si>
  <si>
    <t>BRAYAN JULIAN CORREDOR PUENTES</t>
  </si>
  <si>
    <t>BRENDA AGUACIA BENITEZ</t>
  </si>
  <si>
    <t>CARLOS HERNAN CARDONA TABORA</t>
  </si>
  <si>
    <t>CHABELI GINETH SINISTERRA PUSSEY</t>
  </si>
  <si>
    <t>CINDY VIVIANA MENDOZA VILLATE</t>
  </si>
  <si>
    <t>CLARA ISABEL PEDRAZA RUEDA</t>
  </si>
  <si>
    <t>CRISTHIAN CAMILO JIMENEZ VARON</t>
  </si>
  <si>
    <t>CRISTHIAN FELIPE GUERRERO PINEROS</t>
  </si>
  <si>
    <t>DANIELA MALDONADO CASTRO</t>
  </si>
  <si>
    <t>DAVID ALEXANDER OCAMPO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</si>
  <si>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</si>
  <si>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</si>
  <si>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</si>
  <si>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</si>
  <si>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</si>
  <si>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ELVER YESID MELO MONROY</t>
  </si>
  <si>
    <t xml:space="preserve">ERVID ALFRED MOLINA BARRIOS </t>
  </si>
  <si>
    <t>FABIO ANDRES ROA GARCIA</t>
  </si>
  <si>
    <t>FABIO HERNAN VALENCIA CRUZ</t>
  </si>
  <si>
    <t>FREDY MAURICIO NAVARRETE MOLANO</t>
  </si>
  <si>
    <t>GERARDO ENRIQUE MENDEZ RAIGOSO</t>
  </si>
  <si>
    <t>GIPSY YEPES FONTECHA</t>
  </si>
  <si>
    <t>HAYLIN NAYIBE NIETO MORALES</t>
  </si>
  <si>
    <t>JEAN JAVIER ORTIZ HENAO</t>
  </si>
  <si>
    <t>JESSICA PAOLA NEGRETE MONTES</t>
  </si>
  <si>
    <t>JHON DAVID CARVAJAL</t>
  </si>
  <si>
    <t>JOHANN ARLEY BRIÑEZ TRIANA</t>
  </si>
  <si>
    <t>JONATHAN MEZA SANTOS</t>
  </si>
  <si>
    <t>+</t>
  </si>
  <si>
    <t>JOSE JAVIER SASTOQUE SANCHEZ</t>
  </si>
  <si>
    <t>JUAN CAMILO LARA LEON</t>
  </si>
  <si>
    <t>JUAN DAVID MONROY</t>
  </si>
  <si>
    <t>JULIAN SEBASTIAN PEÑA CASTELLANOS</t>
  </si>
  <si>
    <t>KATTYA ALEXANDRA PEÑA NIETO</t>
  </si>
  <si>
    <t>LEONARDO ARMERO BARBOSA</t>
  </si>
  <si>
    <t>LUISA FERNANDA GALINDO HIGUERA</t>
  </si>
  <si>
    <t>MAIRA ALEJANDRA CLARO ROPERO</t>
  </si>
  <si>
    <t>MANUEL FERNANDO MENDEZ CARDOSO</t>
  </si>
  <si>
    <t>MANUEL FERNANDO MUÑOZ GARCES</t>
  </si>
  <si>
    <t>MARIA TRANSITO PULIDO PARRA</t>
  </si>
  <si>
    <t>MARILY BAQUERO ACOSTA</t>
  </si>
  <si>
    <t>MIGUEL ANGEL HERRERA RODRIGUEZ</t>
  </si>
  <si>
    <t>MIGUEL ANGEL JIMENEZ NUÑEZ</t>
  </si>
  <si>
    <t>MIGUEL SEBASTIAN JIMENEZ</t>
  </si>
  <si>
    <t>NELSON JAVIER PINZON LOPEZ</t>
  </si>
  <si>
    <t>NESTOR FABIAN CASTILLO ROZO</t>
  </si>
  <si>
    <t>OSCAR ALFONSO FERNANDEZ OSPINA</t>
  </si>
  <si>
    <t>OSCAR ESTEBAN PEÑA PORRAS</t>
  </si>
  <si>
    <t>OSCAR JAVIER BELTRAN VILLAMIZAR</t>
  </si>
  <si>
    <t>PABLO ANDRES LINARES MURCIA</t>
  </si>
  <si>
    <t>RAFAEL LEONARDO GONZALEZ CELIS</t>
  </si>
  <si>
    <t>RICARDO JAVIER ESTRADA SANCHEZ</t>
  </si>
  <si>
    <t>RONALD ANTONY ROJAS FORIGUA</t>
  </si>
  <si>
    <t>SANTIAGO ALVAREZ PORRAS</t>
  </si>
  <si>
    <t xml:space="preserve">SANTIAGO JIMENEZ PEDRAZA </t>
  </si>
  <si>
    <t>SERGIO ALEXIS RODRIGUEZ VASQUEZ</t>
  </si>
  <si>
    <t>SERGIO ANDRES RODRIGUEZ RODRIGUEZ</t>
  </si>
  <si>
    <t>TULIO ESTEBAN JIMENEZ VILLANUEVA</t>
  </si>
  <si>
    <t>VANESA CHIQUILO CASTAÑEDA</t>
  </si>
  <si>
    <t xml:space="preserve">WILLIAM ALEXANDER SIERRA GONZALEZ </t>
  </si>
  <si>
    <t>YOHANA GISELIDA SUAREZ CASTILLO</t>
  </si>
  <si>
    <t>YULIETH MILENA SANDOVAL MARTINEZ</t>
  </si>
  <si>
    <t>TOTALES</t>
  </si>
  <si>
    <t>NOMINA MES DE FEBRERO DE 2017</t>
  </si>
  <si>
    <t>ANA MARIA BARRIOS LEGIZAMON</t>
  </si>
  <si>
    <t>GUSTAVO SANABRIA ORTIZ</t>
  </si>
  <si>
    <t>EXSIS</t>
  </si>
  <si>
    <t>ADRIANA CAMILA LOAIZA</t>
  </si>
  <si>
    <t>NOMINA MES DE MARZO DE 2017</t>
  </si>
  <si>
    <t>DESCUENTO CURSO DE AUDITORIA</t>
  </si>
  <si>
    <t>NETO A PAGAR MARZO</t>
  </si>
  <si>
    <t>OLIMARY GOMEZ CORONEL</t>
  </si>
  <si>
    <t>KAREN ELIZABETH MORA DIAZ</t>
  </si>
  <si>
    <t>LILI CARINA ORDOÑEZ BOCANEGRA</t>
  </si>
  <si>
    <t>NOMINA MES DE ABRIL DE 2017</t>
  </si>
  <si>
    <t>NOMINA MES DE MAYO DE 2017</t>
  </si>
  <si>
    <t xml:space="preserve">  </t>
  </si>
  <si>
    <t>ERIKA MIREYA INFANTE CERVANTES</t>
  </si>
  <si>
    <t>GINNA PAOLA CEPEDA LOMBANA</t>
  </si>
  <si>
    <t>MARIA FERNANDA RIVEROS JIMENEZ</t>
  </si>
  <si>
    <t>MARTHA JANETH JIMENEZ BARRETO</t>
  </si>
  <si>
    <t>NADIA CATALINA VELASQUEZ CENDALES</t>
  </si>
  <si>
    <t xml:space="preserve">YERALDINE BONILLA BARRERA </t>
  </si>
  <si>
    <t>NOMINA MES DE JUNIO DE 2017</t>
  </si>
  <si>
    <t>VACACIONES Y/O PRIMA</t>
  </si>
  <si>
    <t>ABDAMIR SAAB GARZON</t>
  </si>
  <si>
    <t>CARLOS ANDRES PEÑA AVENDAÑO</t>
  </si>
  <si>
    <t>ERIK VON CABARCAS GPMEZ</t>
  </si>
  <si>
    <t>FREDY MAURICIO NAVARRETE</t>
  </si>
  <si>
    <t xml:space="preserve">GERARDO ENRIQUE MENDEZ </t>
  </si>
  <si>
    <t>JUAN CARLOS RAMIREZ CASTRO</t>
  </si>
  <si>
    <t>JUAN FELIPE ARAGON MANRIQUE</t>
  </si>
  <si>
    <t>JUAN MANUEL CUESTAS BELTRAN</t>
  </si>
  <si>
    <t>JULI ANDREA AVILA GUTIERREZ</t>
  </si>
  <si>
    <t>KATERINE LUCIA VASQUEZ MORALES</t>
  </si>
  <si>
    <t>SANDRA YULIETH GARCIA</t>
  </si>
  <si>
    <t>CHRYSTIAM DAVID MARTINEZ AVILA</t>
  </si>
  <si>
    <t>DAVID CELIANO HERRERA  GUTIERREZ</t>
  </si>
  <si>
    <t>JEFFERSON STIVENS RODRIGUEZ RODRI</t>
  </si>
  <si>
    <t>MERCEDES SALAMANCA CASTAÑEDA</t>
  </si>
  <si>
    <t>JONATHAN BARICOT HERNANDEZ</t>
  </si>
  <si>
    <t>SOFIA LORENA FAJARDO ESTEBAN</t>
  </si>
  <si>
    <t>NOMINA MES DE SEPTIEMBRE DE 2017</t>
  </si>
  <si>
    <t>DESCUENTO PRESTAMO</t>
  </si>
  <si>
    <t>NETO A PAGAR SEPTIEMBRE</t>
  </si>
  <si>
    <t>CLARA MARIA VASQUEZ MOSQUERA</t>
  </si>
  <si>
    <t>JHON DAVID CARVAJAL RIVERA</t>
  </si>
  <si>
    <t>LUIS EDGAR BERNAL CORREDOR</t>
  </si>
  <si>
    <t xml:space="preserve">YULY ANDREA RIOS TAPIERO </t>
  </si>
  <si>
    <t>NOMINA MES DE OCTUBRE DE 2017</t>
  </si>
  <si>
    <t>NETO A PAGAR OCTUBRE</t>
  </si>
  <si>
    <t>DAVID JAVIER AGUILAR RODRIGUEZ</t>
  </si>
  <si>
    <t>MICHAEL STEVEN BONILLA OROZCO</t>
  </si>
  <si>
    <t>NOMINA MES DE NOVIEMBRE DE 2017</t>
  </si>
  <si>
    <t>Incapacidad</t>
  </si>
  <si>
    <t>JOSE GABRIEL AHUMADA SOTO</t>
  </si>
  <si>
    <t>NOMINA MES DE DICIEMBRE  DE 2017</t>
  </si>
  <si>
    <t>GUSTAVO ANDRES CAMARGO DUQUE</t>
  </si>
  <si>
    <t>LEIDY DIANA RODRIGUEZ SUAREZ</t>
  </si>
  <si>
    <t>SANDRA MILENA MENDEZ SASTRE</t>
  </si>
  <si>
    <t>COMPENSAR</t>
  </si>
  <si>
    <t>PICHINCHA</t>
  </si>
  <si>
    <t>Auxilio De Movilización</t>
  </si>
  <si>
    <t>NOMINA MES DE JULIO DE 2017</t>
  </si>
  <si>
    <t>TIPO DE CONTRATO</t>
  </si>
  <si>
    <t>CARGO</t>
  </si>
  <si>
    <t>IDENTIFICACION</t>
  </si>
  <si>
    <t>ORIGEN DE PAGO</t>
  </si>
  <si>
    <t>TIPO CUENTA</t>
  </si>
  <si>
    <t>NUMERO DE CUENTA</t>
  </si>
  <si>
    <t xml:space="preserve">VACACIONES </t>
  </si>
  <si>
    <t>INDEFINIDO</t>
  </si>
  <si>
    <t>GERENTE DE PROYECTOS</t>
  </si>
  <si>
    <t>CITIBANK</t>
  </si>
  <si>
    <t>CTA AHORRO</t>
  </si>
  <si>
    <t>ING. SEMISENIOR</t>
  </si>
  <si>
    <t>BANCOLOMBIA</t>
  </si>
  <si>
    <t>LABOR OBRA</t>
  </si>
  <si>
    <t>ING SEMISENIOR</t>
  </si>
  <si>
    <t>CUENTA DE AHORROS</t>
  </si>
  <si>
    <t>ING. SENIOR</t>
  </si>
  <si>
    <t>DAVIVIENDA</t>
  </si>
  <si>
    <t>004370666432</t>
  </si>
  <si>
    <t>OBRA LABOR</t>
  </si>
  <si>
    <t>INGE SENIOR</t>
  </si>
  <si>
    <t>ING SENIOR</t>
  </si>
  <si>
    <t>CTA AHORROS</t>
  </si>
  <si>
    <t>COLPATRIA</t>
  </si>
  <si>
    <t>ING. JUNIOR</t>
  </si>
  <si>
    <t>HELM BANK</t>
  </si>
  <si>
    <t>QUALITY ASSURANCE AS400</t>
  </si>
  <si>
    <t>INGENIERO SENIOR</t>
  </si>
  <si>
    <t>000030547962</t>
  </si>
  <si>
    <t>INGENIERA SENIOR</t>
  </si>
  <si>
    <t>ING.SENIOR</t>
  </si>
  <si>
    <t>457400032852</t>
  </si>
  <si>
    <t>ING.JUNIOR</t>
  </si>
  <si>
    <t>BBVA</t>
  </si>
  <si>
    <t>134050368</t>
  </si>
  <si>
    <t>1007217117</t>
  </si>
  <si>
    <t>ADMINISTRADOR PLATAFORMA WEB</t>
  </si>
  <si>
    <t>LIDER DE PROYECTO</t>
  </si>
  <si>
    <t>APRENDIZ SENA</t>
  </si>
  <si>
    <t>APRENDIZ</t>
  </si>
  <si>
    <t xml:space="preserve">CTA AHORRO </t>
  </si>
  <si>
    <t>ANALISTA DE SISTEMAS</t>
  </si>
  <si>
    <t>ASISTENTE COMERCIAL</t>
  </si>
  <si>
    <t>627206915</t>
  </si>
  <si>
    <t>ASISITENTE DE SALUD Y SEGURIDAD EN EL TRABAJO</t>
  </si>
  <si>
    <t>AUXILIAR</t>
  </si>
  <si>
    <t>ING. SENIOR.NET</t>
  </si>
  <si>
    <t>RECEPCIONISTA</t>
  </si>
  <si>
    <t>PRACTICANTE</t>
  </si>
  <si>
    <t>PASANTE</t>
  </si>
  <si>
    <t xml:space="preserve">BANCOLOMBIA </t>
  </si>
  <si>
    <t>ING JUNIOR</t>
  </si>
  <si>
    <t>004500194446</t>
  </si>
  <si>
    <t>94411269366</t>
  </si>
  <si>
    <t>627213440</t>
  </si>
  <si>
    <t>627216583</t>
  </si>
  <si>
    <t>ANALISTA DE CALIDAD</t>
  </si>
  <si>
    <t>DIRECTORA DE CALIDAD</t>
  </si>
  <si>
    <t>CONTADOR</t>
  </si>
  <si>
    <t>BCSC COLMENA</t>
  </si>
  <si>
    <t>SERVICIOS GENERALES</t>
  </si>
  <si>
    <t>GERENTE</t>
  </si>
  <si>
    <t>0553081017</t>
  </si>
  <si>
    <t>INGENIERO JUNIOR</t>
  </si>
  <si>
    <t>175334283</t>
  </si>
  <si>
    <t>627207368</t>
  </si>
  <si>
    <t xml:space="preserve">DAVIVIENDA </t>
  </si>
  <si>
    <t>475170022390</t>
  </si>
  <si>
    <t>BANCO COLPATRIA</t>
  </si>
  <si>
    <t>DISEÑADOR GRAFICO</t>
  </si>
  <si>
    <t xml:space="preserve">627184096     </t>
  </si>
  <si>
    <t xml:space="preserve">YULI ANDREA RIOS </t>
  </si>
  <si>
    <t>NOMINA MES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</si>
</sst>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  <numFmt numFmtId="168" formatCode="0;[Red]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4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4" fontId="4" fillId="0" borderId="0" xfId="2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2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2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textRotation="45"/>
    </xf>
    <xf numFmtId="43" fontId="4" fillId="0" borderId="1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45"/>
    </xf>
    <xf numFmtId="0" fontId="4" fillId="0" borderId="3" xfId="0" applyFont="1" applyFill="1" applyBorder="1" applyAlignment="1">
      <alignment horizontal="center" vertical="center" textRotation="45"/>
    </xf>
    <xf numFmtId="0" fontId="4" fillId="0" borderId="4" xfId="0" applyFont="1" applyFill="1" applyBorder="1" applyAlignment="1">
      <alignment horizontal="center" vertical="center" textRotation="45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3" xfId="0" applyFont="1" applyFill="1" applyBorder="1" applyAlignment="1">
      <alignment horizontal="center" vertical="center" textRotation="45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" fontId="8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7"/>
  <sheetViews>
    <sheetView workbookViewId="0">
      <selection activeCell="M27" sqref="M27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4"/>
      <c r="W1" s="44"/>
      <c r="X1" s="4"/>
    </row>
    <row r="2" spans="1:24" x14ac:dyDescent="0.25">
      <c r="C2" s="3" t="s">
        <v>1</v>
      </c>
      <c r="D2" s="4"/>
      <c r="E2" s="93" t="s">
        <v>2</v>
      </c>
      <c r="F2" s="93"/>
      <c r="G2" s="93"/>
      <c r="H2" s="93"/>
      <c r="I2" s="93"/>
      <c r="J2" s="93"/>
      <c r="K2" s="93"/>
      <c r="L2" s="93" t="s">
        <v>3</v>
      </c>
      <c r="M2" s="93"/>
      <c r="N2" s="93"/>
      <c r="O2" s="93"/>
      <c r="P2" s="93"/>
      <c r="Q2" s="93"/>
      <c r="R2" s="93"/>
      <c r="S2" s="93"/>
      <c r="T2" s="93"/>
      <c r="U2" s="4"/>
      <c r="V2" s="4"/>
      <c r="W2" s="44"/>
      <c r="X2" s="4"/>
    </row>
    <row r="3" spans="1:24" ht="60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24</v>
      </c>
    </row>
    <row r="4" spans="1:24" x14ac:dyDescent="0.25">
      <c r="A4" s="95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4" si="0">SUM(G4:I4)+J4</f>
        <v>4815000</v>
      </c>
      <c r="L4" s="5">
        <f t="shared" ref="L4:L45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67" si="2">SUM(L4:S4)</f>
        <v>452350</v>
      </c>
      <c r="U4" s="7">
        <f t="shared" ref="U4:U8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5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8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5"/>
      <c r="B6" s="4">
        <v>3</v>
      </c>
      <c r="C6" s="11" t="s">
        <v>28</v>
      </c>
      <c r="D6" s="6" t="s">
        <v>26</v>
      </c>
      <c r="E6" s="5">
        <v>5500000</v>
      </c>
      <c r="F6" s="5">
        <v>23</v>
      </c>
      <c r="G6" s="5">
        <f>5500000-J6</f>
        <v>4150000</v>
      </c>
      <c r="H6" s="5"/>
      <c r="I6" s="5"/>
      <c r="J6" s="5">
        <v>1350000</v>
      </c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5"/>
      <c r="B7" s="4">
        <v>4</v>
      </c>
      <c r="C7" s="11" t="s">
        <v>29</v>
      </c>
      <c r="D7" s="6" t="s">
        <v>26</v>
      </c>
      <c r="E7" s="5">
        <v>5492319</v>
      </c>
      <c r="F7" s="5">
        <v>20</v>
      </c>
      <c r="G7" s="5">
        <f t="shared" si="5"/>
        <v>3661546</v>
      </c>
      <c r="H7" s="5"/>
      <c r="I7" s="5"/>
      <c r="J7" s="5"/>
      <c r="K7" s="5">
        <f t="shared" si="0"/>
        <v>3661546</v>
      </c>
      <c r="L7" s="5">
        <f>+K7*4%</f>
        <v>146461.84</v>
      </c>
      <c r="M7" s="5">
        <f>+K7*5%</f>
        <v>183077.30000000002</v>
      </c>
      <c r="N7" s="5"/>
      <c r="O7" s="5"/>
      <c r="P7" s="17">
        <v>196000</v>
      </c>
      <c r="Q7" s="5"/>
      <c r="R7" s="5"/>
      <c r="S7" s="5">
        <v>726520</v>
      </c>
      <c r="T7" s="5">
        <f t="shared" si="2"/>
        <v>1252059.1400000001</v>
      </c>
      <c r="U7" s="7">
        <f t="shared" si="3"/>
        <v>2409486.86</v>
      </c>
      <c r="V7" s="7"/>
      <c r="W7" s="44"/>
      <c r="X7" s="7">
        <f t="shared" si="4"/>
        <v>2409486.86</v>
      </c>
    </row>
    <row r="8" spans="1:24" x14ac:dyDescent="0.25">
      <c r="A8" s="95"/>
      <c r="B8" s="4">
        <v>5</v>
      </c>
      <c r="C8" s="11" t="s">
        <v>30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>
        <v>2012670</v>
      </c>
      <c r="J8" s="5"/>
      <c r="K8" s="5">
        <f t="shared" si="0"/>
        <v>7012670</v>
      </c>
      <c r="L8" s="5">
        <f t="shared" si="1"/>
        <v>200000</v>
      </c>
      <c r="M8" s="5">
        <f t="shared" ref="M8:M33" si="6">+G8*5%</f>
        <v>250000</v>
      </c>
      <c r="N8" s="5"/>
      <c r="O8" s="5"/>
      <c r="P8" s="5">
        <v>99000</v>
      </c>
      <c r="Q8" s="5"/>
      <c r="R8" s="5"/>
      <c r="S8" s="5"/>
      <c r="T8" s="5">
        <f t="shared" si="2"/>
        <v>549000</v>
      </c>
      <c r="U8" s="7">
        <f t="shared" si="3"/>
        <v>6463670</v>
      </c>
      <c r="V8" s="7"/>
      <c r="W8" s="44"/>
      <c r="X8" s="7">
        <f t="shared" si="4"/>
        <v>6463670</v>
      </c>
    </row>
    <row r="9" spans="1:24" x14ac:dyDescent="0.25">
      <c r="A9" s="95"/>
      <c r="B9" s="4">
        <v>6</v>
      </c>
      <c r="C9" s="11" t="s">
        <v>31</v>
      </c>
      <c r="D9" s="6" t="s">
        <v>26</v>
      </c>
      <c r="E9" s="5">
        <v>4500000</v>
      </c>
      <c r="F9" s="5">
        <v>30</v>
      </c>
      <c r="G9" s="5">
        <f>E9/30*F9</f>
        <v>4500000</v>
      </c>
      <c r="H9" s="5"/>
      <c r="I9" s="5"/>
      <c r="J9" s="5"/>
      <c r="K9" s="5">
        <f t="shared" si="0"/>
        <v>4500000</v>
      </c>
      <c r="L9" s="5">
        <f>+E9*4%</f>
        <v>180000</v>
      </c>
      <c r="M9" s="5">
        <f>+E9*5%</f>
        <v>225000</v>
      </c>
      <c r="N9" s="5"/>
      <c r="O9" s="5"/>
      <c r="P9" s="5">
        <v>2545</v>
      </c>
      <c r="Q9" s="5"/>
      <c r="R9" s="5"/>
      <c r="S9" s="5">
        <v>945750</v>
      </c>
      <c r="T9" s="5">
        <f t="shared" si="2"/>
        <v>1353295</v>
      </c>
      <c r="U9" s="7">
        <f>K9-T9</f>
        <v>3146705</v>
      </c>
      <c r="V9" s="7"/>
      <c r="W9" s="44"/>
      <c r="X9" s="7">
        <f t="shared" si="4"/>
        <v>3146705</v>
      </c>
    </row>
    <row r="10" spans="1:24" x14ac:dyDescent="0.25">
      <c r="A10" s="95"/>
      <c r="B10" s="4">
        <v>7</v>
      </c>
      <c r="C10" s="11" t="s">
        <v>32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ref="K10:K11" si="7">SUM(G10:I10)+J10</f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10000</v>
      </c>
      <c r="Q10" s="5"/>
      <c r="R10" s="5"/>
      <c r="S10" s="5"/>
      <c r="T10" s="5">
        <f t="shared" ref="T10:T11" si="8">SUM(L10:S10)</f>
        <v>415000</v>
      </c>
      <c r="U10" s="7">
        <f>K10-T10</f>
        <v>4085000</v>
      </c>
      <c r="V10" s="7"/>
      <c r="W10" s="44"/>
      <c r="X10" s="7">
        <f t="shared" si="4"/>
        <v>4085000</v>
      </c>
    </row>
    <row r="11" spans="1:24" ht="24" x14ac:dyDescent="0.25">
      <c r="A11" s="95"/>
      <c r="B11" s="4">
        <v>8</v>
      </c>
      <c r="C11" s="11" t="s">
        <v>33</v>
      </c>
      <c r="D11" s="6" t="s">
        <v>34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si="7"/>
        <v>4500000</v>
      </c>
      <c r="L11" s="5">
        <f>+G11*4%</f>
        <v>180000</v>
      </c>
      <c r="M11" s="5">
        <f>+G11*5%</f>
        <v>225000</v>
      </c>
      <c r="N11" s="5"/>
      <c r="O11" s="5"/>
      <c r="P11" s="17">
        <v>72000</v>
      </c>
      <c r="Q11" s="5"/>
      <c r="R11" s="5"/>
      <c r="S11" s="5"/>
      <c r="T11" s="5">
        <f t="shared" si="8"/>
        <v>477000</v>
      </c>
      <c r="U11" s="7">
        <f>K11-T11</f>
        <v>4023000</v>
      </c>
      <c r="V11" s="7"/>
      <c r="W11" s="44"/>
      <c r="X11" s="7">
        <f t="shared" si="4"/>
        <v>4023000</v>
      </c>
    </row>
    <row r="12" spans="1:24" x14ac:dyDescent="0.25">
      <c r="A12" s="95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9">+K12-T12</f>
        <v>4907752</v>
      </c>
      <c r="V12" s="7"/>
      <c r="W12" s="44"/>
      <c r="X12" s="7">
        <f t="shared" si="4"/>
        <v>4907752</v>
      </c>
    </row>
    <row r="13" spans="1:24" x14ac:dyDescent="0.25">
      <c r="A13" s="95"/>
      <c r="B13" s="4">
        <v>10</v>
      </c>
      <c r="C13" s="3" t="s">
        <v>36</v>
      </c>
      <c r="D13" s="4" t="s">
        <v>26</v>
      </c>
      <c r="E13" s="5">
        <v>4500000</v>
      </c>
      <c r="F13" s="5">
        <v>28</v>
      </c>
      <c r="G13" s="5">
        <f t="shared" ref="G13:G18" si="10">+E13/30*F13</f>
        <v>4200000</v>
      </c>
      <c r="H13" s="5">
        <v>200010</v>
      </c>
      <c r="I13" s="5"/>
      <c r="J13" s="5"/>
      <c r="K13" s="5">
        <f t="shared" si="0"/>
        <v>4400010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3992010</v>
      </c>
      <c r="V13" s="7"/>
      <c r="W13" s="44"/>
      <c r="X13" s="7">
        <f t="shared" si="4"/>
        <v>3992010</v>
      </c>
    </row>
    <row r="14" spans="1:24" x14ac:dyDescent="0.25">
      <c r="A14" s="95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f t="shared" si="10"/>
        <v>4200000</v>
      </c>
      <c r="H14" s="5"/>
      <c r="I14" s="5"/>
      <c r="J14" s="5"/>
      <c r="K14" s="5">
        <f t="shared" ref="K14:K16" si="11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/>
      <c r="T14" s="5">
        <f t="shared" ref="T14:T16" si="12">SUM(L14:S14)</f>
        <v>410000</v>
      </c>
      <c r="U14" s="7">
        <f t="shared" si="9"/>
        <v>3790000</v>
      </c>
      <c r="V14" s="7"/>
      <c r="W14" s="44"/>
      <c r="X14" s="7">
        <f t="shared" si="4"/>
        <v>3790000</v>
      </c>
    </row>
    <row r="15" spans="1:24" x14ac:dyDescent="0.25">
      <c r="A15" s="95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si="10"/>
        <v>4000000.0000000005</v>
      </c>
      <c r="H15" s="5"/>
      <c r="I15" s="5"/>
      <c r="J15" s="5"/>
      <c r="K15" s="5">
        <f t="shared" si="1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2"/>
        <v>364500</v>
      </c>
      <c r="U15" s="7">
        <f t="shared" si="9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5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0"/>
        <v>4500000</v>
      </c>
      <c r="H16" s="5"/>
      <c r="I16" s="5"/>
      <c r="J16" s="5"/>
      <c r="K16" s="5">
        <f t="shared" si="11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2"/>
        <v>477000</v>
      </c>
      <c r="U16" s="7">
        <f t="shared" si="9"/>
        <v>4023000</v>
      </c>
      <c r="V16" s="7"/>
      <c r="W16" s="44"/>
      <c r="X16" s="7">
        <f t="shared" si="4"/>
        <v>4023000</v>
      </c>
    </row>
    <row r="17" spans="1:24" x14ac:dyDescent="0.25">
      <c r="A17" s="95"/>
      <c r="B17" s="4">
        <v>14</v>
      </c>
      <c r="C17" s="11" t="s">
        <v>40</v>
      </c>
      <c r="D17" s="6" t="s">
        <v>26</v>
      </c>
      <c r="E17" s="5">
        <v>5500000</v>
      </c>
      <c r="F17" s="5">
        <v>15</v>
      </c>
      <c r="G17" s="5">
        <f t="shared" si="10"/>
        <v>2750000</v>
      </c>
      <c r="H17" s="5"/>
      <c r="I17" s="5">
        <v>450000</v>
      </c>
      <c r="J17" s="5"/>
      <c r="K17" s="5">
        <f t="shared" si="0"/>
        <v>3200000</v>
      </c>
      <c r="L17" s="5">
        <f>+G17*4%</f>
        <v>110000</v>
      </c>
      <c r="M17" s="5">
        <f>+G17*5%</f>
        <v>137500</v>
      </c>
      <c r="N17" s="5"/>
      <c r="O17" s="5"/>
      <c r="P17" s="17">
        <v>301042</v>
      </c>
      <c r="Q17" s="5">
        <v>400000</v>
      </c>
      <c r="R17" s="5"/>
      <c r="S17" s="5"/>
      <c r="T17" s="5">
        <f t="shared" si="2"/>
        <v>948542</v>
      </c>
      <c r="U17" s="7">
        <f t="shared" si="9"/>
        <v>2251458</v>
      </c>
      <c r="V17" s="7"/>
      <c r="W17" s="44"/>
      <c r="X17" s="7">
        <f t="shared" si="4"/>
        <v>2251458</v>
      </c>
    </row>
    <row r="18" spans="1:24" x14ac:dyDescent="0.25">
      <c r="A18" s="95"/>
      <c r="B18" s="4">
        <v>15</v>
      </c>
      <c r="C18" s="11" t="s">
        <v>41</v>
      </c>
      <c r="D18" s="6" t="s">
        <v>26</v>
      </c>
      <c r="E18" s="5">
        <v>3500000</v>
      </c>
      <c r="F18" s="5">
        <v>30</v>
      </c>
      <c r="G18" s="5">
        <f t="shared" si="10"/>
        <v>3500000</v>
      </c>
      <c r="H18" s="5"/>
      <c r="I18" s="5"/>
      <c r="J18" s="5"/>
      <c r="K18" s="5">
        <f t="shared" ref="K18" si="13">SUM(G18:I18)+J18</f>
        <v>3500000</v>
      </c>
      <c r="L18" s="5">
        <f t="shared" ref="L18" si="14">+G18*4%</f>
        <v>140000</v>
      </c>
      <c r="M18" s="5">
        <f t="shared" ref="M18" si="15">+G18*5%</f>
        <v>175000</v>
      </c>
      <c r="N18" s="5"/>
      <c r="O18" s="5"/>
      <c r="P18" s="17"/>
      <c r="Q18" s="5"/>
      <c r="R18" s="5"/>
      <c r="S18" s="5"/>
      <c r="T18" s="5">
        <f t="shared" ref="T18" si="16">SUM(L18:S18)</f>
        <v>315000</v>
      </c>
      <c r="U18" s="7">
        <f t="shared" si="9"/>
        <v>3185000</v>
      </c>
      <c r="V18" s="7"/>
      <c r="W18" s="44"/>
      <c r="X18" s="7">
        <f t="shared" si="4"/>
        <v>3185000</v>
      </c>
    </row>
    <row r="19" spans="1:24" ht="24" x14ac:dyDescent="0.25">
      <c r="A19" s="95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3666667</v>
      </c>
      <c r="H19" s="5"/>
      <c r="I19" s="5">
        <v>990000</v>
      </c>
      <c r="J19" s="5">
        <v>1333333</v>
      </c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5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9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5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5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4"/>
        <v>3185000</v>
      </c>
    </row>
    <row r="23" spans="1:24" x14ac:dyDescent="0.25">
      <c r="A23" s="95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7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6"/>
        <v>250000</v>
      </c>
      <c r="N23" s="5"/>
      <c r="O23" s="5"/>
      <c r="P23" s="17">
        <v>50000</v>
      </c>
      <c r="Q23" s="5">
        <v>800000</v>
      </c>
      <c r="R23" s="5"/>
      <c r="S23" s="5">
        <f>884747</f>
        <v>884747</v>
      </c>
      <c r="T23" s="5">
        <f t="shared" si="2"/>
        <v>2184747</v>
      </c>
      <c r="U23" s="7">
        <f>+K23-T23</f>
        <v>4436570</v>
      </c>
      <c r="V23" s="7"/>
      <c r="W23" s="44"/>
      <c r="X23" s="7">
        <f t="shared" si="4"/>
        <v>4436570</v>
      </c>
    </row>
    <row r="24" spans="1:24" x14ac:dyDescent="0.25">
      <c r="A24" s="95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 t="shared" si="17"/>
        <v>4500000</v>
      </c>
      <c r="H24" s="5"/>
      <c r="I24" s="5"/>
      <c r="J24" s="5"/>
      <c r="K24" s="5">
        <f t="shared" si="0"/>
        <v>4500000</v>
      </c>
      <c r="L24" s="5">
        <f t="shared" si="1"/>
        <v>180000</v>
      </c>
      <c r="M24" s="5">
        <f t="shared" si="6"/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95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 t="shared" si="17"/>
        <v>5000000</v>
      </c>
      <c r="H25" s="5"/>
      <c r="I25" s="5"/>
      <c r="J25" s="5"/>
      <c r="K25" s="5">
        <f t="shared" ref="K25:K26" si="25">SUM(G25:I25)+J25</f>
        <v>5000000</v>
      </c>
      <c r="L25" s="5">
        <f t="shared" si="1"/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ref="T25:T26" si="26">SUM(L25:S25)</f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95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si="17"/>
        <v>4500000</v>
      </c>
      <c r="H26" s="5"/>
      <c r="I26" s="5"/>
      <c r="J26" s="5"/>
      <c r="K26" s="5">
        <f t="shared" si="25"/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si="26"/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95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95"/>
      <c r="B28" s="4">
        <v>25</v>
      </c>
      <c r="C28" s="11" t="s">
        <v>51</v>
      </c>
      <c r="D28" s="6" t="s">
        <v>26</v>
      </c>
      <c r="E28" s="5">
        <v>4500000</v>
      </c>
      <c r="F28" s="5">
        <v>30</v>
      </c>
      <c r="G28" s="5">
        <f t="shared" si="17"/>
        <v>4500000</v>
      </c>
      <c r="H28" s="5"/>
      <c r="I28" s="5">
        <v>300000</v>
      </c>
      <c r="J28" s="5"/>
      <c r="K28" s="5">
        <f t="shared" si="0"/>
        <v>4800000</v>
      </c>
      <c r="L28" s="5">
        <v>180000</v>
      </c>
      <c r="M28" s="5">
        <v>225000</v>
      </c>
      <c r="N28" s="5"/>
      <c r="O28" s="5"/>
      <c r="P28" s="17">
        <v>99000</v>
      </c>
      <c r="Q28" s="5"/>
      <c r="R28" s="5"/>
      <c r="S28" s="5"/>
      <c r="T28" s="5">
        <f t="shared" si="2"/>
        <v>504000</v>
      </c>
      <c r="U28" s="7">
        <f>K28-T28</f>
        <v>4296000</v>
      </c>
      <c r="V28" s="7"/>
      <c r="W28" s="44"/>
      <c r="X28" s="7">
        <f t="shared" si="4"/>
        <v>4296000</v>
      </c>
    </row>
    <row r="29" spans="1:24" x14ac:dyDescent="0.25">
      <c r="A29" s="95"/>
      <c r="B29" s="4">
        <v>26</v>
      </c>
      <c r="C29" s="11" t="s">
        <v>52</v>
      </c>
      <c r="D29" s="6" t="s">
        <v>26</v>
      </c>
      <c r="E29" s="5">
        <v>3500000</v>
      </c>
      <c r="F29" s="5">
        <v>30</v>
      </c>
      <c r="G29" s="5">
        <f t="shared" si="17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7">SUM(L29:S29)</f>
        <v>315000</v>
      </c>
      <c r="U29" s="7">
        <f>K29-T29</f>
        <v>3185000</v>
      </c>
      <c r="V29" s="7"/>
      <c r="W29" s="44"/>
      <c r="X29" s="7">
        <f t="shared" si="4"/>
        <v>3185000</v>
      </c>
    </row>
    <row r="30" spans="1:24" x14ac:dyDescent="0.25">
      <c r="A30" s="95"/>
      <c r="B30" s="4">
        <v>27</v>
      </c>
      <c r="C30" s="11" t="s">
        <v>53</v>
      </c>
      <c r="D30" s="6" t="s">
        <v>26</v>
      </c>
      <c r="E30" s="5">
        <v>4800000</v>
      </c>
      <c r="F30" s="5">
        <v>30</v>
      </c>
      <c r="G30" s="5">
        <f t="shared" ref="G30:G54" si="28">+E30/30*F30</f>
        <v>4800000</v>
      </c>
      <c r="H30" s="5"/>
      <c r="I30" s="5"/>
      <c r="J30" s="5"/>
      <c r="K30" s="5">
        <f t="shared" si="0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49000</v>
      </c>
      <c r="Q30" s="5"/>
      <c r="R30" s="5"/>
      <c r="S30" s="5">
        <v>209579</v>
      </c>
      <c r="T30" s="5">
        <f t="shared" si="2"/>
        <v>690579</v>
      </c>
      <c r="U30" s="7">
        <f>K30-T30</f>
        <v>4109421</v>
      </c>
      <c r="V30" s="7"/>
      <c r="W30" s="44"/>
      <c r="X30" s="7">
        <f t="shared" si="4"/>
        <v>4109421</v>
      </c>
    </row>
    <row r="31" spans="1:24" x14ac:dyDescent="0.25">
      <c r="A31" s="95"/>
      <c r="B31" s="4">
        <v>28</v>
      </c>
      <c r="C31" s="11" t="s">
        <v>54</v>
      </c>
      <c r="D31" s="6" t="s">
        <v>26</v>
      </c>
      <c r="E31" s="5">
        <v>4000000</v>
      </c>
      <c r="F31" s="5">
        <v>30</v>
      </c>
      <c r="G31" s="5">
        <f>E31/30*F31</f>
        <v>4000000.0000000005</v>
      </c>
      <c r="H31" s="5"/>
      <c r="I31" s="5"/>
      <c r="J31" s="5"/>
      <c r="K31" s="5">
        <f t="shared" si="0"/>
        <v>4000000.0000000005</v>
      </c>
      <c r="L31" s="5">
        <v>160000</v>
      </c>
      <c r="M31" s="5">
        <v>200000</v>
      </c>
      <c r="N31" s="5"/>
      <c r="O31" s="5"/>
      <c r="P31" s="17">
        <v>31064</v>
      </c>
      <c r="Q31" s="5"/>
      <c r="R31" s="5"/>
      <c r="S31" s="5"/>
      <c r="T31" s="5">
        <f t="shared" si="2"/>
        <v>391064</v>
      </c>
      <c r="U31" s="7">
        <f>K31-T31</f>
        <v>3608936.0000000005</v>
      </c>
      <c r="V31" s="7"/>
      <c r="W31" s="44"/>
      <c r="X31" s="7">
        <f t="shared" si="4"/>
        <v>3608936.0000000005</v>
      </c>
    </row>
    <row r="32" spans="1:24" x14ac:dyDescent="0.25">
      <c r="A32" s="95"/>
      <c r="B32" s="4">
        <v>29</v>
      </c>
      <c r="C32" s="11" t="s">
        <v>55</v>
      </c>
      <c r="D32" s="6" t="s">
        <v>26</v>
      </c>
      <c r="E32" s="5">
        <v>6000000</v>
      </c>
      <c r="F32" s="5">
        <v>30</v>
      </c>
      <c r="G32" s="5">
        <f t="shared" si="28"/>
        <v>6000000</v>
      </c>
      <c r="H32" s="5"/>
      <c r="I32" s="5"/>
      <c r="J32" s="5">
        <v>1800000</v>
      </c>
      <c r="K32" s="5">
        <f t="shared" si="0"/>
        <v>7800000</v>
      </c>
      <c r="L32" s="5">
        <f>+K32*4%</f>
        <v>312000</v>
      </c>
      <c r="M32" s="5">
        <f>+K32*5%</f>
        <v>390000</v>
      </c>
      <c r="N32" s="5"/>
      <c r="O32" s="5"/>
      <c r="P32" s="5">
        <v>173000</v>
      </c>
      <c r="Q32" s="5"/>
      <c r="R32" s="5">
        <v>122614</v>
      </c>
      <c r="S32" s="5"/>
      <c r="T32" s="5">
        <f t="shared" si="2"/>
        <v>997614</v>
      </c>
      <c r="U32" s="7">
        <f t="shared" ref="U32:U33" si="29">+K32-T32</f>
        <v>6802386</v>
      </c>
      <c r="V32" s="7"/>
      <c r="W32" s="44"/>
      <c r="X32" s="7">
        <f t="shared" si="4"/>
        <v>6802386</v>
      </c>
    </row>
    <row r="33" spans="1:24" x14ac:dyDescent="0.25">
      <c r="A33" s="95"/>
      <c r="B33" s="4">
        <v>30</v>
      </c>
      <c r="C33" s="11" t="s">
        <v>56</v>
      </c>
      <c r="D33" s="6" t="s">
        <v>26</v>
      </c>
      <c r="E33" s="5">
        <v>4500000</v>
      </c>
      <c r="F33" s="5">
        <v>30</v>
      </c>
      <c r="G33" s="5">
        <f t="shared" si="28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si="1"/>
        <v>180000</v>
      </c>
      <c r="M33" s="5">
        <f t="shared" si="6"/>
        <v>225000</v>
      </c>
      <c r="N33" s="5"/>
      <c r="O33" s="5"/>
      <c r="P33" s="5">
        <v>11000</v>
      </c>
      <c r="Q33" s="5"/>
      <c r="R33" s="5">
        <v>583333</v>
      </c>
      <c r="S33" s="5">
        <v>551399</v>
      </c>
      <c r="T33" s="5">
        <f t="shared" si="2"/>
        <v>1550732</v>
      </c>
      <c r="U33" s="7">
        <f t="shared" si="29"/>
        <v>3449268</v>
      </c>
      <c r="V33" s="7"/>
      <c r="W33" s="44"/>
      <c r="X33" s="7">
        <f t="shared" si="4"/>
        <v>3449268</v>
      </c>
    </row>
    <row r="34" spans="1:24" x14ac:dyDescent="0.25">
      <c r="A34" s="95"/>
      <c r="B34" s="4">
        <v>31</v>
      </c>
      <c r="C34" s="3" t="s">
        <v>57</v>
      </c>
      <c r="D34" s="4" t="s">
        <v>26</v>
      </c>
      <c r="E34" s="5">
        <v>4815000</v>
      </c>
      <c r="F34" s="5">
        <v>30</v>
      </c>
      <c r="G34" s="5">
        <f>+E34-J34</f>
        <v>3310312</v>
      </c>
      <c r="H34" s="5"/>
      <c r="I34" s="5"/>
      <c r="J34" s="5">
        <v>1504688</v>
      </c>
      <c r="K34" s="5">
        <f t="shared" si="0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2"/>
        <v>1009356</v>
      </c>
      <c r="U34" s="7">
        <f>K34-T34</f>
        <v>3805644</v>
      </c>
      <c r="V34" s="7"/>
      <c r="W34" s="44"/>
      <c r="X34" s="7">
        <f t="shared" si="4"/>
        <v>3805644</v>
      </c>
    </row>
    <row r="35" spans="1:24" ht="24" x14ac:dyDescent="0.25">
      <c r="A35" s="95"/>
      <c r="B35" s="4">
        <v>32</v>
      </c>
      <c r="C35" s="11" t="s">
        <v>58</v>
      </c>
      <c r="D35" s="6" t="s">
        <v>26</v>
      </c>
      <c r="E35" s="5">
        <v>6000000</v>
      </c>
      <c r="F35" s="5">
        <v>30</v>
      </c>
      <c r="G35" s="5">
        <f>+E35/30*F35</f>
        <v>6000000</v>
      </c>
      <c r="H35" s="5"/>
      <c r="I35" s="5"/>
      <c r="J35" s="5"/>
      <c r="K35" s="5">
        <f t="shared" ref="K35:K83" si="30">SUM(G35:I35)+J35</f>
        <v>6000000</v>
      </c>
      <c r="L35" s="5">
        <f t="shared" si="1"/>
        <v>240000</v>
      </c>
      <c r="M35" s="5">
        <f>+G35*5%</f>
        <v>300000</v>
      </c>
      <c r="N35" s="5"/>
      <c r="O35" s="5"/>
      <c r="P35" s="5">
        <v>156000</v>
      </c>
      <c r="Q35" s="5"/>
      <c r="R35" s="5"/>
      <c r="S35" s="5"/>
      <c r="T35" s="5">
        <f t="shared" si="2"/>
        <v>696000</v>
      </c>
      <c r="U35" s="7">
        <f>+K35-T35</f>
        <v>5304000</v>
      </c>
      <c r="V35" s="7"/>
      <c r="W35" s="44"/>
      <c r="X35" s="7">
        <f t="shared" si="4"/>
        <v>5304000</v>
      </c>
    </row>
    <row r="36" spans="1:24" x14ac:dyDescent="0.25">
      <c r="A36" s="95"/>
      <c r="B36" s="4">
        <v>33</v>
      </c>
      <c r="C36" s="3" t="s">
        <v>59</v>
      </c>
      <c r="D36" s="4" t="s">
        <v>26</v>
      </c>
      <c r="E36" s="5">
        <v>6900000</v>
      </c>
      <c r="F36" s="5">
        <v>30</v>
      </c>
      <c r="G36" s="5">
        <f t="shared" si="28"/>
        <v>6900000</v>
      </c>
      <c r="H36" s="5"/>
      <c r="I36" s="5">
        <v>1500000</v>
      </c>
      <c r="J36" s="5"/>
      <c r="K36" s="5">
        <f t="shared" si="30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2"/>
        <v>966000</v>
      </c>
      <c r="U36" s="7">
        <f>K36-T36</f>
        <v>7434000</v>
      </c>
      <c r="V36" s="7"/>
      <c r="W36" s="44"/>
      <c r="X36" s="7">
        <f t="shared" si="4"/>
        <v>7434000</v>
      </c>
    </row>
    <row r="37" spans="1:24" x14ac:dyDescent="0.25">
      <c r="A37" s="95"/>
      <c r="B37" s="4">
        <v>34</v>
      </c>
      <c r="C37" s="3" t="s">
        <v>60</v>
      </c>
      <c r="D37" s="4" t="s">
        <v>26</v>
      </c>
      <c r="E37" s="5">
        <v>5000000</v>
      </c>
      <c r="F37" s="5">
        <v>30</v>
      </c>
      <c r="G37" s="5">
        <f t="shared" si="28"/>
        <v>5000000</v>
      </c>
      <c r="H37" s="5"/>
      <c r="I37" s="5"/>
      <c r="J37" s="5"/>
      <c r="K37" s="5">
        <f t="shared" ref="K37:K38" si="31">SUM(G37:I37)+J37</f>
        <v>5000000</v>
      </c>
      <c r="L37" s="5">
        <v>200000</v>
      </c>
      <c r="M37" s="5"/>
      <c r="N37" s="5"/>
      <c r="O37" s="5"/>
      <c r="P37" s="5">
        <v>175000</v>
      </c>
      <c r="Q37" s="5"/>
      <c r="R37" s="5"/>
      <c r="S37" s="5"/>
      <c r="T37" s="5">
        <f t="shared" ref="T37:T38" si="32">SUM(L37:S37)</f>
        <v>375000</v>
      </c>
      <c r="U37" s="7">
        <f t="shared" ref="U37:U38" si="33">K37-T37</f>
        <v>4625000</v>
      </c>
      <c r="V37" s="7"/>
      <c r="W37" s="44"/>
      <c r="X37" s="7">
        <f t="shared" si="4"/>
        <v>4625000</v>
      </c>
    </row>
    <row r="38" spans="1:24" x14ac:dyDescent="0.25">
      <c r="A38" s="95"/>
      <c r="B38" s="4">
        <v>35</v>
      </c>
      <c r="C38" s="3" t="s">
        <v>61</v>
      </c>
      <c r="D38" s="4" t="s">
        <v>26</v>
      </c>
      <c r="E38" s="5">
        <v>4500000</v>
      </c>
      <c r="F38" s="5">
        <v>30</v>
      </c>
      <c r="G38" s="5">
        <f t="shared" si="28"/>
        <v>4500000</v>
      </c>
      <c r="H38" s="5"/>
      <c r="I38" s="5"/>
      <c r="J38" s="5"/>
      <c r="K38" s="5">
        <f t="shared" si="31"/>
        <v>4500000</v>
      </c>
      <c r="L38" s="5">
        <f>+G38*4%</f>
        <v>180000</v>
      </c>
      <c r="M38" s="5">
        <f>+G38*5%</f>
        <v>225000</v>
      </c>
      <c r="N38" s="5"/>
      <c r="O38" s="5"/>
      <c r="P38" s="5">
        <v>72000</v>
      </c>
      <c r="Q38" s="5"/>
      <c r="R38" s="5"/>
      <c r="S38" s="5"/>
      <c r="T38" s="5">
        <f t="shared" si="32"/>
        <v>477000</v>
      </c>
      <c r="U38" s="7">
        <f t="shared" si="33"/>
        <v>4023000</v>
      </c>
      <c r="V38" s="7"/>
      <c r="W38" s="44"/>
      <c r="X38" s="7">
        <f t="shared" si="4"/>
        <v>4023000</v>
      </c>
    </row>
    <row r="39" spans="1:24" x14ac:dyDescent="0.25">
      <c r="A39" s="95"/>
      <c r="B39" s="4">
        <v>36</v>
      </c>
      <c r="C39" s="11" t="s">
        <v>62</v>
      </c>
      <c r="D39" s="6" t="s">
        <v>26</v>
      </c>
      <c r="E39" s="5">
        <v>5350000</v>
      </c>
      <c r="F39" s="5">
        <v>30</v>
      </c>
      <c r="G39" s="5">
        <f t="shared" si="28"/>
        <v>5350000</v>
      </c>
      <c r="H39" s="5"/>
      <c r="I39" s="5"/>
      <c r="J39" s="5"/>
      <c r="K39" s="5">
        <f t="shared" si="30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5" si="34">+K39-T39</f>
        <v>4747500</v>
      </c>
      <c r="V39" s="7"/>
      <c r="W39" s="44"/>
      <c r="X39" s="7">
        <f t="shared" si="4"/>
        <v>4747500</v>
      </c>
    </row>
    <row r="40" spans="1:24" x14ac:dyDescent="0.25">
      <c r="A40" s="95"/>
      <c r="B40" s="4">
        <v>37</v>
      </c>
      <c r="C40" s="11" t="s">
        <v>63</v>
      </c>
      <c r="D40" s="6" t="s">
        <v>26</v>
      </c>
      <c r="E40" s="5">
        <v>4500000</v>
      </c>
      <c r="F40" s="5">
        <v>30</v>
      </c>
      <c r="G40" s="5">
        <f t="shared" si="28"/>
        <v>4500000</v>
      </c>
      <c r="H40" s="5"/>
      <c r="I40" s="5"/>
      <c r="J40" s="5">
        <f>+E40-G40</f>
        <v>0</v>
      </c>
      <c r="K40" s="5">
        <f t="shared" si="30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>
        <v>700000</v>
      </c>
      <c r="S40" s="5"/>
      <c r="T40" s="5">
        <f>SUM(L40:S40)</f>
        <v>1115000</v>
      </c>
      <c r="U40" s="7">
        <f t="shared" si="34"/>
        <v>3385000</v>
      </c>
      <c r="V40" s="7"/>
      <c r="W40" s="44"/>
      <c r="X40" s="7">
        <f t="shared" si="4"/>
        <v>3385000</v>
      </c>
    </row>
    <row r="41" spans="1:24" ht="24" x14ac:dyDescent="0.25">
      <c r="A41" s="95"/>
      <c r="B41" s="4">
        <v>38</v>
      </c>
      <c r="C41" s="11" t="s">
        <v>64</v>
      </c>
      <c r="D41" s="6"/>
      <c r="E41" s="5">
        <v>6000000</v>
      </c>
      <c r="F41" s="5">
        <v>30</v>
      </c>
      <c r="G41" s="5">
        <f t="shared" si="28"/>
        <v>6000000</v>
      </c>
      <c r="H41" s="5"/>
      <c r="I41" s="5"/>
      <c r="J41" s="5"/>
      <c r="K41" s="5">
        <f t="shared" ref="K41" si="35">SUM(G41:I41)+J41</f>
        <v>6000000</v>
      </c>
      <c r="L41" s="5">
        <f>+G41*4%</f>
        <v>240000</v>
      </c>
      <c r="M41" s="5">
        <f>+G41*5%</f>
        <v>300000</v>
      </c>
      <c r="N41" s="5"/>
      <c r="O41" s="5"/>
      <c r="P41" s="5">
        <v>203000</v>
      </c>
      <c r="Q41" s="5"/>
      <c r="R41" s="5"/>
      <c r="T41" s="5">
        <f>SUM(L41:S41)</f>
        <v>743000</v>
      </c>
      <c r="U41" s="7">
        <f t="shared" si="34"/>
        <v>5257000</v>
      </c>
      <c r="V41" s="7"/>
      <c r="W41" s="44"/>
      <c r="X41" s="7"/>
    </row>
    <row r="42" spans="1:24" ht="26.25" customHeight="1" x14ac:dyDescent="0.25">
      <c r="A42" s="95"/>
      <c r="B42" s="4">
        <v>39</v>
      </c>
      <c r="C42" s="11" t="s">
        <v>65</v>
      </c>
      <c r="D42" s="6" t="s">
        <v>26</v>
      </c>
      <c r="E42" s="5">
        <v>4250000</v>
      </c>
      <c r="F42" s="5">
        <v>30</v>
      </c>
      <c r="G42" s="5">
        <f t="shared" si="28"/>
        <v>4250000</v>
      </c>
      <c r="H42" s="5"/>
      <c r="I42" s="5"/>
      <c r="J42" s="5"/>
      <c r="K42" s="5">
        <f t="shared" ref="K42" si="36">SUM(G42:I42)+J42</f>
        <v>4250000</v>
      </c>
      <c r="L42" s="5">
        <f>+G42*4%</f>
        <v>170000</v>
      </c>
      <c r="M42" s="5">
        <f>+G42*5%</f>
        <v>212500</v>
      </c>
      <c r="N42" s="5"/>
      <c r="O42" s="5"/>
      <c r="P42" s="5">
        <v>38000</v>
      </c>
      <c r="Q42" s="5"/>
      <c r="R42" s="5"/>
      <c r="S42" s="5"/>
      <c r="T42" s="5">
        <f t="shared" ref="T42" si="37">SUM(L42:S42)</f>
        <v>420500</v>
      </c>
      <c r="U42" s="7">
        <f t="shared" si="34"/>
        <v>3829500</v>
      </c>
      <c r="V42" s="7"/>
      <c r="W42" s="44"/>
      <c r="X42" s="7">
        <f t="shared" ref="X42" si="38">U42+V42-W42</f>
        <v>3829500</v>
      </c>
    </row>
    <row r="43" spans="1:24" ht="26.25" customHeight="1" x14ac:dyDescent="0.25">
      <c r="A43" s="95"/>
      <c r="B43" s="4">
        <v>40</v>
      </c>
      <c r="C43" s="11" t="s">
        <v>66</v>
      </c>
      <c r="D43" s="6"/>
      <c r="E43" s="5">
        <v>4000000</v>
      </c>
      <c r="F43" s="5">
        <v>30</v>
      </c>
      <c r="G43" s="5">
        <f t="shared" si="28"/>
        <v>4000000.0000000005</v>
      </c>
      <c r="H43" s="5"/>
      <c r="I43" s="5"/>
      <c r="J43" s="5"/>
      <c r="K43" s="5">
        <f t="shared" ref="K43" si="39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40">SUM(L43:S43)</f>
        <v>364500.00000000006</v>
      </c>
      <c r="U43" s="7">
        <f t="shared" si="34"/>
        <v>3635500.0000000005</v>
      </c>
      <c r="V43" s="7"/>
      <c r="W43" s="44"/>
      <c r="X43" s="7"/>
    </row>
    <row r="44" spans="1:24" ht="24" x14ac:dyDescent="0.25">
      <c r="A44" s="95"/>
      <c r="B44" s="4">
        <v>41</v>
      </c>
      <c r="C44" s="11" t="s">
        <v>67</v>
      </c>
      <c r="D44" s="6" t="s">
        <v>26</v>
      </c>
      <c r="E44" s="5">
        <v>3000000</v>
      </c>
      <c r="F44" s="5">
        <v>29</v>
      </c>
      <c r="G44" s="5">
        <f t="shared" si="28"/>
        <v>2900000</v>
      </c>
      <c r="H44" s="5"/>
      <c r="I44" s="5" t="s">
        <v>1</v>
      </c>
      <c r="J44" s="5"/>
      <c r="K44" s="5">
        <f t="shared" si="30"/>
        <v>2900000</v>
      </c>
      <c r="L44" s="5">
        <f>+K44*4%</f>
        <v>116000</v>
      </c>
      <c r="M44" s="5">
        <f>+K44*5%</f>
        <v>145000</v>
      </c>
      <c r="N44" s="5"/>
      <c r="O44" s="5"/>
      <c r="P44" s="5"/>
      <c r="Q44" s="5"/>
      <c r="R44" s="5"/>
      <c r="S44" s="5"/>
      <c r="T44" s="5">
        <f t="shared" si="2"/>
        <v>261000</v>
      </c>
      <c r="U44" s="7">
        <f t="shared" si="34"/>
        <v>2639000</v>
      </c>
      <c r="V44" s="7"/>
      <c r="W44" s="44"/>
      <c r="X44" s="7">
        <f t="shared" si="4"/>
        <v>2639000</v>
      </c>
    </row>
    <row r="45" spans="1:24" x14ac:dyDescent="0.25">
      <c r="A45" s="95"/>
      <c r="B45" s="4">
        <v>42</v>
      </c>
      <c r="C45" s="11" t="s">
        <v>68</v>
      </c>
      <c r="D45" s="6" t="s">
        <v>26</v>
      </c>
      <c r="E45" s="5">
        <v>4500000</v>
      </c>
      <c r="F45" s="5">
        <v>30</v>
      </c>
      <c r="G45" s="5">
        <f t="shared" si="28"/>
        <v>4500000</v>
      </c>
      <c r="H45" s="5"/>
      <c r="I45" s="5">
        <v>800000</v>
      </c>
      <c r="J45" s="5"/>
      <c r="K45" s="5">
        <f t="shared" si="30"/>
        <v>5300000</v>
      </c>
      <c r="L45" s="5">
        <f t="shared" si="1"/>
        <v>180000</v>
      </c>
      <c r="M45" s="5">
        <f>+G45*5%</f>
        <v>225000</v>
      </c>
      <c r="N45" s="5"/>
      <c r="O45" s="5"/>
      <c r="P45" s="5">
        <v>8021</v>
      </c>
      <c r="Q45" s="5"/>
      <c r="R45" s="5"/>
      <c r="S45" s="5"/>
      <c r="T45" s="5">
        <f t="shared" si="2"/>
        <v>413021</v>
      </c>
      <c r="U45" s="7">
        <f t="shared" si="34"/>
        <v>4886979</v>
      </c>
      <c r="V45" s="7"/>
      <c r="W45" s="44"/>
      <c r="X45" s="7">
        <f t="shared" si="4"/>
        <v>4886979</v>
      </c>
    </row>
    <row r="46" spans="1:24" ht="30.75" customHeight="1" x14ac:dyDescent="0.25">
      <c r="A46" s="95"/>
      <c r="B46" s="4">
        <v>43</v>
      </c>
      <c r="C46" s="11" t="s">
        <v>69</v>
      </c>
      <c r="D46" s="6" t="s">
        <v>26</v>
      </c>
      <c r="E46" s="5">
        <v>4815000</v>
      </c>
      <c r="F46" s="5">
        <v>30</v>
      </c>
      <c r="G46" s="5">
        <f>+E46-J46</f>
        <v>2728500</v>
      </c>
      <c r="H46" s="5"/>
      <c r="I46" s="5">
        <v>350000</v>
      </c>
      <c r="J46" s="5">
        <v>2086500</v>
      </c>
      <c r="K46" s="5">
        <f t="shared" si="30"/>
        <v>5165000</v>
      </c>
      <c r="L46" s="5">
        <v>192600</v>
      </c>
      <c r="M46" s="5">
        <v>240750</v>
      </c>
      <c r="N46" s="5"/>
      <c r="O46" s="5"/>
      <c r="P46" s="5">
        <v>89000</v>
      </c>
      <c r="Q46" s="5"/>
      <c r="R46" s="5"/>
      <c r="S46" s="5"/>
      <c r="T46" s="5">
        <f t="shared" si="2"/>
        <v>522350</v>
      </c>
      <c r="U46" s="7">
        <f>K46-T46</f>
        <v>4642650</v>
      </c>
      <c r="V46" s="7"/>
      <c r="W46" s="44"/>
      <c r="X46" s="7">
        <f t="shared" si="4"/>
        <v>4642650</v>
      </c>
    </row>
    <row r="47" spans="1:24" x14ac:dyDescent="0.25">
      <c r="A47" s="95"/>
      <c r="B47" s="4">
        <v>44</v>
      </c>
      <c r="C47" s="11" t="s">
        <v>70</v>
      </c>
      <c r="D47" s="6" t="s">
        <v>26</v>
      </c>
      <c r="E47" s="5">
        <v>6900000</v>
      </c>
      <c r="F47" s="5">
        <v>30</v>
      </c>
      <c r="G47" s="5">
        <f t="shared" si="28"/>
        <v>6900000</v>
      </c>
      <c r="H47" s="5"/>
      <c r="I47" s="5"/>
      <c r="J47" s="5"/>
      <c r="K47" s="5">
        <f t="shared" si="30"/>
        <v>6900000</v>
      </c>
      <c r="L47" s="5">
        <v>276000</v>
      </c>
      <c r="M47" s="5">
        <v>345000</v>
      </c>
      <c r="N47" s="5"/>
      <c r="O47" s="5"/>
      <c r="P47" s="5">
        <v>219000</v>
      </c>
      <c r="Q47" s="5"/>
      <c r="R47" s="5"/>
      <c r="S47" s="5"/>
      <c r="T47" s="5">
        <f t="shared" si="2"/>
        <v>840000</v>
      </c>
      <c r="U47" s="7">
        <f>K47-T47</f>
        <v>6060000</v>
      </c>
      <c r="V47" s="7"/>
      <c r="W47" s="44"/>
      <c r="X47" s="7">
        <f t="shared" si="4"/>
        <v>6060000</v>
      </c>
    </row>
    <row r="48" spans="1:24" x14ac:dyDescent="0.25">
      <c r="A48" s="96"/>
      <c r="B48" s="4">
        <v>45</v>
      </c>
      <c r="C48" s="11" t="s">
        <v>71</v>
      </c>
      <c r="D48" s="6" t="s">
        <v>26</v>
      </c>
      <c r="E48" s="5">
        <v>4500000</v>
      </c>
      <c r="F48" s="5">
        <v>30</v>
      </c>
      <c r="G48" s="5">
        <f t="shared" si="28"/>
        <v>4500000</v>
      </c>
      <c r="H48" s="5"/>
      <c r="I48" s="5"/>
      <c r="J48" s="5"/>
      <c r="K48" s="5">
        <f t="shared" si="30"/>
        <v>4500000</v>
      </c>
      <c r="L48" s="5">
        <f>+G48*4%</f>
        <v>180000</v>
      </c>
      <c r="M48" s="5">
        <f>+G48*5%</f>
        <v>225000</v>
      </c>
      <c r="N48" s="5"/>
      <c r="O48" s="5"/>
      <c r="P48" s="5">
        <v>31000</v>
      </c>
      <c r="Q48" s="5"/>
      <c r="R48" s="5"/>
      <c r="S48" s="5"/>
      <c r="T48" s="5">
        <f t="shared" si="2"/>
        <v>436000</v>
      </c>
      <c r="U48" s="7">
        <f>K48-T48</f>
        <v>4064000</v>
      </c>
      <c r="V48" s="7"/>
      <c r="W48" s="44"/>
      <c r="X48" s="7">
        <f t="shared" si="4"/>
        <v>4064000</v>
      </c>
    </row>
    <row r="49" spans="1:24" x14ac:dyDescent="0.25">
      <c r="A49" s="94" t="s">
        <v>1</v>
      </c>
      <c r="B49" s="4">
        <v>1</v>
      </c>
      <c r="C49" s="11" t="s">
        <v>72</v>
      </c>
      <c r="D49" s="6" t="s">
        <v>26</v>
      </c>
      <c r="E49" s="5">
        <v>3000000</v>
      </c>
      <c r="F49" s="5">
        <v>30</v>
      </c>
      <c r="G49" s="5">
        <f t="shared" si="28"/>
        <v>3000000</v>
      </c>
      <c r="H49" s="5"/>
      <c r="I49" s="5"/>
      <c r="J49" s="5"/>
      <c r="K49" s="5">
        <f t="shared" si="30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2"/>
        <v>270000</v>
      </c>
      <c r="U49" s="7">
        <f>K49-T49</f>
        <v>2730000</v>
      </c>
      <c r="V49" s="7"/>
      <c r="W49" s="44"/>
      <c r="X49" s="7">
        <f t="shared" si="4"/>
        <v>2730000</v>
      </c>
    </row>
    <row r="50" spans="1:24" ht="24" customHeight="1" x14ac:dyDescent="0.25">
      <c r="A50" s="95"/>
      <c r="B50" s="4">
        <v>2</v>
      </c>
      <c r="C50" s="11" t="s">
        <v>73</v>
      </c>
      <c r="D50" s="6" t="s">
        <v>26</v>
      </c>
      <c r="E50" s="5">
        <v>4000000</v>
      </c>
      <c r="F50" s="5">
        <v>30</v>
      </c>
      <c r="G50" s="5">
        <f t="shared" si="28"/>
        <v>4000000.0000000005</v>
      </c>
      <c r="H50" s="5"/>
      <c r="I50" s="5"/>
      <c r="J50" s="5"/>
      <c r="K50" s="5">
        <f t="shared" si="30"/>
        <v>4000000.0000000005</v>
      </c>
      <c r="L50" s="5">
        <f>+G50*4%</f>
        <v>160000.00000000003</v>
      </c>
      <c r="M50" s="5">
        <f>+G50*5%</f>
        <v>200000.00000000003</v>
      </c>
      <c r="N50" s="5"/>
      <c r="O50" s="5"/>
      <c r="P50" s="17">
        <v>3000</v>
      </c>
      <c r="Q50" s="5"/>
      <c r="R50" s="5">
        <v>163485</v>
      </c>
      <c r="S50" s="5"/>
      <c r="T50" s="5">
        <f t="shared" si="2"/>
        <v>526485</v>
      </c>
      <c r="U50" s="7">
        <f>+K50-T50</f>
        <v>3473515.0000000005</v>
      </c>
      <c r="V50" s="7"/>
      <c r="W50" s="44"/>
      <c r="X50" s="7">
        <f t="shared" si="4"/>
        <v>3473515.0000000005</v>
      </c>
    </row>
    <row r="51" spans="1:24" ht="25.5" customHeight="1" x14ac:dyDescent="0.25">
      <c r="A51" s="95"/>
      <c r="B51" s="4">
        <v>3</v>
      </c>
      <c r="C51" s="11" t="s">
        <v>74</v>
      </c>
      <c r="D51" s="6" t="s">
        <v>26</v>
      </c>
      <c r="E51" s="5">
        <v>689455</v>
      </c>
      <c r="F51" s="5">
        <v>30</v>
      </c>
      <c r="G51" s="5">
        <v>737717</v>
      </c>
      <c r="H51" s="5"/>
      <c r="I51" s="5">
        <v>200000</v>
      </c>
      <c r="J51" s="5"/>
      <c r="K51" s="5">
        <f t="shared" si="30"/>
        <v>937717</v>
      </c>
      <c r="L51" s="5"/>
      <c r="M51" s="5"/>
      <c r="N51" s="5"/>
      <c r="O51" s="5"/>
      <c r="P51" s="17"/>
      <c r="Q51" s="5"/>
      <c r="R51" s="5"/>
      <c r="S51" s="5"/>
      <c r="T51" s="5">
        <f t="shared" si="2"/>
        <v>0</v>
      </c>
      <c r="U51" s="7">
        <f>+K51-T51</f>
        <v>937717</v>
      </c>
      <c r="V51" s="7"/>
      <c r="W51" s="44"/>
      <c r="X51" s="7">
        <f t="shared" si="4"/>
        <v>937717</v>
      </c>
    </row>
    <row r="52" spans="1:24" x14ac:dyDescent="0.25">
      <c r="A52" s="95"/>
      <c r="B52" s="4">
        <v>4</v>
      </c>
      <c r="C52" s="3" t="s">
        <v>75</v>
      </c>
      <c r="D52" s="4" t="s">
        <v>26</v>
      </c>
      <c r="E52" s="5">
        <v>1200000</v>
      </c>
      <c r="F52" s="5">
        <v>29</v>
      </c>
      <c r="G52" s="5">
        <f t="shared" si="28"/>
        <v>1160000</v>
      </c>
      <c r="H52" s="5">
        <f t="shared" ref="H52:H56" si="41">+(83140/30)*F52</f>
        <v>80368.666666666672</v>
      </c>
      <c r="I52" s="5"/>
      <c r="J52" s="5"/>
      <c r="K52" s="5">
        <f t="shared" ref="K52" si="42">SUM(G52:I52)+J52</f>
        <v>1240368.6666666667</v>
      </c>
      <c r="L52" s="5">
        <f>+G52*4%</f>
        <v>46400</v>
      </c>
      <c r="M52" s="5">
        <v>46400</v>
      </c>
      <c r="N52" s="5"/>
      <c r="O52" s="5"/>
      <c r="P52" s="5"/>
      <c r="Q52" s="5"/>
      <c r="R52" s="5"/>
      <c r="S52" s="5"/>
      <c r="T52" s="5">
        <f t="shared" si="2"/>
        <v>92800</v>
      </c>
      <c r="U52" s="7">
        <f>K52-T52</f>
        <v>1147568.6666666667</v>
      </c>
      <c r="V52" s="7"/>
      <c r="W52" s="44"/>
      <c r="X52" s="7">
        <f t="shared" si="4"/>
        <v>1147568.6666666667</v>
      </c>
    </row>
    <row r="53" spans="1:24" ht="18" customHeight="1" x14ac:dyDescent="0.25">
      <c r="A53" s="95"/>
      <c r="B53" s="4">
        <v>5</v>
      </c>
      <c r="C53" s="11" t="s">
        <v>76</v>
      </c>
      <c r="D53" s="6" t="s">
        <v>26</v>
      </c>
      <c r="E53" s="5">
        <v>737717</v>
      </c>
      <c r="F53" s="5">
        <v>30</v>
      </c>
      <c r="G53" s="5">
        <f t="shared" si="28"/>
        <v>737717</v>
      </c>
      <c r="H53" s="5">
        <f t="shared" si="41"/>
        <v>83140</v>
      </c>
      <c r="I53" s="5"/>
      <c r="J53" s="5"/>
      <c r="K53" s="5">
        <f t="shared" si="30"/>
        <v>820857</v>
      </c>
      <c r="L53" s="5">
        <f t="shared" ref="L53" si="43">+G53*4%</f>
        <v>29508.68</v>
      </c>
      <c r="M53" s="5">
        <f>+G53*4%</f>
        <v>29508.68</v>
      </c>
      <c r="N53" s="5"/>
      <c r="O53" s="5"/>
      <c r="P53" s="17"/>
      <c r="Q53" s="5"/>
      <c r="R53" s="5"/>
      <c r="S53" s="5"/>
      <c r="T53" s="5">
        <f t="shared" si="2"/>
        <v>59017.36</v>
      </c>
      <c r="U53" s="7">
        <f>+K53-T53</f>
        <v>761839.64</v>
      </c>
      <c r="V53" s="7"/>
      <c r="W53" s="44"/>
      <c r="X53" s="7">
        <f t="shared" si="4"/>
        <v>761839.64</v>
      </c>
    </row>
    <row r="54" spans="1:24" x14ac:dyDescent="0.25">
      <c r="A54" s="95"/>
      <c r="B54" s="4">
        <v>6</v>
      </c>
      <c r="C54" s="3" t="s">
        <v>77</v>
      </c>
      <c r="D54" s="4" t="s">
        <v>26</v>
      </c>
      <c r="E54" s="5">
        <v>1200000</v>
      </c>
      <c r="F54" s="5">
        <v>29</v>
      </c>
      <c r="G54" s="5">
        <f t="shared" si="28"/>
        <v>1160000</v>
      </c>
      <c r="H54" s="5">
        <f t="shared" si="41"/>
        <v>80368.666666666672</v>
      </c>
      <c r="I54" s="5"/>
      <c r="J54" s="5"/>
      <c r="K54" s="5">
        <f t="shared" ref="K54" si="44">SUM(G54:I54)+J54</f>
        <v>1240368.6666666667</v>
      </c>
      <c r="L54" s="5">
        <f>+G54*4%</f>
        <v>46400</v>
      </c>
      <c r="M54" s="5">
        <v>46400</v>
      </c>
      <c r="N54" s="5"/>
      <c r="O54" s="5"/>
      <c r="P54" s="5"/>
      <c r="Q54" s="5"/>
      <c r="R54" s="5"/>
      <c r="S54" s="5"/>
      <c r="T54" s="5">
        <f t="shared" si="2"/>
        <v>92800</v>
      </c>
      <c r="U54" s="7">
        <f>K54-T54</f>
        <v>1147568.6666666667</v>
      </c>
      <c r="V54" s="7"/>
      <c r="W54" s="44"/>
      <c r="X54" s="7">
        <f t="shared" si="4"/>
        <v>1147568.6666666667</v>
      </c>
    </row>
    <row r="55" spans="1:24" x14ac:dyDescent="0.25">
      <c r="A55" s="95"/>
      <c r="B55" s="4">
        <v>7</v>
      </c>
      <c r="C55" s="11" t="s">
        <v>78</v>
      </c>
      <c r="D55" s="6" t="s">
        <v>34</v>
      </c>
      <c r="E55" s="5">
        <v>1100000</v>
      </c>
      <c r="F55" s="5">
        <v>27</v>
      </c>
      <c r="G55" s="5">
        <f>+E55/30*F55</f>
        <v>989999.99999999988</v>
      </c>
      <c r="H55" s="5">
        <f t="shared" si="41"/>
        <v>74826</v>
      </c>
      <c r="I55" s="5"/>
      <c r="J55" s="5"/>
      <c r="K55" s="5">
        <f t="shared" si="30"/>
        <v>1064826</v>
      </c>
      <c r="L55" s="5">
        <v>44000</v>
      </c>
      <c r="M55" s="5">
        <v>44000</v>
      </c>
      <c r="N55" s="5"/>
      <c r="O55" s="5"/>
      <c r="P55" s="17"/>
      <c r="Q55" s="5"/>
      <c r="R55" s="5"/>
      <c r="S55" s="5"/>
      <c r="T55" s="5">
        <f>SUM(L55:S55)</f>
        <v>88000</v>
      </c>
      <c r="U55" s="7">
        <f>+K55-T55</f>
        <v>976826</v>
      </c>
      <c r="V55" s="7"/>
      <c r="W55" s="44"/>
      <c r="X55" s="7">
        <f t="shared" si="4"/>
        <v>976826</v>
      </c>
    </row>
    <row r="56" spans="1:24" x14ac:dyDescent="0.25">
      <c r="A56" s="95"/>
      <c r="B56" s="4">
        <v>8</v>
      </c>
      <c r="C56" s="11" t="s">
        <v>79</v>
      </c>
      <c r="D56" s="6" t="s">
        <v>26</v>
      </c>
      <c r="E56" s="5">
        <v>737717</v>
      </c>
      <c r="F56" s="5">
        <v>18</v>
      </c>
      <c r="G56" s="5">
        <f t="shared" ref="G56:G61" si="45">+E56/30*F56</f>
        <v>442630.19999999995</v>
      </c>
      <c r="H56" s="5">
        <f t="shared" si="41"/>
        <v>49884</v>
      </c>
      <c r="I56" s="5"/>
      <c r="J56" s="5"/>
      <c r="K56" s="5">
        <f t="shared" ref="K56:K57" si="46">SUM(G56:I56)+J56</f>
        <v>492514.19999999995</v>
      </c>
      <c r="L56" s="5">
        <f t="shared" ref="L56:L57" si="47">+G56*4%</f>
        <v>17705.207999999999</v>
      </c>
      <c r="M56" s="5">
        <f t="shared" ref="M56:M57" si="48">+G56*4%</f>
        <v>17705.207999999999</v>
      </c>
      <c r="N56" s="5"/>
      <c r="O56" s="5"/>
      <c r="P56" s="17"/>
      <c r="Q56" s="5"/>
      <c r="R56" s="5"/>
      <c r="S56" s="5"/>
      <c r="T56" s="5">
        <f t="shared" ref="T56:T57" si="49">SUM(L56:S56)</f>
        <v>35410.415999999997</v>
      </c>
      <c r="U56" s="7">
        <f t="shared" ref="U56:U64" si="50">+K56-T56</f>
        <v>457103.78399999999</v>
      </c>
      <c r="V56" s="7"/>
      <c r="W56" s="44"/>
      <c r="X56" s="7">
        <f t="shared" si="4"/>
        <v>457103.78399999999</v>
      </c>
    </row>
    <row r="57" spans="1:24" ht="24" x14ac:dyDescent="0.25">
      <c r="A57" s="95"/>
      <c r="B57" s="4">
        <v>9</v>
      </c>
      <c r="C57" s="11" t="s">
        <v>80</v>
      </c>
      <c r="D57" s="6" t="s">
        <v>26</v>
      </c>
      <c r="E57" s="5">
        <v>1100000</v>
      </c>
      <c r="F57" s="5">
        <v>30</v>
      </c>
      <c r="G57" s="5">
        <f t="shared" si="45"/>
        <v>1100000</v>
      </c>
      <c r="H57" s="5">
        <v>83140</v>
      </c>
      <c r="I57" s="5"/>
      <c r="J57" s="5"/>
      <c r="K57" s="5">
        <f t="shared" si="46"/>
        <v>1183140</v>
      </c>
      <c r="L57" s="5">
        <f t="shared" si="47"/>
        <v>44000</v>
      </c>
      <c r="M57" s="5">
        <f t="shared" si="48"/>
        <v>44000</v>
      </c>
      <c r="N57" s="5"/>
      <c r="O57" s="5"/>
      <c r="P57" s="17"/>
      <c r="Q57" s="5"/>
      <c r="R57" s="5"/>
      <c r="S57" s="5"/>
      <c r="T57" s="5">
        <f t="shared" si="49"/>
        <v>88000</v>
      </c>
      <c r="U57" s="7">
        <f t="shared" si="50"/>
        <v>1095140</v>
      </c>
      <c r="V57" s="7"/>
      <c r="W57" s="44"/>
      <c r="X57" s="7">
        <f t="shared" si="4"/>
        <v>1095140</v>
      </c>
    </row>
    <row r="58" spans="1:24" ht="21.75" customHeight="1" x14ac:dyDescent="0.25">
      <c r="A58" s="95"/>
      <c r="B58" s="4">
        <v>10</v>
      </c>
      <c r="C58" s="11" t="s">
        <v>81</v>
      </c>
      <c r="D58" s="6" t="s">
        <v>26</v>
      </c>
      <c r="E58" s="5">
        <v>1450000</v>
      </c>
      <c r="F58" s="5">
        <v>19</v>
      </c>
      <c r="G58" s="5">
        <f t="shared" si="45"/>
        <v>918333.33333333337</v>
      </c>
      <c r="H58" s="5">
        <f>+(83140/30)*F58</f>
        <v>52655.333333333336</v>
      </c>
      <c r="I58" s="5"/>
      <c r="J58" s="5"/>
      <c r="K58" s="5">
        <f t="shared" si="30"/>
        <v>970988.66666666674</v>
      </c>
      <c r="L58" s="5">
        <f>+G58*4%</f>
        <v>36733.333333333336</v>
      </c>
      <c r="M58" s="5">
        <f>+G58*4%</f>
        <v>36733.333333333336</v>
      </c>
      <c r="N58" s="5"/>
      <c r="O58" s="5"/>
      <c r="P58" s="5">
        <v>0</v>
      </c>
      <c r="Q58" s="5"/>
      <c r="R58" s="5"/>
      <c r="S58" s="5"/>
      <c r="T58" s="5">
        <f t="shared" si="2"/>
        <v>73466.666666666672</v>
      </c>
      <c r="U58" s="7">
        <f t="shared" si="50"/>
        <v>897522.00000000012</v>
      </c>
      <c r="V58" s="7"/>
      <c r="W58" s="44"/>
      <c r="X58" s="7">
        <f t="shared" si="4"/>
        <v>897522.00000000012</v>
      </c>
    </row>
    <row r="59" spans="1:24" x14ac:dyDescent="0.25">
      <c r="A59" s="95"/>
      <c r="B59" s="4">
        <v>11</v>
      </c>
      <c r="C59" s="11" t="s">
        <v>82</v>
      </c>
      <c r="D59" s="6" t="s">
        <v>26</v>
      </c>
      <c r="E59" s="5">
        <v>737717</v>
      </c>
      <c r="F59" s="5">
        <v>30</v>
      </c>
      <c r="G59" s="5">
        <f t="shared" si="45"/>
        <v>737717</v>
      </c>
      <c r="H59" s="5">
        <v>83140</v>
      </c>
      <c r="I59" s="5"/>
      <c r="J59" s="5"/>
      <c r="K59" s="5">
        <f t="shared" ref="K59" si="51">SUM(G59:I59)+J59</f>
        <v>820857</v>
      </c>
      <c r="L59" s="5">
        <f>+G59*4%</f>
        <v>29508.68</v>
      </c>
      <c r="M59" s="5">
        <f t="shared" ref="M59" si="52">+G59*4%</f>
        <v>29508.68</v>
      </c>
      <c r="N59" s="5"/>
      <c r="O59" s="5"/>
      <c r="P59" s="17"/>
      <c r="Q59" s="5"/>
      <c r="R59" s="5"/>
      <c r="S59" s="5"/>
      <c r="T59" s="5">
        <f t="shared" si="2"/>
        <v>59017.36</v>
      </c>
      <c r="U59" s="7">
        <f t="shared" si="50"/>
        <v>761839.64</v>
      </c>
      <c r="V59" s="7"/>
      <c r="W59" s="44"/>
      <c r="X59" s="7">
        <f t="shared" si="4"/>
        <v>761839.64</v>
      </c>
    </row>
    <row r="60" spans="1:24" ht="17.25" customHeight="1" x14ac:dyDescent="0.25">
      <c r="A60" s="95"/>
      <c r="B60" s="4">
        <v>12</v>
      </c>
      <c r="C60" s="11" t="s">
        <v>83</v>
      </c>
      <c r="D60" s="6" t="s">
        <v>26</v>
      </c>
      <c r="E60" s="5">
        <v>3500000</v>
      </c>
      <c r="F60" s="5">
        <v>30</v>
      </c>
      <c r="G60" s="5">
        <f>(E60/30*F60)</f>
        <v>3500000</v>
      </c>
      <c r="H60" s="5"/>
      <c r="I60" s="5"/>
      <c r="J60" s="5"/>
      <c r="K60" s="5">
        <f t="shared" ref="K60" si="53">SUM(G60:I60)+J60</f>
        <v>3500000</v>
      </c>
      <c r="L60" s="5">
        <f t="shared" ref="L60" si="54">+G60*4%</f>
        <v>140000</v>
      </c>
      <c r="M60" s="5">
        <f>+G60*5%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50"/>
        <v>3185000</v>
      </c>
      <c r="V60" s="7"/>
      <c r="W60" s="44"/>
      <c r="X60" s="7">
        <f t="shared" si="4"/>
        <v>3185000</v>
      </c>
    </row>
    <row r="61" spans="1:24" ht="17.25" customHeight="1" x14ac:dyDescent="0.25">
      <c r="A61" s="95"/>
      <c r="B61" s="4">
        <v>13</v>
      </c>
      <c r="C61" s="11" t="s">
        <v>84</v>
      </c>
      <c r="D61" s="6" t="s">
        <v>26</v>
      </c>
      <c r="E61" s="5">
        <v>2500000</v>
      </c>
      <c r="F61" s="5">
        <v>29</v>
      </c>
      <c r="G61" s="5">
        <f t="shared" si="45"/>
        <v>2416666.6666666665</v>
      </c>
      <c r="H61" s="5"/>
      <c r="I61" s="5"/>
      <c r="J61" s="5"/>
      <c r="K61" s="5">
        <f t="shared" si="30"/>
        <v>2416666.6666666665</v>
      </c>
      <c r="L61" s="5">
        <f>+G61*4%</f>
        <v>96666.666666666657</v>
      </c>
      <c r="M61" s="5">
        <f>+G61*4%</f>
        <v>96666.666666666657</v>
      </c>
      <c r="N61" s="5"/>
      <c r="O61" s="5"/>
      <c r="P61" s="5">
        <v>0</v>
      </c>
      <c r="Q61" s="5"/>
      <c r="R61" s="5"/>
      <c r="S61" s="5">
        <v>200210</v>
      </c>
      <c r="T61" s="5">
        <f t="shared" si="2"/>
        <v>393543.33333333331</v>
      </c>
      <c r="U61" s="7">
        <f t="shared" si="50"/>
        <v>2023123.3333333333</v>
      </c>
      <c r="V61" s="7"/>
      <c r="W61" s="44"/>
      <c r="X61" s="7">
        <f t="shared" si="4"/>
        <v>2023123.3333333333</v>
      </c>
    </row>
    <row r="62" spans="1:24" ht="17.25" customHeight="1" x14ac:dyDescent="0.25">
      <c r="A62" s="95"/>
      <c r="B62" s="4">
        <v>14</v>
      </c>
      <c r="C62" s="11" t="s">
        <v>85</v>
      </c>
      <c r="D62" s="6" t="s">
        <v>26</v>
      </c>
      <c r="E62" s="5">
        <v>1200000</v>
      </c>
      <c r="F62" s="5">
        <v>26</v>
      </c>
      <c r="G62" s="5">
        <f>E62/30*F62</f>
        <v>1040000</v>
      </c>
      <c r="H62" s="5">
        <f>+(83140/30)*F62</f>
        <v>72054.666666666672</v>
      </c>
      <c r="I62" s="5"/>
      <c r="J62" s="5">
        <f>+E62-G62</f>
        <v>160000</v>
      </c>
      <c r="K62" s="5">
        <f t="shared" ref="K62" si="56">SUM(G62:I62)+J62</f>
        <v>1272054.6666666667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si="2"/>
        <v>96000</v>
      </c>
      <c r="U62" s="7">
        <f t="shared" si="50"/>
        <v>1176054.6666666667</v>
      </c>
      <c r="V62" s="7"/>
      <c r="W62" s="44"/>
      <c r="X62" s="7">
        <f t="shared" si="4"/>
        <v>1176054.6666666667</v>
      </c>
    </row>
    <row r="63" spans="1:24" ht="17.25" customHeight="1" x14ac:dyDescent="0.25">
      <c r="A63" s="95"/>
      <c r="B63" s="4">
        <v>15</v>
      </c>
      <c r="C63" s="11" t="s">
        <v>86</v>
      </c>
      <c r="D63" s="6" t="s">
        <v>26</v>
      </c>
      <c r="E63" s="5">
        <v>737717</v>
      </c>
      <c r="F63" s="5">
        <v>30</v>
      </c>
      <c r="G63" s="5">
        <f>E63/30*F63</f>
        <v>737717</v>
      </c>
      <c r="H63" s="5"/>
      <c r="I63" s="5"/>
      <c r="J63" s="5"/>
      <c r="K63" s="5">
        <f t="shared" ref="K63" si="57">SUM(G63:I63)+J63</f>
        <v>737717</v>
      </c>
      <c r="L63" s="5">
        <f>+G63*4%</f>
        <v>29508.68</v>
      </c>
      <c r="M63" s="5">
        <f t="shared" ref="M63" si="58">+G63*4%</f>
        <v>29508.68</v>
      </c>
      <c r="N63" s="5"/>
      <c r="O63" s="5"/>
      <c r="P63" s="5">
        <v>0</v>
      </c>
      <c r="Q63" s="5"/>
      <c r="R63" s="5"/>
      <c r="S63" s="5"/>
      <c r="T63" s="5">
        <f t="shared" ref="T63" si="59">SUM(L63:S63)</f>
        <v>59017.36</v>
      </c>
      <c r="U63" s="7">
        <f t="shared" si="50"/>
        <v>678699.64</v>
      </c>
      <c r="V63" s="7"/>
      <c r="W63" s="44"/>
      <c r="X63" s="7"/>
    </row>
    <row r="64" spans="1:24" ht="24" x14ac:dyDescent="0.25">
      <c r="A64" s="95"/>
      <c r="B64" s="4">
        <v>16</v>
      </c>
      <c r="C64" s="11" t="s">
        <v>87</v>
      </c>
      <c r="D64" s="6" t="s">
        <v>26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0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/>
      <c r="T64" s="5">
        <f t="shared" si="2"/>
        <v>160000</v>
      </c>
      <c r="U64" s="7">
        <f t="shared" si="50"/>
        <v>1840000.0000000002</v>
      </c>
      <c r="V64" s="7"/>
      <c r="W64" s="44"/>
      <c r="X64" s="7">
        <f t="shared" si="4"/>
        <v>1840000.0000000002</v>
      </c>
    </row>
    <row r="65" spans="1:27" x14ac:dyDescent="0.25">
      <c r="A65" s="95"/>
      <c r="B65" s="4">
        <v>17</v>
      </c>
      <c r="C65" s="3" t="s">
        <v>88</v>
      </c>
      <c r="D65" s="4" t="s">
        <v>26</v>
      </c>
      <c r="E65" s="5">
        <v>3500000</v>
      </c>
      <c r="F65" s="5">
        <v>30</v>
      </c>
      <c r="G65" s="5">
        <f>+E65/30*F65</f>
        <v>3500000</v>
      </c>
      <c r="H65" s="5"/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2"/>
        <v>315000</v>
      </c>
      <c r="U65" s="7">
        <f t="shared" ref="U65:U77" si="60">K65-T65</f>
        <v>3185000</v>
      </c>
      <c r="V65" s="7"/>
      <c r="W65" s="44"/>
      <c r="X65" s="7">
        <f t="shared" si="4"/>
        <v>3185000</v>
      </c>
    </row>
    <row r="66" spans="1:27" x14ac:dyDescent="0.25">
      <c r="A66" s="95"/>
      <c r="B66" s="4">
        <v>18</v>
      </c>
      <c r="C66" s="11" t="s">
        <v>89</v>
      </c>
      <c r="D66" s="6" t="s">
        <v>26</v>
      </c>
      <c r="E66" s="5">
        <v>4000000</v>
      </c>
      <c r="F66" s="5">
        <v>23</v>
      </c>
      <c r="G66" s="5">
        <f>+E66/30*F66</f>
        <v>3066666.666666667</v>
      </c>
      <c r="H66" s="5"/>
      <c r="I66" s="5">
        <v>300000</v>
      </c>
      <c r="J66" s="5">
        <f>+E66-G66</f>
        <v>933333.33333333302</v>
      </c>
      <c r="K66" s="5">
        <f t="shared" si="30"/>
        <v>4300000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766228</v>
      </c>
      <c r="T66" s="5">
        <f t="shared" si="2"/>
        <v>1129228</v>
      </c>
      <c r="U66" s="7">
        <f t="shared" si="60"/>
        <v>3170772</v>
      </c>
      <c r="V66" s="7"/>
      <c r="W66" s="44"/>
      <c r="X66" s="7">
        <f t="shared" si="4"/>
        <v>3170772</v>
      </c>
    </row>
    <row r="67" spans="1:27" x14ac:dyDescent="0.25">
      <c r="A67" s="95"/>
      <c r="B67" s="4">
        <v>19</v>
      </c>
      <c r="C67" s="11" t="s">
        <v>90</v>
      </c>
      <c r="D67" s="6" t="s">
        <v>26</v>
      </c>
      <c r="E67" s="5">
        <v>737717</v>
      </c>
      <c r="F67" s="5">
        <v>30</v>
      </c>
      <c r="G67" s="5">
        <f>+E67/30*F67</f>
        <v>737717</v>
      </c>
      <c r="H67" s="5"/>
      <c r="I67" s="5"/>
      <c r="J67" s="5"/>
      <c r="K67" s="5">
        <f t="shared" si="30"/>
        <v>737717</v>
      </c>
      <c r="L67" s="5"/>
      <c r="M67" s="5"/>
      <c r="N67" s="5"/>
      <c r="O67" s="5"/>
      <c r="P67" s="5"/>
      <c r="Q67" s="5"/>
      <c r="R67" s="5"/>
      <c r="S67" s="5"/>
      <c r="T67" s="5">
        <f t="shared" si="2"/>
        <v>0</v>
      </c>
      <c r="U67" s="7">
        <f t="shared" si="60"/>
        <v>737717</v>
      </c>
      <c r="V67" s="7"/>
      <c r="W67" s="44"/>
      <c r="X67" s="7">
        <f t="shared" si="4"/>
        <v>737717</v>
      </c>
    </row>
    <row r="68" spans="1:27" ht="17.25" customHeight="1" x14ac:dyDescent="0.25">
      <c r="A68" s="95"/>
      <c r="B68" s="4">
        <v>20</v>
      </c>
      <c r="C68" s="11" t="s">
        <v>91</v>
      </c>
      <c r="D68" s="6" t="s">
        <v>26</v>
      </c>
      <c r="E68" s="5">
        <v>3500000</v>
      </c>
      <c r="F68" s="5">
        <v>30</v>
      </c>
      <c r="G68" s="5">
        <f>E68/30*F68</f>
        <v>3500000</v>
      </c>
      <c r="H68" s="5"/>
      <c r="I68" s="5"/>
      <c r="J68" s="5">
        <f>+E68-G68</f>
        <v>0</v>
      </c>
      <c r="K68" s="5">
        <f t="shared" si="30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>
        <v>322019</v>
      </c>
      <c r="T68" s="5">
        <f t="shared" ref="T68:T114" si="61">SUM(L68:S68)</f>
        <v>637019</v>
      </c>
      <c r="U68" s="7">
        <f t="shared" si="60"/>
        <v>2862981</v>
      </c>
      <c r="V68" s="7"/>
      <c r="W68" s="44"/>
      <c r="X68" s="7">
        <f t="shared" ref="X68:X114" si="62">U68+V68-W68</f>
        <v>2862981</v>
      </c>
    </row>
    <row r="69" spans="1:27" ht="17.25" customHeight="1" x14ac:dyDescent="0.25">
      <c r="A69" s="95"/>
      <c r="B69" s="4">
        <v>21</v>
      </c>
      <c r="C69" s="11" t="s">
        <v>92</v>
      </c>
      <c r="D69" s="6" t="s">
        <v>26</v>
      </c>
      <c r="E69" s="5">
        <v>737717</v>
      </c>
      <c r="F69" s="5">
        <v>29</v>
      </c>
      <c r="G69" s="5">
        <f>+E69/30*F69</f>
        <v>713126.43333333335</v>
      </c>
      <c r="H69" s="5">
        <f>+(83140/30)*F69</f>
        <v>80368.666666666672</v>
      </c>
      <c r="I69" s="5"/>
      <c r="J69" s="5"/>
      <c r="K69" s="5">
        <f t="shared" ref="K69:K73" si="63">SUM(G69:I69)+J69</f>
        <v>793495.1</v>
      </c>
      <c r="L69" s="5">
        <f>+G69*4%</f>
        <v>28525.057333333334</v>
      </c>
      <c r="M69" s="5">
        <f>+G69*4%</f>
        <v>28525.057333333334</v>
      </c>
      <c r="N69" s="5"/>
      <c r="O69" s="5"/>
      <c r="P69" s="5"/>
      <c r="Q69" s="5"/>
      <c r="R69" s="5"/>
      <c r="S69" s="5"/>
      <c r="T69" s="5">
        <f t="shared" si="61"/>
        <v>57050.114666666668</v>
      </c>
      <c r="U69" s="7">
        <f t="shared" si="60"/>
        <v>736444.98533333326</v>
      </c>
      <c r="V69" s="7"/>
      <c r="W69" s="44"/>
      <c r="X69" s="7">
        <f t="shared" si="62"/>
        <v>736444.98533333326</v>
      </c>
    </row>
    <row r="70" spans="1:27" ht="17.25" customHeight="1" x14ac:dyDescent="0.25">
      <c r="A70" s="95"/>
      <c r="B70" s="4">
        <v>22</v>
      </c>
      <c r="C70" s="11" t="s">
        <v>93</v>
      </c>
      <c r="D70" s="6"/>
      <c r="E70" s="5">
        <v>1030410</v>
      </c>
      <c r="F70" s="5">
        <v>19</v>
      </c>
      <c r="G70" s="5">
        <f>+E70/30*F70</f>
        <v>652593</v>
      </c>
      <c r="H70" s="5">
        <f>+(83140/30)*F70</f>
        <v>52655.333333333336</v>
      </c>
      <c r="I70" s="5"/>
      <c r="J70" s="5"/>
      <c r="K70" s="5">
        <f t="shared" ref="K70" si="64">SUM(G70:I70)+J70</f>
        <v>705248.33333333337</v>
      </c>
      <c r="L70" s="5">
        <f>+G70*4%</f>
        <v>26103.72</v>
      </c>
      <c r="M70" s="5">
        <f>+G70*4%</f>
        <v>26103.72</v>
      </c>
      <c r="N70" s="5"/>
      <c r="O70" s="5"/>
      <c r="P70" s="5"/>
      <c r="Q70" s="5"/>
      <c r="R70" s="5"/>
      <c r="S70" s="5"/>
      <c r="T70" s="5">
        <f t="shared" si="61"/>
        <v>52207.44</v>
      </c>
      <c r="U70" s="7">
        <f t="shared" si="60"/>
        <v>653040.89333333331</v>
      </c>
      <c r="V70" s="7"/>
      <c r="W70" s="44"/>
      <c r="X70" s="7">
        <f t="shared" si="62"/>
        <v>653040.89333333331</v>
      </c>
    </row>
    <row r="71" spans="1:27" x14ac:dyDescent="0.25">
      <c r="A71" s="95"/>
      <c r="B71" s="4">
        <v>23</v>
      </c>
      <c r="C71" s="3" t="s">
        <v>94</v>
      </c>
      <c r="D71" s="4" t="s">
        <v>26</v>
      </c>
      <c r="E71" s="5">
        <v>3250000</v>
      </c>
      <c r="F71" s="5">
        <v>30</v>
      </c>
      <c r="G71" s="5">
        <f t="shared" ref="G71:G72" si="65">+E71/30*F71</f>
        <v>3250000</v>
      </c>
      <c r="H71" s="5"/>
      <c r="I71" s="5"/>
      <c r="J71" s="5"/>
      <c r="K71" s="5">
        <f t="shared" ref="K71:K72" si="66">SUM(G71:I71)+J71</f>
        <v>3250000</v>
      </c>
      <c r="L71" s="5">
        <f>+G71*4%</f>
        <v>130000</v>
      </c>
      <c r="M71" s="5">
        <f>+G71*5%</f>
        <v>162500</v>
      </c>
      <c r="N71" s="5"/>
      <c r="O71" s="5"/>
      <c r="P71" s="5"/>
      <c r="Q71" s="5"/>
      <c r="R71" s="5"/>
      <c r="S71" s="5"/>
      <c r="T71" s="5">
        <f t="shared" ref="T71:T72" si="67">SUM(L71:S71)</f>
        <v>292500</v>
      </c>
      <c r="U71" s="7">
        <f t="shared" ref="U71:U72" si="68">+K71-T71</f>
        <v>2957500</v>
      </c>
      <c r="V71" s="7"/>
      <c r="W71" s="44"/>
      <c r="X71" s="7">
        <f t="shared" si="62"/>
        <v>2957500</v>
      </c>
    </row>
    <row r="72" spans="1:27" x14ac:dyDescent="0.25">
      <c r="A72" s="95"/>
      <c r="B72" s="4">
        <v>24</v>
      </c>
      <c r="C72" s="3" t="s">
        <v>95</v>
      </c>
      <c r="D72" s="4"/>
      <c r="E72" s="5">
        <v>4000000</v>
      </c>
      <c r="F72" s="5">
        <v>19</v>
      </c>
      <c r="G72" s="5">
        <f t="shared" si="65"/>
        <v>2533333.3333333335</v>
      </c>
      <c r="H72" s="5"/>
      <c r="I72" s="5"/>
      <c r="J72" s="5"/>
      <c r="K72" s="5">
        <f t="shared" si="66"/>
        <v>2533333.3333333335</v>
      </c>
      <c r="L72" s="5">
        <f>+G72*4%</f>
        <v>101333.33333333334</v>
      </c>
      <c r="M72" s="5">
        <v>101333</v>
      </c>
      <c r="N72" s="5"/>
      <c r="O72" s="5"/>
      <c r="P72" s="5"/>
      <c r="Q72" s="5"/>
      <c r="R72" s="5"/>
      <c r="S72" s="5"/>
      <c r="T72" s="5">
        <f t="shared" si="67"/>
        <v>202666.33333333334</v>
      </c>
      <c r="U72" s="7">
        <f t="shared" si="68"/>
        <v>2330667</v>
      </c>
      <c r="V72" s="7"/>
      <c r="W72" s="44"/>
      <c r="X72" s="7">
        <f t="shared" si="62"/>
        <v>2330667</v>
      </c>
    </row>
    <row r="73" spans="1:27" ht="17.25" customHeight="1" x14ac:dyDescent="0.25">
      <c r="A73" s="95"/>
      <c r="B73" s="4">
        <v>25</v>
      </c>
      <c r="C73" s="11" t="s">
        <v>96</v>
      </c>
      <c r="D73" s="6" t="s">
        <v>26</v>
      </c>
      <c r="E73" s="5">
        <v>900000</v>
      </c>
      <c r="F73" s="5">
        <v>22</v>
      </c>
      <c r="G73" s="5">
        <f>E73/30*F73</f>
        <v>660000</v>
      </c>
      <c r="H73" s="5">
        <v>160008</v>
      </c>
      <c r="I73" s="5"/>
      <c r="J73" s="5"/>
      <c r="K73" s="5">
        <f t="shared" si="63"/>
        <v>820008</v>
      </c>
      <c r="L73" s="5">
        <v>36000</v>
      </c>
      <c r="M73" s="5">
        <v>36000</v>
      </c>
      <c r="N73" s="5"/>
      <c r="O73" s="5"/>
      <c r="P73" s="5"/>
      <c r="Q73" s="5"/>
      <c r="R73" s="5"/>
      <c r="S73" s="5"/>
      <c r="T73" s="5">
        <f t="shared" si="61"/>
        <v>72000</v>
      </c>
      <c r="U73" s="7">
        <f>K73-T73</f>
        <v>748008</v>
      </c>
      <c r="V73" s="7"/>
      <c r="W73" s="44"/>
      <c r="X73" s="7">
        <f t="shared" si="62"/>
        <v>748008</v>
      </c>
    </row>
    <row r="74" spans="1:27" ht="15.75" customHeight="1" x14ac:dyDescent="0.25">
      <c r="A74" s="95"/>
      <c r="B74" s="4">
        <v>26</v>
      </c>
      <c r="C74" s="11" t="s">
        <v>97</v>
      </c>
      <c r="D74" s="6" t="s">
        <v>26</v>
      </c>
      <c r="E74" s="5">
        <v>2000000</v>
      </c>
      <c r="F74" s="5">
        <v>22</v>
      </c>
      <c r="G74" s="5">
        <f>(E74/30*F74)</f>
        <v>1466666.6666666667</v>
      </c>
      <c r="H74" s="5"/>
      <c r="I74" s="5"/>
      <c r="J74" s="5">
        <f>+E74-G74</f>
        <v>533333.33333333326</v>
      </c>
      <c r="K74" s="5">
        <f t="shared" si="30"/>
        <v>2000000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61"/>
        <v>414624</v>
      </c>
      <c r="U74" s="7">
        <f t="shared" si="60"/>
        <v>1585376</v>
      </c>
      <c r="V74" s="7"/>
      <c r="W74" s="44"/>
      <c r="X74" s="7">
        <f t="shared" si="62"/>
        <v>1585376</v>
      </c>
      <c r="AA74" s="45">
        <f>1196000+644000</f>
        <v>1840000</v>
      </c>
    </row>
    <row r="75" spans="1:27" ht="15.75" customHeight="1" x14ac:dyDescent="0.25">
      <c r="A75" s="95"/>
      <c r="B75" s="4">
        <v>27</v>
      </c>
      <c r="C75" s="11" t="s">
        <v>98</v>
      </c>
      <c r="D75" s="6" t="s">
        <v>26</v>
      </c>
      <c r="E75" s="5">
        <v>2000000</v>
      </c>
      <c r="F75" s="5">
        <v>21</v>
      </c>
      <c r="G75" s="5">
        <f>(E75/30*F75)</f>
        <v>1400000</v>
      </c>
      <c r="H75" s="5"/>
      <c r="I75" s="5"/>
      <c r="J75" s="5">
        <v>533333</v>
      </c>
      <c r="K75" s="5">
        <f t="shared" ref="K75:K76" si="69">SUM(G75:I75)+J75</f>
        <v>1933333</v>
      </c>
      <c r="L75" s="5">
        <v>80000</v>
      </c>
      <c r="M75" s="5">
        <v>80000</v>
      </c>
      <c r="N75" s="5"/>
      <c r="O75" s="5"/>
      <c r="P75" s="5">
        <v>0</v>
      </c>
      <c r="Q75" s="5"/>
      <c r="R75" s="5"/>
      <c r="S75" s="5"/>
      <c r="T75" s="5">
        <f t="shared" ref="T75:T76" si="70">SUM(L75:S75)</f>
        <v>160000</v>
      </c>
      <c r="U75" s="7">
        <f t="shared" si="60"/>
        <v>1773333</v>
      </c>
      <c r="V75" s="7"/>
      <c r="W75" s="44"/>
      <c r="X75" s="7">
        <f t="shared" si="62"/>
        <v>1773333</v>
      </c>
    </row>
    <row r="76" spans="1:27" ht="15.75" customHeight="1" x14ac:dyDescent="0.25">
      <c r="A76" s="95"/>
      <c r="B76" s="4">
        <v>28</v>
      </c>
      <c r="C76" s="11" t="s">
        <v>99</v>
      </c>
      <c r="D76" s="6" t="s">
        <v>26</v>
      </c>
      <c r="E76" s="5">
        <v>2500000</v>
      </c>
      <c r="F76" s="5">
        <v>30</v>
      </c>
      <c r="G76" s="5">
        <f>(E76/30*F76)</f>
        <v>2500000</v>
      </c>
      <c r="H76" s="5"/>
      <c r="I76" s="5"/>
      <c r="J76" s="5"/>
      <c r="K76" s="5">
        <f t="shared" si="69"/>
        <v>2500000</v>
      </c>
      <c r="L76" s="5">
        <f t="shared" ref="L76" si="71">+G76*4%</f>
        <v>100000</v>
      </c>
      <c r="M76" s="5">
        <f>+G76*4%</f>
        <v>100000</v>
      </c>
      <c r="N76" s="5"/>
      <c r="O76" s="5"/>
      <c r="P76" s="5"/>
      <c r="Q76" s="5"/>
      <c r="R76" s="5"/>
      <c r="S76" s="5"/>
      <c r="T76" s="5">
        <f t="shared" si="70"/>
        <v>200000</v>
      </c>
      <c r="U76" s="7">
        <f t="shared" si="60"/>
        <v>2300000</v>
      </c>
      <c r="V76" s="7"/>
      <c r="W76" s="44"/>
      <c r="X76" s="7">
        <f t="shared" si="62"/>
        <v>2300000</v>
      </c>
    </row>
    <row r="77" spans="1:27" x14ac:dyDescent="0.25">
      <c r="A77" s="95"/>
      <c r="B77" s="4">
        <v>29</v>
      </c>
      <c r="C77" s="3" t="s">
        <v>100</v>
      </c>
      <c r="D77" s="4" t="s">
        <v>26</v>
      </c>
      <c r="E77" s="5">
        <v>737717</v>
      </c>
      <c r="F77" s="5">
        <v>30</v>
      </c>
      <c r="G77" s="5">
        <f>(E77/30*F77)</f>
        <v>737717</v>
      </c>
      <c r="H77" s="5"/>
      <c r="I77" s="5"/>
      <c r="J77" s="5"/>
      <c r="K77" s="5">
        <f t="shared" si="30"/>
        <v>737717</v>
      </c>
      <c r="L77" s="5"/>
      <c r="M77" s="5"/>
      <c r="N77" s="5"/>
      <c r="O77" s="5"/>
      <c r="P77" s="5"/>
      <c r="Q77" s="5"/>
      <c r="R77" s="5"/>
      <c r="S77" s="5"/>
      <c r="T77" s="5">
        <f t="shared" si="61"/>
        <v>0</v>
      </c>
      <c r="U77" s="7">
        <f t="shared" si="60"/>
        <v>737717</v>
      </c>
      <c r="V77" s="7"/>
      <c r="W77" s="44"/>
      <c r="X77" s="7">
        <f t="shared" si="62"/>
        <v>737717</v>
      </c>
      <c r="AA77" s="45">
        <f>1840000-1196000</f>
        <v>644000</v>
      </c>
    </row>
    <row r="78" spans="1:27" x14ac:dyDescent="0.25">
      <c r="A78" s="95"/>
      <c r="B78" s="4">
        <v>30</v>
      </c>
      <c r="C78" s="3" t="s">
        <v>101</v>
      </c>
      <c r="D78" s="4" t="s">
        <v>26</v>
      </c>
      <c r="E78" s="5">
        <v>1800000</v>
      </c>
      <c r="F78" s="5">
        <v>29</v>
      </c>
      <c r="G78" s="5">
        <f>+E78/30*F78</f>
        <v>1740000</v>
      </c>
      <c r="H78" s="5"/>
      <c r="I78" s="5">
        <v>500000</v>
      </c>
      <c r="J78" s="5">
        <f>+E78-G78</f>
        <v>60000</v>
      </c>
      <c r="K78" s="5">
        <f t="shared" si="30"/>
        <v>2300000</v>
      </c>
      <c r="L78" s="5">
        <f>+E78*4%</f>
        <v>72000</v>
      </c>
      <c r="M78" s="5">
        <f>+E78*4%</f>
        <v>72000</v>
      </c>
      <c r="N78" s="5"/>
      <c r="O78" s="5"/>
      <c r="P78" s="5">
        <v>0</v>
      </c>
      <c r="Q78" s="5"/>
      <c r="R78" s="5"/>
      <c r="S78" s="5"/>
      <c r="T78" s="5">
        <f t="shared" si="61"/>
        <v>144000</v>
      </c>
      <c r="U78" s="7">
        <f>K78-T78</f>
        <v>2156000</v>
      </c>
      <c r="V78" s="7"/>
      <c r="W78" s="44"/>
      <c r="X78" s="7">
        <f>U78+V78-W78</f>
        <v>2156000</v>
      </c>
    </row>
    <row r="79" spans="1:27" ht="20.25" customHeight="1" x14ac:dyDescent="0.25">
      <c r="A79" s="95"/>
      <c r="B79" s="4">
        <v>31</v>
      </c>
      <c r="C79" s="11" t="s">
        <v>102</v>
      </c>
      <c r="D79" s="6" t="s">
        <v>26</v>
      </c>
      <c r="E79" s="5">
        <v>3500000</v>
      </c>
      <c r="F79" s="5">
        <v>30</v>
      </c>
      <c r="G79" s="5">
        <f t="shared" ref="G79" si="72">+E79/30*F79</f>
        <v>3500000</v>
      </c>
      <c r="H79" s="5"/>
      <c r="I79" s="5"/>
      <c r="J79" s="5">
        <f>+E79-G79</f>
        <v>0</v>
      </c>
      <c r="K79" s="5">
        <f t="shared" si="30"/>
        <v>3500000</v>
      </c>
      <c r="L79" s="5">
        <v>140000</v>
      </c>
      <c r="M79" s="5">
        <v>175000</v>
      </c>
      <c r="N79" s="5"/>
      <c r="O79" s="5"/>
      <c r="P79" s="5">
        <v>0</v>
      </c>
      <c r="Q79" s="5"/>
      <c r="R79" s="5"/>
      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
      <c r="W79" s="44"/>
      <c r="X79" s="7">
        <f t="shared" ref="X79" si="74">U79+V79-W79</f>
        <v>2188466</v>
      </c>
    </row>
    <row r="80" spans="1:27" ht="18" customHeight="1" x14ac:dyDescent="0.25">
      <c r="A80" s="95"/>
      <c r="B80" s="4">
        <v>32</v>
      </c>
      <c r="C80" s="11" t="s">
        <v>103</v>
      </c>
      <c r="D80" s="6" t="s">
        <v>26</v>
      </c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>
        <f>+E80-G80</f>
        <v>0</v>
      </c>
      <c r="K80" s="5">
        <f t="shared" si="30"/>
        <v>2000000.0000000002</v>
      </c>
      <c r="L80" s="5">
        <v>80000</v>
      </c>
      <c r="M80" s="5">
        <v>80000</v>
      </c>
      <c r="N80" s="5"/>
      <c r="O80" s="5"/>
      <c r="P80" s="5">
        <v>0</v>
      </c>
      <c r="Q80" s="5"/>
      <c r="R80" s="5"/>
      <c r="S80" s="5"/>
      <c r="T80" s="5">
        <f t="shared" si="61"/>
        <v>160000</v>
      </c>
      <c r="U80" s="7">
        <f t="shared" si="73"/>
        <v>1840000.0000000002</v>
      </c>
      <c r="V80" s="7"/>
      <c r="W80" s="44"/>
      <c r="X80" s="7">
        <f t="shared" si="62"/>
        <v>1840000.0000000002</v>
      </c>
    </row>
    <row r="81" spans="1:25" x14ac:dyDescent="0.25">
      <c r="A81" s="95"/>
      <c r="B81" s="4">
        <v>33</v>
      </c>
      <c r="C81" s="11" t="s">
        <v>104</v>
      </c>
      <c r="D81" s="6" t="s">
        <v>26</v>
      </c>
      <c r="E81" s="5">
        <v>4000000</v>
      </c>
      <c r="F81" s="5">
        <v>28</v>
      </c>
      <c r="G81" s="5">
        <f t="shared" ref="G81:G90" si="75">+E81/30*F81</f>
        <v>3733333.3333333335</v>
      </c>
      <c r="H81" s="5">
        <f>88893*2</f>
        <v>177786</v>
      </c>
      <c r="I81" s="5"/>
      <c r="J81" s="5"/>
      <c r="K81" s="5">
        <f t="shared" si="30"/>
        <v>3911119.3333333335</v>
      </c>
      <c r="L81" s="5">
        <v>160000</v>
      </c>
      <c r="M81" s="5">
        <v>200000</v>
      </c>
      <c r="N81" s="5"/>
      <c r="O81" s="5"/>
      <c r="P81" s="5">
        <v>3000</v>
      </c>
      <c r="Q81" s="5"/>
      <c r="R81" s="5"/>
      <c r="S81" s="5"/>
      <c r="T81" s="5">
        <f t="shared" si="61"/>
        <v>363000</v>
      </c>
      <c r="U81" s="7">
        <f t="shared" si="73"/>
        <v>3548119.3333333335</v>
      </c>
      <c r="V81" s="7"/>
      <c r="W81" s="44"/>
      <c r="X81" s="7">
        <f t="shared" si="62"/>
        <v>3548119.3333333335</v>
      </c>
      <c r="Y81" s="45" t="s">
        <v>105</v>
      </c>
    </row>
    <row r="82" spans="1:25" x14ac:dyDescent="0.25">
      <c r="A82" s="95"/>
      <c r="B82" s="4">
        <v>34</v>
      </c>
      <c r="C82" s="11" t="s">
        <v>106</v>
      </c>
      <c r="D82" s="6" t="s">
        <v>26</v>
      </c>
      <c r="E82" s="5">
        <v>737717</v>
      </c>
      <c r="F82" s="5">
        <v>29</v>
      </c>
      <c r="G82" s="5">
        <f>+E82/30*F82</f>
        <v>713126.43333333335</v>
      </c>
      <c r="H82" s="5">
        <f>+(83140/30)*F82</f>
        <v>80368.666666666672</v>
      </c>
      <c r="I82" s="5"/>
      <c r="J82" s="5"/>
      <c r="K82" s="5">
        <f t="shared" ref="K82" si="76">SUM(G82:I82)+J82</f>
        <v>793495.1</v>
      </c>
      <c r="L82" s="5">
        <f>+G82*4%</f>
        <v>28525.057333333334</v>
      </c>
      <c r="M82" s="5">
        <f>+G82*4%</f>
        <v>28525.057333333334</v>
      </c>
      <c r="N82" s="5"/>
      <c r="O82" s="5"/>
      <c r="P82" s="5">
        <v>0</v>
      </c>
      <c r="Q82" s="5"/>
      <c r="R82" s="5"/>
      <c r="S82" s="5"/>
      <c r="T82" s="5">
        <f t="shared" si="61"/>
        <v>57050.114666666668</v>
      </c>
      <c r="U82" s="7">
        <f t="shared" si="73"/>
        <v>736444.98533333326</v>
      </c>
      <c r="V82" s="7"/>
      <c r="W82" s="44"/>
      <c r="X82" s="7">
        <f t="shared" si="62"/>
        <v>736444.98533333326</v>
      </c>
      <c r="Y82" s="45" t="s">
        <v>105</v>
      </c>
    </row>
    <row r="83" spans="1:25" x14ac:dyDescent="0.25">
      <c r="A83" s="95"/>
      <c r="B83" s="4">
        <v>35</v>
      </c>
      <c r="C83" s="11" t="s">
        <v>107</v>
      </c>
      <c r="D83" s="6" t="s">
        <v>26</v>
      </c>
      <c r="E83" s="5">
        <v>3000000</v>
      </c>
      <c r="F83" s="5">
        <v>27</v>
      </c>
      <c r="G83" s="5">
        <f t="shared" si="75"/>
        <v>2700000</v>
      </c>
      <c r="H83" s="5"/>
      <c r="I83" s="5"/>
      <c r="J83" s="5"/>
      <c r="K83" s="5">
        <f t="shared" si="30"/>
        <v>2700000</v>
      </c>
      <c r="L83" s="5">
        <f>+E83*4%</f>
        <v>120000</v>
      </c>
      <c r="M83" s="5">
        <f>+E83*5%</f>
        <v>150000</v>
      </c>
      <c r="N83" s="5"/>
      <c r="O83" s="5"/>
      <c r="P83" s="17">
        <v>0</v>
      </c>
      <c r="Q83" s="5"/>
      <c r="R83" s="5"/>
      <c r="S83" s="5">
        <v>586000</v>
      </c>
      <c r="T83" s="5">
        <f t="shared" si="61"/>
        <v>856000</v>
      </c>
      <c r="U83" s="7">
        <f t="shared" si="73"/>
        <v>1844000</v>
      </c>
      <c r="V83" s="7"/>
      <c r="W83" s="44"/>
      <c r="X83" s="7">
        <f t="shared" si="62"/>
        <v>1844000</v>
      </c>
    </row>
    <row r="84" spans="1:25" x14ac:dyDescent="0.25">
      <c r="A84" s="95"/>
      <c r="B84" s="4">
        <v>36</v>
      </c>
      <c r="C84" s="11" t="s">
        <v>108</v>
      </c>
      <c r="D84" s="6"/>
      <c r="E84" s="5">
        <v>4500000</v>
      </c>
      <c r="F84" s="5">
        <v>30</v>
      </c>
      <c r="G84" s="5">
        <f t="shared" si="75"/>
        <v>4500000</v>
      </c>
      <c r="H84" s="5"/>
      <c r="I84" s="5"/>
      <c r="J84" s="5"/>
      <c r="K84" s="5">
        <f t="shared" ref="K84" si="77">SUM(G84:I84)+J84</f>
        <v>4500000</v>
      </c>
      <c r="L84" s="5">
        <f>+G84*4%</f>
        <v>180000</v>
      </c>
      <c r="M84" s="5">
        <f>+G84*5%</f>
        <v>225000</v>
      </c>
      <c r="N84" s="5"/>
      <c r="O84" s="5"/>
      <c r="P84" s="17">
        <v>72000</v>
      </c>
      <c r="Q84" s="5"/>
      <c r="R84" s="5"/>
      <c r="S84" s="5"/>
      <c r="T84" s="5">
        <f t="shared" si="61"/>
        <v>477000</v>
      </c>
      <c r="U84" s="7">
        <f t="shared" si="73"/>
        <v>4023000</v>
      </c>
      <c r="V84" s="7"/>
      <c r="W84" s="44"/>
      <c r="X84" s="7">
        <f t="shared" si="62"/>
        <v>4023000</v>
      </c>
    </row>
    <row r="85" spans="1:25" ht="24" x14ac:dyDescent="0.25">
      <c r="A85" s="95"/>
      <c r="B85" s="4">
        <v>37</v>
      </c>
      <c r="C85" s="11" t="s">
        <v>109</v>
      </c>
      <c r="D85" s="6" t="s">
        <v>26</v>
      </c>
      <c r="E85" s="5">
        <v>737717</v>
      </c>
      <c r="F85" s="5">
        <v>29</v>
      </c>
      <c r="G85" s="5">
        <f>+E85/30*F85</f>
        <v>713126.43333333335</v>
      </c>
      <c r="H85" s="5">
        <f>+(83140/30)*F85</f>
        <v>80368.666666666672</v>
      </c>
      <c r="I85" s="5"/>
      <c r="J85" s="5"/>
      <c r="K85" s="5">
        <f t="shared" ref="K85" si="78">SUM(G85:I85)+J85</f>
        <v>793495.1</v>
      </c>
      <c r="L85" s="5">
        <f>+G85*4%</f>
        <v>28525.057333333334</v>
      </c>
      <c r="M85" s="5">
        <f>+G85*4%</f>
        <v>28525.057333333334</v>
      </c>
      <c r="N85" s="5"/>
      <c r="O85" s="5"/>
      <c r="P85" s="17">
        <v>0</v>
      </c>
      <c r="Q85" s="5"/>
      <c r="R85" s="5"/>
      <c r="S85" s="5"/>
      <c r="T85" s="5">
        <f t="shared" si="61"/>
        <v>57050.114666666668</v>
      </c>
      <c r="U85" s="7">
        <f t="shared" si="73"/>
        <v>736444.98533333326</v>
      </c>
      <c r="V85" s="7"/>
      <c r="W85" s="44"/>
      <c r="X85" s="7">
        <f t="shared" si="62"/>
        <v>736444.98533333326</v>
      </c>
    </row>
    <row r="86" spans="1:25" x14ac:dyDescent="0.25">
      <c r="A86" s="95"/>
      <c r="B86" s="4">
        <v>38</v>
      </c>
      <c r="C86" s="11" t="s">
        <v>110</v>
      </c>
      <c r="D86" s="6" t="s">
        <v>26</v>
      </c>
      <c r="E86" s="5">
        <v>2500000</v>
      </c>
      <c r="F86" s="5">
        <v>30</v>
      </c>
      <c r="G86" s="5">
        <f>+E86/30*F86</f>
        <v>2500000</v>
      </c>
      <c r="H86" s="5"/>
      <c r="I86" s="5"/>
      <c r="J86" s="5"/>
      <c r="K86" s="5">
        <f t="shared" ref="K86:K114" si="79">SUM(G86:I86)+J86</f>
        <v>2500000</v>
      </c>
      <c r="L86" s="5">
        <v>100000</v>
      </c>
      <c r="M86" s="5">
        <v>100000</v>
      </c>
      <c r="N86" s="5"/>
      <c r="O86" s="5"/>
      <c r="P86" s="5">
        <v>0</v>
      </c>
      <c r="Q86" s="5"/>
      <c r="R86" s="5"/>
      <c r="S86" s="5">
        <v>257196</v>
      </c>
      <c r="T86" s="5">
        <f t="shared" si="61"/>
        <v>457196</v>
      </c>
      <c r="U86" s="7">
        <f t="shared" si="73"/>
        <v>2042804</v>
      </c>
      <c r="V86" s="7"/>
      <c r="W86" s="44"/>
      <c r="X86" s="7">
        <f t="shared" si="62"/>
        <v>2042804</v>
      </c>
    </row>
    <row r="87" spans="1:25" x14ac:dyDescent="0.25">
      <c r="A87" s="95"/>
      <c r="B87" s="4">
        <v>39</v>
      </c>
      <c r="C87" s="11" t="s">
        <v>111</v>
      </c>
      <c r="D87" s="6" t="s">
        <v>26</v>
      </c>
      <c r="E87" s="5">
        <v>4500000</v>
      </c>
      <c r="F87" s="5">
        <v>26</v>
      </c>
      <c r="G87" s="5">
        <f>+E87/30*F87</f>
        <v>3900000</v>
      </c>
      <c r="H87" s="5"/>
      <c r="I87" s="5"/>
      <c r="J87" s="5">
        <f>+E87-G87</f>
        <v>600000</v>
      </c>
      <c r="K87" s="5">
        <f t="shared" si="79"/>
        <v>4500000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/>
      <c r="T87" s="5">
        <f t="shared" ref="T87" si="80">SUM(L87:S87)</f>
        <v>477000</v>
      </c>
      <c r="U87" s="7">
        <f t="shared" si="73"/>
        <v>4023000</v>
      </c>
      <c r="V87" s="7"/>
      <c r="W87" s="44"/>
      <c r="X87" s="7">
        <f t="shared" si="62"/>
        <v>4023000</v>
      </c>
    </row>
    <row r="88" spans="1:25" x14ac:dyDescent="0.25">
      <c r="A88" s="95"/>
      <c r="B88" s="4">
        <v>40</v>
      </c>
      <c r="C88" s="11" t="s">
        <v>112</v>
      </c>
      <c r="D88" s="6" t="s">
        <v>26</v>
      </c>
      <c r="E88" s="5">
        <v>4500000</v>
      </c>
      <c r="F88" s="5">
        <v>30</v>
      </c>
      <c r="G88" s="5">
        <f>+E88/30*F88</f>
        <v>4500000</v>
      </c>
      <c r="H88" s="5"/>
      <c r="I88" s="5"/>
      <c r="J88" s="5"/>
      <c r="K88" s="5">
        <f t="shared" si="79"/>
        <v>4500000</v>
      </c>
      <c r="L88" s="5">
        <v>180000</v>
      </c>
      <c r="M88" s="5">
        <v>225000</v>
      </c>
      <c r="N88" s="5"/>
      <c r="O88" s="5"/>
      <c r="P88" s="5">
        <v>73073</v>
      </c>
      <c r="Q88" s="5"/>
      <c r="R88" s="5"/>
      <c r="S88" s="5"/>
      <c r="T88" s="5">
        <f>SUM(L88:S88)</f>
        <v>478073</v>
      </c>
      <c r="U88" s="7">
        <f t="shared" ref="U88:U94" si="81">K88-T88</f>
        <v>4021927</v>
      </c>
      <c r="V88" s="7"/>
      <c r="W88" s="44"/>
      <c r="X88" s="7">
        <f t="shared" si="62"/>
        <v>4021927</v>
      </c>
    </row>
    <row r="89" spans="1:25" x14ac:dyDescent="0.25">
      <c r="A89" s="95"/>
      <c r="B89" s="4">
        <v>41</v>
      </c>
      <c r="C89" s="11" t="s">
        <v>113</v>
      </c>
      <c r="D89" s="6" t="s">
        <v>26</v>
      </c>
      <c r="E89" s="5">
        <v>2500000</v>
      </c>
      <c r="F89" s="5">
        <v>30</v>
      </c>
      <c r="G89" s="5">
        <f t="shared" ref="G89" si="82">+E89/30*F89</f>
        <v>2500000</v>
      </c>
      <c r="H89" s="5"/>
      <c r="I89" s="5">
        <v>500000</v>
      </c>
      <c r="J89" s="5">
        <f>+E89-G89</f>
        <v>0</v>
      </c>
      <c r="K89" s="5">
        <f t="shared" si="79"/>
        <v>3000000</v>
      </c>
      <c r="L89" s="5">
        <v>100000</v>
      </c>
      <c r="M89" s="5">
        <v>100000</v>
      </c>
      <c r="N89" s="5"/>
      <c r="O89" s="5"/>
      <c r="P89" s="5">
        <v>0</v>
      </c>
      <c r="Q89" s="5"/>
      <c r="R89" s="5"/>
      <c r="S89" s="5"/>
      <c r="T89" s="5">
        <f t="shared" si="61"/>
        <v>200000</v>
      </c>
      <c r="U89" s="7">
        <f t="shared" si="81"/>
        <v>2800000</v>
      </c>
      <c r="V89" s="7"/>
      <c r="W89" s="44"/>
      <c r="X89" s="7">
        <f t="shared" si="62"/>
        <v>2800000</v>
      </c>
    </row>
    <row r="90" spans="1:25" ht="24" x14ac:dyDescent="0.25">
      <c r="A90" s="95"/>
      <c r="B90" s="4">
        <v>42</v>
      </c>
      <c r="C90" s="11" t="s">
        <v>114</v>
      </c>
      <c r="D90" s="6" t="s">
        <v>26</v>
      </c>
      <c r="E90" s="5">
        <v>2548000</v>
      </c>
      <c r="F90" s="5">
        <v>30</v>
      </c>
      <c r="G90" s="5">
        <f t="shared" si="75"/>
        <v>2548000</v>
      </c>
      <c r="H90" s="5"/>
      <c r="I90" s="5"/>
      <c r="J90" s="5">
        <f>+E90-G90</f>
        <v>0</v>
      </c>
      <c r="K90" s="5">
        <f t="shared" si="79"/>
        <v>2548000</v>
      </c>
      <c r="L90" s="5">
        <v>101920</v>
      </c>
      <c r="M90" s="5">
        <v>101920</v>
      </c>
      <c r="N90" s="5"/>
      <c r="O90" s="5"/>
      <c r="P90" s="5">
        <v>0</v>
      </c>
      <c r="Q90" s="5"/>
      <c r="R90" s="5"/>
      <c r="S90" s="5">
        <v>359047</v>
      </c>
      <c r="T90" s="5">
        <f t="shared" si="61"/>
        <v>562887</v>
      </c>
      <c r="U90" s="7">
        <f t="shared" si="81"/>
        <v>1985113</v>
      </c>
      <c r="V90" s="7"/>
      <c r="W90" s="44"/>
      <c r="X90" s="7">
        <f t="shared" si="62"/>
        <v>1985113</v>
      </c>
    </row>
    <row r="91" spans="1:25" x14ac:dyDescent="0.25">
      <c r="A91" s="95"/>
      <c r="B91" s="4">
        <v>43</v>
      </c>
      <c r="C91" s="11" t="s">
        <v>115</v>
      </c>
      <c r="D91" s="6" t="s">
        <v>26</v>
      </c>
      <c r="E91" s="5">
        <v>737717</v>
      </c>
      <c r="F91" s="5">
        <v>29</v>
      </c>
      <c r="G91" s="5">
        <f>+E91/30*F91</f>
        <v>713126.43333333335</v>
      </c>
      <c r="H91" s="5">
        <f>+(83140/30)*F91</f>
        <v>80368.666666666672</v>
      </c>
      <c r="I91" s="5"/>
      <c r="J91" s="5"/>
      <c r="K91" s="5">
        <f t="shared" ref="K91" si="83">SUM(G91:I91)+J91</f>
        <v>793495.1</v>
      </c>
      <c r="L91" s="5">
        <f>+G91*4%</f>
        <v>28525.057333333334</v>
      </c>
      <c r="M91" s="5">
        <f>+G91*4%</f>
        <v>28525.057333333334</v>
      </c>
      <c r="N91" s="5"/>
      <c r="O91" s="5"/>
      <c r="P91" s="5"/>
      <c r="Q91" s="5"/>
      <c r="R91" s="5"/>
      <c r="S91" s="5"/>
      <c r="T91" s="5">
        <f t="shared" si="61"/>
        <v>57050.114666666668</v>
      </c>
      <c r="U91" s="7">
        <f t="shared" si="81"/>
        <v>736444.98533333326</v>
      </c>
      <c r="V91" s="7"/>
      <c r="W91" s="44"/>
      <c r="X91" s="7">
        <f t="shared" si="62"/>
        <v>736444.98533333326</v>
      </c>
    </row>
    <row r="92" spans="1:25" x14ac:dyDescent="0.25">
      <c r="A92" s="95"/>
      <c r="B92" s="4">
        <v>44</v>
      </c>
      <c r="C92" s="3" t="s">
        <v>116</v>
      </c>
      <c r="D92" s="4" t="s">
        <v>26</v>
      </c>
      <c r="E92" s="5">
        <v>737717</v>
      </c>
      <c r="F92" s="5">
        <v>30</v>
      </c>
      <c r="G92" s="5">
        <f>+E92/30*F92</f>
        <v>737717</v>
      </c>
      <c r="H92" s="5">
        <v>83139</v>
      </c>
      <c r="I92" s="5"/>
      <c r="J92" s="5">
        <v>71715</v>
      </c>
      <c r="K92" s="5">
        <f t="shared" si="79"/>
        <v>892571</v>
      </c>
      <c r="L92" s="5">
        <f>+G92*4%</f>
        <v>29508.68</v>
      </c>
      <c r="M92" s="5">
        <f>+G92*4%</f>
        <v>29508.68</v>
      </c>
      <c r="N92" s="5"/>
      <c r="O92" s="5"/>
      <c r="P92" s="5">
        <v>0</v>
      </c>
      <c r="Q92" s="5"/>
      <c r="R92" s="5"/>
      <c r="S92" s="5"/>
      <c r="T92" s="5">
        <f t="shared" si="61"/>
        <v>59017.36</v>
      </c>
      <c r="U92" s="7">
        <f t="shared" si="81"/>
        <v>833553.64</v>
      </c>
      <c r="V92" s="7"/>
      <c r="W92" s="44"/>
      <c r="X92" s="7">
        <f t="shared" si="62"/>
        <v>833553.64</v>
      </c>
    </row>
    <row r="93" spans="1:25" x14ac:dyDescent="0.25">
      <c r="A93" s="95"/>
      <c r="B93" s="4">
        <v>45</v>
      </c>
      <c r="C93" s="3" t="s">
        <v>117</v>
      </c>
      <c r="D93" s="4"/>
      <c r="E93" s="5">
        <v>5000000</v>
      </c>
      <c r="F93" s="5">
        <v>15</v>
      </c>
      <c r="G93" s="5">
        <f>+E93/30*F93</f>
        <v>2500000</v>
      </c>
      <c r="H93" s="5"/>
      <c r="I93" s="5"/>
      <c r="J93" s="5"/>
      <c r="K93" s="5">
        <f t="shared" si="79"/>
        <v>2500000</v>
      </c>
      <c r="L93" s="5">
        <f>+G93*4%</f>
        <v>100000</v>
      </c>
      <c r="M93" s="5">
        <f>+G93*4%</f>
        <v>100000</v>
      </c>
      <c r="N93" s="5"/>
      <c r="O93" s="5"/>
      <c r="P93" s="5">
        <v>51000</v>
      </c>
      <c r="Q93" s="5"/>
      <c r="R93" s="5"/>
      <c r="S93" s="5"/>
      <c r="T93" s="5">
        <f t="shared" ref="T93" si="84">SUM(L93:S93)</f>
        <v>251000</v>
      </c>
      <c r="U93" s="7">
        <f t="shared" si="81"/>
        <v>2249000</v>
      </c>
      <c r="V93" s="7"/>
      <c r="W93" s="44"/>
      <c r="X93" s="7">
        <f t="shared" si="62"/>
        <v>2249000</v>
      </c>
    </row>
    <row r="94" spans="1:25" x14ac:dyDescent="0.25">
      <c r="A94" s="95"/>
      <c r="B94" s="4">
        <v>46</v>
      </c>
      <c r="C94" s="3" t="s">
        <v>118</v>
      </c>
      <c r="D94" s="4" t="s">
        <v>26</v>
      </c>
      <c r="E94" s="5">
        <v>1400000</v>
      </c>
      <c r="F94" s="5">
        <v>30</v>
      </c>
      <c r="G94" s="5">
        <f>+E94/30*F94</f>
        <v>1400000</v>
      </c>
      <c r="H94" s="5">
        <f>+(83140/30)*F94</f>
        <v>83140</v>
      </c>
      <c r="I94" s="5"/>
      <c r="J94" s="5"/>
      <c r="K94" s="5">
        <f t="shared" ref="K94" si="85">SUM(G94:I94)+J94</f>
        <v>1483140</v>
      </c>
      <c r="L94" s="5">
        <f>+G94*4%</f>
        <v>56000</v>
      </c>
      <c r="M94" s="5">
        <f>+G94*4%</f>
        <v>56000</v>
      </c>
      <c r="N94" s="5"/>
      <c r="O94" s="5"/>
      <c r="P94" s="5">
        <v>0</v>
      </c>
      <c r="Q94" s="5"/>
      <c r="R94" s="5"/>
      <c r="S94" s="5"/>
      <c r="T94" s="5">
        <f t="shared" ref="T94" si="86">SUM(L94:S94)</f>
        <v>112000</v>
      </c>
      <c r="U94" s="7">
        <f t="shared" si="81"/>
        <v>1371140</v>
      </c>
      <c r="V94" s="7"/>
      <c r="W94" s="44"/>
      <c r="X94" s="7">
        <f t="shared" si="62"/>
        <v>1371140</v>
      </c>
    </row>
    <row r="95" spans="1:25" x14ac:dyDescent="0.25">
      <c r="A95" s="95"/>
      <c r="B95" s="4">
        <v>47</v>
      </c>
      <c r="C95" s="11" t="s">
        <v>119</v>
      </c>
      <c r="D95" s="6" t="s">
        <v>26</v>
      </c>
      <c r="E95" s="5">
        <v>15400000</v>
      </c>
      <c r="F95" s="5">
        <v>30</v>
      </c>
      <c r="G95" s="5">
        <f t="shared" ref="G95:G106" si="87">+E95/30*F95</f>
        <v>15400000</v>
      </c>
      <c r="H95" s="5"/>
      <c r="I95" s="5">
        <v>600000</v>
      </c>
      <c r="J95" s="5"/>
      <c r="K95" s="5">
        <f t="shared" si="79"/>
        <v>16000000</v>
      </c>
      <c r="L95" s="5">
        <v>737717</v>
      </c>
      <c r="M95" s="5">
        <f>737717+368858</f>
        <v>1106575</v>
      </c>
      <c r="N95" s="5">
        <v>102400</v>
      </c>
      <c r="O95" s="5"/>
      <c r="P95" s="5">
        <v>916000</v>
      </c>
      <c r="Q95" s="5">
        <v>5000000</v>
      </c>
      <c r="R95" s="5">
        <v>180180</v>
      </c>
      <c r="S95" s="5">
        <v>2314715</v>
      </c>
      <c r="T95" s="5">
        <f t="shared" si="61"/>
        <v>10357587</v>
      </c>
      <c r="U95" s="7">
        <f>+K95-T95</f>
        <v>5642413</v>
      </c>
      <c r="V95" s="7"/>
      <c r="W95" s="44"/>
      <c r="X95" s="7">
        <f t="shared" si="62"/>
        <v>5642413</v>
      </c>
    </row>
    <row r="96" spans="1:25" x14ac:dyDescent="0.25">
      <c r="A96" s="95"/>
      <c r="B96" s="4">
        <v>48</v>
      </c>
      <c r="C96" s="11" t="s">
        <v>120</v>
      </c>
      <c r="D96" s="6" t="s">
        <v>26</v>
      </c>
      <c r="E96" s="5">
        <v>4500000</v>
      </c>
      <c r="F96" s="5">
        <v>30</v>
      </c>
      <c r="G96" s="5">
        <f t="shared" si="87"/>
        <v>4500000</v>
      </c>
      <c r="H96" s="5"/>
      <c r="I96" s="5"/>
      <c r="J96" s="5"/>
      <c r="K96" s="5">
        <f t="shared" si="79"/>
        <v>4500000</v>
      </c>
      <c r="L96" s="5">
        <f t="shared" ref="L96:L107" si="88">+G96*4%</f>
        <v>180000</v>
      </c>
      <c r="M96" s="5">
        <f>+G96*5%</f>
        <v>225000</v>
      </c>
      <c r="N96" s="5"/>
      <c r="O96" s="5"/>
      <c r="P96" s="5">
        <v>90000</v>
      </c>
      <c r="Q96" s="5"/>
      <c r="R96" s="5"/>
      <c r="S96" s="5"/>
      <c r="T96" s="5">
        <f t="shared" si="61"/>
        <v>495000</v>
      </c>
      <c r="U96" s="7">
        <f>+K96-T96</f>
        <v>4005000</v>
      </c>
      <c r="V96" s="7"/>
      <c r="W96" s="44"/>
      <c r="X96" s="7">
        <f t="shared" si="62"/>
        <v>4005000</v>
      </c>
    </row>
    <row r="97" spans="1:24" x14ac:dyDescent="0.25">
      <c r="A97" s="95"/>
      <c r="B97" s="4">
        <v>49</v>
      </c>
      <c r="C97" s="11" t="s">
        <v>121</v>
      </c>
      <c r="D97" s="6" t="s">
        <v>26</v>
      </c>
      <c r="E97" s="5">
        <v>1650000</v>
      </c>
      <c r="F97" s="5">
        <v>30</v>
      </c>
      <c r="G97" s="5">
        <f t="shared" si="87"/>
        <v>1650000</v>
      </c>
      <c r="H97" s="5"/>
      <c r="I97" s="5"/>
      <c r="J97" s="5">
        <f>+E97-G97</f>
        <v>0</v>
      </c>
      <c r="K97" s="5">
        <f t="shared" si="79"/>
        <v>1650000</v>
      </c>
      <c r="L97" s="5">
        <v>66000</v>
      </c>
      <c r="M97" s="5">
        <v>66000</v>
      </c>
      <c r="N97" s="5"/>
      <c r="O97" s="5"/>
      <c r="P97" s="5">
        <v>0</v>
      </c>
      <c r="Q97" s="5"/>
      <c r="R97" s="5"/>
      <c r="S97" s="5"/>
      <c r="T97" s="5">
        <f t="shared" si="61"/>
        <v>132000</v>
      </c>
      <c r="U97" s="7">
        <f>+K97-T97</f>
        <v>1518000</v>
      </c>
      <c r="V97" s="7"/>
      <c r="W97" s="44"/>
      <c r="X97" s="7">
        <f t="shared" si="62"/>
        <v>1518000</v>
      </c>
    </row>
    <row r="98" spans="1:24" x14ac:dyDescent="0.25">
      <c r="A98" s="95"/>
      <c r="B98" s="4">
        <v>50</v>
      </c>
      <c r="C98" s="3" t="s">
        <v>122</v>
      </c>
      <c r="D98" s="4" t="s">
        <v>26</v>
      </c>
      <c r="E98" s="5">
        <v>2000000</v>
      </c>
      <c r="F98" s="5">
        <v>30</v>
      </c>
      <c r="G98" s="5">
        <f t="shared" si="87"/>
        <v>2000000.0000000002</v>
      </c>
      <c r="H98" s="5"/>
      <c r="I98" s="5">
        <v>160000</v>
      </c>
      <c r="J98" s="5"/>
      <c r="K98" s="5">
        <f t="shared" si="79"/>
        <v>2160000</v>
      </c>
      <c r="L98" s="5">
        <f>+E98*4%</f>
        <v>80000</v>
      </c>
      <c r="M98" s="5">
        <v>80000</v>
      </c>
      <c r="N98" s="5"/>
      <c r="O98" s="5"/>
      <c r="P98" s="5">
        <v>0</v>
      </c>
      <c r="Q98" s="5"/>
      <c r="R98" s="5"/>
      <c r="S98" s="5"/>
      <c r="T98" s="5">
        <f t="shared" si="61"/>
        <v>160000</v>
      </c>
      <c r="U98" s="7">
        <f>K98-T98</f>
        <v>2000000</v>
      </c>
      <c r="V98" s="7"/>
      <c r="W98" s="44"/>
      <c r="X98" s="7">
        <f t="shared" si="62"/>
        <v>2000000</v>
      </c>
    </row>
    <row r="99" spans="1:24" x14ac:dyDescent="0.25">
      <c r="A99" s="95"/>
      <c r="B99" s="4">
        <v>51</v>
      </c>
      <c r="C99" s="3" t="s">
        <v>123</v>
      </c>
      <c r="D99" s="4" t="s">
        <v>26</v>
      </c>
      <c r="E99" s="5">
        <v>1600000</v>
      </c>
      <c r="F99" s="5">
        <v>30</v>
      </c>
      <c r="G99" s="5">
        <f t="shared" si="87"/>
        <v>1600000</v>
      </c>
      <c r="H99" s="5"/>
      <c r="I99" s="5"/>
      <c r="J99" s="5">
        <v>200000</v>
      </c>
      <c r="K99" s="5">
        <f t="shared" si="79"/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2"/>
        <v>1672000</v>
      </c>
    </row>
    <row r="100" spans="1:24" x14ac:dyDescent="0.25">
      <c r="A100" s="95"/>
      <c r="B100" s="4">
        <v>52</v>
      </c>
      <c r="C100" s="3" t="s">
        <v>124</v>
      </c>
      <c r="D100" s="4"/>
      <c r="E100" s="5">
        <v>800000</v>
      </c>
      <c r="F100" s="5">
        <v>15</v>
      </c>
      <c r="G100" s="5">
        <f t="shared" si="87"/>
        <v>400000</v>
      </c>
      <c r="H100" s="5"/>
      <c r="I100" s="5"/>
      <c r="J100" s="5"/>
      <c r="K100" s="5">
        <f t="shared" ref="K100:K101" si="89">SUM(G100:I100)+J100</f>
        <v>400000</v>
      </c>
      <c r="L100" s="5">
        <f>+G100*4%</f>
        <v>16000</v>
      </c>
      <c r="M100" s="5">
        <f>+G100*4%</f>
        <v>16000</v>
      </c>
      <c r="N100" s="5"/>
      <c r="O100" s="5"/>
      <c r="P100" s="5"/>
      <c r="Q100" s="5"/>
      <c r="R100" s="5"/>
      <c r="S100" s="5"/>
      <c r="T100" s="5">
        <f>SUM(L100:S100)</f>
        <v>32000</v>
      </c>
      <c r="U100" s="7">
        <f>K100-T100</f>
        <v>368000</v>
      </c>
      <c r="V100" s="7"/>
      <c r="W100" s="44"/>
      <c r="X100" s="7">
        <f t="shared" si="62"/>
        <v>368000</v>
      </c>
    </row>
    <row r="101" spans="1:24" x14ac:dyDescent="0.25">
      <c r="A101" s="95"/>
      <c r="B101" s="4">
        <v>53</v>
      </c>
      <c r="C101" s="3" t="s">
        <v>125</v>
      </c>
      <c r="D101" s="4"/>
      <c r="E101" s="5">
        <v>4500000</v>
      </c>
      <c r="F101" s="5">
        <v>15</v>
      </c>
      <c r="G101" s="5">
        <f t="shared" si="87"/>
        <v>2250000</v>
      </c>
      <c r="H101" s="5"/>
      <c r="I101" s="5"/>
      <c r="J101" s="5"/>
      <c r="K101" s="5">
        <f t="shared" si="89"/>
        <v>2250000</v>
      </c>
      <c r="L101" s="5">
        <f>+G101*4%</f>
        <v>90000</v>
      </c>
      <c r="M101" s="5">
        <f>+G101*4%</f>
        <v>90000</v>
      </c>
      <c r="N101" s="5"/>
      <c r="O101" s="5"/>
      <c r="P101" s="5">
        <v>17000</v>
      </c>
      <c r="Q101" s="5"/>
      <c r="R101" s="5"/>
      <c r="S101" s="5"/>
      <c r="T101" s="5">
        <f>SUM(L101:S101)</f>
        <v>197000</v>
      </c>
      <c r="U101" s="7">
        <f>K101-T101</f>
        <v>2053000</v>
      </c>
      <c r="V101" s="7"/>
      <c r="W101" s="44"/>
      <c r="X101" s="7">
        <f t="shared" si="62"/>
        <v>2053000</v>
      </c>
    </row>
    <row r="102" spans="1:24" x14ac:dyDescent="0.25">
      <c r="A102" s="95"/>
      <c r="B102" s="4">
        <v>54</v>
      </c>
      <c r="C102" s="3" t="s">
        <v>126</v>
      </c>
      <c r="D102" s="4" t="s">
        <v>26</v>
      </c>
      <c r="E102" s="5">
        <v>1200000</v>
      </c>
      <c r="F102" s="5">
        <v>30</v>
      </c>
      <c r="G102" s="5">
        <f t="shared" si="87"/>
        <v>1200000</v>
      </c>
      <c r="H102" s="5">
        <f>+(83140/30)*F102</f>
        <v>83140</v>
      </c>
      <c r="I102" s="5"/>
      <c r="J102" s="5"/>
      <c r="K102" s="5">
        <f t="shared" ref="K102" si="90">SUM(G102:I102)+J102</f>
        <v>1283140</v>
      </c>
      <c r="L102" s="5">
        <f t="shared" ref="L102:L105" si="91">+G102*4%</f>
        <v>48000</v>
      </c>
      <c r="M102" s="5">
        <f>+G102*4%</f>
        <v>48000</v>
      </c>
      <c r="N102" s="5"/>
      <c r="O102" s="5"/>
      <c r="P102" s="5"/>
      <c r="Q102" s="5"/>
      <c r="R102" s="5"/>
      <c r="S102" s="5"/>
      <c r="T102" s="5">
        <f t="shared" ref="T102" si="92">SUM(L102:S102)</f>
        <v>96000</v>
      </c>
      <c r="U102" s="7">
        <f>K102-T102</f>
        <v>1187140</v>
      </c>
      <c r="V102" s="7"/>
      <c r="W102" s="44"/>
      <c r="X102" s="7">
        <f t="shared" si="62"/>
        <v>1187140</v>
      </c>
    </row>
    <row r="103" spans="1:24" ht="24" x14ac:dyDescent="0.25">
      <c r="A103" s="95"/>
      <c r="B103" s="4">
        <v>55</v>
      </c>
      <c r="C103" s="11" t="s">
        <v>127</v>
      </c>
      <c r="D103" s="6" t="s">
        <v>26</v>
      </c>
      <c r="E103" s="5">
        <v>2500000</v>
      </c>
      <c r="F103" s="5">
        <v>29</v>
      </c>
      <c r="G103" s="5">
        <f t="shared" si="87"/>
        <v>2416666.6666666665</v>
      </c>
      <c r="H103" s="5"/>
      <c r="I103" s="5"/>
      <c r="J103" s="5"/>
      <c r="K103" s="5">
        <f t="shared" si="79"/>
        <v>2416666.6666666665</v>
      </c>
      <c r="L103" s="5">
        <f t="shared" si="91"/>
        <v>96666.666666666657</v>
      </c>
      <c r="M103" s="5">
        <f>+G103*4%</f>
        <v>96666.666666666657</v>
      </c>
      <c r="N103" s="5"/>
      <c r="O103" s="5"/>
      <c r="P103" s="5"/>
      <c r="Q103" s="5"/>
      <c r="R103" s="5"/>
      <c r="S103" s="5"/>
      <c r="T103" s="5">
        <f t="shared" si="61"/>
        <v>193333.33333333331</v>
      </c>
      <c r="U103" s="7">
        <f>+K103-T103</f>
        <v>2223333.333333333</v>
      </c>
      <c r="V103" s="7"/>
      <c r="W103" s="44"/>
      <c r="X103" s="7">
        <f t="shared" si="62"/>
        <v>2223333.333333333</v>
      </c>
    </row>
    <row r="104" spans="1:24" x14ac:dyDescent="0.25">
      <c r="A104" s="95"/>
      <c r="B104" s="4">
        <v>56</v>
      </c>
      <c r="C104" s="11" t="s">
        <v>128</v>
      </c>
      <c r="D104" s="6" t="s">
        <v>26</v>
      </c>
      <c r="E104" s="5">
        <v>3700000</v>
      </c>
      <c r="F104" s="5">
        <v>30</v>
      </c>
      <c r="G104" s="5">
        <f t="shared" si="87"/>
        <v>3700000</v>
      </c>
      <c r="H104" s="5"/>
      <c r="I104" s="5">
        <v>650000</v>
      </c>
      <c r="J104" s="5"/>
      <c r="K104" s="5">
        <f t="shared" ref="K104" si="93">SUM(G104:I104)+J104</f>
        <v>4350000</v>
      </c>
      <c r="L104" s="5">
        <f t="shared" si="91"/>
        <v>148000</v>
      </c>
      <c r="M104" s="5">
        <f>+G104*5%</f>
        <v>185000</v>
      </c>
      <c r="N104" s="5"/>
      <c r="O104" s="5"/>
      <c r="P104" s="5">
        <v>35000</v>
      </c>
      <c r="Q104" s="5"/>
      <c r="R104" s="5"/>
      <c r="S104" s="5"/>
      <c r="T104" s="5">
        <f t="shared" ref="T104" si="94">SUM(L104:S104)</f>
        <v>368000</v>
      </c>
      <c r="U104" s="7">
        <f>+K104-T104</f>
        <v>3982000</v>
      </c>
      <c r="V104" s="7"/>
      <c r="W104" s="44"/>
      <c r="X104" s="7">
        <f t="shared" si="62"/>
        <v>3982000</v>
      </c>
    </row>
    <row r="105" spans="1:24" x14ac:dyDescent="0.25">
      <c r="A105" s="95"/>
      <c r="B105" s="4">
        <v>57</v>
      </c>
      <c r="C105" s="11" t="s">
        <v>129</v>
      </c>
      <c r="D105" s="6" t="s">
        <v>34</v>
      </c>
      <c r="E105" s="5">
        <v>1400000</v>
      </c>
      <c r="F105" s="5">
        <v>30</v>
      </c>
      <c r="G105" s="5">
        <f t="shared" si="87"/>
        <v>1400000</v>
      </c>
      <c r="H105" s="5">
        <f>+(83140/30)*F105</f>
        <v>83140</v>
      </c>
      <c r="I105" s="5"/>
      <c r="J105" s="5"/>
      <c r="K105" s="5">
        <f t="shared" si="79"/>
        <v>1483140</v>
      </c>
      <c r="L105" s="5">
        <f t="shared" si="91"/>
        <v>56000</v>
      </c>
      <c r="M105" s="5">
        <f>+G105*4%</f>
        <v>56000</v>
      </c>
      <c r="N105" s="5"/>
      <c r="O105" s="5"/>
      <c r="P105" s="17"/>
      <c r="Q105" s="5"/>
      <c r="R105" s="5"/>
      <c r="S105" s="5"/>
      <c r="T105" s="5">
        <f t="shared" si="61"/>
        <v>112000</v>
      </c>
      <c r="U105" s="7">
        <f>+K105-T105</f>
        <v>1371140</v>
      </c>
      <c r="V105" s="7"/>
      <c r="W105" s="44"/>
      <c r="X105" s="7">
        <f t="shared" si="62"/>
        <v>1371140</v>
      </c>
    </row>
    <row r="106" spans="1:24" x14ac:dyDescent="0.25">
      <c r="A106" s="95"/>
      <c r="B106" s="4">
        <v>58</v>
      </c>
      <c r="C106" s="3" t="s">
        <v>130</v>
      </c>
      <c r="D106" s="4" t="s">
        <v>26</v>
      </c>
      <c r="E106" s="5">
        <v>1600000</v>
      </c>
      <c r="F106" s="5">
        <v>21</v>
      </c>
      <c r="G106" s="5">
        <f t="shared" si="87"/>
        <v>1120000</v>
      </c>
      <c r="H106" s="5"/>
      <c r="I106" s="5"/>
      <c r="J106" s="5">
        <f>+E106-G106</f>
        <v>480000</v>
      </c>
      <c r="K106" s="5">
        <f t="shared" si="79"/>
        <v>1600000</v>
      </c>
      <c r="L106" s="5">
        <f>+K106*4%</f>
        <v>64000</v>
      </c>
      <c r="M106" s="5">
        <v>64000</v>
      </c>
      <c r="N106" s="5"/>
      <c r="O106" s="5"/>
      <c r="P106" s="5">
        <v>0</v>
      </c>
      <c r="Q106" s="5"/>
      <c r="R106" s="5"/>
      <c r="S106" s="5">
        <v>249127</v>
      </c>
      <c r="T106" s="5">
        <f t="shared" si="61"/>
        <v>377127</v>
      </c>
      <c r="U106" s="7">
        <f>K106-T106</f>
        <v>1222873</v>
      </c>
      <c r="V106" s="7"/>
      <c r="W106" s="44"/>
      <c r="X106" s="7">
        <f t="shared" si="62"/>
        <v>1222873</v>
      </c>
    </row>
    <row r="107" spans="1:24" ht="12.75" thickBot="1" x14ac:dyDescent="0.3">
      <c r="A107" s="95"/>
      <c r="B107" s="4">
        <v>59</v>
      </c>
      <c r="C107" s="11" t="s">
        <v>131</v>
      </c>
      <c r="D107" s="6" t="s">
        <v>26</v>
      </c>
      <c r="E107" s="5">
        <v>737717</v>
      </c>
      <c r="F107" s="5">
        <v>30</v>
      </c>
      <c r="G107" s="5">
        <f>+E107/30*F107</f>
        <v>737717</v>
      </c>
      <c r="H107" s="5">
        <f t="shared" ref="H107:H109" si="95">+(83140/30)*F107</f>
        <v>83140</v>
      </c>
      <c r="I107" s="5"/>
      <c r="J107" s="22"/>
      <c r="K107" s="5">
        <f t="shared" si="79"/>
        <v>820857</v>
      </c>
      <c r="L107" s="5">
        <f t="shared" si="88"/>
        <v>29508.68</v>
      </c>
      <c r="M107" s="5">
        <f t="shared" ref="M107" si="96">+G107*4%</f>
        <v>29508.68</v>
      </c>
      <c r="N107" s="5"/>
      <c r="O107" s="5"/>
      <c r="P107" s="5">
        <v>0</v>
      </c>
      <c r="Q107" s="5"/>
      <c r="R107" s="5"/>
      <c r="S107" s="5"/>
      <c r="T107" s="5">
        <f t="shared" si="61"/>
        <v>59017.36</v>
      </c>
      <c r="U107" s="7">
        <f t="shared" ref="U107:U113" si="97">+K107-T107</f>
        <v>761839.64</v>
      </c>
      <c r="V107" s="7"/>
      <c r="W107" s="44"/>
      <c r="X107" s="7">
        <f t="shared" si="62"/>
        <v>761839.64</v>
      </c>
    </row>
    <row r="108" spans="1:24" ht="24.75" thickBot="1" x14ac:dyDescent="0.3">
      <c r="A108" s="96"/>
      <c r="B108" s="4">
        <v>60</v>
      </c>
      <c r="C108" s="11" t="s">
        <v>132</v>
      </c>
      <c r="D108" s="6" t="s">
        <v>26</v>
      </c>
      <c r="E108" s="5">
        <v>1200000</v>
      </c>
      <c r="F108" s="5">
        <v>30</v>
      </c>
      <c r="G108" s="5">
        <f>+E108/30*F108</f>
        <v>1200000</v>
      </c>
      <c r="H108" s="5">
        <f t="shared" si="95"/>
        <v>83140</v>
      </c>
      <c r="I108" s="48"/>
      <c r="J108" s="49">
        <f>+E108-G108</f>
        <v>0</v>
      </c>
      <c r="K108" s="50">
        <f t="shared" si="79"/>
        <v>1283140</v>
      </c>
      <c r="L108" s="5">
        <v>48000</v>
      </c>
      <c r="M108" s="5">
        <v>48000</v>
      </c>
      <c r="N108" s="5"/>
      <c r="O108" s="5"/>
      <c r="P108" s="5">
        <v>0</v>
      </c>
      <c r="Q108" s="5"/>
      <c r="R108" s="5"/>
      <c r="S108" s="5"/>
      <c r="T108" s="5">
        <f t="shared" si="61"/>
        <v>96000</v>
      </c>
      <c r="U108" s="7">
        <f t="shared" si="97"/>
        <v>1187140</v>
      </c>
      <c r="V108" s="7"/>
      <c r="W108" s="44"/>
      <c r="X108" s="7">
        <f t="shared" si="62"/>
        <v>1187140</v>
      </c>
    </row>
    <row r="109" spans="1:24" ht="24" x14ac:dyDescent="0.25">
      <c r="A109" s="51"/>
      <c r="B109" s="4">
        <v>61</v>
      </c>
      <c r="C109" s="11" t="s">
        <v>133</v>
      </c>
      <c r="D109" s="6" t="s">
        <v>26</v>
      </c>
      <c r="E109" s="5">
        <v>1100000</v>
      </c>
      <c r="F109" s="5">
        <v>30</v>
      </c>
      <c r="G109" s="5">
        <f>+E109/30*F109</f>
        <v>1100000</v>
      </c>
      <c r="H109" s="5">
        <f t="shared" si="95"/>
        <v>83140</v>
      </c>
      <c r="I109" s="5"/>
      <c r="J109" s="21"/>
      <c r="K109" s="5">
        <f t="shared" si="79"/>
        <v>1183140</v>
      </c>
      <c r="L109" s="5">
        <f t="shared" ref="L109" si="98">+G109*4%</f>
        <v>44000</v>
      </c>
      <c r="M109" s="5">
        <f t="shared" ref="M109" si="99">+G109*4%</f>
        <v>44000</v>
      </c>
      <c r="N109" s="5"/>
      <c r="O109" s="5"/>
      <c r="P109" s="5">
        <v>0</v>
      </c>
      <c r="Q109" s="5"/>
      <c r="R109" s="5"/>
      <c r="S109" s="5"/>
      <c r="T109" s="5">
        <f t="shared" ref="T109" si="100">SUM(L109:S109)</f>
        <v>88000</v>
      </c>
      <c r="U109" s="7">
        <f t="shared" si="97"/>
        <v>1095140</v>
      </c>
      <c r="V109" s="7"/>
      <c r="W109" s="44"/>
      <c r="X109" s="7">
        <f t="shared" si="62"/>
        <v>1095140</v>
      </c>
    </row>
    <row r="110" spans="1:24" ht="18.75" customHeight="1" x14ac:dyDescent="0.25">
      <c r="A110" s="51"/>
      <c r="B110" s="4">
        <v>62</v>
      </c>
      <c r="C110" s="11" t="s">
        <v>134</v>
      </c>
      <c r="D110" s="6" t="s">
        <v>26</v>
      </c>
      <c r="E110" s="5">
        <v>2000000</v>
      </c>
      <c r="F110" s="5">
        <v>14</v>
      </c>
      <c r="G110" s="5">
        <f t="shared" ref="G110:G114" si="101">+E110/30*F110</f>
        <v>933333.33333333337</v>
      </c>
      <c r="H110" s="5"/>
      <c r="I110" s="5"/>
      <c r="J110" s="5">
        <f>+E110-G110</f>
        <v>1066666.6666666665</v>
      </c>
      <c r="K110" s="5">
        <f t="shared" si="79"/>
        <v>2000000</v>
      </c>
      <c r="L110" s="5">
        <v>80000</v>
      </c>
      <c r="M110" s="5">
        <v>80000</v>
      </c>
      <c r="N110" s="5"/>
      <c r="O110" s="5"/>
      <c r="P110" s="5"/>
      <c r="Q110" s="5"/>
      <c r="R110" s="5"/>
      <c r="S110" s="5"/>
      <c r="T110" s="5">
        <f t="shared" si="61"/>
        <v>160000</v>
      </c>
      <c r="U110" s="7">
        <f t="shared" si="97"/>
        <v>1840000</v>
      </c>
      <c r="V110" s="7"/>
      <c r="W110" s="44"/>
      <c r="X110" s="7">
        <f t="shared" si="62"/>
        <v>1840000</v>
      </c>
    </row>
    <row r="111" spans="1:24" ht="18.75" customHeight="1" x14ac:dyDescent="0.25">
      <c r="A111" s="51"/>
      <c r="B111" s="4">
        <v>63</v>
      </c>
      <c r="C111" s="11" t="s">
        <v>135</v>
      </c>
      <c r="D111" s="6"/>
      <c r="E111" s="5">
        <v>737717</v>
      </c>
      <c r="F111" s="5">
        <v>7</v>
      </c>
      <c r="G111" s="5">
        <f>+E111/30*F111</f>
        <v>172133.96666666667</v>
      </c>
      <c r="H111" s="5">
        <f t="shared" ref="H111:H112" si="102">+(83140/30)*F111</f>
        <v>19399.333333333336</v>
      </c>
      <c r="I111" s="5"/>
      <c r="J111" s="22"/>
      <c r="K111" s="5">
        <f t="shared" ref="K111:K112" si="103">SUM(G111:I111)+J111</f>
        <v>191533.30000000002</v>
      </c>
      <c r="L111" s="5">
        <f t="shared" ref="L111:L112" si="104">+G111*4%</f>
        <v>6885.358666666667</v>
      </c>
      <c r="M111" s="5">
        <f t="shared" ref="M111:M112" si="105">+G111*4%</f>
        <v>6885.358666666667</v>
      </c>
      <c r="N111" s="5"/>
      <c r="O111" s="5"/>
      <c r="P111" s="5">
        <v>0</v>
      </c>
      <c r="Q111" s="5"/>
      <c r="R111" s="5"/>
      <c r="S111" s="5"/>
      <c r="T111" s="5">
        <f t="shared" si="61"/>
        <v>13770.717333333334</v>
      </c>
      <c r="U111" s="7">
        <f t="shared" si="97"/>
        <v>177762.58266666668</v>
      </c>
      <c r="V111" s="7"/>
      <c r="W111" s="44"/>
      <c r="X111" s="7">
        <f t="shared" si="62"/>
        <v>177762.58266666668</v>
      </c>
    </row>
    <row r="112" spans="1:24" ht="18.75" customHeight="1" x14ac:dyDescent="0.25">
      <c r="A112" s="51"/>
      <c r="B112" s="4">
        <v>64</v>
      </c>
      <c r="C112" s="11" t="s">
        <v>136</v>
      </c>
      <c r="D112" s="6"/>
      <c r="E112" s="5">
        <v>1070000</v>
      </c>
      <c r="F112" s="5">
        <v>19</v>
      </c>
      <c r="G112" s="5">
        <f>+E112/30*F112</f>
        <v>677666.66666666663</v>
      </c>
      <c r="H112" s="5">
        <f t="shared" si="102"/>
        <v>52655.333333333336</v>
      </c>
      <c r="I112" s="5"/>
      <c r="J112" s="22"/>
      <c r="K112" s="5">
        <f t="shared" si="103"/>
        <v>730322</v>
      </c>
      <c r="L112" s="5">
        <f t="shared" si="104"/>
        <v>27106.666666666664</v>
      </c>
      <c r="M112" s="5">
        <f t="shared" si="105"/>
        <v>27106.666666666664</v>
      </c>
      <c r="N112" s="5"/>
      <c r="O112" s="5"/>
      <c r="P112" s="5">
        <v>0</v>
      </c>
      <c r="Q112" s="5"/>
      <c r="R112" s="5"/>
      <c r="S112" s="5"/>
      <c r="T112" s="5">
        <f t="shared" ref="T112" si="106">SUM(L112:S112)</f>
        <v>54213.333333333328</v>
      </c>
      <c r="U112" s="7">
        <f t="shared" si="97"/>
        <v>676108.66666666663</v>
      </c>
      <c r="V112" s="7"/>
      <c r="W112" s="44"/>
      <c r="X112" s="7">
        <f t="shared" si="62"/>
        <v>676108.66666666663</v>
      </c>
    </row>
    <row r="113" spans="1:28" x14ac:dyDescent="0.25">
      <c r="A113" s="51"/>
      <c r="B113" s="4">
        <v>65</v>
      </c>
      <c r="C113" s="11" t="s">
        <v>137</v>
      </c>
      <c r="D113" s="6" t="s">
        <v>26</v>
      </c>
      <c r="E113" s="5">
        <v>4000000</v>
      </c>
      <c r="F113" s="5">
        <v>21</v>
      </c>
      <c r="G113" s="5">
        <f>+E113/30*F113</f>
        <v>2800000</v>
      </c>
      <c r="H113" s="5"/>
      <c r="I113" s="5"/>
      <c r="J113" s="5"/>
      <c r="K113" s="5">
        <f t="shared" ref="K113" si="107">SUM(G113:I113)+J113</f>
        <v>2800000</v>
      </c>
      <c r="L113" s="5">
        <f>+G113*4%</f>
        <v>112000</v>
      </c>
      <c r="M113" s="5">
        <f>+G113*4%</f>
        <v>112000</v>
      </c>
      <c r="N113" s="5"/>
      <c r="O113" s="5"/>
      <c r="P113" s="5">
        <v>31064</v>
      </c>
      <c r="Q113" s="5"/>
      <c r="R113" s="5"/>
      <c r="S113" s="5"/>
      <c r="T113" s="5">
        <f t="shared" si="61"/>
        <v>255064</v>
      </c>
      <c r="U113" s="7">
        <f t="shared" si="97"/>
        <v>2544936</v>
      </c>
      <c r="V113" s="7"/>
      <c r="W113" s="44"/>
      <c r="X113" s="7">
        <f t="shared" si="62"/>
        <v>2544936</v>
      </c>
    </row>
    <row r="114" spans="1:28" ht="24.75" customHeight="1" x14ac:dyDescent="0.25">
      <c r="A114" s="51"/>
      <c r="B114" s="4">
        <v>66</v>
      </c>
      <c r="C114" s="11" t="s">
        <v>138</v>
      </c>
      <c r="D114" s="6" t="s">
        <v>26</v>
      </c>
      <c r="E114" s="5">
        <v>2500000</v>
      </c>
      <c r="F114" s="5">
        <v>30</v>
      </c>
      <c r="G114" s="5">
        <f t="shared" si="101"/>
        <v>2500000</v>
      </c>
      <c r="H114" s="5"/>
      <c r="I114" s="5">
        <v>500000</v>
      </c>
      <c r="J114" s="5">
        <f>+E114-G114</f>
        <v>0</v>
      </c>
      <c r="K114" s="5">
        <f t="shared" si="79"/>
        <v>3000000</v>
      </c>
      <c r="L114" s="5">
        <v>100000</v>
      </c>
      <c r="M114" s="5">
        <v>100000</v>
      </c>
      <c r="N114" s="5"/>
      <c r="O114" s="5"/>
      <c r="P114" s="5">
        <v>0</v>
      </c>
      <c r="Q114" s="5"/>
      <c r="R114" s="5"/>
      <c r="S114" s="5"/>
      <c r="T114" s="5">
        <f t="shared" si="61"/>
        <v>200000</v>
      </c>
      <c r="U114" s="7">
        <f>K114-T114</f>
        <v>2800000</v>
      </c>
      <c r="V114" s="7"/>
      <c r="W114" s="44"/>
      <c r="X114" s="7">
        <f t="shared" si="62"/>
        <v>2800000</v>
      </c>
    </row>
    <row r="115" spans="1:28" x14ac:dyDescent="0.25">
      <c r="A115" s="4"/>
      <c r="B115" s="4"/>
      <c r="C115" s="11" t="s">
        <v>139</v>
      </c>
      <c r="D115" s="4"/>
      <c r="E115" s="5">
        <f>SUM(E4:E114)</f>
        <v>372915505</v>
      </c>
      <c r="F115" s="5" t="s">
        <v>1</v>
      </c>
      <c r="G115" s="5">
        <f>SUM(G4:G114)</f>
        <v>346034290.56666666</v>
      </c>
      <c r="H115" s="5">
        <f>SUM(H5:H108)</f>
        <v>2070350.3333333337</v>
      </c>
      <c r="I115" s="5">
        <f>SUM(I5:I108)</f>
        <v>13633987</v>
      </c>
      <c r="J115" s="5">
        <f>SUM(J4:J114)</f>
        <v>12712902.333333332</v>
      </c>
      <c r="K115" s="5">
        <f>SUM(K5:K108)</f>
        <v>360386729.60000002</v>
      </c>
      <c r="L115" s="5">
        <f>SUM(L5:L108)</f>
        <v>13860951.397333333</v>
      </c>
      <c r="M115" s="5">
        <f>SUM(M5:M108)</f>
        <v>16664724.524</v>
      </c>
      <c r="N115" s="5">
        <f>SUM(N5:N108)</f>
        <v>102400</v>
      </c>
      <c r="O115" s="5">
        <f>SUM(O4:O114)</f>
        <v>0</v>
      </c>
      <c r="P115" s="5">
        <f>SUM(P4:P114)</f>
        <v>5057500</v>
      </c>
      <c r="Q115" s="5">
        <f>SUM(Q5:Q108)</f>
        <v>7500000</v>
      </c>
      <c r="R115" s="5">
        <f>SUM(R5:R108)</f>
        <v>1749612</v>
      </c>
      <c r="S115" s="5">
        <f>SUM(S5:S108)</f>
        <v>10165074</v>
      </c>
      <c r="T115" s="5">
        <f>SUM(T5:T108)</f>
        <v>55050197.92133332</v>
      </c>
      <c r="U115" s="7">
        <f>SUM(U4:U114)</f>
        <v>318833128.92799991</v>
      </c>
      <c r="V115" s="7">
        <f>SUM(V5:V108)</f>
        <v>0</v>
      </c>
      <c r="W115" s="44">
        <f>SUM(W5:W108)</f>
        <v>0</v>
      </c>
      <c r="X115" s="7">
        <f>SUM(X4:X114)</f>
        <v>309261929.28799993</v>
      </c>
    </row>
    <row r="116" spans="1:28" x14ac:dyDescent="0.25">
      <c r="E116" s="54"/>
      <c r="F116" s="54"/>
      <c r="G116" s="54"/>
      <c r="U116" s="55"/>
      <c r="V116" s="55"/>
      <c r="X116" s="55"/>
    </row>
    <row r="117" spans="1:28" x14ac:dyDescent="0.25"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7"/>
      <c r="V117" s="53"/>
      <c r="W117" s="58"/>
      <c r="X117" s="57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7"/>
    </row>
    <row r="119" spans="1:28" x14ac:dyDescent="0.25"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54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2"/>
      <c r="W125" s="63"/>
      <c r="X125" s="62"/>
      <c r="Y125" s="53"/>
      <c r="Z125" s="53"/>
      <c r="AA125" s="53"/>
      <c r="AB125" s="53"/>
    </row>
    <row r="126" spans="1:28" x14ac:dyDescent="0.25">
      <c r="B126" s="64"/>
      <c r="C126" s="59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53"/>
      <c r="C127" s="59"/>
      <c r="D127" s="53"/>
      <c r="E127" s="54"/>
      <c r="F127" s="54"/>
      <c r="G127" s="66"/>
      <c r="H127" s="54"/>
      <c r="I127" s="54"/>
      <c r="J127" s="54"/>
      <c r="K127" s="54"/>
      <c r="L127" s="54"/>
      <c r="M127" s="54"/>
      <c r="N127" s="67"/>
      <c r="O127" s="67"/>
      <c r="P127" s="67"/>
      <c r="Q127" s="67"/>
      <c r="R127" s="67"/>
      <c r="S127" s="54"/>
      <c r="T127" s="54"/>
      <c r="U127" s="53"/>
      <c r="V127" s="53"/>
      <c r="W127" s="58"/>
      <c r="X127" s="53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2"/>
      <c r="V128" s="62"/>
      <c r="W128" s="63"/>
      <c r="X128" s="62"/>
      <c r="Y128" s="53"/>
      <c r="Z128" s="53"/>
      <c r="AA128" s="53"/>
      <c r="AB128" s="53"/>
    </row>
    <row r="129" spans="2:28" x14ac:dyDescent="0.25">
      <c r="B129" s="62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53"/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59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59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3"/>
      <c r="V148" s="53"/>
      <c r="W148" s="58"/>
      <c r="X148" s="53"/>
      <c r="Y148" s="53"/>
      <c r="Z148" s="53"/>
      <c r="AA148" s="53"/>
      <c r="AB148" s="53"/>
    </row>
    <row r="149" spans="2:28" x14ac:dyDescent="0.25">
      <c r="C149" s="59"/>
      <c r="D149" s="53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53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B150" s="53"/>
      <c r="C150" s="59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53"/>
      <c r="Z150" s="53"/>
      <c r="AA150" s="53"/>
      <c r="AB150" s="53"/>
    </row>
    <row r="151" spans="2:28" x14ac:dyDescent="0.25">
      <c r="B151" s="53"/>
      <c r="C151" s="59"/>
      <c r="D151" s="53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  <c r="Y151" s="53"/>
      <c r="Z151" s="53"/>
      <c r="AA151" s="53"/>
      <c r="AB151" s="53"/>
    </row>
    <row r="152" spans="2:28" x14ac:dyDescent="0.25">
      <c r="B152" s="53"/>
      <c r="C152" s="68"/>
      <c r="D152" s="62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</row>
    <row r="153" spans="2:28" x14ac:dyDescent="0.25">
      <c r="B153" s="69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68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7"/>
      <c r="V160" s="57"/>
      <c r="W160" s="58"/>
      <c r="X160" s="57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70"/>
      <c r="V163" s="70"/>
      <c r="W163" s="58"/>
      <c r="X163" s="70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1"/>
      <c r="V164" s="71"/>
      <c r="W164" s="58"/>
      <c r="X164" s="71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>
        <v>3003000</v>
      </c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v>42614840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>
        <v>412608</v>
      </c>
      <c r="U177" s="53"/>
      <c r="V177" s="53"/>
      <c r="W177" s="58"/>
      <c r="X177" s="53"/>
    </row>
    <row r="178" spans="3:24" x14ac:dyDescent="0.25">
      <c r="C178" s="59">
        <v>9675182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1880000</v>
      </c>
      <c r="U178" s="53"/>
      <c r="V178" s="53"/>
      <c r="W178" s="58"/>
      <c r="X178" s="53"/>
    </row>
    <row r="179" spans="3:24" x14ac:dyDescent="0.25">
      <c r="C179" s="59">
        <v>17903600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SUM(C177:C179)</f>
        <v>70193622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v>400000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f>+C180+C181</f>
        <v>70593622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5" spans="3:24" x14ac:dyDescent="0.25">
      <c r="C185" s="52">
        <v>64000000</v>
      </c>
    </row>
    <row r="186" spans="3:24" x14ac:dyDescent="0.25">
      <c r="C186" s="52">
        <v>11000000</v>
      </c>
    </row>
    <row r="187" spans="3:24" x14ac:dyDescent="0.25">
      <c r="C187" s="52">
        <f>+C185+C186</f>
        <v>75000000</v>
      </c>
    </row>
    <row r="191" spans="3:24" x14ac:dyDescent="0.25">
      <c r="C191" s="52">
        <v>2745000</v>
      </c>
    </row>
    <row r="192" spans="3:24" x14ac:dyDescent="0.25">
      <c r="C192" s="52">
        <v>3185000</v>
      </c>
    </row>
    <row r="193" spans="3:3" x14ac:dyDescent="0.25">
      <c r="C193" s="52">
        <v>1080000</v>
      </c>
    </row>
    <row r="194" spans="3:3" x14ac:dyDescent="0.25">
      <c r="C194" s="52">
        <v>4850100</v>
      </c>
    </row>
    <row r="195" spans="3:3" x14ac:dyDescent="0.25">
      <c r="C195" s="52">
        <v>5027500</v>
      </c>
    </row>
    <row r="196" spans="3:3" x14ac:dyDescent="0.25">
      <c r="C196" s="52">
        <v>4566000</v>
      </c>
    </row>
    <row r="197" spans="3:3" x14ac:dyDescent="0.25">
      <c r="C197" s="52">
        <v>1050000</v>
      </c>
    </row>
    <row r="198" spans="3:3" x14ac:dyDescent="0.25">
      <c r="C198" s="52">
        <v>3877333</v>
      </c>
    </row>
    <row r="199" spans="3:3" x14ac:dyDescent="0.25">
      <c r="C199" s="52">
        <v>6732440</v>
      </c>
    </row>
    <row r="200" spans="3:3" x14ac:dyDescent="0.25">
      <c r="C200" s="52">
        <v>3460000</v>
      </c>
    </row>
    <row r="201" spans="3:3" x14ac:dyDescent="0.25">
      <c r="C201" s="52">
        <v>588800</v>
      </c>
    </row>
    <row r="202" spans="3:3" x14ac:dyDescent="0.25">
      <c r="C202" s="52">
        <v>1868000</v>
      </c>
    </row>
    <row r="203" spans="3:3" x14ac:dyDescent="0.25">
      <c r="C203" s="52">
        <v>10313000</v>
      </c>
    </row>
    <row r="204" spans="3:3" x14ac:dyDescent="0.25">
      <c r="C204" s="52">
        <v>3443800</v>
      </c>
    </row>
    <row r="205" spans="3:3" x14ac:dyDescent="0.25">
      <c r="C205" s="52">
        <v>8136400</v>
      </c>
    </row>
    <row r="206" spans="3:3" x14ac:dyDescent="0.25">
      <c r="C206" s="52">
        <v>9675183</v>
      </c>
    </row>
    <row r="207" spans="3:3" x14ac:dyDescent="0.25">
      <c r="C207" s="52">
        <f>SUM(C191:C206)</f>
        <v>70598556</v>
      </c>
    </row>
  </sheetData>
  <mergeCells count="7">
    <mergeCell ref="D150:X150"/>
    <mergeCell ref="C1:U1"/>
    <mergeCell ref="E2:K2"/>
    <mergeCell ref="L2:T2"/>
    <mergeCell ref="A3:A48"/>
    <mergeCell ref="A49:A108"/>
    <mergeCell ref="E149:Q14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205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2851562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1.7109375" style="45" customWidth="1"/>
    <col min="23" max="23" width="1.85546875" style="56" customWidth="1"/>
    <col min="24" max="24" width="27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2" t="s">
        <v>186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4"/>
      <c r="W1" s="44"/>
      <c r="X1" s="4"/>
    </row>
    <row r="2" spans="1:24" x14ac:dyDescent="0.25">
      <c r="C2" s="3" t="s">
        <v>1</v>
      </c>
      <c r="D2" s="4"/>
      <c r="E2" s="93" t="s">
        <v>2</v>
      </c>
      <c r="F2" s="93"/>
      <c r="G2" s="93"/>
      <c r="H2" s="93"/>
      <c r="I2" s="93"/>
      <c r="J2" s="93"/>
      <c r="K2" s="93"/>
      <c r="L2" s="93" t="s">
        <v>3</v>
      </c>
      <c r="M2" s="93"/>
      <c r="N2" s="93"/>
      <c r="O2" s="93"/>
      <c r="P2" s="93"/>
      <c r="Q2" s="93"/>
      <c r="R2" s="93"/>
      <c r="S2" s="93"/>
      <c r="T2" s="93"/>
      <c r="U2" s="4"/>
      <c r="V2" s="4"/>
      <c r="W2" s="44"/>
      <c r="X2" s="4"/>
    </row>
    <row r="3" spans="1:24" ht="39" customHeight="1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161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180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187</v>
      </c>
    </row>
    <row r="4" spans="1:24" x14ac:dyDescent="0.25">
      <c r="A4" s="95"/>
      <c r="B4" s="6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v>3850000</v>
      </c>
      <c r="H4" s="5"/>
      <c r="I4" s="5"/>
      <c r="J4" s="5">
        <f>+E4-G4</f>
        <v>1400000</v>
      </c>
      <c r="K4" s="5">
        <f t="shared" ref="K4:K33" si="0">SUM(G4:I4)+J4</f>
        <v>5250000</v>
      </c>
      <c r="L4" s="5">
        <f>+E4*4%</f>
        <v>210000</v>
      </c>
      <c r="M4" s="5">
        <f>+E4*5%</f>
        <v>262500</v>
      </c>
      <c r="N4" s="5"/>
      <c r="O4" s="5"/>
      <c r="P4" s="5">
        <v>32000</v>
      </c>
      <c r="Q4" s="5"/>
      <c r="R4" s="5"/>
      <c r="S4" s="5"/>
      <c r="T4" s="5">
        <f t="shared" ref="T4:T45" si="1">SUM(L4:S4)</f>
        <v>504500</v>
      </c>
      <c r="U4" s="7">
        <f t="shared" ref="U4:U9" si="2">+K4-T4</f>
        <v>4745500</v>
      </c>
      <c r="V4" s="7"/>
      <c r="W4" s="44"/>
      <c r="X4" s="7">
        <f>U4+V4-W4</f>
        <v>4745500</v>
      </c>
    </row>
    <row r="5" spans="1:24" ht="24" x14ac:dyDescent="0.25">
      <c r="A5" s="95"/>
      <c r="B5" s="6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+E5-J5</f>
        <v>4500000</v>
      </c>
      <c r="H5" s="5"/>
      <c r="I5" s="5">
        <v>500000</v>
      </c>
      <c r="J5" s="5"/>
      <c r="K5" s="5">
        <f t="shared" si="0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2"/>
        <v>4515227</v>
      </c>
      <c r="V5" s="7"/>
      <c r="W5" s="44"/>
      <c r="X5" s="7">
        <f t="shared" ref="X5:X68" si="3">U5+V5-W5</f>
        <v>4515227</v>
      </c>
    </row>
    <row r="6" spans="1:24" ht="22.5" customHeight="1" x14ac:dyDescent="0.25">
      <c r="A6" s="95"/>
      <c r="B6" s="6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+E6-J6</f>
        <v>5500000</v>
      </c>
      <c r="H6" s="5"/>
      <c r="I6" s="5">
        <v>500000</v>
      </c>
      <c r="J6" s="5">
        <v>0</v>
      </c>
      <c r="K6" s="5">
        <f t="shared" si="0"/>
        <v>6000000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1"/>
        <v>597000</v>
      </c>
      <c r="U6" s="7">
        <f t="shared" si="2"/>
        <v>5403000</v>
      </c>
      <c r="V6" s="7"/>
      <c r="W6" s="44"/>
      <c r="X6" s="7">
        <f t="shared" si="3"/>
        <v>5403000</v>
      </c>
    </row>
    <row r="7" spans="1:24" ht="22.5" customHeight="1" x14ac:dyDescent="0.25">
      <c r="A7" s="95"/>
      <c r="B7" s="6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>
        <f t="shared" ref="K7" si="4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5">SUM(L7:S7)</f>
        <v>1318828.71</v>
      </c>
      <c r="U7" s="7">
        <f t="shared" si="2"/>
        <v>4173490.29</v>
      </c>
      <c r="V7" s="7"/>
      <c r="W7" s="44"/>
      <c r="X7" s="7">
        <f t="shared" si="3"/>
        <v>4173490.29</v>
      </c>
    </row>
    <row r="8" spans="1:24" ht="26.25" customHeight="1" x14ac:dyDescent="0.25">
      <c r="A8" s="95"/>
      <c r="B8" s="6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:G9" si="6">+E8/30*F8</f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2"/>
        <v>3924000</v>
      </c>
      <c r="V8" s="7"/>
      <c r="W8" s="44"/>
      <c r="X8" s="7">
        <f t="shared" si="3"/>
        <v>3924000</v>
      </c>
    </row>
    <row r="9" spans="1:24" x14ac:dyDescent="0.25">
      <c r="A9" s="95"/>
      <c r="B9" s="6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6"/>
        <v>5000000</v>
      </c>
      <c r="H9" s="5"/>
      <c r="I9" s="5">
        <v>2012670</v>
      </c>
      <c r="J9" s="5"/>
      <c r="K9" s="5">
        <f t="shared" si="0"/>
        <v>7012670</v>
      </c>
      <c r="L9" s="5">
        <f>+G9*4%</f>
        <v>200000</v>
      </c>
      <c r="M9" s="5">
        <f t="shared" ref="M9:M33" si="7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1"/>
        <v>1200000</v>
      </c>
      <c r="U9" s="7">
        <f t="shared" si="2"/>
        <v>5812670</v>
      </c>
      <c r="V9" s="7"/>
      <c r="W9" s="44"/>
      <c r="X9" s="7">
        <f t="shared" si="3"/>
        <v>5812670</v>
      </c>
    </row>
    <row r="10" spans="1:24" x14ac:dyDescent="0.25">
      <c r="A10" s="95"/>
      <c r="B10" s="6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0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1"/>
        <v>1914081</v>
      </c>
      <c r="U10" s="7">
        <f>K10-T10</f>
        <v>2585919</v>
      </c>
      <c r="V10" s="7"/>
      <c r="W10" s="44"/>
      <c r="X10" s="7">
        <f t="shared" si="3"/>
        <v>2585919</v>
      </c>
    </row>
    <row r="11" spans="1:24" x14ac:dyDescent="0.25">
      <c r="A11" s="95"/>
      <c r="B11" s="6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8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9">SUM(L11:S11)</f>
        <v>415000</v>
      </c>
      <c r="U11" s="7">
        <f>K11-T11</f>
        <v>4085000</v>
      </c>
      <c r="V11" s="7"/>
      <c r="W11" s="44"/>
      <c r="X11" s="7">
        <f t="shared" si="3"/>
        <v>4085000</v>
      </c>
    </row>
    <row r="12" spans="1:24" x14ac:dyDescent="0.25">
      <c r="A12" s="95"/>
      <c r="B12" s="6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1"/>
        <v>492500</v>
      </c>
      <c r="U12" s="7">
        <f t="shared" ref="U12:U18" si="10">+K12-T12</f>
        <v>4907500</v>
      </c>
      <c r="V12" s="7"/>
      <c r="W12" s="44"/>
      <c r="X12" s="7">
        <f t="shared" si="3"/>
        <v>4907500</v>
      </c>
    </row>
    <row r="13" spans="1:24" x14ac:dyDescent="0.25">
      <c r="A13" s="95"/>
      <c r="B13" s="6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>
        <f t="shared" ref="K13" si="12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ref="T13" si="13">SUM(L13:S13)</f>
        <v>407800</v>
      </c>
      <c r="U13" s="7">
        <f t="shared" si="10"/>
        <v>4092200</v>
      </c>
      <c r="V13" s="7"/>
      <c r="W13" s="44"/>
      <c r="X13" s="7">
        <f t="shared" si="3"/>
        <v>4092200</v>
      </c>
    </row>
    <row r="14" spans="1:24" x14ac:dyDescent="0.25">
      <c r="A14" s="95"/>
      <c r="B14" s="6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1"/>
        <v>408000</v>
      </c>
      <c r="U14" s="7">
        <f t="shared" si="10"/>
        <v>4092000</v>
      </c>
      <c r="V14" s="7"/>
      <c r="W14" s="44"/>
      <c r="X14" s="7">
        <f t="shared" si="3"/>
        <v>4092000</v>
      </c>
    </row>
    <row r="15" spans="1:24" x14ac:dyDescent="0.25">
      <c r="A15" s="95"/>
      <c r="B15" s="6"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>
        <f t="shared" ref="K15:K17" si="14">SUM(G15:I15)+J15</f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7"/>
      <c r="W15" s="44"/>
      <c r="X15" s="7">
        <f t="shared" si="3"/>
        <v>3184471</v>
      </c>
    </row>
    <row r="16" spans="1:24" ht="18.75" customHeight="1" x14ac:dyDescent="0.25">
      <c r="A16" s="95"/>
      <c r="B16" s="6"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5">SUM(L16:S16)</f>
        <v>364500</v>
      </c>
      <c r="U16" s="7">
        <f t="shared" ref="U16:U17" si="16">+K16-T16</f>
        <v>3635500.0000000005</v>
      </c>
      <c r="V16" s="7"/>
      <c r="W16" s="44"/>
      <c r="X16" s="7">
        <f t="shared" si="3"/>
        <v>3635500.0000000005</v>
      </c>
    </row>
    <row r="17" spans="1:24" ht="16.5" customHeight="1" x14ac:dyDescent="0.25">
      <c r="A17" s="95"/>
      <c r="B17" s="6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11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6"/>
        <v>4023000</v>
      </c>
      <c r="V17" s="7"/>
      <c r="W17" s="44"/>
      <c r="X17" s="7">
        <f t="shared" si="3"/>
        <v>4023000</v>
      </c>
    </row>
    <row r="18" spans="1:24" x14ac:dyDescent="0.25">
      <c r="A18" s="95"/>
      <c r="B18" s="6"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1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1"/>
        <v>2010521</v>
      </c>
      <c r="U18" s="7">
        <f t="shared" si="10"/>
        <v>3939479</v>
      </c>
      <c r="V18" s="7"/>
      <c r="W18" s="44"/>
      <c r="X18" s="7">
        <f t="shared" si="3"/>
        <v>3939479</v>
      </c>
    </row>
    <row r="19" spans="1:24" ht="24" x14ac:dyDescent="0.25">
      <c r="A19" s="95"/>
      <c r="B19" s="6">
        <v>16</v>
      </c>
      <c r="C19" s="11" t="s">
        <v>42</v>
      </c>
      <c r="D19" s="6" t="s">
        <v>26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0"/>
        <v>6350000</v>
      </c>
      <c r="L19" s="5">
        <v>214000</v>
      </c>
      <c r="M19" s="5">
        <f>214000+53500</f>
        <v>267500</v>
      </c>
      <c r="N19" s="5"/>
      <c r="O19" s="5"/>
      <c r="P19" s="17">
        <v>121000</v>
      </c>
      <c r="Q19" s="5"/>
      <c r="R19" s="5"/>
      <c r="S19" s="5">
        <v>810005</v>
      </c>
      <c r="T19" s="5">
        <f>SUM(L19:S19)</f>
        <v>1412505</v>
      </c>
      <c r="U19" s="7">
        <f>K19-T19</f>
        <v>4937495</v>
      </c>
      <c r="V19" s="7"/>
      <c r="W19" s="44"/>
      <c r="X19" s="7">
        <f t="shared" si="3"/>
        <v>4937495</v>
      </c>
    </row>
    <row r="20" spans="1:24" x14ac:dyDescent="0.25">
      <c r="A20" s="95"/>
      <c r="B20" s="6">
        <v>17</v>
      </c>
      <c r="C20" s="11" t="s">
        <v>43</v>
      </c>
      <c r="D20" s="6" t="s">
        <v>26</v>
      </c>
      <c r="E20" s="5">
        <v>6600000</v>
      </c>
      <c r="F20" s="12">
        <v>30</v>
      </c>
      <c r="G20" s="5">
        <f t="shared" ref="G20:G28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>
        <v>2277509</v>
      </c>
      <c r="P20" s="17">
        <v>180000</v>
      </c>
      <c r="Q20" s="5"/>
      <c r="R20" s="5"/>
      <c r="S20" s="5"/>
      <c r="T20" s="5">
        <f t="shared" si="1"/>
        <v>3051509</v>
      </c>
      <c r="U20" s="7">
        <f>K20-T20</f>
        <v>3548491</v>
      </c>
      <c r="V20" s="7"/>
      <c r="W20" s="44"/>
      <c r="X20" s="7">
        <f t="shared" si="3"/>
        <v>3548491</v>
      </c>
    </row>
    <row r="21" spans="1:24" x14ac:dyDescent="0.25">
      <c r="A21" s="95"/>
      <c r="B21" s="6">
        <v>18</v>
      </c>
      <c r="C21" s="11" t="s">
        <v>44</v>
      </c>
      <c r="D21" s="6" t="s">
        <v>26</v>
      </c>
      <c r="E21" s="5">
        <v>6900000</v>
      </c>
      <c r="F21" s="12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3"/>
        <v>6266000</v>
      </c>
    </row>
    <row r="22" spans="1:24" x14ac:dyDescent="0.25">
      <c r="A22" s="95"/>
      <c r="B22" s="6">
        <v>19</v>
      </c>
      <c r="C22" s="11" t="s">
        <v>45</v>
      </c>
      <c r="D22" s="6" t="s">
        <v>26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3"/>
        <v>3185000</v>
      </c>
    </row>
    <row r="23" spans="1:24" x14ac:dyDescent="0.25">
      <c r="A23" s="95"/>
      <c r="B23" s="6"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>+E23</f>
        <v>5000000</v>
      </c>
      <c r="H23" s="5"/>
      <c r="I23" s="5">
        <v>1621317</v>
      </c>
      <c r="J23" s="5">
        <v>3333333</v>
      </c>
      <c r="K23" s="5">
        <f>SUM(G23:I23)+J23</f>
        <v>9954650</v>
      </c>
      <c r="L23" s="5">
        <v>200000</v>
      </c>
      <c r="M23" s="5">
        <v>250000</v>
      </c>
      <c r="N23" s="5"/>
      <c r="O23" s="5"/>
      <c r="P23" s="17">
        <v>50000</v>
      </c>
      <c r="Q23" s="5"/>
      <c r="R23" s="5"/>
      <c r="S23" s="5">
        <f>884747</f>
        <v>884747</v>
      </c>
      <c r="T23" s="5">
        <f t="shared" si="1"/>
        <v>1384747</v>
      </c>
      <c r="U23" s="7">
        <f>+K23-T23</f>
        <v>8569903</v>
      </c>
      <c r="V23" s="7"/>
      <c r="W23" s="44"/>
      <c r="X23" s="7">
        <f t="shared" si="3"/>
        <v>8569903</v>
      </c>
    </row>
    <row r="24" spans="1:24" x14ac:dyDescent="0.25">
      <c r="A24" s="95"/>
      <c r="B24" s="6"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>+E24-J24</f>
        <v>4500000</v>
      </c>
      <c r="H24" s="5"/>
      <c r="I24" s="5"/>
      <c r="J24" s="5">
        <v>0</v>
      </c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1"/>
        <v>436000</v>
      </c>
      <c r="U24" s="7">
        <f>+K24-T24</f>
        <v>4064000</v>
      </c>
      <c r="V24" s="7"/>
      <c r="W24" s="44"/>
      <c r="X24" s="7">
        <f t="shared" si="3"/>
        <v>4064000</v>
      </c>
    </row>
    <row r="25" spans="1:24" x14ac:dyDescent="0.25">
      <c r="A25" s="95"/>
      <c r="B25" s="6"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>
        <f t="shared" ref="K25" si="25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7">
        <v>141000</v>
      </c>
      <c r="Q25" s="5"/>
      <c r="R25" s="5"/>
      <c r="S25" s="5"/>
      <c r="T25" s="5">
        <f t="shared" ref="T25" si="26">SUM(L25:S25)</f>
        <v>636000</v>
      </c>
      <c r="U25" s="7">
        <f>+K25-T25</f>
        <v>4864000</v>
      </c>
      <c r="V25" s="7"/>
      <c r="W25" s="44"/>
      <c r="X25" s="7">
        <f t="shared" si="3"/>
        <v>4864000</v>
      </c>
    </row>
    <row r="26" spans="1:24" x14ac:dyDescent="0.25">
      <c r="A26" s="95"/>
      <c r="B26" s="6">
        <v>23</v>
      </c>
      <c r="C26" s="11" t="s">
        <v>49</v>
      </c>
      <c r="D26" s="6" t="s">
        <v>26</v>
      </c>
      <c r="E26" s="5">
        <v>4500000</v>
      </c>
      <c r="F26" s="12">
        <v>27</v>
      </c>
      <c r="G26" s="5">
        <f t="shared" si="17"/>
        <v>4050000</v>
      </c>
      <c r="H26" s="5"/>
      <c r="I26" s="5"/>
      <c r="J26" s="5">
        <v>300015</v>
      </c>
      <c r="K26" s="5">
        <f t="shared" ref="K26" si="27">SUM(G26:I26)+J26</f>
        <v>4350015</v>
      </c>
      <c r="L26" s="5">
        <f>+E26*4%</f>
        <v>180000</v>
      </c>
      <c r="M26" s="5">
        <f>+E26*5%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28">SUM(L26:S26)</f>
        <v>477000</v>
      </c>
      <c r="U26" s="7">
        <f>+K26-T26</f>
        <v>3873015</v>
      </c>
      <c r="V26" s="7"/>
      <c r="W26" s="44"/>
      <c r="X26" s="7">
        <f t="shared" si="3"/>
        <v>3873015</v>
      </c>
    </row>
    <row r="27" spans="1:24" x14ac:dyDescent="0.25">
      <c r="A27" s="95"/>
      <c r="B27" s="6">
        <v>24</v>
      </c>
      <c r="C27" s="11" t="s">
        <v>50</v>
      </c>
      <c r="D27" s="6" t="s">
        <v>26</v>
      </c>
      <c r="E27" s="5">
        <v>6000000</v>
      </c>
      <c r="F27" s="12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1"/>
        <v>619000</v>
      </c>
      <c r="U27" s="7">
        <f>K27-T27</f>
        <v>5381000</v>
      </c>
      <c r="V27" s="7"/>
      <c r="W27" s="44"/>
      <c r="X27" s="7">
        <f t="shared" si="3"/>
        <v>5381000</v>
      </c>
    </row>
    <row r="28" spans="1:24" x14ac:dyDescent="0.25">
      <c r="A28" s="95"/>
      <c r="B28" s="6">
        <v>25</v>
      </c>
      <c r="C28" s="11" t="s">
        <v>52</v>
      </c>
      <c r="D28" s="6" t="s">
        <v>26</v>
      </c>
      <c r="E28" s="5">
        <v>3500000</v>
      </c>
      <c r="F28" s="12">
        <v>30</v>
      </c>
      <c r="G28" s="5">
        <f t="shared" si="17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/>
      <c r="P28" s="17">
        <v>0</v>
      </c>
      <c r="Q28" s="5"/>
      <c r="R28" s="5">
        <v>111000</v>
      </c>
      <c r="S28" s="5"/>
      <c r="T28" s="5">
        <f t="shared" ref="T28" si="29">SUM(L28:S28)</f>
        <v>426000</v>
      </c>
      <c r="U28" s="7">
        <f>K28-T28</f>
        <v>3074000</v>
      </c>
      <c r="V28" s="7"/>
      <c r="W28" s="44"/>
      <c r="X28" s="7">
        <f t="shared" si="3"/>
        <v>3074000</v>
      </c>
    </row>
    <row r="29" spans="1:24" x14ac:dyDescent="0.25">
      <c r="A29" s="95"/>
      <c r="B29" s="6">
        <v>26</v>
      </c>
      <c r="C29" s="11" t="s">
        <v>53</v>
      </c>
      <c r="D29" s="6" t="s">
        <v>26</v>
      </c>
      <c r="E29" s="5">
        <v>4800000</v>
      </c>
      <c r="F29" s="12">
        <v>30</v>
      </c>
      <c r="G29" s="5">
        <f t="shared" ref="G29:G43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1"/>
        <v>1941579</v>
      </c>
      <c r="U29" s="7">
        <f>K29-T29</f>
        <v>2858421</v>
      </c>
      <c r="V29" s="7"/>
      <c r="W29" s="44"/>
      <c r="X29" s="7">
        <f t="shared" si="3"/>
        <v>2858421</v>
      </c>
    </row>
    <row r="30" spans="1:24" x14ac:dyDescent="0.25">
      <c r="A30" s="95"/>
      <c r="B30" s="6">
        <v>27</v>
      </c>
      <c r="C30" s="11" t="s">
        <v>54</v>
      </c>
      <c r="D30" s="6" t="s">
        <v>26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+K30*4%</f>
        <v>171200</v>
      </c>
      <c r="M30" s="5">
        <f>+K30*5%</f>
        <v>214000</v>
      </c>
      <c r="N30" s="5"/>
      <c r="O30" s="5"/>
      <c r="P30" s="17">
        <v>31064</v>
      </c>
      <c r="Q30" s="5"/>
      <c r="R30" s="5"/>
      <c r="S30" s="5"/>
      <c r="T30" s="5">
        <f t="shared" si="1"/>
        <v>416264</v>
      </c>
      <c r="U30" s="7">
        <f>K30-T30</f>
        <v>3863736</v>
      </c>
      <c r="V30" s="7"/>
      <c r="W30" s="44"/>
      <c r="X30" s="7">
        <f t="shared" si="3"/>
        <v>3863736</v>
      </c>
    </row>
    <row r="31" spans="1:24" x14ac:dyDescent="0.25">
      <c r="A31" s="95"/>
      <c r="B31" s="6">
        <v>28</v>
      </c>
      <c r="C31" s="11" t="s">
        <v>110</v>
      </c>
      <c r="D31" s="6" t="s">
        <v>26</v>
      </c>
      <c r="E31" s="5">
        <v>3500000</v>
      </c>
      <c r="F31" s="12">
        <v>30</v>
      </c>
      <c r="G31" s="5">
        <f t="shared" ref="G31" si="31">E31/30*F31</f>
        <v>3500000</v>
      </c>
      <c r="H31" s="5"/>
      <c r="I31" s="5"/>
      <c r="J31" s="5">
        <f>+E31-G31</f>
        <v>0</v>
      </c>
      <c r="K31" s="5">
        <f>SUM(G31:I31)+J31</f>
        <v>3500000</v>
      </c>
      <c r="L31" s="5">
        <f>+G31*4%</f>
        <v>140000</v>
      </c>
      <c r="M31" s="5">
        <f>+G31*5%</f>
        <v>175000</v>
      </c>
      <c r="N31" s="5"/>
      <c r="O31" s="5"/>
      <c r="P31" s="5">
        <v>0</v>
      </c>
      <c r="Q31" s="5"/>
      <c r="R31" s="5"/>
      <c r="S31" s="5">
        <v>257196</v>
      </c>
      <c r="T31" s="5">
        <f>SUM(L31:S31)</f>
        <v>572196</v>
      </c>
      <c r="U31" s="7">
        <f>+K31-T31</f>
        <v>2927804</v>
      </c>
      <c r="V31" s="7"/>
      <c r="W31" s="44"/>
      <c r="X31" s="7">
        <f t="shared" si="3"/>
        <v>2927804</v>
      </c>
    </row>
    <row r="32" spans="1:24" x14ac:dyDescent="0.25">
      <c r="A32" s="95"/>
      <c r="B32" s="6">
        <v>29</v>
      </c>
      <c r="C32" s="11" t="s">
        <v>55</v>
      </c>
      <c r="D32" s="6" t="s">
        <v>26</v>
      </c>
      <c r="E32" s="5">
        <v>6000000</v>
      </c>
      <c r="F32" s="12">
        <v>30</v>
      </c>
      <c r="G32" s="5">
        <f t="shared" si="30"/>
        <v>6000000</v>
      </c>
      <c r="H32" s="5"/>
      <c r="I32" s="5"/>
      <c r="J32" s="5"/>
      <c r="K32" s="5">
        <f t="shared" si="0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1"/>
        <v>870614</v>
      </c>
      <c r="U32" s="7">
        <f t="shared" ref="U32:U33" si="32">+K32-T32</f>
        <v>5129386</v>
      </c>
      <c r="V32" s="7"/>
      <c r="W32" s="44"/>
      <c r="X32" s="7">
        <f t="shared" si="3"/>
        <v>5129386</v>
      </c>
    </row>
    <row r="33" spans="1:26" x14ac:dyDescent="0.25">
      <c r="A33" s="95"/>
      <c r="B33" s="6">
        <v>30</v>
      </c>
      <c r="C33" s="11" t="s">
        <v>56</v>
      </c>
      <c r="D33" s="6" t="s">
        <v>26</v>
      </c>
      <c r="E33" s="5">
        <v>4500000</v>
      </c>
      <c r="F33" s="12">
        <v>30</v>
      </c>
      <c r="G33" s="5">
        <f t="shared" si="30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ref="L33" si="33">+G33*4%</f>
        <v>180000</v>
      </c>
      <c r="M33" s="5">
        <f t="shared" si="7"/>
        <v>225000</v>
      </c>
      <c r="N33" s="5"/>
      <c r="O33" s="5"/>
      <c r="P33" s="5">
        <v>11000</v>
      </c>
      <c r="Q33" s="5"/>
      <c r="R33" s="5"/>
      <c r="S33" s="5">
        <v>551399</v>
      </c>
      <c r="T33" s="5">
        <f t="shared" si="1"/>
        <v>967399</v>
      </c>
      <c r="U33" s="7">
        <f t="shared" si="32"/>
        <v>4032601</v>
      </c>
      <c r="V33" s="7"/>
      <c r="W33" s="44"/>
      <c r="X33" s="7">
        <f t="shared" si="3"/>
        <v>4032601</v>
      </c>
    </row>
    <row r="34" spans="1:26" x14ac:dyDescent="0.25">
      <c r="A34" s="95"/>
      <c r="B34" s="6">
        <v>31</v>
      </c>
      <c r="C34" s="3" t="s">
        <v>57</v>
      </c>
      <c r="D34" s="4" t="s">
        <v>26</v>
      </c>
      <c r="E34" s="5">
        <v>5400000</v>
      </c>
      <c r="F34" s="12">
        <v>30</v>
      </c>
      <c r="G34" s="5">
        <f>+E34-J34</f>
        <v>5400000</v>
      </c>
      <c r="H34" s="5"/>
      <c r="I34" s="5"/>
      <c r="J34" s="5"/>
      <c r="K34" s="5">
        <f>SUM(G34:I34)+J34</f>
        <v>5400000</v>
      </c>
      <c r="L34" s="5">
        <f>+G34*4%</f>
        <v>216000</v>
      </c>
      <c r="M34" s="5">
        <f>+G34*5%</f>
        <v>270000</v>
      </c>
      <c r="N34" s="5"/>
      <c r="O34" s="5"/>
      <c r="P34" s="5">
        <v>48240</v>
      </c>
      <c r="Q34" s="5"/>
      <c r="R34" s="5"/>
      <c r="S34" s="5">
        <v>541379</v>
      </c>
      <c r="T34" s="5">
        <f t="shared" si="1"/>
        <v>1075619</v>
      </c>
      <c r="U34" s="7">
        <f>K34-T34</f>
        <v>4324381</v>
      </c>
      <c r="V34" s="7"/>
      <c r="W34" s="44"/>
      <c r="X34" s="7">
        <f t="shared" si="3"/>
        <v>4324381</v>
      </c>
    </row>
    <row r="35" spans="1:26" ht="24.75" customHeight="1" x14ac:dyDescent="0.25">
      <c r="A35" s="95"/>
      <c r="B35" s="6">
        <v>32</v>
      </c>
      <c r="C35" s="11" t="s">
        <v>58</v>
      </c>
      <c r="D35" s="6" t="s">
        <v>26</v>
      </c>
      <c r="E35" s="5">
        <v>6420000</v>
      </c>
      <c r="F35" s="12">
        <v>30</v>
      </c>
      <c r="G35" s="5">
        <v>4708000</v>
      </c>
      <c r="H35" s="5"/>
      <c r="I35" s="5">
        <v>500000</v>
      </c>
      <c r="J35" s="5">
        <f>+E35-G35</f>
        <v>1712000</v>
      </c>
      <c r="K35" s="5">
        <f>SUM(G35:I35)+J35</f>
        <v>6920000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1"/>
        <v>808800</v>
      </c>
      <c r="U35" s="7">
        <f>+K35-T35</f>
        <v>6111200</v>
      </c>
      <c r="V35" s="7"/>
      <c r="W35" s="44"/>
      <c r="X35" s="7">
        <f t="shared" si="3"/>
        <v>6111200</v>
      </c>
    </row>
    <row r="36" spans="1:26" x14ac:dyDescent="0.25">
      <c r="A36" s="95"/>
      <c r="B36" s="6">
        <v>33</v>
      </c>
      <c r="C36" s="3" t="s">
        <v>59</v>
      </c>
      <c r="D36" s="4" t="s">
        <v>26</v>
      </c>
      <c r="E36" s="5">
        <v>6900000</v>
      </c>
      <c r="F36" s="12">
        <v>30</v>
      </c>
      <c r="G36" s="5">
        <f t="shared" si="30"/>
        <v>6900000</v>
      </c>
      <c r="H36" s="5"/>
      <c r="I36" s="5">
        <v>1500000</v>
      </c>
      <c r="J36" s="5"/>
      <c r="K36" s="5">
        <f t="shared" ref="K36:K78" si="34">SUM(G36:I36)+J36</f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1"/>
        <v>966000</v>
      </c>
      <c r="U36" s="7">
        <f>K36-T36</f>
        <v>7434000</v>
      </c>
      <c r="V36" s="7"/>
      <c r="W36" s="44"/>
      <c r="X36" s="7">
        <f t="shared" si="3"/>
        <v>7434000</v>
      </c>
    </row>
    <row r="37" spans="1:26" x14ac:dyDescent="0.25">
      <c r="A37" s="95"/>
      <c r="B37" s="6">
        <v>34</v>
      </c>
      <c r="C37" s="3" t="s">
        <v>61</v>
      </c>
      <c r="D37" s="4" t="s">
        <v>26</v>
      </c>
      <c r="E37" s="5">
        <v>5500000</v>
      </c>
      <c r="F37" s="12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5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6">SUM(L37:S37)</f>
        <v>639000</v>
      </c>
      <c r="U37" s="7">
        <f t="shared" ref="U37" si="37">K37-T37</f>
        <v>5361000</v>
      </c>
      <c r="V37" s="7"/>
      <c r="W37" s="44"/>
      <c r="X37" s="7">
        <f t="shared" si="3"/>
        <v>5361000</v>
      </c>
    </row>
    <row r="38" spans="1:26" x14ac:dyDescent="0.25">
      <c r="A38" s="95"/>
      <c r="B38" s="6">
        <v>35</v>
      </c>
      <c r="C38" s="11" t="s">
        <v>62</v>
      </c>
      <c r="D38" s="6" t="s">
        <v>26</v>
      </c>
      <c r="E38" s="5">
        <v>5350000</v>
      </c>
      <c r="F38" s="12">
        <v>30</v>
      </c>
      <c r="G38" s="5">
        <f>+E38-J38</f>
        <v>5350000</v>
      </c>
      <c r="H38" s="5"/>
      <c r="I38" s="5"/>
      <c r="J38" s="5"/>
      <c r="K38" s="5">
        <f t="shared" si="34"/>
        <v>5350000</v>
      </c>
      <c r="L38" s="5">
        <v>214000</v>
      </c>
      <c r="M38" s="5"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3" si="38">+K38-T38</f>
        <v>4747500</v>
      </c>
      <c r="V38" s="7"/>
      <c r="W38" s="44"/>
      <c r="X38" s="7">
        <f t="shared" si="3"/>
        <v>4747500</v>
      </c>
    </row>
    <row r="39" spans="1:26" x14ac:dyDescent="0.25">
      <c r="A39" s="95"/>
      <c r="B39" s="6">
        <v>36</v>
      </c>
      <c r="C39" s="11" t="s">
        <v>148</v>
      </c>
      <c r="D39" s="6"/>
      <c r="E39" s="5">
        <v>4000000</v>
      </c>
      <c r="F39" s="12">
        <v>30</v>
      </c>
      <c r="G39" s="5">
        <f t="shared" ref="G39:G42" si="39">+E39/30*F39</f>
        <v>4000000.0000000005</v>
      </c>
      <c r="H39" s="5"/>
      <c r="I39" s="5"/>
      <c r="J39" s="5"/>
      <c r="K39" s="5">
        <f t="shared" ref="K39" si="40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8"/>
        <v>3640000.0000000005</v>
      </c>
      <c r="V39" s="7"/>
      <c r="W39" s="44"/>
      <c r="X39" s="7">
        <f t="shared" si="3"/>
        <v>3640000.0000000005</v>
      </c>
    </row>
    <row r="40" spans="1:26" ht="21" customHeight="1" x14ac:dyDescent="0.25">
      <c r="A40" s="95"/>
      <c r="B40" s="6">
        <v>37</v>
      </c>
      <c r="C40" s="11" t="s">
        <v>63</v>
      </c>
      <c r="D40" s="6" t="s">
        <v>26</v>
      </c>
      <c r="E40" s="5">
        <v>4500000</v>
      </c>
      <c r="F40" s="12">
        <v>30</v>
      </c>
      <c r="G40" s="5">
        <f t="shared" si="39"/>
        <v>4500000</v>
      </c>
      <c r="H40" s="5"/>
      <c r="I40" s="5"/>
      <c r="J40" s="5"/>
      <c r="K40" s="5">
        <f t="shared" si="34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5">
        <v>317224</v>
      </c>
      <c r="T40" s="5">
        <f>SUM(L40:S40)</f>
        <v>732224</v>
      </c>
      <c r="U40" s="7">
        <f t="shared" si="38"/>
        <v>3767776</v>
      </c>
      <c r="V40" s="7"/>
      <c r="W40" s="44"/>
      <c r="X40" s="7">
        <f t="shared" si="3"/>
        <v>3767776</v>
      </c>
    </row>
    <row r="41" spans="1:26" ht="26.25" customHeight="1" x14ac:dyDescent="0.25">
      <c r="A41" s="95"/>
      <c r="B41" s="6">
        <v>38</v>
      </c>
      <c r="C41" s="11" t="s">
        <v>65</v>
      </c>
      <c r="D41" s="6" t="s">
        <v>26</v>
      </c>
      <c r="E41" s="5">
        <v>4800000</v>
      </c>
      <c r="F41" s="12">
        <v>30</v>
      </c>
      <c r="G41" s="5">
        <f t="shared" si="39"/>
        <v>4800000</v>
      </c>
      <c r="H41" s="5"/>
      <c r="I41" s="5"/>
      <c r="J41" s="5"/>
      <c r="K41" s="5">
        <f t="shared" ref="K41" si="41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>
        <v>500000</v>
      </c>
      <c r="R41" s="5"/>
      <c r="S41" s="5">
        <f>206720</f>
        <v>206720</v>
      </c>
      <c r="T41" s="5">
        <f t="shared" ref="T41" si="42">SUM(L41:S41)</f>
        <v>1189720</v>
      </c>
      <c r="U41" s="7">
        <f t="shared" si="38"/>
        <v>3610280</v>
      </c>
      <c r="V41" s="7"/>
      <c r="W41" s="44"/>
      <c r="X41" s="7">
        <f t="shared" si="3"/>
        <v>3610280</v>
      </c>
    </row>
    <row r="42" spans="1:26" ht="26.25" customHeight="1" x14ac:dyDescent="0.25">
      <c r="A42" s="95"/>
      <c r="B42" s="6">
        <v>39</v>
      </c>
      <c r="C42" s="11" t="s">
        <v>66</v>
      </c>
      <c r="D42" s="6"/>
      <c r="E42" s="5">
        <v>4000000</v>
      </c>
      <c r="F42" s="12">
        <v>30</v>
      </c>
      <c r="G42" s="5">
        <f t="shared" si="39"/>
        <v>4000000.0000000005</v>
      </c>
      <c r="H42" s="5"/>
      <c r="I42" s="5"/>
      <c r="J42" s="5"/>
      <c r="K42" s="5">
        <f t="shared" ref="K42" si="43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4">SUM(L42:S42)</f>
        <v>364500.00000000006</v>
      </c>
      <c r="U42" s="7">
        <f t="shared" si="38"/>
        <v>3635500.0000000005</v>
      </c>
      <c r="V42" s="7"/>
      <c r="W42" s="44"/>
      <c r="X42" s="7">
        <f t="shared" si="3"/>
        <v>3635500.0000000005</v>
      </c>
    </row>
    <row r="43" spans="1:26" ht="24" customHeight="1" x14ac:dyDescent="0.25">
      <c r="A43" s="95"/>
      <c r="B43" s="6">
        <v>40</v>
      </c>
      <c r="C43" s="11" t="s">
        <v>68</v>
      </c>
      <c r="D43" s="6" t="s">
        <v>26</v>
      </c>
      <c r="E43" s="5">
        <v>6000000</v>
      </c>
      <c r="F43" s="12">
        <v>30</v>
      </c>
      <c r="G43" s="5">
        <f t="shared" si="30"/>
        <v>6000000</v>
      </c>
      <c r="H43" s="5"/>
      <c r="I43" s="5">
        <v>400000</v>
      </c>
      <c r="J43" s="5"/>
      <c r="K43" s="5">
        <f t="shared" si="34"/>
        <v>6400000</v>
      </c>
      <c r="L43" s="5">
        <f>+G43*4%</f>
        <v>240000</v>
      </c>
      <c r="M43" s="5">
        <f>+G43*5%</f>
        <v>300000</v>
      </c>
      <c r="N43" s="5"/>
      <c r="O43" s="5"/>
      <c r="P43" s="5">
        <v>126000</v>
      </c>
      <c r="Q43" s="5"/>
      <c r="R43" s="5"/>
      <c r="S43" s="5"/>
      <c r="T43" s="5">
        <f t="shared" si="1"/>
        <v>666000</v>
      </c>
      <c r="U43" s="7">
        <f t="shared" si="38"/>
        <v>5734000</v>
      </c>
      <c r="V43" s="7"/>
      <c r="W43" s="44"/>
      <c r="X43" s="7">
        <f t="shared" si="3"/>
        <v>5734000</v>
      </c>
      <c r="Y43" s="7">
        <v>4886979</v>
      </c>
      <c r="Z43" s="55">
        <f>+X43-Y43</f>
        <v>847021</v>
      </c>
    </row>
    <row r="44" spans="1:26" ht="30.75" customHeight="1" x14ac:dyDescent="0.25">
      <c r="A44" s="95"/>
      <c r="B44" s="6">
        <v>41</v>
      </c>
      <c r="C44" s="11" t="s">
        <v>69</v>
      </c>
      <c r="D44" s="6" t="s">
        <v>26</v>
      </c>
      <c r="E44" s="5">
        <v>6000000</v>
      </c>
      <c r="F44" s="12">
        <v>30</v>
      </c>
      <c r="G44" s="5">
        <f>+E44-J44</f>
        <v>6000000</v>
      </c>
      <c r="H44" s="5"/>
      <c r="I44" s="5">
        <v>400000</v>
      </c>
      <c r="J44" s="5"/>
      <c r="K44" s="5">
        <f t="shared" si="34"/>
        <v>6400000</v>
      </c>
      <c r="L44" s="5">
        <f>+G44*4%</f>
        <v>240000</v>
      </c>
      <c r="M44" s="5">
        <f>+G44*5%</f>
        <v>300000</v>
      </c>
      <c r="N44" s="5"/>
      <c r="O44" s="5"/>
      <c r="P44" s="5">
        <v>120000</v>
      </c>
      <c r="Q44" s="5"/>
      <c r="R44" s="5"/>
      <c r="S44" s="5"/>
      <c r="T44" s="5">
        <f t="shared" si="1"/>
        <v>660000</v>
      </c>
      <c r="U44" s="7">
        <f t="shared" ref="U44:U47" si="45">K44-T44</f>
        <v>5740000</v>
      </c>
      <c r="V44" s="7"/>
      <c r="W44" s="44"/>
      <c r="X44" s="7">
        <f t="shared" si="3"/>
        <v>5740000</v>
      </c>
    </row>
    <row r="45" spans="1:26" x14ac:dyDescent="0.25">
      <c r="A45" s="96"/>
      <c r="B45" s="6">
        <v>42</v>
      </c>
      <c r="C45" s="11" t="s">
        <v>71</v>
      </c>
      <c r="D45" s="6" t="s">
        <v>26</v>
      </c>
      <c r="E45" s="5">
        <v>4500000</v>
      </c>
      <c r="F45" s="12">
        <v>30</v>
      </c>
      <c r="G45" s="5">
        <f>+E45-J45</f>
        <v>4500000</v>
      </c>
      <c r="H45" s="5"/>
      <c r="I45" s="5"/>
      <c r="J45" s="5"/>
      <c r="K45" s="5">
        <f t="shared" si="34"/>
        <v>4500000</v>
      </c>
      <c r="L45" s="5">
        <v>180000</v>
      </c>
      <c r="M45" s="5">
        <v>225000</v>
      </c>
      <c r="N45" s="5"/>
      <c r="O45" s="5"/>
      <c r="P45" s="5">
        <v>31000</v>
      </c>
      <c r="Q45" s="5"/>
      <c r="R45" s="5"/>
      <c r="S45" s="5"/>
      <c r="T45" s="5">
        <f t="shared" si="1"/>
        <v>436000</v>
      </c>
      <c r="U45" s="7">
        <f t="shared" si="45"/>
        <v>4064000</v>
      </c>
      <c r="V45" s="7"/>
      <c r="W45" s="44"/>
      <c r="X45" s="7">
        <f t="shared" si="3"/>
        <v>4064000</v>
      </c>
    </row>
    <row r="46" spans="1:26" x14ac:dyDescent="0.25">
      <c r="A46" s="94" t="s">
        <v>143</v>
      </c>
      <c r="B46" s="6">
        <v>1</v>
      </c>
      <c r="C46" s="11" t="s">
        <v>144</v>
      </c>
      <c r="D46" s="6"/>
      <c r="E46" s="5">
        <v>737717</v>
      </c>
      <c r="F46" s="12">
        <v>30</v>
      </c>
      <c r="G46" s="5">
        <f t="shared" ref="G46:G56" si="46">+E46/30*F46</f>
        <v>737717</v>
      </c>
      <c r="H46" s="5"/>
      <c r="I46" s="5"/>
      <c r="J46" s="5"/>
      <c r="K46" s="5">
        <f t="shared" si="34"/>
        <v>737717</v>
      </c>
      <c r="L46" s="5"/>
      <c r="M46" s="5"/>
      <c r="N46" s="5"/>
      <c r="O46" s="5"/>
      <c r="P46" s="5"/>
      <c r="Q46" s="5"/>
      <c r="R46" s="5"/>
      <c r="S46" s="5"/>
      <c r="T46" s="5"/>
      <c r="U46" s="7">
        <f t="shared" si="45"/>
        <v>737717</v>
      </c>
      <c r="V46" s="7"/>
      <c r="W46" s="44"/>
      <c r="X46" s="7">
        <f t="shared" si="3"/>
        <v>737717</v>
      </c>
    </row>
    <row r="47" spans="1:26" ht="20.25" customHeight="1" x14ac:dyDescent="0.25">
      <c r="A47" s="95"/>
      <c r="B47" s="6">
        <v>2</v>
      </c>
      <c r="C47" s="11" t="s">
        <v>72</v>
      </c>
      <c r="D47" s="6" t="s">
        <v>26</v>
      </c>
      <c r="E47" s="5">
        <v>3000000</v>
      </c>
      <c r="F47" s="12">
        <v>30</v>
      </c>
      <c r="G47" s="5">
        <f>+E47-J47</f>
        <v>3000000</v>
      </c>
      <c r="H47" s="5"/>
      <c r="I47" s="5"/>
      <c r="J47" s="5"/>
      <c r="K47" s="5">
        <f t="shared" si="34"/>
        <v>3000000</v>
      </c>
      <c r="L47" s="5">
        <v>120000</v>
      </c>
      <c r="M47" s="5">
        <v>150000</v>
      </c>
      <c r="N47" s="5">
        <v>108334</v>
      </c>
      <c r="O47" s="5"/>
      <c r="P47" s="5"/>
      <c r="Q47" s="5"/>
      <c r="R47" s="5"/>
      <c r="S47" s="5">
        <f>481778+240889</f>
        <v>722667</v>
      </c>
      <c r="T47" s="5">
        <f t="shared" ref="T47" si="47">SUM(L47:S47)</f>
        <v>1101001</v>
      </c>
      <c r="U47" s="7">
        <f t="shared" si="45"/>
        <v>1898999</v>
      </c>
      <c r="V47" s="7"/>
      <c r="W47" s="44"/>
      <c r="X47" s="7">
        <f t="shared" si="3"/>
        <v>1898999</v>
      </c>
    </row>
    <row r="48" spans="1:26" x14ac:dyDescent="0.25">
      <c r="A48" s="95"/>
      <c r="B48" s="6">
        <v>3</v>
      </c>
      <c r="C48" s="3" t="s">
        <v>75</v>
      </c>
      <c r="D48" s="4" t="s">
        <v>26</v>
      </c>
      <c r="E48" s="5">
        <v>2500000</v>
      </c>
      <c r="F48" s="12">
        <v>30</v>
      </c>
      <c r="G48" s="5">
        <v>1416666</v>
      </c>
      <c r="H48" s="5"/>
      <c r="I48" s="5"/>
      <c r="J48" s="5">
        <f>+E48-G48</f>
        <v>1083334</v>
      </c>
      <c r="K48" s="5">
        <f>SUM(G48:I48)+J48</f>
        <v>2500000</v>
      </c>
      <c r="L48" s="5">
        <f>+E48*4%</f>
        <v>100000</v>
      </c>
      <c r="M48" s="5">
        <f>+E48*4%</f>
        <v>100000</v>
      </c>
      <c r="N48" s="5"/>
      <c r="O48" s="5"/>
      <c r="P48" s="5"/>
      <c r="Q48" s="5"/>
      <c r="R48" s="5"/>
      <c r="S48" s="5"/>
      <c r="T48" s="5">
        <f>SUM(L48:S48)</f>
        <v>200000</v>
      </c>
      <c r="U48" s="7">
        <f>K48-T48</f>
        <v>2300000</v>
      </c>
      <c r="V48" s="7"/>
      <c r="W48" s="44"/>
      <c r="X48" s="7">
        <f t="shared" si="3"/>
        <v>2300000</v>
      </c>
    </row>
    <row r="49" spans="1:24" ht="18" customHeight="1" x14ac:dyDescent="0.25">
      <c r="A49" s="95"/>
      <c r="B49" s="6">
        <v>4</v>
      </c>
      <c r="C49" s="11" t="s">
        <v>76</v>
      </c>
      <c r="D49" s="6" t="s">
        <v>26</v>
      </c>
      <c r="E49" s="5">
        <v>3000000</v>
      </c>
      <c r="F49" s="12">
        <v>30</v>
      </c>
      <c r="G49" s="5">
        <f t="shared" si="46"/>
        <v>3000000</v>
      </c>
      <c r="H49" s="5">
        <v>0</v>
      </c>
      <c r="I49" s="5"/>
      <c r="J49" s="5"/>
      <c r="K49" s="5">
        <f>SUM(G49:I49)+J49</f>
        <v>3000000</v>
      </c>
      <c r="L49" s="5">
        <f>+E49*4%</f>
        <v>120000</v>
      </c>
      <c r="M49" s="5">
        <f>+E49*5%</f>
        <v>150000</v>
      </c>
      <c r="N49" s="5"/>
      <c r="O49" s="5"/>
      <c r="P49" s="17"/>
      <c r="Q49" s="5"/>
      <c r="R49" s="5"/>
      <c r="S49" s="5"/>
      <c r="T49" s="5">
        <f>+L49+M49+S49</f>
        <v>270000</v>
      </c>
      <c r="U49" s="7">
        <f>+K49-T49</f>
        <v>2730000</v>
      </c>
      <c r="V49" s="7"/>
      <c r="W49" s="44"/>
      <c r="X49" s="7">
        <f t="shared" si="3"/>
        <v>2730000</v>
      </c>
    </row>
    <row r="50" spans="1:24" x14ac:dyDescent="0.25">
      <c r="A50" s="95"/>
      <c r="B50" s="6">
        <v>5</v>
      </c>
      <c r="C50" s="3" t="s">
        <v>77</v>
      </c>
      <c r="D50" s="4" t="s">
        <v>26</v>
      </c>
      <c r="E50" s="5">
        <v>1500000</v>
      </c>
      <c r="F50" s="12">
        <v>30</v>
      </c>
      <c r="G50" s="5">
        <f>+E50</f>
        <v>1500000</v>
      </c>
      <c r="H50" s="5"/>
      <c r="I50" s="5"/>
      <c r="J50" s="5"/>
      <c r="K50" s="5">
        <f t="shared" ref="K50" si="48">SUM(G50:I50)+J50</f>
        <v>1500000</v>
      </c>
      <c r="L50" s="5">
        <v>60000</v>
      </c>
      <c r="M50" s="5">
        <v>60000</v>
      </c>
      <c r="N50" s="5"/>
      <c r="O50" s="5"/>
      <c r="P50" s="5"/>
      <c r="Q50" s="5"/>
      <c r="R50" s="5"/>
      <c r="S50" s="5"/>
      <c r="T50" s="5">
        <f t="shared" ref="T50:T109" si="49">SUM(L50:S50)</f>
        <v>120000</v>
      </c>
      <c r="U50" s="7">
        <f>K50-T50</f>
        <v>1380000</v>
      </c>
      <c r="V50" s="7"/>
      <c r="W50" s="44"/>
      <c r="X50" s="7">
        <f t="shared" si="3"/>
        <v>1380000</v>
      </c>
    </row>
    <row r="51" spans="1:24" ht="24" x14ac:dyDescent="0.25">
      <c r="A51" s="95"/>
      <c r="B51" s="6">
        <v>6</v>
      </c>
      <c r="C51" s="11" t="s">
        <v>80</v>
      </c>
      <c r="D51" s="6" t="s">
        <v>26</v>
      </c>
      <c r="E51" s="5">
        <v>1500000</v>
      </c>
      <c r="F51" s="12">
        <v>30</v>
      </c>
      <c r="G51" s="5">
        <f t="shared" si="46"/>
        <v>1500000</v>
      </c>
      <c r="H51" s="5"/>
      <c r="I51" s="5"/>
      <c r="J51" s="5"/>
      <c r="K51" s="5">
        <f t="shared" ref="K51" si="50">SUM(G51:I51)+J51</f>
        <v>1500000</v>
      </c>
      <c r="L51" s="5">
        <f>+G51*4%</f>
        <v>60000</v>
      </c>
      <c r="M51" s="5">
        <f>+G51*4%</f>
        <v>60000</v>
      </c>
      <c r="N51" s="5"/>
      <c r="O51" s="5"/>
      <c r="P51" s="17"/>
      <c r="Q51" s="5"/>
      <c r="R51" s="5"/>
      <c r="S51" s="5"/>
      <c r="T51" s="5">
        <f t="shared" ref="T51" si="51">SUM(L51:S51)</f>
        <v>120000</v>
      </c>
      <c r="U51" s="7">
        <f t="shared" ref="U51:U60" si="52">+K51-T51</f>
        <v>1380000</v>
      </c>
      <c r="V51" s="7"/>
      <c r="W51" s="44"/>
      <c r="X51" s="7">
        <f t="shared" si="3"/>
        <v>1380000</v>
      </c>
    </row>
    <row r="52" spans="1:24" ht="21.75" customHeight="1" x14ac:dyDescent="0.25">
      <c r="A52" s="95"/>
      <c r="B52" s="6">
        <v>7</v>
      </c>
      <c r="C52" s="11" t="s">
        <v>81</v>
      </c>
      <c r="D52" s="6" t="s">
        <v>26</v>
      </c>
      <c r="E52" s="5">
        <v>1800000</v>
      </c>
      <c r="F52" s="12">
        <v>30</v>
      </c>
      <c r="G52" s="5">
        <f t="shared" si="46"/>
        <v>1800000</v>
      </c>
      <c r="H52" s="5">
        <v>0</v>
      </c>
      <c r="I52" s="5"/>
      <c r="J52" s="5"/>
      <c r="K52" s="5">
        <f t="shared" si="34"/>
        <v>1800000</v>
      </c>
      <c r="L52" s="5">
        <f>+G52*4%</f>
        <v>72000</v>
      </c>
      <c r="M52" s="5">
        <f>+G52*4%</f>
        <v>72000</v>
      </c>
      <c r="N52" s="5"/>
      <c r="O52" s="5"/>
      <c r="P52" s="5">
        <v>0</v>
      </c>
      <c r="Q52" s="5"/>
      <c r="R52" s="5"/>
      <c r="S52" s="5"/>
      <c r="T52" s="5">
        <f t="shared" si="49"/>
        <v>144000</v>
      </c>
      <c r="U52" s="7">
        <f t="shared" si="52"/>
        <v>1656000</v>
      </c>
      <c r="V52" s="7"/>
      <c r="W52" s="44"/>
      <c r="X52" s="7">
        <f t="shared" si="3"/>
        <v>1656000</v>
      </c>
    </row>
    <row r="53" spans="1:24" x14ac:dyDescent="0.25">
      <c r="A53" s="95"/>
      <c r="B53" s="6">
        <v>8</v>
      </c>
      <c r="C53" s="11" t="s">
        <v>82</v>
      </c>
      <c r="D53" s="6" t="s">
        <v>26</v>
      </c>
      <c r="E53" s="5">
        <v>737717</v>
      </c>
      <c r="F53" s="12">
        <v>30</v>
      </c>
      <c r="G53" s="5">
        <f t="shared" si="46"/>
        <v>737717</v>
      </c>
      <c r="H53" s="5">
        <v>83140</v>
      </c>
      <c r="I53" s="5"/>
      <c r="J53" s="5"/>
      <c r="K53" s="5">
        <f t="shared" ref="K53" si="53"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 t="shared" si="49"/>
        <v>59018</v>
      </c>
      <c r="U53" s="7">
        <f t="shared" si="52"/>
        <v>761839</v>
      </c>
      <c r="V53" s="7"/>
      <c r="W53" s="44"/>
      <c r="X53" s="7">
        <f t="shared" si="3"/>
        <v>761839</v>
      </c>
    </row>
    <row r="54" spans="1:24" ht="21" customHeight="1" x14ac:dyDescent="0.25">
      <c r="A54" s="95"/>
      <c r="B54" s="6">
        <v>9</v>
      </c>
      <c r="C54" s="11" t="s">
        <v>182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>
        <f>SUM(G54:I54)+J54</f>
        <v>3000000</v>
      </c>
      <c r="L54" s="5">
        <f>+G54*4%</f>
        <v>120000</v>
      </c>
      <c r="M54" s="5">
        <f>+G54*4%</f>
        <v>120000</v>
      </c>
      <c r="N54" s="5"/>
      <c r="O54" s="5"/>
      <c r="P54" s="5"/>
      <c r="Q54" s="5"/>
      <c r="R54" s="5"/>
      <c r="S54" s="5"/>
      <c r="T54" s="5">
        <f>SUM(L54:S54)</f>
        <v>240000</v>
      </c>
      <c r="U54" s="7">
        <f>+K54-T54</f>
        <v>2760000</v>
      </c>
      <c r="V54" s="7"/>
      <c r="W54" s="44"/>
      <c r="X54" s="7">
        <f t="shared" si="3"/>
        <v>2760000</v>
      </c>
    </row>
    <row r="55" spans="1:24" ht="17.25" customHeight="1" x14ac:dyDescent="0.25">
      <c r="A55" s="95"/>
      <c r="B55" s="6">
        <v>10</v>
      </c>
      <c r="C55" s="11" t="s">
        <v>83</v>
      </c>
      <c r="D55" s="6" t="s">
        <v>26</v>
      </c>
      <c r="E55" s="5">
        <v>3500000</v>
      </c>
      <c r="F55" s="12">
        <v>30</v>
      </c>
      <c r="G55" s="5">
        <f>+E55-J55</f>
        <v>3500000</v>
      </c>
      <c r="H55" s="5"/>
      <c r="I55" s="5"/>
      <c r="J55" s="5"/>
      <c r="K55" s="5">
        <f t="shared" ref="K55" si="54">SUM(G55:I55)+J55</f>
        <v>3500000</v>
      </c>
      <c r="L55" s="5">
        <f>+E55*4%</f>
        <v>140000</v>
      </c>
      <c r="M55" s="5">
        <f>+E55*5%</f>
        <v>175000</v>
      </c>
      <c r="N55" s="5"/>
      <c r="O55" s="5"/>
      <c r="P55" s="5">
        <v>0</v>
      </c>
      <c r="Q55" s="5"/>
      <c r="R55" s="5"/>
      <c r="S55" s="5">
        <v>774624</v>
      </c>
      <c r="T55" s="5">
        <f t="shared" ref="T55" si="55">SUM(L55:S55)</f>
        <v>1089624</v>
      </c>
      <c r="U55" s="7">
        <f t="shared" si="52"/>
        <v>2410376</v>
      </c>
      <c r="V55" s="7"/>
      <c r="W55" s="44"/>
      <c r="X55" s="7">
        <f t="shared" si="3"/>
        <v>2410376</v>
      </c>
    </row>
    <row r="56" spans="1:24" ht="17.25" customHeight="1" x14ac:dyDescent="0.25">
      <c r="A56" s="95"/>
      <c r="B56" s="6">
        <v>11</v>
      </c>
      <c r="C56" s="11" t="s">
        <v>84</v>
      </c>
      <c r="D56" s="6" t="s">
        <v>26</v>
      </c>
      <c r="E56" s="5">
        <v>2500000</v>
      </c>
      <c r="F56" s="12">
        <v>30</v>
      </c>
      <c r="G56" s="5">
        <f t="shared" si="46"/>
        <v>2500000</v>
      </c>
      <c r="H56" s="5"/>
      <c r="I56" s="5">
        <v>700000</v>
      </c>
      <c r="J56" s="5"/>
      <c r="K56" s="5">
        <f>SUM(G56:I56)+J56</f>
        <v>3200000</v>
      </c>
      <c r="L56" s="5">
        <f>+G56*4%</f>
        <v>100000</v>
      </c>
      <c r="M56" s="5">
        <f>+G56*4%</f>
        <v>100000</v>
      </c>
      <c r="N56" s="5"/>
      <c r="O56" s="5"/>
      <c r="P56" s="5">
        <v>0</v>
      </c>
      <c r="Q56" s="5"/>
      <c r="R56" s="5"/>
      <c r="S56" s="5">
        <v>200210</v>
      </c>
      <c r="T56" s="5">
        <f t="shared" si="49"/>
        <v>400210</v>
      </c>
      <c r="U56" s="7">
        <f t="shared" si="52"/>
        <v>2799790</v>
      </c>
      <c r="V56" s="7"/>
      <c r="W56" s="44"/>
      <c r="X56" s="7">
        <f t="shared" si="3"/>
        <v>2799790</v>
      </c>
    </row>
    <row r="57" spans="1:24" ht="17.25" customHeight="1" x14ac:dyDescent="0.25">
      <c r="A57" s="95"/>
      <c r="B57" s="6">
        <v>12</v>
      </c>
      <c r="C57" s="11" t="s">
        <v>85</v>
      </c>
      <c r="D57" s="6" t="s">
        <v>26</v>
      </c>
      <c r="E57" s="5">
        <v>1600000</v>
      </c>
      <c r="F57" s="12">
        <v>30</v>
      </c>
      <c r="G57" s="5">
        <v>1333334</v>
      </c>
      <c r="H57" s="5"/>
      <c r="I57" s="5"/>
      <c r="J57" s="5">
        <v>266666</v>
      </c>
      <c r="K57" s="5">
        <f t="shared" ref="K57:K58" si="56">SUM(G57:I57)+J57</f>
        <v>1600000</v>
      </c>
      <c r="L57" s="5">
        <f>+E57*4%</f>
        <v>64000</v>
      </c>
      <c r="M57" s="5">
        <f>+E57*4%</f>
        <v>64000</v>
      </c>
      <c r="N57" s="5"/>
      <c r="O57" s="5"/>
      <c r="P57" s="5">
        <v>0</v>
      </c>
      <c r="Q57" s="5"/>
      <c r="R57" s="5"/>
      <c r="S57" s="5"/>
      <c r="T57" s="5">
        <f>SUM(L57:S57)</f>
        <v>128000</v>
      </c>
      <c r="U57" s="7">
        <f t="shared" si="52"/>
        <v>1472000</v>
      </c>
      <c r="V57" s="7"/>
      <c r="W57" s="44"/>
      <c r="X57" s="7">
        <f t="shared" si="3"/>
        <v>1472000</v>
      </c>
    </row>
    <row r="58" spans="1:24" ht="17.25" customHeight="1" x14ac:dyDescent="0.25">
      <c r="A58" s="95"/>
      <c r="B58" s="6">
        <v>13</v>
      </c>
      <c r="C58" s="11" t="s">
        <v>86</v>
      </c>
      <c r="D58" s="6" t="s">
        <v>26</v>
      </c>
      <c r="E58" s="5">
        <v>1500000</v>
      </c>
      <c r="F58" s="12">
        <v>30</v>
      </c>
      <c r="G58" s="5">
        <f>E58/30*F58</f>
        <v>1500000</v>
      </c>
      <c r="H58" s="5"/>
      <c r="I58" s="5"/>
      <c r="J58" s="5"/>
      <c r="K58" s="5">
        <f t="shared" si="56"/>
        <v>1500000</v>
      </c>
      <c r="L58" s="5">
        <f>+G58*4%</f>
        <v>60000</v>
      </c>
      <c r="M58" s="5">
        <f t="shared" ref="M58:M59" si="57">+G58*4%</f>
        <v>60000</v>
      </c>
      <c r="N58" s="5">
        <v>0</v>
      </c>
      <c r="O58" s="5"/>
      <c r="P58" s="5">
        <v>0</v>
      </c>
      <c r="Q58" s="5"/>
      <c r="R58" s="5"/>
      <c r="S58" s="5">
        <v>422966</v>
      </c>
      <c r="T58" s="5">
        <f t="shared" ref="T58" si="58">SUM(L58:S58)</f>
        <v>542966</v>
      </c>
      <c r="U58" s="7">
        <f t="shared" si="52"/>
        <v>957034</v>
      </c>
      <c r="V58" s="7"/>
      <c r="W58" s="44"/>
      <c r="X58" s="7">
        <f t="shared" si="3"/>
        <v>957034</v>
      </c>
    </row>
    <row r="59" spans="1:24" ht="17.25" customHeight="1" x14ac:dyDescent="0.25">
      <c r="A59" s="95"/>
      <c r="B59" s="6">
        <v>14</v>
      </c>
      <c r="C59" s="11" t="s">
        <v>174</v>
      </c>
      <c r="D59" s="6" t="s">
        <v>26</v>
      </c>
      <c r="E59" s="5">
        <v>737717</v>
      </c>
      <c r="F59" s="12">
        <v>30</v>
      </c>
      <c r="G59" s="5">
        <f>E59/30*F59</f>
        <v>737717</v>
      </c>
      <c r="H59" s="5">
        <f>+(83140/30)*F59</f>
        <v>83140</v>
      </c>
      <c r="I59" s="5"/>
      <c r="J59" s="5"/>
      <c r="K59" s="5">
        <f t="shared" ref="K59" si="59">SUM(G59:I59)+J59</f>
        <v>820857</v>
      </c>
      <c r="L59" s="5">
        <f>+G59*4%</f>
        <v>29508.68</v>
      </c>
      <c r="M59" s="5">
        <f t="shared" si="57"/>
        <v>29508.68</v>
      </c>
      <c r="N59" s="5"/>
      <c r="O59" s="5"/>
      <c r="P59" s="5">
        <v>0</v>
      </c>
      <c r="Q59" s="5"/>
      <c r="R59" s="5"/>
      <c r="S59" s="5"/>
      <c r="T59" s="5">
        <v>59018</v>
      </c>
      <c r="U59" s="7">
        <f t="shared" si="52"/>
        <v>761839</v>
      </c>
      <c r="V59" s="7"/>
      <c r="W59" s="44"/>
      <c r="X59" s="7">
        <f t="shared" si="3"/>
        <v>761839</v>
      </c>
    </row>
    <row r="60" spans="1:24" ht="24" x14ac:dyDescent="0.25">
      <c r="A60" s="95"/>
      <c r="B60" s="6">
        <v>15</v>
      </c>
      <c r="C60" s="11" t="s">
        <v>87</v>
      </c>
      <c r="D60" s="6" t="s">
        <v>26</v>
      </c>
      <c r="E60" s="5">
        <v>2000000</v>
      </c>
      <c r="F60" s="12">
        <v>30</v>
      </c>
      <c r="G60" s="5">
        <f>E60/30*F60</f>
        <v>2000000.0000000002</v>
      </c>
      <c r="H60" s="5"/>
      <c r="I60" s="5"/>
      <c r="J60" s="5"/>
      <c r="K60" s="5">
        <f t="shared" si="34"/>
        <v>2000000.0000000002</v>
      </c>
      <c r="L60" s="5">
        <f>+G60*4%</f>
        <v>80000.000000000015</v>
      </c>
      <c r="M60" s="5">
        <v>80000</v>
      </c>
      <c r="N60" s="5"/>
      <c r="O60" s="5"/>
      <c r="P60" s="5">
        <v>0</v>
      </c>
      <c r="Q60" s="5"/>
      <c r="R60" s="5"/>
      <c r="S60" s="5">
        <v>323803</v>
      </c>
      <c r="T60" s="5">
        <f t="shared" si="49"/>
        <v>483803</v>
      </c>
      <c r="U60" s="7">
        <f t="shared" si="52"/>
        <v>1516197.0000000002</v>
      </c>
      <c r="V60" s="7"/>
      <c r="W60" s="44"/>
      <c r="X60" s="7">
        <f t="shared" si="3"/>
        <v>1516197.0000000002</v>
      </c>
    </row>
    <row r="61" spans="1:24" ht="18.75" customHeight="1" x14ac:dyDescent="0.25">
      <c r="A61" s="95"/>
      <c r="B61" s="6">
        <v>16</v>
      </c>
      <c r="C61" s="11" t="s">
        <v>188</v>
      </c>
      <c r="D61" s="6"/>
      <c r="E61" s="5">
        <v>2000000</v>
      </c>
      <c r="F61" s="12">
        <v>29</v>
      </c>
      <c r="G61" s="5">
        <f>E61/30*F61</f>
        <v>1933333.3333333335</v>
      </c>
      <c r="H61" s="5"/>
      <c r="I61" s="5"/>
      <c r="J61" s="5"/>
      <c r="K61" s="5">
        <f t="shared" si="34"/>
        <v>1933333.3333333335</v>
      </c>
      <c r="L61" s="5">
        <f>+G61*4%</f>
        <v>77333.333333333343</v>
      </c>
      <c r="M61" s="5">
        <f>+G61*4%</f>
        <v>77333.333333333343</v>
      </c>
      <c r="N61" s="5"/>
      <c r="O61" s="5"/>
      <c r="P61" s="5">
        <v>0</v>
      </c>
      <c r="Q61" s="5"/>
      <c r="R61" s="5"/>
      <c r="S61" s="5"/>
      <c r="T61" s="5">
        <f>SUM(L61:S61)</f>
        <v>154666.66666666669</v>
      </c>
      <c r="U61" s="7">
        <f>+K61-T61</f>
        <v>1778666.6666666667</v>
      </c>
      <c r="V61" s="7"/>
      <c r="W61" s="44"/>
      <c r="X61" s="7">
        <f t="shared" si="3"/>
        <v>1778666.6666666667</v>
      </c>
    </row>
    <row r="62" spans="1:24" x14ac:dyDescent="0.25">
      <c r="A62" s="95"/>
      <c r="B62" s="6">
        <v>17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4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9"/>
        <v>315000</v>
      </c>
      <c r="U62" s="7">
        <f t="shared" ref="U62:U73" si="60">K62-T62</f>
        <v>3185000</v>
      </c>
      <c r="V62" s="7"/>
      <c r="W62" s="44"/>
      <c r="X62" s="7">
        <f t="shared" si="3"/>
        <v>3185000</v>
      </c>
    </row>
    <row r="63" spans="1:24" x14ac:dyDescent="0.25">
      <c r="A63" s="95"/>
      <c r="B63" s="6">
        <v>18</v>
      </c>
      <c r="C63" s="11" t="s">
        <v>89</v>
      </c>
      <c r="D63" s="6" t="s">
        <v>26</v>
      </c>
      <c r="E63" s="5">
        <v>4000000</v>
      </c>
      <c r="F63" s="12">
        <v>30</v>
      </c>
      <c r="G63" s="5">
        <f t="shared" ref="G63:G110" si="61">E63/30*F63</f>
        <v>4000000.0000000005</v>
      </c>
      <c r="H63" s="5"/>
      <c r="I63" s="5">
        <v>300000</v>
      </c>
      <c r="J63" s="5"/>
      <c r="K63" s="5">
        <f>SUM(G63:I63)+J63</f>
        <v>4300000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9"/>
        <v>363000</v>
      </c>
      <c r="U63" s="7">
        <f t="shared" si="60"/>
        <v>3937000</v>
      </c>
      <c r="V63" s="7"/>
      <c r="W63" s="44"/>
      <c r="X63" s="7">
        <f t="shared" si="3"/>
        <v>3937000</v>
      </c>
    </row>
    <row r="64" spans="1:24" x14ac:dyDescent="0.25">
      <c r="A64" s="95"/>
      <c r="B64" s="6">
        <v>19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61"/>
        <v>800000</v>
      </c>
      <c r="H64" s="5">
        <f>+(83140/30)*F64</f>
        <v>83140</v>
      </c>
      <c r="I64" s="5"/>
      <c r="J64" s="5"/>
      <c r="K64" s="5">
        <f t="shared" si="34"/>
        <v>883140</v>
      </c>
      <c r="L64" s="5">
        <f>+G64*4%</f>
        <v>32000</v>
      </c>
      <c r="M64" s="5">
        <f>+G64*4%</f>
        <v>32000</v>
      </c>
      <c r="N64" s="5">
        <v>83333</v>
      </c>
      <c r="O64" s="5"/>
      <c r="P64" s="5"/>
      <c r="Q64" s="5"/>
      <c r="R64" s="5"/>
      <c r="S64" s="5"/>
      <c r="T64" s="5">
        <f t="shared" si="49"/>
        <v>147333</v>
      </c>
      <c r="U64" s="7">
        <f t="shared" si="60"/>
        <v>735807</v>
      </c>
      <c r="V64" s="7"/>
      <c r="W64" s="44"/>
      <c r="X64" s="7">
        <f t="shared" si="3"/>
        <v>735807</v>
      </c>
    </row>
    <row r="65" spans="1:27" ht="17.25" customHeight="1" x14ac:dyDescent="0.25">
      <c r="A65" s="95"/>
      <c r="B65" s="6">
        <v>20</v>
      </c>
      <c r="C65" s="11" t="s">
        <v>91</v>
      </c>
      <c r="D65" s="6" t="s">
        <v>26</v>
      </c>
      <c r="E65" s="5">
        <v>3500000</v>
      </c>
      <c r="F65" s="12">
        <v>30</v>
      </c>
      <c r="G65" s="5">
        <f t="shared" si="61"/>
        <v>3500000</v>
      </c>
      <c r="H65" s="5">
        <v>0</v>
      </c>
      <c r="I65" s="5"/>
      <c r="J65" s="5"/>
      <c r="K65" s="5">
        <f t="shared" si="34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9"/>
        <v>315000</v>
      </c>
      <c r="U65" s="7">
        <f t="shared" si="60"/>
        <v>3185000</v>
      </c>
      <c r="V65" s="7"/>
      <c r="W65" s="44"/>
      <c r="X65" s="7">
        <f t="shared" si="3"/>
        <v>3185000</v>
      </c>
    </row>
    <row r="66" spans="1:27" ht="17.25" customHeight="1" x14ac:dyDescent="0.25">
      <c r="A66" s="95"/>
      <c r="B66" s="6">
        <v>21</v>
      </c>
      <c r="C66" s="11" t="s">
        <v>92</v>
      </c>
      <c r="D66" s="6" t="s">
        <v>26</v>
      </c>
      <c r="E66" s="5">
        <v>1550000</v>
      </c>
      <c r="F66" s="12">
        <v>30</v>
      </c>
      <c r="G66" s="5">
        <f t="shared" si="61"/>
        <v>1550000</v>
      </c>
      <c r="H66" s="5"/>
      <c r="I66" s="5"/>
      <c r="J66" s="5"/>
      <c r="K66" s="5">
        <f t="shared" ref="K66:K69" si="62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63">SUM(L66:S66)</f>
        <v>124000</v>
      </c>
      <c r="U66" s="7">
        <f t="shared" si="60"/>
        <v>1426000</v>
      </c>
      <c r="V66" s="7"/>
      <c r="W66" s="44"/>
      <c r="X66" s="7">
        <f t="shared" si="3"/>
        <v>1426000</v>
      </c>
    </row>
    <row r="67" spans="1:27" ht="17.25" customHeight="1" x14ac:dyDescent="0.25">
      <c r="A67" s="95"/>
      <c r="B67" s="6">
        <v>22</v>
      </c>
      <c r="C67" s="11" t="s">
        <v>164</v>
      </c>
      <c r="D67" s="6"/>
      <c r="E67" s="5">
        <v>2800000</v>
      </c>
      <c r="F67" s="12">
        <v>30</v>
      </c>
      <c r="G67" s="5">
        <f t="shared" si="61"/>
        <v>2800000</v>
      </c>
      <c r="H67" s="5"/>
      <c r="I67" s="5"/>
      <c r="J67" s="5"/>
      <c r="K67" s="5">
        <f t="shared" ref="K67" si="64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5">SUM(L67:S67)</f>
        <v>224000</v>
      </c>
      <c r="U67" s="7">
        <f t="shared" si="60"/>
        <v>2576000</v>
      </c>
      <c r="V67" s="7"/>
      <c r="W67" s="44"/>
      <c r="X67" s="7">
        <f t="shared" si="3"/>
        <v>2576000</v>
      </c>
    </row>
    <row r="68" spans="1:27" ht="17.25" customHeight="1" x14ac:dyDescent="0.25">
      <c r="A68" s="95"/>
      <c r="B68" s="6">
        <v>23</v>
      </c>
      <c r="C68" s="11" t="s">
        <v>93</v>
      </c>
      <c r="D68" s="6"/>
      <c r="E68" s="5">
        <v>1200000</v>
      </c>
      <c r="F68" s="12">
        <v>30</v>
      </c>
      <c r="G68" s="5">
        <f>+E68/30*F68</f>
        <v>1200000</v>
      </c>
      <c r="H68" s="5">
        <f>+(83140/30)*F68</f>
        <v>83140</v>
      </c>
      <c r="I68" s="5"/>
      <c r="J68" s="5"/>
      <c r="K68" s="5">
        <f t="shared" ref="K68" si="66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5"/>
        <v>96000</v>
      </c>
      <c r="U68" s="7">
        <f t="shared" si="60"/>
        <v>1187140</v>
      </c>
      <c r="V68" s="7"/>
      <c r="W68" s="44"/>
      <c r="X68" s="7">
        <f t="shared" si="3"/>
        <v>1187140</v>
      </c>
    </row>
    <row r="69" spans="1:27" ht="20.25" customHeight="1" x14ac:dyDescent="0.25">
      <c r="A69" s="95"/>
      <c r="B69" s="6">
        <v>24</v>
      </c>
      <c r="C69" s="11" t="s">
        <v>165</v>
      </c>
      <c r="D69" s="6" t="s">
        <v>26</v>
      </c>
      <c r="E69" s="5">
        <v>1500000</v>
      </c>
      <c r="F69" s="12">
        <v>30</v>
      </c>
      <c r="G69" s="5">
        <v>1500000</v>
      </c>
      <c r="H69" s="5"/>
      <c r="I69" s="5"/>
      <c r="J69" s="5"/>
      <c r="K69" s="5">
        <f t="shared" si="62"/>
        <v>1500000</v>
      </c>
      <c r="L69" s="5">
        <f>+K69*4%</f>
        <v>60000</v>
      </c>
      <c r="M69" s="5">
        <f>+K69*4%</f>
        <v>60000</v>
      </c>
      <c r="N69" s="5"/>
      <c r="O69" s="5"/>
      <c r="P69" s="5"/>
      <c r="Q69" s="5"/>
      <c r="R69" s="5"/>
      <c r="S69" s="5"/>
      <c r="T69" s="5">
        <f t="shared" si="63"/>
        <v>120000</v>
      </c>
      <c r="U69" s="7">
        <f>K69-T69</f>
        <v>1380000</v>
      </c>
      <c r="V69" s="7"/>
      <c r="W69" s="44"/>
      <c r="X69" s="7">
        <f t="shared" ref="X69:X112" si="67">U69+V69-W69</f>
        <v>1380000</v>
      </c>
    </row>
    <row r="70" spans="1:27" ht="29.25" customHeight="1" x14ac:dyDescent="0.25">
      <c r="A70" s="95"/>
      <c r="B70" s="6">
        <v>25</v>
      </c>
      <c r="C70" s="11" t="s">
        <v>166</v>
      </c>
      <c r="D70" s="6" t="s">
        <v>26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4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7"/>
      <c r="W70" s="44"/>
      <c r="X70" s="7">
        <f t="shared" si="67"/>
        <v>1936072</v>
      </c>
      <c r="AA70" s="45">
        <f>1196000+644000</f>
        <v>1840000</v>
      </c>
    </row>
    <row r="71" spans="1:27" ht="25.5" customHeight="1" x14ac:dyDescent="0.25">
      <c r="A71" s="95"/>
      <c r="B71" s="6">
        <v>26</v>
      </c>
      <c r="C71" s="11" t="s">
        <v>155</v>
      </c>
      <c r="D71" s="6"/>
      <c r="E71" s="5">
        <v>368858</v>
      </c>
      <c r="F71" s="12">
        <v>30</v>
      </c>
      <c r="G71" s="5">
        <f t="shared" si="61"/>
        <v>368858</v>
      </c>
      <c r="H71" s="5"/>
      <c r="I71" s="5"/>
      <c r="J71" s="5"/>
      <c r="K71" s="5">
        <f t="shared" ref="K71" si="68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9">SUM(L71:S71)</f>
        <v>0</v>
      </c>
      <c r="U71" s="7">
        <f t="shared" ref="U71" si="70">K71-T71</f>
        <v>368858</v>
      </c>
      <c r="V71" s="7"/>
      <c r="W71" s="44"/>
      <c r="X71" s="7">
        <f t="shared" si="67"/>
        <v>368858</v>
      </c>
    </row>
    <row r="72" spans="1:27" x14ac:dyDescent="0.25">
      <c r="A72" s="95"/>
      <c r="B72" s="6">
        <v>27</v>
      </c>
      <c r="C72" s="3" t="s">
        <v>100</v>
      </c>
      <c r="D72" s="4" t="s">
        <v>26</v>
      </c>
      <c r="E72" s="5">
        <v>800000</v>
      </c>
      <c r="F72" s="12">
        <v>30</v>
      </c>
      <c r="G72" s="5">
        <f t="shared" si="61"/>
        <v>800000</v>
      </c>
      <c r="H72" s="5">
        <f>+(83140/30)*F72</f>
        <v>83140</v>
      </c>
      <c r="I72" s="5"/>
      <c r="J72" s="5"/>
      <c r="K72" s="5">
        <f t="shared" si="34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9"/>
        <v>64000</v>
      </c>
      <c r="U72" s="7">
        <f t="shared" si="60"/>
        <v>819140</v>
      </c>
      <c r="V72" s="7"/>
      <c r="W72" s="44"/>
      <c r="X72" s="7">
        <f t="shared" si="67"/>
        <v>819140</v>
      </c>
      <c r="AA72" s="45">
        <f>1840000-1196000</f>
        <v>644000</v>
      </c>
    </row>
    <row r="73" spans="1:27" x14ac:dyDescent="0.25">
      <c r="A73" s="95"/>
      <c r="B73" s="6">
        <v>28</v>
      </c>
      <c r="C73" s="3" t="s">
        <v>175</v>
      </c>
      <c r="D73" s="4" t="s">
        <v>26</v>
      </c>
      <c r="E73" s="5">
        <v>1000000</v>
      </c>
      <c r="F73" s="12">
        <v>30</v>
      </c>
      <c r="G73" s="5">
        <f t="shared" si="61"/>
        <v>1000000.0000000001</v>
      </c>
      <c r="H73" s="5">
        <f>+(83140/30)*F73</f>
        <v>83140</v>
      </c>
      <c r="I73" s="5"/>
      <c r="J73" s="5"/>
      <c r="K73" s="5">
        <f t="shared" ref="K73" si="71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72">SUM(L73:S73)</f>
        <v>80000.000000000015</v>
      </c>
      <c r="U73" s="7">
        <f t="shared" si="60"/>
        <v>1003140</v>
      </c>
      <c r="V73" s="7"/>
      <c r="W73" s="44"/>
      <c r="X73" s="7">
        <f t="shared" si="67"/>
        <v>1003140</v>
      </c>
      <c r="AA73" s="45">
        <f>1840000-1196000</f>
        <v>644000</v>
      </c>
    </row>
    <row r="74" spans="1:27" ht="21" customHeight="1" x14ac:dyDescent="0.25">
      <c r="A74" s="95"/>
      <c r="B74" s="6">
        <v>29</v>
      </c>
      <c r="C74" s="11" t="s">
        <v>183</v>
      </c>
      <c r="D74" s="6"/>
      <c r="E74" s="5">
        <v>3500000</v>
      </c>
      <c r="F74" s="12">
        <v>30</v>
      </c>
      <c r="G74" s="5">
        <f>+E74/30*F74</f>
        <v>3500000</v>
      </c>
      <c r="H74" s="5"/>
      <c r="I74" s="5"/>
      <c r="J74" s="5"/>
      <c r="K74" s="5">
        <f t="shared" ref="K74" si="73">SUM(G74:I74)+J74</f>
        <v>3500000</v>
      </c>
      <c r="L74" s="5">
        <f>+G74*4%</f>
        <v>140000</v>
      </c>
      <c r="M74" s="5">
        <f>+G74*5%</f>
        <v>175000</v>
      </c>
      <c r="N74" s="5"/>
      <c r="O74" s="5"/>
      <c r="P74" s="5"/>
      <c r="Q74" s="5"/>
      <c r="R74" s="5"/>
      <c r="S74" s="5">
        <v>1104732</v>
      </c>
      <c r="T74" s="5">
        <f>SUM(L74:S74)</f>
        <v>1419732</v>
      </c>
      <c r="U74" s="7">
        <f>+K74-T74</f>
        <v>2080268</v>
      </c>
      <c r="V74" s="7"/>
      <c r="W74" s="44"/>
      <c r="X74" s="7">
        <f t="shared" si="67"/>
        <v>2080268</v>
      </c>
    </row>
    <row r="75" spans="1:27" x14ac:dyDescent="0.25">
      <c r="A75" s="95"/>
      <c r="B75" s="6">
        <v>30</v>
      </c>
      <c r="C75" s="11" t="s">
        <v>104</v>
      </c>
      <c r="D75" s="6" t="s">
        <v>26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74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5">SUM(L75:S75)</f>
        <v>363000</v>
      </c>
      <c r="U75" s="7">
        <f>+K75-T75</f>
        <v>3637000</v>
      </c>
      <c r="V75" s="7"/>
      <c r="W75" s="44"/>
      <c r="X75" s="7">
        <f t="shared" si="67"/>
        <v>3637000</v>
      </c>
      <c r="Y75" s="45" t="s">
        <v>105</v>
      </c>
    </row>
    <row r="76" spans="1:27" ht="21" customHeight="1" x14ac:dyDescent="0.25">
      <c r="A76" s="95"/>
      <c r="B76" s="6">
        <v>31</v>
      </c>
      <c r="C76" s="3" t="s">
        <v>177</v>
      </c>
      <c r="D76" s="4"/>
      <c r="E76" s="5">
        <v>1600000</v>
      </c>
      <c r="F76" s="12">
        <v>30</v>
      </c>
      <c r="G76" s="5">
        <f t="shared" ref="G76" si="76">E76/30*F76</f>
        <v>1600000</v>
      </c>
      <c r="H76" s="5"/>
      <c r="I76" s="5"/>
      <c r="J76" s="5"/>
      <c r="K76" s="5">
        <f t="shared" ref="K76" si="77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8">K76-T76</f>
        <v>1472000</v>
      </c>
      <c r="V76" s="7"/>
      <c r="W76" s="44"/>
      <c r="X76" s="7">
        <f t="shared" si="67"/>
        <v>1472000</v>
      </c>
    </row>
    <row r="77" spans="1:27" x14ac:dyDescent="0.25">
      <c r="A77" s="95"/>
      <c r="B77" s="6">
        <v>32</v>
      </c>
      <c r="C77" s="11" t="s">
        <v>106</v>
      </c>
      <c r="D77" s="6" t="s">
        <v>26</v>
      </c>
      <c r="E77" s="5">
        <v>1500000</v>
      </c>
      <c r="F77" s="12">
        <v>30</v>
      </c>
      <c r="G77" s="5">
        <f t="shared" si="61"/>
        <v>1500000</v>
      </c>
      <c r="H77" s="5"/>
      <c r="I77" s="5"/>
      <c r="J77" s="5"/>
      <c r="K77" s="5">
        <f t="shared" ref="K77" si="79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80">SUM(L77:S77)</f>
        <v>120000</v>
      </c>
      <c r="U77" s="7">
        <f t="shared" ref="U77:U82" si="81">+K77-T77</f>
        <v>1380000</v>
      </c>
      <c r="V77" s="7"/>
      <c r="W77" s="44"/>
      <c r="X77" s="7">
        <f t="shared" si="67"/>
        <v>1380000</v>
      </c>
      <c r="Y77" s="45" t="s">
        <v>105</v>
      </c>
    </row>
    <row r="78" spans="1:27" x14ac:dyDescent="0.25">
      <c r="A78" s="95"/>
      <c r="B78" s="6">
        <v>33</v>
      </c>
      <c r="C78" s="11" t="s">
        <v>107</v>
      </c>
      <c r="D78" s="6" t="s">
        <v>26</v>
      </c>
      <c r="E78" s="5">
        <v>3000000</v>
      </c>
      <c r="F78" s="12">
        <v>30</v>
      </c>
      <c r="G78" s="5">
        <f t="shared" si="61"/>
        <v>3000000</v>
      </c>
      <c r="H78" s="5"/>
      <c r="I78" s="5"/>
      <c r="J78" s="5"/>
      <c r="K78" s="5">
        <f t="shared" si="34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9"/>
        <v>1065577</v>
      </c>
      <c r="U78" s="7">
        <f t="shared" si="81"/>
        <v>1934423</v>
      </c>
      <c r="V78" s="7"/>
      <c r="W78" s="44"/>
      <c r="X78" s="7">
        <f t="shared" si="67"/>
        <v>1934423</v>
      </c>
    </row>
    <row r="79" spans="1:27" x14ac:dyDescent="0.25">
      <c r="A79" s="95"/>
      <c r="B79" s="6">
        <v>34</v>
      </c>
      <c r="C79" s="11" t="s">
        <v>167</v>
      </c>
      <c r="D79" s="6"/>
      <c r="E79" s="5">
        <v>4500000</v>
      </c>
      <c r="F79" s="12">
        <v>30</v>
      </c>
      <c r="G79" s="5">
        <f t="shared" si="61"/>
        <v>4500000</v>
      </c>
      <c r="H79" s="5"/>
      <c r="I79" s="5"/>
      <c r="J79" s="5"/>
      <c r="K79" s="5">
        <f t="shared" ref="K79:K82" si="82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83">SUM(L79:S79)</f>
        <v>423000</v>
      </c>
      <c r="U79" s="7">
        <f t="shared" si="81"/>
        <v>4077000</v>
      </c>
      <c r="V79" s="7"/>
      <c r="W79" s="44"/>
      <c r="X79" s="7">
        <f t="shared" si="67"/>
        <v>4077000</v>
      </c>
    </row>
    <row r="80" spans="1:27" x14ac:dyDescent="0.25">
      <c r="A80" s="95"/>
      <c r="B80" s="6">
        <v>35</v>
      </c>
      <c r="C80" s="11" t="s">
        <v>108</v>
      </c>
      <c r="D80" s="6"/>
      <c r="E80" s="5">
        <v>4500000</v>
      </c>
      <c r="F80" s="12">
        <v>30</v>
      </c>
      <c r="G80" s="5">
        <f t="shared" si="61"/>
        <v>4500000</v>
      </c>
      <c r="H80" s="5"/>
      <c r="I80" s="5"/>
      <c r="J80" s="5"/>
      <c r="K80" s="5">
        <f t="shared" si="82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83"/>
        <v>477000</v>
      </c>
      <c r="U80" s="7">
        <f t="shared" si="81"/>
        <v>4023000</v>
      </c>
      <c r="V80" s="7"/>
      <c r="W80" s="44"/>
      <c r="X80" s="7">
        <f t="shared" si="67"/>
        <v>4023000</v>
      </c>
    </row>
    <row r="81" spans="1:24" x14ac:dyDescent="0.25">
      <c r="A81" s="95"/>
      <c r="B81" s="6">
        <v>36</v>
      </c>
      <c r="C81" s="11" t="s">
        <v>168</v>
      </c>
      <c r="D81" s="6"/>
      <c r="E81" s="5">
        <v>737717</v>
      </c>
      <c r="F81" s="12">
        <v>30</v>
      </c>
      <c r="G81" s="5">
        <f t="shared" si="61"/>
        <v>737717</v>
      </c>
      <c r="H81" s="5">
        <f t="shared" ref="H81:H82" si="84">+(83140/30)*F81</f>
        <v>83140</v>
      </c>
      <c r="I81" s="5"/>
      <c r="J81" s="5"/>
      <c r="K81" s="5">
        <f t="shared" si="82"/>
        <v>820857</v>
      </c>
      <c r="L81" s="5">
        <f t="shared" ref="L81:L82" si="85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81"/>
        <v>761839</v>
      </c>
      <c r="V81" s="7"/>
      <c r="W81" s="44"/>
      <c r="X81" s="7">
        <f t="shared" si="67"/>
        <v>761839</v>
      </c>
    </row>
    <row r="82" spans="1:24" x14ac:dyDescent="0.25">
      <c r="A82" s="95"/>
      <c r="B82" s="6">
        <v>37</v>
      </c>
      <c r="C82" s="11" t="s">
        <v>169</v>
      </c>
      <c r="D82" s="6"/>
      <c r="E82" s="5">
        <v>737717</v>
      </c>
      <c r="F82" s="12">
        <v>30</v>
      </c>
      <c r="G82" s="5">
        <f t="shared" si="61"/>
        <v>737717</v>
      </c>
      <c r="H82" s="5">
        <f t="shared" si="84"/>
        <v>83140</v>
      </c>
      <c r="I82" s="5"/>
      <c r="J82" s="5"/>
      <c r="K82" s="5">
        <f t="shared" si="82"/>
        <v>820857</v>
      </c>
      <c r="L82" s="5">
        <f t="shared" si="85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81"/>
        <v>761839</v>
      </c>
      <c r="V82" s="7"/>
      <c r="W82" s="44"/>
      <c r="X82" s="7">
        <f t="shared" si="67"/>
        <v>761839</v>
      </c>
    </row>
    <row r="83" spans="1:24" ht="18" customHeight="1" x14ac:dyDescent="0.25">
      <c r="A83" s="95"/>
      <c r="B83" s="6">
        <v>38</v>
      </c>
      <c r="C83" s="11" t="s">
        <v>170</v>
      </c>
      <c r="D83" s="6"/>
      <c r="E83" s="5">
        <v>2500000</v>
      </c>
      <c r="F83" s="12">
        <v>30</v>
      </c>
      <c r="G83" s="5">
        <f t="shared" si="61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/>
      <c r="O83" s="5"/>
      <c r="P83" s="17"/>
      <c r="Q83" s="5"/>
      <c r="R83" s="5"/>
      <c r="S83" s="5"/>
      <c r="T83" s="5">
        <f>SUM(L83:S83)</f>
        <v>200000</v>
      </c>
      <c r="U83" s="7">
        <f>+K83-T83</f>
        <v>2650000</v>
      </c>
      <c r="V83" s="7"/>
      <c r="W83" s="44"/>
      <c r="X83" s="7">
        <f t="shared" si="67"/>
        <v>2650000</v>
      </c>
    </row>
    <row r="84" spans="1:24" ht="24" x14ac:dyDescent="0.25">
      <c r="A84" s="95"/>
      <c r="B84" s="6">
        <v>39</v>
      </c>
      <c r="C84" s="11" t="s">
        <v>109</v>
      </c>
      <c r="D84" s="6" t="s">
        <v>26</v>
      </c>
      <c r="E84" s="5">
        <v>1500000</v>
      </c>
      <c r="F84" s="12">
        <v>30</v>
      </c>
      <c r="G84" s="5">
        <f t="shared" si="61"/>
        <v>1500000</v>
      </c>
      <c r="H84" s="5"/>
      <c r="I84" s="5"/>
      <c r="J84" s="5"/>
      <c r="K84" s="5">
        <f t="shared" ref="K84" si="86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7">SUM(L84:S84)</f>
        <v>120000</v>
      </c>
      <c r="U84" s="7">
        <f t="shared" ref="U84:U86" si="88">+K84-T84</f>
        <v>1380000</v>
      </c>
      <c r="V84" s="7"/>
      <c r="W84" s="44"/>
      <c r="X84" s="7">
        <f t="shared" si="67"/>
        <v>1380000</v>
      </c>
    </row>
    <row r="85" spans="1:24" ht="22.5" customHeight="1" x14ac:dyDescent="0.25">
      <c r="A85" s="95"/>
      <c r="B85" s="6">
        <v>40</v>
      </c>
      <c r="C85" s="11" t="s">
        <v>149</v>
      </c>
      <c r="D85" s="6"/>
      <c r="E85" s="5">
        <v>2500000</v>
      </c>
      <c r="F85" s="12">
        <v>30</v>
      </c>
      <c r="G85" s="5">
        <f t="shared" si="61"/>
        <v>2500000</v>
      </c>
      <c r="H85" s="5"/>
      <c r="I85" s="5"/>
      <c r="J85" s="5"/>
      <c r="K85" s="5">
        <f t="shared" ref="K85:K88" si="89">SUM(G85:I85)+J85</f>
        <v>2500000</v>
      </c>
      <c r="L85" s="5">
        <f>+G85*4%</f>
        <v>100000</v>
      </c>
      <c r="M85" s="5">
        <f>+G85*4%</f>
        <v>100000</v>
      </c>
      <c r="N85" s="5"/>
      <c r="O85" s="5"/>
      <c r="P85" s="5">
        <v>0</v>
      </c>
      <c r="Q85" s="5"/>
      <c r="R85" s="5"/>
      <c r="S85" s="5"/>
      <c r="T85" s="5">
        <f>SUM(L85:S85)</f>
        <v>200000</v>
      </c>
      <c r="U85" s="7">
        <f t="shared" si="88"/>
        <v>2300000</v>
      </c>
      <c r="V85" s="7"/>
      <c r="W85" s="44"/>
      <c r="X85" s="7">
        <f t="shared" si="67"/>
        <v>2300000</v>
      </c>
    </row>
    <row r="86" spans="1:24" x14ac:dyDescent="0.25">
      <c r="A86" s="95"/>
      <c r="B86" s="6">
        <v>41</v>
      </c>
      <c r="C86" s="11" t="s">
        <v>111</v>
      </c>
      <c r="D86" s="6" t="s">
        <v>26</v>
      </c>
      <c r="E86" s="5">
        <v>4500000</v>
      </c>
      <c r="F86" s="12">
        <v>30</v>
      </c>
      <c r="G86" s="5">
        <v>3750000</v>
      </c>
      <c r="H86" s="5"/>
      <c r="I86" s="5">
        <v>281250</v>
      </c>
      <c r="J86" s="5">
        <v>750000</v>
      </c>
      <c r="K86" s="5">
        <f t="shared" si="89"/>
        <v>4781250</v>
      </c>
      <c r="L86" s="5">
        <f>+E86*4%</f>
        <v>180000</v>
      </c>
      <c r="M86" s="5">
        <f>+E86*5%</f>
        <v>225000</v>
      </c>
      <c r="N86" s="5"/>
      <c r="O86" s="5"/>
      <c r="P86" s="5">
        <v>72000</v>
      </c>
      <c r="Q86" s="5"/>
      <c r="R86" s="5"/>
      <c r="S86" s="5">
        <v>610699</v>
      </c>
      <c r="T86" s="5">
        <f t="shared" ref="T86" si="90">SUM(L86:S86)</f>
        <v>1087699</v>
      </c>
      <c r="U86" s="7">
        <f t="shared" si="88"/>
        <v>3693551</v>
      </c>
      <c r="V86" s="7"/>
      <c r="W86" s="44"/>
      <c r="X86" s="7">
        <f t="shared" si="67"/>
        <v>3693551</v>
      </c>
    </row>
    <row r="87" spans="1:24" ht="21.75" customHeight="1" x14ac:dyDescent="0.25">
      <c r="A87" s="95"/>
      <c r="B87" s="6">
        <v>42</v>
      </c>
      <c r="C87" s="11" t="s">
        <v>184</v>
      </c>
      <c r="D87" s="6"/>
      <c r="E87" s="5">
        <v>5400000</v>
      </c>
      <c r="F87" s="12">
        <v>30</v>
      </c>
      <c r="G87" s="5">
        <f>+E87/30*F87</f>
        <v>5400000</v>
      </c>
      <c r="H87" s="5"/>
      <c r="I87" s="5"/>
      <c r="J87" s="5"/>
      <c r="K87" s="5">
        <f>SUM(G87:I87)+J87</f>
        <v>5400000</v>
      </c>
      <c r="L87" s="5">
        <f>+G87*4%</f>
        <v>216000</v>
      </c>
      <c r="M87" s="5">
        <f>+G87*5%</f>
        <v>270000</v>
      </c>
      <c r="N87" s="5"/>
      <c r="O87" s="5"/>
      <c r="P87" s="5">
        <v>125000</v>
      </c>
      <c r="Q87" s="5"/>
      <c r="R87" s="5"/>
      <c r="S87" s="5"/>
      <c r="T87" s="5">
        <f>SUM(L87:S87)</f>
        <v>611000</v>
      </c>
      <c r="U87" s="7">
        <f>+K87-T87</f>
        <v>4789000</v>
      </c>
      <c r="V87" s="7"/>
      <c r="W87" s="44"/>
      <c r="X87" s="7">
        <f t="shared" si="67"/>
        <v>4789000</v>
      </c>
    </row>
    <row r="88" spans="1:24" x14ac:dyDescent="0.25">
      <c r="A88" s="95"/>
      <c r="B88" s="6">
        <v>43</v>
      </c>
      <c r="C88" s="11" t="s">
        <v>112</v>
      </c>
      <c r="D88" s="6" t="s">
        <v>26</v>
      </c>
      <c r="E88" s="5">
        <v>4500000</v>
      </c>
      <c r="F88" s="12">
        <v>30</v>
      </c>
      <c r="G88" s="5">
        <f>+E88-J88</f>
        <v>4500000</v>
      </c>
      <c r="H88" s="5"/>
      <c r="I88" s="5"/>
      <c r="J88" s="5"/>
      <c r="K88" s="5">
        <f t="shared" si="89"/>
        <v>4500000</v>
      </c>
      <c r="L88" s="5">
        <f>+K88*4%</f>
        <v>180000</v>
      </c>
      <c r="M88" s="5">
        <f>+K88*5%</f>
        <v>225000</v>
      </c>
      <c r="N88" s="5">
        <v>0</v>
      </c>
      <c r="O88" s="5"/>
      <c r="P88" s="5">
        <v>8500</v>
      </c>
      <c r="Q88" s="5"/>
      <c r="R88" s="5"/>
      <c r="S88" s="5"/>
      <c r="T88" s="5">
        <f>SUM(L88:S88)</f>
        <v>413500</v>
      </c>
      <c r="U88" s="7">
        <f t="shared" ref="U88:U91" si="91">K88-T88</f>
        <v>4086500</v>
      </c>
      <c r="V88" s="7"/>
      <c r="W88" s="44"/>
      <c r="X88" s="7">
        <f t="shared" si="67"/>
        <v>4086500</v>
      </c>
    </row>
    <row r="89" spans="1:24" x14ac:dyDescent="0.25">
      <c r="A89" s="95"/>
      <c r="B89" s="6">
        <v>44</v>
      </c>
      <c r="C89" s="11" t="s">
        <v>113</v>
      </c>
      <c r="D89" s="6" t="s">
        <v>26</v>
      </c>
      <c r="E89" s="5">
        <v>3500000</v>
      </c>
      <c r="F89" s="12">
        <v>30</v>
      </c>
      <c r="G89" s="5">
        <f t="shared" si="61"/>
        <v>3500000</v>
      </c>
      <c r="H89" s="5"/>
      <c r="I89" s="5"/>
      <c r="J89" s="5"/>
      <c r="K89" s="5">
        <f t="shared" ref="K89:K109" si="92">SUM(G89:I89)+J89</f>
        <v>3500000</v>
      </c>
      <c r="L89" s="5">
        <f>+G89*4%</f>
        <v>140000</v>
      </c>
      <c r="M89" s="5">
        <f>+G89*5%</f>
        <v>175000</v>
      </c>
      <c r="N89" s="5">
        <v>0</v>
      </c>
      <c r="O89" s="5"/>
      <c r="P89" s="5">
        <v>0</v>
      </c>
      <c r="Q89" s="5"/>
      <c r="R89" s="5"/>
      <c r="S89" s="5"/>
      <c r="T89" s="5">
        <f t="shared" si="49"/>
        <v>315000</v>
      </c>
      <c r="U89" s="7">
        <f t="shared" si="91"/>
        <v>3185000</v>
      </c>
      <c r="V89" s="7"/>
      <c r="W89" s="44"/>
      <c r="X89" s="7">
        <f t="shared" si="67"/>
        <v>3185000</v>
      </c>
    </row>
    <row r="90" spans="1:24" ht="24" x14ac:dyDescent="0.25">
      <c r="A90" s="95"/>
      <c r="B90" s="6">
        <v>45</v>
      </c>
      <c r="C90" s="11" t="s">
        <v>115</v>
      </c>
      <c r="D90" s="6" t="s">
        <v>26</v>
      </c>
      <c r="E90" s="5">
        <v>1500000</v>
      </c>
      <c r="F90" s="12">
        <v>30</v>
      </c>
      <c r="G90" s="5">
        <f t="shared" si="61"/>
        <v>1500000</v>
      </c>
      <c r="H90" s="5"/>
      <c r="I90" s="5"/>
      <c r="J90" s="5"/>
      <c r="K90" s="5">
        <f t="shared" ref="K90" si="93">SUM(G90:I90)+J90</f>
        <v>1500000</v>
      </c>
      <c r="L90" s="5">
        <f>+G90*4%</f>
        <v>60000</v>
      </c>
      <c r="M90" s="5">
        <f>+G90*4%</f>
        <v>60000</v>
      </c>
      <c r="N90" s="5"/>
      <c r="O90" s="5"/>
      <c r="P90" s="5"/>
      <c r="Q90" s="5"/>
      <c r="R90" s="5"/>
      <c r="S90" s="5"/>
      <c r="T90" s="5">
        <f t="shared" ref="T90" si="94">SUM(L90:S90)</f>
        <v>120000</v>
      </c>
      <c r="U90" s="7">
        <f t="shared" si="91"/>
        <v>1380000</v>
      </c>
      <c r="V90" s="7"/>
      <c r="W90" s="44"/>
      <c r="X90" s="7">
        <f t="shared" si="67"/>
        <v>1380000</v>
      </c>
    </row>
    <row r="91" spans="1:24" ht="23.25" customHeight="1" x14ac:dyDescent="0.25">
      <c r="A91" s="95"/>
      <c r="B91" s="6">
        <v>46</v>
      </c>
      <c r="C91" s="3" t="s">
        <v>116</v>
      </c>
      <c r="D91" s="4" t="s">
        <v>26</v>
      </c>
      <c r="E91" s="5">
        <v>737717</v>
      </c>
      <c r="F91" s="12">
        <v>30</v>
      </c>
      <c r="G91" s="5">
        <f t="shared" si="61"/>
        <v>737717</v>
      </c>
      <c r="H91" s="5">
        <v>83140</v>
      </c>
      <c r="I91" s="5">
        <v>55716</v>
      </c>
      <c r="J91" s="5"/>
      <c r="K91" s="5">
        <f t="shared" si="92"/>
        <v>876573</v>
      </c>
      <c r="L91" s="5">
        <v>29509</v>
      </c>
      <c r="M91" s="5">
        <v>29509</v>
      </c>
      <c r="N91" s="5">
        <v>106667</v>
      </c>
      <c r="O91" s="5"/>
      <c r="P91" s="5">
        <v>0</v>
      </c>
      <c r="Q91" s="5"/>
      <c r="R91" s="5"/>
      <c r="S91" s="5"/>
      <c r="T91" s="5">
        <f t="shared" si="49"/>
        <v>165685</v>
      </c>
      <c r="U91" s="7">
        <f t="shared" si="91"/>
        <v>710888</v>
      </c>
      <c r="V91" s="7"/>
      <c r="W91" s="44"/>
      <c r="X91" s="7">
        <f>U91+V91-W91</f>
        <v>710888</v>
      </c>
    </row>
    <row r="92" spans="1:24" ht="22.5" customHeight="1" x14ac:dyDescent="0.25">
      <c r="A92" s="95"/>
      <c r="B92" s="6">
        <v>47</v>
      </c>
      <c r="C92" s="3" t="s">
        <v>176</v>
      </c>
      <c r="D92" s="4"/>
      <c r="E92" s="5">
        <v>737717</v>
      </c>
      <c r="F92" s="12">
        <v>30</v>
      </c>
      <c r="G92" s="5">
        <f t="shared" si="61"/>
        <v>737717</v>
      </c>
      <c r="H92" s="5">
        <f t="shared" ref="H92" si="95">+(83140/30)*F92</f>
        <v>83140</v>
      </c>
      <c r="I92" s="5">
        <v>9477</v>
      </c>
      <c r="J92" s="5"/>
      <c r="K92" s="5">
        <f>SUM(G92:I92)+J92</f>
        <v>830334</v>
      </c>
      <c r="L92" s="5">
        <f>+G92*4%</f>
        <v>29508.68</v>
      </c>
      <c r="M92" s="5">
        <f>+G92*4%</f>
        <v>29508.68</v>
      </c>
      <c r="N92" s="5"/>
      <c r="O92" s="5"/>
      <c r="P92" s="5"/>
      <c r="Q92" s="5"/>
      <c r="R92" s="5"/>
      <c r="S92" s="5"/>
      <c r="T92" s="5">
        <f t="shared" si="49"/>
        <v>59017.36</v>
      </c>
      <c r="U92" s="7">
        <f>K92-T92</f>
        <v>771316.64</v>
      </c>
      <c r="V92" s="7"/>
      <c r="W92" s="44"/>
      <c r="X92" s="7">
        <f>U92+V92-W92</f>
        <v>771316.64</v>
      </c>
    </row>
    <row r="93" spans="1:24" ht="22.5" customHeight="1" x14ac:dyDescent="0.25">
      <c r="A93" s="95"/>
      <c r="B93" s="6">
        <v>48</v>
      </c>
      <c r="C93" s="3" t="s">
        <v>189</v>
      </c>
      <c r="D93" s="4"/>
      <c r="E93" s="5">
        <v>400000</v>
      </c>
      <c r="F93" s="12">
        <v>29</v>
      </c>
      <c r="G93" s="5">
        <f>+E93/30*F93</f>
        <v>386666.66666666669</v>
      </c>
      <c r="H93" s="5"/>
      <c r="I93" s="5"/>
      <c r="J93" s="5"/>
      <c r="K93" s="5">
        <f>SUM(G93:I93)+J93</f>
        <v>386666.66666666669</v>
      </c>
      <c r="L93" s="5">
        <f>+G93*4%</f>
        <v>15466.666666666668</v>
      </c>
      <c r="M93" s="5">
        <f>+G93*4%</f>
        <v>15466.666666666668</v>
      </c>
      <c r="N93" s="5"/>
      <c r="O93" s="5"/>
      <c r="P93" s="5"/>
      <c r="Q93" s="5"/>
      <c r="R93" s="5"/>
      <c r="S93" s="5"/>
      <c r="T93" s="5">
        <f t="shared" si="49"/>
        <v>30933.333333333336</v>
      </c>
      <c r="U93" s="7">
        <f>K93-T93</f>
        <v>355733.33333333337</v>
      </c>
      <c r="V93" s="7"/>
      <c r="W93" s="44"/>
      <c r="X93" s="7">
        <f>U93+V93-W93</f>
        <v>355733.33333333337</v>
      </c>
    </row>
    <row r="94" spans="1:24" x14ac:dyDescent="0.25">
      <c r="A94" s="95"/>
      <c r="B94" s="6">
        <v>49</v>
      </c>
      <c r="C94" s="11" t="s">
        <v>119</v>
      </c>
      <c r="D94" s="6" t="s">
        <v>26</v>
      </c>
      <c r="E94" s="5">
        <v>15400000</v>
      </c>
      <c r="F94" s="12">
        <v>30</v>
      </c>
      <c r="G94" s="5">
        <f t="shared" si="61"/>
        <v>15400000</v>
      </c>
      <c r="H94" s="5"/>
      <c r="I94" s="5">
        <v>600000</v>
      </c>
      <c r="J94" s="5"/>
      <c r="K94" s="5">
        <f t="shared" si="92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9"/>
        <v>9873115</v>
      </c>
      <c r="U94" s="7">
        <f>+K94-T94</f>
        <v>6126885</v>
      </c>
      <c r="V94" s="7"/>
      <c r="W94" s="44"/>
      <c r="X94" s="7">
        <f t="shared" si="67"/>
        <v>6126885</v>
      </c>
    </row>
    <row r="95" spans="1:24" x14ac:dyDescent="0.25">
      <c r="A95" s="95"/>
      <c r="B95" s="6">
        <v>50</v>
      </c>
      <c r="C95" s="11" t="s">
        <v>120</v>
      </c>
      <c r="D95" s="6" t="s">
        <v>26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2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9"/>
        <v>1615458</v>
      </c>
      <c r="U95" s="7">
        <f>+K95-T95</f>
        <v>2884542</v>
      </c>
      <c r="V95" s="7"/>
      <c r="W95" s="44"/>
      <c r="X95" s="7">
        <f t="shared" si="67"/>
        <v>2884542</v>
      </c>
    </row>
    <row r="96" spans="1:24" ht="24" x14ac:dyDescent="0.25">
      <c r="A96" s="95"/>
      <c r="B96" s="6">
        <v>51</v>
      </c>
      <c r="C96" s="11" t="s">
        <v>158</v>
      </c>
      <c r="D96" s="6"/>
      <c r="E96" s="5">
        <v>1600000</v>
      </c>
      <c r="F96" s="12">
        <v>30</v>
      </c>
      <c r="G96" s="5">
        <f t="shared" si="61"/>
        <v>1600000</v>
      </c>
      <c r="H96" s="5"/>
      <c r="I96" s="5"/>
      <c r="J96" s="5"/>
      <c r="K96" s="5">
        <f t="shared" ref="K96" si="96">SUM(G96:I96)+J96</f>
        <v>1600000</v>
      </c>
      <c r="L96" s="5">
        <f t="shared" ref="L96" si="97">+G96*4%</f>
        <v>64000</v>
      </c>
      <c r="M96" s="5">
        <f>+G96*4%</f>
        <v>64000</v>
      </c>
      <c r="N96" s="5"/>
      <c r="O96" s="5"/>
      <c r="P96" s="5"/>
      <c r="Q96" s="5"/>
      <c r="R96" s="5"/>
      <c r="S96" s="5"/>
      <c r="T96" s="5">
        <f t="shared" ref="T96" si="98">SUM(L96:S96)</f>
        <v>128000</v>
      </c>
      <c r="U96" s="7">
        <f>+K96-T96</f>
        <v>1472000</v>
      </c>
      <c r="V96" s="7"/>
      <c r="W96" s="44"/>
      <c r="X96" s="7">
        <f t="shared" si="67"/>
        <v>1472000</v>
      </c>
    </row>
    <row r="97" spans="1:24" x14ac:dyDescent="0.25">
      <c r="A97" s="95"/>
      <c r="B97" s="6">
        <v>52</v>
      </c>
      <c r="C97" s="11" t="s">
        <v>121</v>
      </c>
      <c r="D97" s="6" t="s">
        <v>26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2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9"/>
        <v>200000</v>
      </c>
      <c r="U97" s="7">
        <f>+K97-T97</f>
        <v>2300000</v>
      </c>
      <c r="V97" s="7"/>
      <c r="W97" s="44"/>
      <c r="X97" s="7">
        <f t="shared" si="67"/>
        <v>2300000</v>
      </c>
    </row>
    <row r="98" spans="1:24" x14ac:dyDescent="0.25">
      <c r="A98" s="95"/>
      <c r="B98" s="6">
        <v>53</v>
      </c>
      <c r="C98" s="3" t="s">
        <v>122</v>
      </c>
      <c r="D98" s="4" t="s">
        <v>26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2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7"/>
      <c r="W98" s="44"/>
      <c r="X98" s="7">
        <f t="shared" si="67"/>
        <v>2485229</v>
      </c>
    </row>
    <row r="99" spans="1:24" x14ac:dyDescent="0.25">
      <c r="A99" s="95"/>
      <c r="B99" s="6">
        <v>54</v>
      </c>
      <c r="C99" s="3" t="s">
        <v>123</v>
      </c>
      <c r="D99" s="4" t="s">
        <v>26</v>
      </c>
      <c r="E99" s="5">
        <v>1600000</v>
      </c>
      <c r="F99" s="12">
        <v>30</v>
      </c>
      <c r="G99" s="5">
        <f t="shared" si="61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7"/>
        <v>1672000</v>
      </c>
    </row>
    <row r="100" spans="1:24" ht="23.25" customHeight="1" x14ac:dyDescent="0.25">
      <c r="A100" s="95"/>
      <c r="B100" s="6">
        <v>55</v>
      </c>
      <c r="C100" s="11" t="s">
        <v>127</v>
      </c>
      <c r="D100" s="6" t="s">
        <v>26</v>
      </c>
      <c r="E100" s="5">
        <v>3750000</v>
      </c>
      <c r="F100" s="12">
        <v>30</v>
      </c>
      <c r="G100" s="5">
        <f t="shared" si="61"/>
        <v>3750000</v>
      </c>
      <c r="H100" s="5"/>
      <c r="I100" s="5"/>
      <c r="J100" s="5"/>
      <c r="K100" s="5">
        <f t="shared" si="92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9"/>
        <v>337500</v>
      </c>
      <c r="U100" s="7">
        <f>+K100-T100</f>
        <v>3412500</v>
      </c>
      <c r="V100" s="7"/>
      <c r="W100" s="44"/>
      <c r="X100" s="7">
        <f t="shared" si="67"/>
        <v>3412500</v>
      </c>
    </row>
    <row r="101" spans="1:24" ht="24" x14ac:dyDescent="0.25">
      <c r="A101" s="95"/>
      <c r="B101" s="6">
        <v>56</v>
      </c>
      <c r="C101" s="11" t="s">
        <v>128</v>
      </c>
      <c r="D101" s="6" t="s">
        <v>26</v>
      </c>
      <c r="E101" s="5">
        <v>3700000</v>
      </c>
      <c r="F101" s="12">
        <v>30</v>
      </c>
      <c r="G101" s="5">
        <f t="shared" si="61"/>
        <v>3700000</v>
      </c>
      <c r="H101" s="5"/>
      <c r="I101" s="5">
        <v>650000</v>
      </c>
      <c r="J101" s="5"/>
      <c r="K101" s="5">
        <f t="shared" si="92"/>
        <v>4350000</v>
      </c>
      <c r="L101" s="5">
        <f t="shared" ref="L101" si="99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100">SUM(L101:S101)</f>
        <v>333000</v>
      </c>
      <c r="U101" s="7">
        <f>+K101-T101</f>
        <v>4017000</v>
      </c>
      <c r="V101" s="7"/>
      <c r="W101" s="44"/>
      <c r="X101" s="7">
        <f t="shared" si="67"/>
        <v>4017000</v>
      </c>
    </row>
    <row r="102" spans="1:24" ht="22.5" customHeight="1" x14ac:dyDescent="0.25">
      <c r="A102" s="95"/>
      <c r="B102" s="6">
        <v>57</v>
      </c>
      <c r="C102" s="11" t="s">
        <v>67</v>
      </c>
      <c r="D102" s="6" t="s">
        <v>26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2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100"/>
        <v>315000</v>
      </c>
      <c r="U102" s="7">
        <f t="shared" ref="U102" si="101">+K102-T102</f>
        <v>3185000</v>
      </c>
      <c r="V102" s="7"/>
      <c r="W102" s="44"/>
      <c r="X102" s="7">
        <f t="shared" si="67"/>
        <v>3185000</v>
      </c>
    </row>
    <row r="103" spans="1:24" x14ac:dyDescent="0.25">
      <c r="A103" s="95"/>
      <c r="B103" s="6">
        <v>58</v>
      </c>
      <c r="C103" s="11" t="s">
        <v>129</v>
      </c>
      <c r="D103" s="6" t="s">
        <v>34</v>
      </c>
      <c r="E103" s="5">
        <v>2000000</v>
      </c>
      <c r="F103" s="12">
        <v>30</v>
      </c>
      <c r="G103" s="5">
        <f t="shared" si="61"/>
        <v>2000000.0000000002</v>
      </c>
      <c r="H103" s="5"/>
      <c r="I103" s="5"/>
      <c r="J103" s="5"/>
      <c r="K103" s="5">
        <f t="shared" si="92"/>
        <v>2000000.0000000002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9"/>
        <v>160000</v>
      </c>
      <c r="U103" s="7">
        <f>+K103-T103</f>
        <v>1840000.0000000002</v>
      </c>
      <c r="V103" s="7"/>
      <c r="W103" s="44"/>
      <c r="X103" s="7">
        <f t="shared" si="67"/>
        <v>1840000.0000000002</v>
      </c>
    </row>
    <row r="104" spans="1:24" x14ac:dyDescent="0.25">
      <c r="A104" s="95"/>
      <c r="B104" s="6">
        <v>59</v>
      </c>
      <c r="C104" s="11" t="s">
        <v>172</v>
      </c>
      <c r="D104" s="6"/>
      <c r="E104" s="5">
        <v>1500000</v>
      </c>
      <c r="F104" s="12">
        <v>30</v>
      </c>
      <c r="G104" s="5">
        <f t="shared" si="61"/>
        <v>1500000</v>
      </c>
      <c r="H104" s="5"/>
      <c r="I104" s="5"/>
      <c r="J104" s="5"/>
      <c r="K104" s="5">
        <f t="shared" ref="K104" si="102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3">SUM(L104:S104)</f>
        <v>120000</v>
      </c>
      <c r="U104" s="7">
        <f>+K104-T104</f>
        <v>1380000</v>
      </c>
      <c r="V104" s="7"/>
      <c r="W104" s="44"/>
      <c r="X104" s="7">
        <f t="shared" si="67"/>
        <v>1380000</v>
      </c>
    </row>
    <row r="105" spans="1:24" x14ac:dyDescent="0.25">
      <c r="A105" s="95"/>
      <c r="B105" s="6">
        <v>60</v>
      </c>
      <c r="C105" s="3" t="s">
        <v>130</v>
      </c>
      <c r="D105" s="4" t="s">
        <v>26</v>
      </c>
      <c r="E105" s="5">
        <v>1600000</v>
      </c>
      <c r="F105" s="12">
        <v>30</v>
      </c>
      <c r="G105" s="5">
        <f t="shared" si="61"/>
        <v>1600000</v>
      </c>
      <c r="H105" s="5"/>
      <c r="I105" s="5"/>
      <c r="J105" s="5"/>
      <c r="K105" s="5">
        <f t="shared" si="92"/>
        <v>1600000</v>
      </c>
      <c r="L105" s="5">
        <f>+K105*4%</f>
        <v>64000</v>
      </c>
      <c r="M105" s="5">
        <v>64000</v>
      </c>
      <c r="N105" s="5"/>
      <c r="O105" s="5"/>
      <c r="P105" s="5">
        <v>0</v>
      </c>
      <c r="Q105" s="5"/>
      <c r="R105" s="5"/>
      <c r="S105" s="5">
        <v>249127</v>
      </c>
      <c r="T105" s="5">
        <f t="shared" si="49"/>
        <v>377127</v>
      </c>
      <c r="U105" s="7">
        <f>K105-T105</f>
        <v>1222873</v>
      </c>
      <c r="V105" s="7"/>
      <c r="W105" s="44"/>
      <c r="X105" s="7">
        <f t="shared" si="67"/>
        <v>1222873</v>
      </c>
    </row>
    <row r="106" spans="1:24" ht="23.25" customHeight="1" x14ac:dyDescent="0.25">
      <c r="A106" s="95"/>
      <c r="B106" s="6">
        <v>61</v>
      </c>
      <c r="C106" s="11" t="s">
        <v>131</v>
      </c>
      <c r="D106" s="6" t="s">
        <v>26</v>
      </c>
      <c r="E106" s="5">
        <v>1500000</v>
      </c>
      <c r="F106" s="12">
        <v>30</v>
      </c>
      <c r="G106" s="5">
        <f t="shared" si="61"/>
        <v>1500000</v>
      </c>
      <c r="H106" s="5">
        <v>0</v>
      </c>
      <c r="I106" s="5"/>
      <c r="J106" s="5"/>
      <c r="K106" s="5">
        <f t="shared" si="92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9"/>
        <v>120000</v>
      </c>
      <c r="U106" s="7">
        <f t="shared" ref="U106:U110" si="104">+K106-T106</f>
        <v>1380000</v>
      </c>
      <c r="V106" s="7"/>
      <c r="W106" s="44"/>
      <c r="X106" s="7">
        <f t="shared" si="67"/>
        <v>1380000</v>
      </c>
    </row>
    <row r="107" spans="1:24" ht="24" x14ac:dyDescent="0.25">
      <c r="A107" s="95"/>
      <c r="B107" s="6">
        <v>62</v>
      </c>
      <c r="C107" s="11" t="s">
        <v>133</v>
      </c>
      <c r="D107" s="6" t="s">
        <v>26</v>
      </c>
      <c r="E107" s="5">
        <v>1800000</v>
      </c>
      <c r="F107" s="12">
        <v>30</v>
      </c>
      <c r="G107" s="5">
        <v>1500000</v>
      </c>
      <c r="H107" s="5"/>
      <c r="I107" s="5"/>
      <c r="J107" s="21">
        <v>300000</v>
      </c>
      <c r="K107" s="5">
        <f t="shared" ref="K107:K108" si="105">SUM(G107:I107)+J107</f>
        <v>1800000</v>
      </c>
      <c r="L107" s="5">
        <f>+E107*4%</f>
        <v>72000</v>
      </c>
      <c r="M107" s="5">
        <f>+E107*4%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4"/>
        <v>1656000</v>
      </c>
      <c r="V107" s="7"/>
      <c r="W107" s="44"/>
      <c r="X107" s="7">
        <f t="shared" si="67"/>
        <v>1656000</v>
      </c>
    </row>
    <row r="108" spans="1:24" ht="18.75" customHeight="1" x14ac:dyDescent="0.25">
      <c r="A108" s="95"/>
      <c r="B108" s="6">
        <v>63</v>
      </c>
      <c r="C108" s="11" t="s">
        <v>178</v>
      </c>
      <c r="D108" s="6"/>
      <c r="E108" s="5">
        <v>737717</v>
      </c>
      <c r="F108" s="12">
        <v>30</v>
      </c>
      <c r="G108" s="5">
        <f t="shared" si="61"/>
        <v>737717</v>
      </c>
      <c r="H108" s="5"/>
      <c r="I108" s="5"/>
      <c r="J108" s="21"/>
      <c r="K108" s="5">
        <f t="shared" si="105"/>
        <v>737717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4"/>
        <v>737717</v>
      </c>
      <c r="V108" s="7"/>
      <c r="W108" s="44"/>
      <c r="X108" s="7">
        <f t="shared" si="67"/>
        <v>737717</v>
      </c>
    </row>
    <row r="109" spans="1:24" ht="18.75" customHeight="1" x14ac:dyDescent="0.25">
      <c r="A109" s="95"/>
      <c r="B109" s="6">
        <v>64</v>
      </c>
      <c r="C109" s="11" t="s">
        <v>134</v>
      </c>
      <c r="D109" s="6" t="s">
        <v>26</v>
      </c>
      <c r="E109" s="5">
        <v>2000000</v>
      </c>
      <c r="F109" s="12">
        <v>30</v>
      </c>
      <c r="G109" s="5">
        <f t="shared" si="61"/>
        <v>2000000.0000000002</v>
      </c>
      <c r="H109" s="5"/>
      <c r="I109" s="5"/>
      <c r="J109" s="5"/>
      <c r="K109" s="5">
        <f t="shared" si="92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9"/>
        <v>160000</v>
      </c>
      <c r="U109" s="7">
        <f t="shared" si="104"/>
        <v>1840000.0000000002</v>
      </c>
      <c r="V109" s="7"/>
      <c r="W109" s="44"/>
      <c r="X109" s="7">
        <f t="shared" si="67"/>
        <v>1840000.0000000002</v>
      </c>
    </row>
    <row r="110" spans="1:24" ht="23.25" customHeight="1" x14ac:dyDescent="0.25">
      <c r="A110" s="95"/>
      <c r="B110" s="6">
        <v>65</v>
      </c>
      <c r="C110" s="11" t="s">
        <v>136</v>
      </c>
      <c r="D110" s="6"/>
      <c r="E110" s="5">
        <v>1200000</v>
      </c>
      <c r="F110" s="12">
        <v>30</v>
      </c>
      <c r="G110" s="5">
        <f t="shared" si="61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4"/>
        <v>1187140</v>
      </c>
      <c r="V110" s="7"/>
      <c r="W110" s="44"/>
      <c r="X110" s="7">
        <f t="shared" si="67"/>
        <v>1187140</v>
      </c>
    </row>
    <row r="111" spans="1:24" ht="18.75" customHeight="1" x14ac:dyDescent="0.25">
      <c r="A111" s="95"/>
      <c r="B111" s="6">
        <v>66</v>
      </c>
      <c r="C111" s="11" t="s">
        <v>159</v>
      </c>
      <c r="D111" s="6"/>
      <c r="E111" s="5">
        <v>737717</v>
      </c>
      <c r="F111" s="12">
        <v>29</v>
      </c>
      <c r="G111" s="5">
        <f>E111/30*F111</f>
        <v>713126.43333333335</v>
      </c>
      <c r="H111" s="5">
        <v>16394</v>
      </c>
      <c r="I111" s="5"/>
      <c r="J111" s="22"/>
      <c r="K111" s="5">
        <f t="shared" si="108"/>
        <v>729520.43333333335</v>
      </c>
      <c r="L111" s="5"/>
      <c r="M111" s="5"/>
      <c r="N111" s="5"/>
      <c r="O111" s="5"/>
      <c r="P111" s="5"/>
      <c r="Q111" s="5"/>
      <c r="R111" s="5"/>
      <c r="S111" s="5"/>
      <c r="T111" s="5">
        <f>SUM(L111:S111)</f>
        <v>0</v>
      </c>
      <c r="U111" s="7">
        <f>+K111-T111</f>
        <v>729520.43333333335</v>
      </c>
      <c r="V111" s="7"/>
      <c r="W111" s="44"/>
      <c r="X111" s="7">
        <f t="shared" si="67"/>
        <v>729520.43333333335</v>
      </c>
    </row>
    <row r="112" spans="1:24" ht="23.25" customHeight="1" x14ac:dyDescent="0.25">
      <c r="A112" s="73"/>
      <c r="B112" s="6">
        <v>67</v>
      </c>
      <c r="C112" s="11" t="s">
        <v>185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7"/>
      <c r="W112" s="44"/>
      <c r="X112" s="7">
        <f t="shared" si="67"/>
        <v>1187140</v>
      </c>
    </row>
    <row r="113" spans="1:28" x14ac:dyDescent="0.25">
      <c r="A113" s="4"/>
      <c r="B113" s="4"/>
      <c r="C113" s="11" t="s">
        <v>139</v>
      </c>
      <c r="D113" s="4"/>
      <c r="E113" s="5">
        <f>SUM(E4:E112)</f>
        <v>371250630</v>
      </c>
      <c r="F113" s="5" t="s">
        <v>1</v>
      </c>
      <c r="G113" s="7">
        <f>SUM(G4:G112)</f>
        <v>365184039.4333334</v>
      </c>
      <c r="H113" s="7">
        <f>SUM(H4:H112)</f>
        <v>1014074</v>
      </c>
      <c r="I113" s="7">
        <f>SUM(I4:I112)</f>
        <v>14700430</v>
      </c>
      <c r="J113" s="7">
        <f t="shared" ref="J113:W113" si="116">SUM(J4:J112)</f>
        <v>9145348</v>
      </c>
      <c r="K113" s="7">
        <f>SUM(K4:K112)</f>
        <v>390043891.4333334</v>
      </c>
      <c r="L113" s="7">
        <f>SUM(L4:L112)</f>
        <v>14743545.479999999</v>
      </c>
      <c r="M113" s="7">
        <f>SUM(M4:M112)</f>
        <v>17919468.669999998</v>
      </c>
      <c r="N113" s="7">
        <f>SUM(N4:N112)</f>
        <v>540734</v>
      </c>
      <c r="O113" s="7">
        <f t="shared" si="116"/>
        <v>2277509</v>
      </c>
      <c r="P113" s="7">
        <f t="shared" si="116"/>
        <v>4258943</v>
      </c>
      <c r="Q113" s="7">
        <f t="shared" si="116"/>
        <v>10665000</v>
      </c>
      <c r="R113" s="7">
        <f t="shared" si="116"/>
        <v>344614</v>
      </c>
      <c r="S113" s="7">
        <f t="shared" si="116"/>
        <v>16246111</v>
      </c>
      <c r="T113" s="7">
        <f t="shared" si="116"/>
        <v>66995927.07</v>
      </c>
      <c r="U113" s="7">
        <f>SUM(U4:U112)</f>
        <v>323047964.36333328</v>
      </c>
      <c r="V113" s="7">
        <f t="shared" si="116"/>
        <v>0</v>
      </c>
      <c r="W113" s="7">
        <f t="shared" si="116"/>
        <v>0</v>
      </c>
      <c r="X113" s="7">
        <f>SUM(X4:X112)</f>
        <v>323047964.36333328</v>
      </c>
    </row>
    <row r="114" spans="1:28" x14ac:dyDescent="0.25">
      <c r="E114" s="54"/>
      <c r="F114" s="54"/>
      <c r="G114" s="54"/>
      <c r="U114" s="55"/>
      <c r="V114" s="55"/>
      <c r="X114" s="55"/>
    </row>
    <row r="115" spans="1:28" x14ac:dyDescent="0.25"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7"/>
      <c r="V115" s="53"/>
      <c r="W115" s="58"/>
      <c r="X115" s="57"/>
    </row>
    <row r="116" spans="1:28" x14ac:dyDescent="0.25"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7"/>
    </row>
    <row r="117" spans="1:28" x14ac:dyDescent="0.25"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7"/>
    </row>
    <row r="118" spans="1:28" x14ac:dyDescent="0.25"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1:28" x14ac:dyDescent="0.25">
      <c r="B119" s="53"/>
      <c r="C119" s="59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54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53"/>
      <c r="Z119" s="53"/>
      <c r="AA119" s="53"/>
      <c r="AB119" s="53"/>
    </row>
    <row r="120" spans="1:28" x14ac:dyDescent="0.25">
      <c r="B120" s="53"/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2"/>
      <c r="W123" s="63"/>
      <c r="X123" s="62"/>
      <c r="Y123" s="53"/>
      <c r="Z123" s="53"/>
      <c r="AA123" s="53"/>
      <c r="AB123" s="53"/>
    </row>
    <row r="124" spans="1:28" x14ac:dyDescent="0.25">
      <c r="B124" s="64"/>
      <c r="C124" s="59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66"/>
      <c r="H125" s="54"/>
      <c r="I125" s="54"/>
      <c r="J125" s="54"/>
      <c r="K125" s="54"/>
      <c r="L125" s="54"/>
      <c r="M125" s="54"/>
      <c r="N125" s="67"/>
      <c r="O125" s="67"/>
      <c r="P125" s="67"/>
      <c r="Q125" s="67"/>
      <c r="R125" s="67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8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2"/>
      <c r="C127" s="68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59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>
        <f>737717*4</f>
        <v>2950868</v>
      </c>
      <c r="L139" s="54">
        <f>737717*2</f>
        <v>1475434</v>
      </c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3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59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3"/>
      <c r="V146" s="53"/>
      <c r="W146" s="58"/>
      <c r="X146" s="53"/>
      <c r="Y146" s="53"/>
      <c r="Z146" s="53"/>
      <c r="AA146" s="53"/>
      <c r="AB146" s="53"/>
    </row>
    <row r="147" spans="2:28" x14ac:dyDescent="0.25">
      <c r="C147" s="59"/>
      <c r="D147" s="53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53"/>
      <c r="S147" s="54"/>
      <c r="T147" s="54"/>
      <c r="U147" s="53"/>
      <c r="V147" s="53"/>
      <c r="W147" s="58"/>
      <c r="X147" s="53"/>
      <c r="Y147" s="53"/>
      <c r="Z147" s="53"/>
      <c r="AA147" s="53"/>
      <c r="AB147" s="53"/>
    </row>
    <row r="148" spans="2:28" x14ac:dyDescent="0.25">
      <c r="B148" s="53"/>
      <c r="C148" s="59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53"/>
      <c r="Z148" s="53"/>
      <c r="AA148" s="53"/>
      <c r="AB148" s="53"/>
    </row>
    <row r="149" spans="2:28" x14ac:dyDescent="0.25">
      <c r="B149" s="53"/>
      <c r="C149" s="59"/>
      <c r="D149" s="53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2"/>
      <c r="V149" s="62"/>
      <c r="W149" s="63"/>
      <c r="X149" s="62"/>
      <c r="Y149" s="53"/>
      <c r="Z149" s="53"/>
      <c r="AA149" s="53"/>
      <c r="AB149" s="53"/>
    </row>
    <row r="150" spans="2:28" x14ac:dyDescent="0.25">
      <c r="B150" s="53"/>
      <c r="C150" s="68"/>
      <c r="D150" s="62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2"/>
      <c r="V150" s="62"/>
      <c r="W150" s="63"/>
      <c r="X150" s="62"/>
    </row>
    <row r="151" spans="2:28" x14ac:dyDescent="0.25">
      <c r="B151" s="69"/>
      <c r="C151" s="68"/>
      <c r="D151" s="62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</row>
    <row r="152" spans="2:28" x14ac:dyDescent="0.25">
      <c r="C152" s="68"/>
      <c r="D152" s="62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62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B160" s="53"/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70"/>
      <c r="V161" s="70"/>
      <c r="W161" s="58"/>
      <c r="X161" s="70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71"/>
      <c r="V162" s="71"/>
      <c r="W162" s="58"/>
      <c r="X162" s="71"/>
    </row>
    <row r="163" spans="2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>
        <v>3003000</v>
      </c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68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59">
        <v>42614840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>
        <v>412608</v>
      </c>
      <c r="U175" s="53"/>
      <c r="V175" s="53"/>
      <c r="W175" s="58"/>
      <c r="X175" s="53"/>
    </row>
    <row r="176" spans="2:24" x14ac:dyDescent="0.25">
      <c r="C176" s="59">
        <v>9675182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>
        <v>1880000</v>
      </c>
      <c r="U176" s="53"/>
      <c r="V176" s="53"/>
      <c r="W176" s="58"/>
      <c r="X176" s="53"/>
    </row>
    <row r="177" spans="3:24" x14ac:dyDescent="0.25">
      <c r="C177" s="59">
        <v>17903600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f>SUM(C175:C177)</f>
        <v>70193622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3"/>
      <c r="V178" s="53"/>
      <c r="W178" s="58"/>
      <c r="X178" s="53"/>
    </row>
    <row r="179" spans="3:24" x14ac:dyDescent="0.25">
      <c r="C179" s="59">
        <v>400000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+C178+C179</f>
        <v>70593622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4" spans="3:24" x14ac:dyDescent="0.25">
      <c r="C184" s="52">
        <v>11000000</v>
      </c>
    </row>
    <row r="185" spans="3:24" x14ac:dyDescent="0.25">
      <c r="C185" s="52">
        <f>+C183+C184</f>
        <v>11000000</v>
      </c>
    </row>
    <row r="190" spans="3:24" x14ac:dyDescent="0.25">
      <c r="C190" s="52">
        <v>3185000</v>
      </c>
    </row>
    <row r="191" spans="3:24" x14ac:dyDescent="0.25">
      <c r="C191" s="52">
        <v>1080000</v>
      </c>
    </row>
    <row r="192" spans="3:24" x14ac:dyDescent="0.25">
      <c r="C192" s="52">
        <v>4850100</v>
      </c>
    </row>
    <row r="193" spans="3:3" x14ac:dyDescent="0.25">
      <c r="C193" s="52">
        <v>5027500</v>
      </c>
    </row>
    <row r="194" spans="3:3" x14ac:dyDescent="0.25">
      <c r="C194" s="52">
        <v>4566000</v>
      </c>
    </row>
    <row r="195" spans="3:3" x14ac:dyDescent="0.25">
      <c r="C195" s="52">
        <v>1050000</v>
      </c>
    </row>
    <row r="196" spans="3:3" x14ac:dyDescent="0.25">
      <c r="C196" s="52">
        <v>3877333</v>
      </c>
    </row>
    <row r="197" spans="3:3" x14ac:dyDescent="0.25">
      <c r="C197" s="52">
        <v>6732440</v>
      </c>
    </row>
    <row r="198" spans="3:3" x14ac:dyDescent="0.25">
      <c r="C198" s="52">
        <v>3460000</v>
      </c>
    </row>
    <row r="199" spans="3:3" x14ac:dyDescent="0.25">
      <c r="C199" s="52">
        <v>588800</v>
      </c>
    </row>
    <row r="200" spans="3:3" x14ac:dyDescent="0.25">
      <c r="C200" s="52">
        <v>1868000</v>
      </c>
    </row>
    <row r="201" spans="3:3" x14ac:dyDescent="0.25">
      <c r="C201" s="52">
        <v>10313000</v>
      </c>
    </row>
    <row r="202" spans="3:3" x14ac:dyDescent="0.25">
      <c r="C202" s="52">
        <v>3443800</v>
      </c>
    </row>
    <row r="203" spans="3:3" x14ac:dyDescent="0.25">
      <c r="C203" s="52">
        <v>8136400</v>
      </c>
    </row>
    <row r="204" spans="3:3" x14ac:dyDescent="0.25">
      <c r="C204" s="52">
        <v>9675183</v>
      </c>
    </row>
    <row r="205" spans="3:3" x14ac:dyDescent="0.25">
      <c r="C205" s="52">
        <f>SUM(C189:C204)</f>
        <v>67853556</v>
      </c>
    </row>
  </sheetData>
  <mergeCells count="7">
    <mergeCell ref="D148:X148"/>
    <mergeCell ref="C1:U1"/>
    <mergeCell ref="E2:K2"/>
    <mergeCell ref="L2:T2"/>
    <mergeCell ref="A3:A45"/>
    <mergeCell ref="A46:A111"/>
    <mergeCell ref="E147:Q14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C203"/>
  <sheetViews>
    <sheetView workbookViewId="0">
      <selection activeCell="J3" sqref="J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05" t="s">
        <v>190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3"/>
      <c r="X1" s="9"/>
      <c r="Y1" s="13"/>
    </row>
    <row r="2" spans="1:25" x14ac:dyDescent="0.25">
      <c r="C2" s="72" t="s">
        <v>1</v>
      </c>
      <c r="D2" s="13"/>
      <c r="E2" s="106" t="s">
        <v>2</v>
      </c>
      <c r="F2" s="106"/>
      <c r="G2" s="106"/>
      <c r="H2" s="106"/>
      <c r="I2" s="106"/>
      <c r="J2" s="106"/>
      <c r="K2" s="106"/>
      <c r="L2" s="106"/>
      <c r="M2" s="106" t="s">
        <v>3</v>
      </c>
      <c r="N2" s="106"/>
      <c r="O2" s="106"/>
      <c r="P2" s="106"/>
      <c r="Q2" s="106"/>
      <c r="R2" s="106"/>
      <c r="S2" s="106"/>
      <c r="T2" s="106"/>
      <c r="U2" s="106"/>
      <c r="V2" s="13"/>
      <c r="W2" s="13"/>
      <c r="X2" s="9"/>
      <c r="Y2" s="13"/>
    </row>
    <row r="3" spans="1:25" ht="39" customHeight="1" x14ac:dyDescent="0.25">
      <c r="A3" s="107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191</v>
      </c>
      <c r="J3" s="15" t="s">
        <v>199</v>
      </c>
      <c r="K3" s="15" t="s">
        <v>161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180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4" t="s">
        <v>23</v>
      </c>
      <c r="W3" s="14"/>
      <c r="X3" s="16"/>
      <c r="Y3" s="14" t="s">
        <v>187</v>
      </c>
    </row>
    <row r="4" spans="1:25" x14ac:dyDescent="0.25">
      <c r="A4" s="108"/>
      <c r="B4" s="14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f>+E4</f>
        <v>5250000</v>
      </c>
      <c r="H4" s="5"/>
      <c r="I4" s="5"/>
      <c r="J4" s="5"/>
      <c r="K4" s="5"/>
      <c r="L4" s="5">
        <f>SUM(G4:J4)+K4</f>
        <v>5250000</v>
      </c>
      <c r="M4" s="5">
        <f>+E4*4%</f>
        <v>210000</v>
      </c>
      <c r="N4" s="5">
        <f>+E4*5%</f>
        <v>262500</v>
      </c>
      <c r="O4" s="5"/>
      <c r="P4" s="5"/>
      <c r="Q4" s="5">
        <v>32000</v>
      </c>
      <c r="R4" s="5"/>
      <c r="S4" s="5"/>
      <c r="T4" s="5"/>
      <c r="U4" s="5">
        <f t="shared" ref="U4:U46" si="0">SUM(M4:T4)</f>
        <v>504500</v>
      </c>
      <c r="V4" s="7">
        <f t="shared" ref="V4:V9" si="1">+L4-U4</f>
        <v>4745500</v>
      </c>
      <c r="W4" s="8"/>
      <c r="X4" s="9"/>
      <c r="Y4" s="8">
        <f>V4+W4-X4</f>
        <v>4745500</v>
      </c>
    </row>
    <row r="5" spans="1:25" ht="24" x14ac:dyDescent="0.25">
      <c r="A5" s="108"/>
      <c r="B5" s="14">
        <f>+B4+1</f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4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08"/>
      <c r="B6" s="14">
        <f t="shared" ref="B6:B46" si="4">+B5+1</f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5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08"/>
      <c r="B7" s="14">
        <f t="shared" si="4"/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2"/>
      <c r="I7" s="2"/>
      <c r="J7" s="5"/>
      <c r="K7" s="5"/>
      <c r="L7" s="5">
        <f t="shared" ref="L7" si="5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5">
        <v>726520</v>
      </c>
      <c r="U7" s="5">
        <f t="shared" ref="U7" si="6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08"/>
      <c r="B8" s="14">
        <f t="shared" si="4"/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" si="7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08"/>
      <c r="B9" s="14">
        <f t="shared" si="4"/>
        <v>6</v>
      </c>
      <c r="C9" s="11" t="s">
        <v>30</v>
      </c>
      <c r="D9" s="6" t="s">
        <v>26</v>
      </c>
      <c r="E9" s="5">
        <v>5000000</v>
      </c>
      <c r="F9" s="12">
        <v>30</v>
      </c>
      <c r="G9" s="1">
        <f>+E9/30*25</f>
        <v>4166666.6666666665</v>
      </c>
      <c r="H9" s="5"/>
      <c r="I9" s="5">
        <f>333333+333350</f>
        <v>666683</v>
      </c>
      <c r="J9" s="5">
        <v>2012670</v>
      </c>
      <c r="K9" s="5"/>
      <c r="L9" s="5">
        <f>SUM(G9:J9)+K9</f>
        <v>6846019.666666666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5646019.666666666</v>
      </c>
      <c r="W9" s="8"/>
      <c r="X9" s="9"/>
      <c r="Y9" s="8">
        <f t="shared" si="3"/>
        <v>5646019.666666666</v>
      </c>
    </row>
    <row r="10" spans="1:25" x14ac:dyDescent="0.25">
      <c r="A10" s="108"/>
      <c r="B10" s="14">
        <f t="shared" si="4"/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5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08"/>
      <c r="B11" s="14">
        <f t="shared" si="4"/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/>
      <c r="L11" s="5">
        <f t="shared" ref="L11" si="8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9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08"/>
      <c r="B12" s="14">
        <f t="shared" si="4"/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+E12-K12</f>
        <v>5220000</v>
      </c>
      <c r="H12" s="5"/>
      <c r="I12" s="5"/>
      <c r="J12" s="5"/>
      <c r="K12" s="5">
        <f>+E12/30</f>
        <v>180000</v>
      </c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8" si="10">+L12-U12</f>
        <v>4907500</v>
      </c>
      <c r="W12" s="8"/>
      <c r="X12" s="9"/>
      <c r="Y12" s="8">
        <f t="shared" si="3"/>
        <v>4907500</v>
      </c>
    </row>
    <row r="13" spans="1:25" x14ac:dyDescent="0.25">
      <c r="A13" s="108"/>
      <c r="B13" s="14">
        <f t="shared" si="4"/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2">SUM(M13:T13)</f>
        <v>407800</v>
      </c>
      <c r="V13" s="7">
        <f t="shared" si="10"/>
        <v>4092200</v>
      </c>
      <c r="W13" s="8"/>
      <c r="X13" s="9"/>
      <c r="Y13" s="8">
        <f t="shared" si="3"/>
        <v>4092200</v>
      </c>
    </row>
    <row r="14" spans="1:25" x14ac:dyDescent="0.25">
      <c r="A14" s="108"/>
      <c r="B14" s="14">
        <f t="shared" si="4"/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10"/>
        <v>4092000</v>
      </c>
      <c r="W14" s="8"/>
      <c r="X14" s="9"/>
      <c r="Y14" s="8">
        <f t="shared" si="3"/>
        <v>4092000</v>
      </c>
    </row>
    <row r="15" spans="1:25" x14ac:dyDescent="0.25">
      <c r="A15" s="108"/>
      <c r="B15" s="14">
        <f t="shared" si="4"/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/>
      <c r="L15" s="5">
        <f t="shared" ref="L15:L16" si="13">SUM(G15:J15)+K15</f>
        <v>4500000</v>
      </c>
      <c r="M15" s="5">
        <f>+G15*4%</f>
        <v>180000</v>
      </c>
      <c r="N15" s="5">
        <f>+G15*5%</f>
        <v>225000</v>
      </c>
      <c r="O15" s="5"/>
      <c r="P15" s="5"/>
      <c r="Q15" s="5">
        <v>72000</v>
      </c>
      <c r="R15" s="5"/>
      <c r="S15" s="5"/>
      <c r="T15" s="5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08"/>
      <c r="B16" s="14">
        <f t="shared" si="4"/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/>
      <c r="L16" s="5">
        <f t="shared" si="13"/>
        <v>4000000.0000000005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4">SUM(M16:T16)</f>
        <v>364500</v>
      </c>
      <c r="V16" s="7">
        <f t="shared" ref="V16:V17" si="15">+L16-U16</f>
        <v>3635500.0000000005</v>
      </c>
      <c r="W16" s="8"/>
      <c r="X16" s="9"/>
      <c r="Y16" s="8">
        <f t="shared" si="3"/>
        <v>3635500.0000000005</v>
      </c>
    </row>
    <row r="17" spans="1:25" ht="23.25" customHeight="1" x14ac:dyDescent="0.25">
      <c r="A17" s="108"/>
      <c r="B17" s="14">
        <f t="shared" si="4"/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>+E17-I17</f>
        <v>3900000</v>
      </c>
      <c r="H17" s="5"/>
      <c r="I17" s="5">
        <v>600000</v>
      </c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6">SUM(M17:T17)</f>
        <v>477000</v>
      </c>
      <c r="V17" s="7">
        <f t="shared" si="15"/>
        <v>4023000</v>
      </c>
      <c r="W17" s="8"/>
      <c r="X17" s="9"/>
      <c r="Y17" s="8">
        <f t="shared" si="3"/>
        <v>4023000</v>
      </c>
    </row>
    <row r="18" spans="1:25" x14ac:dyDescent="0.25">
      <c r="A18" s="108"/>
      <c r="B18" s="14">
        <f t="shared" si="4"/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1"/>
        <v>5500000</v>
      </c>
      <c r="H18" s="5"/>
      <c r="I18" s="5"/>
      <c r="J18" s="5">
        <v>450000</v>
      </c>
      <c r="K18" s="5"/>
      <c r="L18" s="5">
        <f t="shared" si="2"/>
        <v>5950000</v>
      </c>
      <c r="M18" s="5">
        <f>+G18*4%</f>
        <v>220000</v>
      </c>
      <c r="N18" s="5">
        <f>+G18*5%</f>
        <v>275000</v>
      </c>
      <c r="O18" s="5"/>
      <c r="P18" s="5"/>
      <c r="Q18" s="17">
        <v>150521</v>
      </c>
      <c r="R18" s="5">
        <v>1365000</v>
      </c>
      <c r="S18" s="5"/>
      <c r="T18" s="5"/>
      <c r="U18" s="5">
        <f t="shared" si="0"/>
        <v>2010521</v>
      </c>
      <c r="V18" s="7">
        <f t="shared" si="10"/>
        <v>3939479</v>
      </c>
      <c r="W18" s="8"/>
      <c r="X18" s="9"/>
      <c r="Y18" s="8">
        <f t="shared" si="3"/>
        <v>3939479</v>
      </c>
    </row>
    <row r="19" spans="1:25" ht="24" x14ac:dyDescent="0.25">
      <c r="A19" s="108"/>
      <c r="B19" s="14">
        <f t="shared" si="4"/>
        <v>16</v>
      </c>
      <c r="C19" s="11" t="s">
        <v>42</v>
      </c>
      <c r="D19" s="6" t="s">
        <v>26</v>
      </c>
      <c r="E19" s="5">
        <v>5350000</v>
      </c>
      <c r="F19" s="12">
        <v>30</v>
      </c>
      <c r="G19" s="5">
        <f>+E19-K19</f>
        <v>5350000</v>
      </c>
      <c r="H19" s="5"/>
      <c r="I19" s="5"/>
      <c r="J19" s="5">
        <v>1000000</v>
      </c>
      <c r="K19" s="5"/>
      <c r="L19" s="5">
        <f t="shared" si="2"/>
        <v>6350000</v>
      </c>
      <c r="M19" s="5">
        <v>214000</v>
      </c>
      <c r="N19" s="5">
        <f>214000+53500</f>
        <v>267500</v>
      </c>
      <c r="O19" s="5"/>
      <c r="P19" s="5"/>
      <c r="Q19" s="17">
        <v>121000</v>
      </c>
      <c r="R19" s="5"/>
      <c r="S19" s="5"/>
      <c r="T19" s="5">
        <v>810005</v>
      </c>
      <c r="U19" s="5">
        <f>SUM(M19:T19)</f>
        <v>1412505</v>
      </c>
      <c r="V19" s="7">
        <f>L19-U19</f>
        <v>4937495</v>
      </c>
      <c r="W19" s="8"/>
      <c r="X19" s="9"/>
      <c r="Y19" s="8">
        <f t="shared" si="3"/>
        <v>4937495</v>
      </c>
    </row>
    <row r="20" spans="1:25" x14ac:dyDescent="0.25">
      <c r="A20" s="108"/>
      <c r="B20" s="14">
        <f t="shared" si="4"/>
        <v>17</v>
      </c>
      <c r="C20" s="11" t="s">
        <v>43</v>
      </c>
      <c r="D20" s="6" t="s">
        <v>26</v>
      </c>
      <c r="E20" s="5">
        <v>6600000</v>
      </c>
      <c r="F20" s="12">
        <v>30</v>
      </c>
      <c r="G20" s="5">
        <f t="shared" ref="G20:G29" si="17">E20/30*F20</f>
        <v>6600000</v>
      </c>
      <c r="H20" s="5"/>
      <c r="I20" s="5"/>
      <c r="J20" s="5"/>
      <c r="K20" s="5"/>
      <c r="L20" s="5">
        <f t="shared" si="2"/>
        <v>6600000</v>
      </c>
      <c r="M20" s="5">
        <f>+G20*4%</f>
        <v>264000</v>
      </c>
      <c r="N20" s="5">
        <f>+G20*5%</f>
        <v>330000</v>
      </c>
      <c r="O20" s="5"/>
      <c r="P20" s="5"/>
      <c r="Q20" s="17">
        <v>180000</v>
      </c>
      <c r="R20" s="5"/>
      <c r="S20" s="5"/>
      <c r="T20" s="18"/>
      <c r="U20" s="5">
        <f t="shared" si="0"/>
        <v>774000</v>
      </c>
      <c r="V20" s="7">
        <f>L20-U20</f>
        <v>5826000</v>
      </c>
      <c r="W20" s="8"/>
      <c r="X20" s="9"/>
      <c r="Y20" s="8">
        <f t="shared" si="3"/>
        <v>5826000</v>
      </c>
    </row>
    <row r="21" spans="1:25" x14ac:dyDescent="0.25">
      <c r="A21" s="108"/>
      <c r="B21" s="14">
        <f t="shared" si="4"/>
        <v>18</v>
      </c>
      <c r="C21" s="11" t="s">
        <v>44</v>
      </c>
      <c r="D21" s="6" t="s">
        <v>26</v>
      </c>
      <c r="E21" s="5">
        <v>6900000</v>
      </c>
      <c r="F21" s="12">
        <v>30</v>
      </c>
      <c r="G21" s="5">
        <f t="shared" si="17"/>
        <v>6900000</v>
      </c>
      <c r="H21" s="5"/>
      <c r="I21" s="5"/>
      <c r="J21" s="5">
        <v>1400000</v>
      </c>
      <c r="K21" s="5"/>
      <c r="L21" s="5">
        <f t="shared" ref="L21" si="18">SUM(G21:J21)+K21</f>
        <v>8300000</v>
      </c>
      <c r="M21" s="5">
        <f t="shared" ref="M21" si="19">+G21*4%</f>
        <v>276000</v>
      </c>
      <c r="N21" s="5">
        <f t="shared" ref="N21" si="20">+G21*5%</f>
        <v>345000</v>
      </c>
      <c r="O21" s="5"/>
      <c r="P21" s="5"/>
      <c r="Q21" s="17">
        <v>113000</v>
      </c>
      <c r="R21" s="5">
        <v>1300000</v>
      </c>
      <c r="S21" s="5"/>
      <c r="T21" s="18"/>
      <c r="U21" s="5">
        <f t="shared" ref="U21" si="21">SUM(M21:T21)</f>
        <v>2034000</v>
      </c>
      <c r="V21" s="7">
        <f>L21-U21</f>
        <v>6266000</v>
      </c>
      <c r="W21" s="8"/>
      <c r="X21" s="9"/>
      <c r="Y21" s="8">
        <f t="shared" si="3"/>
        <v>6266000</v>
      </c>
    </row>
    <row r="22" spans="1:25" ht="19.5" customHeight="1" x14ac:dyDescent="0.25">
      <c r="A22" s="108"/>
      <c r="B22" s="14">
        <f t="shared" si="4"/>
        <v>19</v>
      </c>
      <c r="C22" s="11" t="s">
        <v>45</v>
      </c>
      <c r="D22" s="6" t="s">
        <v>26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/>
      <c r="L22" s="5">
        <f t="shared" ref="L22" si="23">SUM(G22:J22)+K22</f>
        <v>3500000</v>
      </c>
      <c r="M22" s="5">
        <f>+E22*0.04</f>
        <v>140000</v>
      </c>
      <c r="N22" s="5">
        <f>+E22*0.05</f>
        <v>175000</v>
      </c>
      <c r="O22" s="5"/>
      <c r="P22" s="5"/>
      <c r="Q22" s="5"/>
      <c r="R22" s="5"/>
      <c r="S22" s="5"/>
      <c r="T22" s="5"/>
      <c r="U22" s="5">
        <f t="shared" ref="U22" si="24">SUM(M22:T22)</f>
        <v>315000</v>
      </c>
      <c r="V22" s="7">
        <f t="shared" ref="V22" si="25">+L22-U22</f>
        <v>3185000</v>
      </c>
      <c r="W22" s="8"/>
      <c r="X22" s="9"/>
      <c r="Y22" s="8">
        <f t="shared" si="3"/>
        <v>3185000</v>
      </c>
    </row>
    <row r="23" spans="1:25" x14ac:dyDescent="0.25">
      <c r="A23" s="108"/>
      <c r="B23" s="14">
        <f t="shared" si="4"/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>+E23</f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5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08"/>
      <c r="B24" s="14">
        <f t="shared" si="4"/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>+E24-K24</f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08"/>
      <c r="B25" s="14">
        <f t="shared" si="4"/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/>
      <c r="L25" s="5">
        <f t="shared" ref="L25" si="26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7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08"/>
      <c r="B26" s="14">
        <f t="shared" si="4"/>
        <v>23</v>
      </c>
      <c r="C26" s="11" t="s">
        <v>192</v>
      </c>
      <c r="D26" s="6"/>
      <c r="E26" s="5">
        <v>6600000</v>
      </c>
      <c r="F26" s="12">
        <v>7</v>
      </c>
      <c r="G26" s="5">
        <f>+E26/30*F26</f>
        <v>1540000</v>
      </c>
      <c r="H26" s="5"/>
      <c r="I26" s="5"/>
      <c r="J26" s="5"/>
      <c r="K26" s="5"/>
      <c r="L26" s="5">
        <f t="shared" ref="L26" si="28">SUM(G26:J26)+K26</f>
        <v>1540000</v>
      </c>
      <c r="M26" s="5">
        <f>+G26*4%</f>
        <v>61600</v>
      </c>
      <c r="N26" s="5">
        <f>+G26*4%</f>
        <v>61600</v>
      </c>
      <c r="O26" s="5"/>
      <c r="P26" s="5"/>
      <c r="Q26" s="17"/>
      <c r="R26" s="5"/>
      <c r="S26" s="5"/>
      <c r="T26" s="5"/>
      <c r="U26" s="5">
        <f>SUM(M26:T26)</f>
        <v>123200</v>
      </c>
      <c r="V26" s="7">
        <f>+L26-U26</f>
        <v>1416800</v>
      </c>
      <c r="W26" s="8"/>
      <c r="X26" s="9"/>
      <c r="Y26" s="8">
        <f>V26+W26-X26</f>
        <v>1416800</v>
      </c>
    </row>
    <row r="27" spans="1:25" x14ac:dyDescent="0.25">
      <c r="A27" s="108"/>
      <c r="B27" s="14">
        <f t="shared" si="4"/>
        <v>24</v>
      </c>
      <c r="C27" s="11" t="s">
        <v>49</v>
      </c>
      <c r="D27" s="6" t="s">
        <v>26</v>
      </c>
      <c r="E27" s="5">
        <v>4500000</v>
      </c>
      <c r="F27" s="12">
        <v>30</v>
      </c>
      <c r="G27" s="5">
        <f>+E27</f>
        <v>4500000</v>
      </c>
      <c r="H27" s="2"/>
      <c r="I27" s="2"/>
      <c r="J27" s="5"/>
      <c r="K27" s="5"/>
      <c r="L27" s="5">
        <f t="shared" ref="L27" si="29">SUM(G27:J27)+K27</f>
        <v>4500000</v>
      </c>
      <c r="M27" s="5">
        <f>+E27*4%</f>
        <v>180000</v>
      </c>
      <c r="N27" s="5">
        <f>+E27*5%</f>
        <v>225000</v>
      </c>
      <c r="O27" s="5"/>
      <c r="P27" s="5"/>
      <c r="Q27" s="17">
        <v>72000</v>
      </c>
      <c r="R27" s="5"/>
      <c r="S27" s="5"/>
      <c r="T27" s="5"/>
      <c r="U27" s="5">
        <f t="shared" ref="U27" si="30">SUM(M27:T27)</f>
        <v>477000</v>
      </c>
      <c r="V27" s="7">
        <f>+L27-U27</f>
        <v>4023000</v>
      </c>
      <c r="W27" s="8"/>
      <c r="X27" s="9"/>
      <c r="Y27" s="8">
        <f t="shared" ref="Y27:Y88" si="31">V27+W27-X27</f>
        <v>4023000</v>
      </c>
    </row>
    <row r="28" spans="1:25" x14ac:dyDescent="0.25">
      <c r="A28" s="108"/>
      <c r="B28" s="14">
        <f t="shared" si="4"/>
        <v>25</v>
      </c>
      <c r="C28" s="11" t="s">
        <v>50</v>
      </c>
      <c r="D28" s="6" t="s">
        <v>26</v>
      </c>
      <c r="E28" s="5">
        <v>6000000</v>
      </c>
      <c r="F28" s="12">
        <v>30</v>
      </c>
      <c r="G28" s="5">
        <f t="shared" si="17"/>
        <v>6000000</v>
      </c>
      <c r="H28" s="5"/>
      <c r="I28" s="5"/>
      <c r="J28" s="2"/>
      <c r="K28" s="2"/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31"/>
        <v>5381000</v>
      </c>
    </row>
    <row r="29" spans="1:25" ht="16.5" customHeight="1" x14ac:dyDescent="0.25">
      <c r="A29" s="108"/>
      <c r="B29" s="14">
        <f t="shared" si="4"/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 t="shared" si="17"/>
        <v>3500000</v>
      </c>
      <c r="H29" s="5"/>
      <c r="I29" s="5"/>
      <c r="J29" s="5"/>
      <c r="K29" s="5"/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32">SUM(M29:T29)</f>
        <v>426000</v>
      </c>
      <c r="V29" s="7">
        <f>L29-U29</f>
        <v>3074000</v>
      </c>
      <c r="W29" s="8"/>
      <c r="X29" s="9"/>
      <c r="Y29" s="8">
        <f t="shared" si="31"/>
        <v>3074000</v>
      </c>
    </row>
    <row r="30" spans="1:25" x14ac:dyDescent="0.25">
      <c r="A30" s="108"/>
      <c r="B30" s="14">
        <f t="shared" si="4"/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>+E30-K30</f>
        <v>3360000</v>
      </c>
      <c r="H30" s="5"/>
      <c r="I30" s="5"/>
      <c r="J30" s="5">
        <v>1900000</v>
      </c>
      <c r="K30" s="5">
        <f>+E30/30*9</f>
        <v>1440000</v>
      </c>
      <c r="L30" s="5">
        <f>+G30+H30+I30+J30+K30</f>
        <v>6700000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1300000</v>
      </c>
      <c r="S30" s="5"/>
      <c r="T30" s="5">
        <v>209579</v>
      </c>
      <c r="U30" s="5">
        <f t="shared" si="0"/>
        <v>1941579</v>
      </c>
      <c r="V30" s="7">
        <f>L30-U30</f>
        <v>4758421</v>
      </c>
      <c r="W30" s="8"/>
      <c r="X30" s="9"/>
      <c r="Y30" s="8">
        <f t="shared" si="31"/>
        <v>4758421</v>
      </c>
    </row>
    <row r="31" spans="1:25" ht="25.5" customHeight="1" x14ac:dyDescent="0.25">
      <c r="A31" s="108"/>
      <c r="B31" s="14">
        <f t="shared" si="4"/>
        <v>28</v>
      </c>
      <c r="C31" s="11" t="s">
        <v>54</v>
      </c>
      <c r="D31" s="6" t="s">
        <v>26</v>
      </c>
      <c r="E31" s="5">
        <v>4280000</v>
      </c>
      <c r="F31" s="12">
        <v>30</v>
      </c>
      <c r="G31" s="5">
        <f>+E31-K31</f>
        <v>3709333.3333333335</v>
      </c>
      <c r="H31" s="5"/>
      <c r="I31" s="5"/>
      <c r="J31" s="5"/>
      <c r="K31" s="5">
        <f>+E31/30*4</f>
        <v>570666.66666666663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31"/>
        <v>3863736</v>
      </c>
    </row>
    <row r="32" spans="1:25" x14ac:dyDescent="0.25">
      <c r="A32" s="108"/>
      <c r="B32" s="14">
        <f t="shared" si="4"/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>+E32-I32</f>
        <v>3266666.6666666665</v>
      </c>
      <c r="H32" s="5"/>
      <c r="I32" s="5">
        <f>+E32/30*2</f>
        <v>233333.33333333334</v>
      </c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5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31"/>
        <v>2927804</v>
      </c>
    </row>
    <row r="33" spans="1:27" x14ac:dyDescent="0.25">
      <c r="A33" s="108"/>
      <c r="B33" s="14">
        <f t="shared" si="4"/>
        <v>30</v>
      </c>
      <c r="C33" s="11" t="s">
        <v>55</v>
      </c>
      <c r="D33" s="6" t="s">
        <v>26</v>
      </c>
      <c r="E33" s="5">
        <v>6000000</v>
      </c>
      <c r="F33" s="12">
        <v>30</v>
      </c>
      <c r="G33" s="5">
        <f t="shared" ref="G33:G44" si="33">+E33/30*F33</f>
        <v>6000000</v>
      </c>
      <c r="H33" s="5"/>
      <c r="I33" s="5"/>
      <c r="J33" s="5"/>
      <c r="K33" s="5"/>
      <c r="L33" s="5">
        <f t="shared" si="2"/>
        <v>6000000</v>
      </c>
      <c r="M33" s="5">
        <f>+L33*4%</f>
        <v>240000</v>
      </c>
      <c r="N33" s="5">
        <f>+L33*5%</f>
        <v>300000</v>
      </c>
      <c r="O33" s="5"/>
      <c r="P33" s="5"/>
      <c r="Q33" s="5">
        <v>208000</v>
      </c>
      <c r="R33" s="5"/>
      <c r="S33" s="5">
        <v>122614</v>
      </c>
      <c r="T33" s="5"/>
      <c r="U33" s="5">
        <f t="shared" si="0"/>
        <v>870614</v>
      </c>
      <c r="V33" s="7">
        <f t="shared" ref="V33:V34" si="34">+L33-U33</f>
        <v>5129386</v>
      </c>
      <c r="W33" s="8"/>
      <c r="X33" s="9"/>
      <c r="Y33" s="8">
        <f t="shared" si="31"/>
        <v>5129386</v>
      </c>
    </row>
    <row r="34" spans="1:27" x14ac:dyDescent="0.25">
      <c r="A34" s="108"/>
      <c r="B34" s="14">
        <f t="shared" si="4"/>
        <v>31</v>
      </c>
      <c r="C34" s="11" t="s">
        <v>56</v>
      </c>
      <c r="D34" s="6" t="s">
        <v>26</v>
      </c>
      <c r="E34" s="5">
        <v>4500000</v>
      </c>
      <c r="F34" s="12">
        <v>30</v>
      </c>
      <c r="G34" s="5">
        <f t="shared" si="33"/>
        <v>4500000</v>
      </c>
      <c r="H34" s="5"/>
      <c r="I34" s="5"/>
      <c r="J34" s="5">
        <v>500000</v>
      </c>
      <c r="K34" s="5"/>
      <c r="L34" s="5">
        <f t="shared" si="2"/>
        <v>5000000</v>
      </c>
      <c r="M34" s="5">
        <f t="shared" ref="M34" si="35">+G34*4%</f>
        <v>180000</v>
      </c>
      <c r="N34" s="5">
        <f t="shared" ref="N34" si="36">+G34*5%</f>
        <v>225000</v>
      </c>
      <c r="O34" s="5"/>
      <c r="P34" s="5"/>
      <c r="Q34" s="5">
        <v>11000</v>
      </c>
      <c r="R34" s="5"/>
      <c r="S34" s="5"/>
      <c r="T34" s="5">
        <v>551399</v>
      </c>
      <c r="U34" s="5">
        <f t="shared" si="0"/>
        <v>967399</v>
      </c>
      <c r="V34" s="7">
        <f t="shared" si="34"/>
        <v>4032601</v>
      </c>
      <c r="W34" s="8"/>
      <c r="X34" s="9"/>
      <c r="Y34" s="8">
        <f t="shared" si="31"/>
        <v>4032601</v>
      </c>
    </row>
    <row r="35" spans="1:27" x14ac:dyDescent="0.25">
      <c r="A35" s="108"/>
      <c r="B35" s="14">
        <f t="shared" si="4"/>
        <v>32</v>
      </c>
      <c r="C35" s="3" t="s">
        <v>57</v>
      </c>
      <c r="D35" s="4" t="s">
        <v>26</v>
      </c>
      <c r="E35" s="5">
        <v>5400000</v>
      </c>
      <c r="F35" s="12">
        <v>30</v>
      </c>
      <c r="G35" s="5">
        <f>+E35-K35</f>
        <v>5400000</v>
      </c>
      <c r="H35" s="5"/>
      <c r="I35" s="5"/>
      <c r="J35" s="5"/>
      <c r="K35" s="5"/>
      <c r="L35" s="5">
        <f>SUM(G35:J35)+K35</f>
        <v>5400000</v>
      </c>
      <c r="M35" s="5">
        <f>+G35*4%</f>
        <v>216000</v>
      </c>
      <c r="N35" s="5">
        <f>+G35*5%</f>
        <v>270000</v>
      </c>
      <c r="O35" s="5"/>
      <c r="P35" s="5"/>
      <c r="Q35" s="5">
        <v>48240</v>
      </c>
      <c r="R35" s="5"/>
      <c r="S35" s="5"/>
      <c r="T35" s="5">
        <v>541379</v>
      </c>
      <c r="U35" s="5">
        <f t="shared" si="0"/>
        <v>1075619</v>
      </c>
      <c r="V35" s="7">
        <f>L35-U35</f>
        <v>4324381</v>
      </c>
      <c r="W35" s="8"/>
      <c r="X35" s="9"/>
      <c r="Y35" s="8">
        <f t="shared" si="31"/>
        <v>4324381</v>
      </c>
    </row>
    <row r="36" spans="1:27" ht="24.75" customHeight="1" x14ac:dyDescent="0.25">
      <c r="A36" s="108"/>
      <c r="B36" s="14">
        <f t="shared" si="4"/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>+E36</f>
        <v>6420000</v>
      </c>
      <c r="H36" s="5"/>
      <c r="I36" s="5"/>
      <c r="J36" s="5">
        <v>500000</v>
      </c>
      <c r="K36" s="5"/>
      <c r="L36" s="5">
        <f>SUM(G36:J36)+K36</f>
        <v>6920000</v>
      </c>
      <c r="M36" s="5">
        <f>+E36*4%</f>
        <v>256800</v>
      </c>
      <c r="N36" s="5">
        <f>+E36*5%</f>
        <v>321000</v>
      </c>
      <c r="O36" s="5"/>
      <c r="P36" s="5">
        <v>1021210</v>
      </c>
      <c r="Q36" s="5">
        <v>231000</v>
      </c>
      <c r="R36" s="5"/>
      <c r="S36" s="5"/>
      <c r="T36" s="5"/>
      <c r="U36" s="5">
        <f t="shared" si="0"/>
        <v>1830010</v>
      </c>
      <c r="V36" s="7">
        <f>+L36-U36</f>
        <v>5089990</v>
      </c>
      <c r="W36" s="8"/>
      <c r="X36" s="9"/>
      <c r="Y36" s="8">
        <f t="shared" si="31"/>
        <v>5089990</v>
      </c>
    </row>
    <row r="37" spans="1:27" x14ac:dyDescent="0.25">
      <c r="A37" s="108"/>
      <c r="B37" s="14">
        <f t="shared" si="4"/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>+E37-K37</f>
        <v>6670000</v>
      </c>
      <c r="H37" s="5"/>
      <c r="I37" s="5"/>
      <c r="J37" s="5">
        <v>1500000</v>
      </c>
      <c r="K37" s="1">
        <f>+E37/30</f>
        <v>230000</v>
      </c>
      <c r="L37" s="5">
        <f t="shared" ref="L37:L76" si="37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31"/>
        <v>7434000</v>
      </c>
    </row>
    <row r="38" spans="1:27" ht="19.5" customHeight="1" x14ac:dyDescent="0.25">
      <c r="A38" s="108"/>
      <c r="B38" s="14">
        <f t="shared" si="4"/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ref="G38" si="38">+E38/30*F38</f>
        <v>5500000</v>
      </c>
      <c r="H38" s="5"/>
      <c r="I38" s="5"/>
      <c r="J38" s="5">
        <v>500000</v>
      </c>
      <c r="K38" s="5"/>
      <c r="L38" s="5">
        <f t="shared" ref="L38" si="39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40">SUM(M38:T38)</f>
        <v>639000</v>
      </c>
      <c r="V38" s="7">
        <f t="shared" ref="V38" si="41">L38-U38</f>
        <v>5361000</v>
      </c>
      <c r="W38" s="8"/>
      <c r="X38" s="9"/>
      <c r="Y38" s="8">
        <f t="shared" si="31"/>
        <v>5361000</v>
      </c>
    </row>
    <row r="39" spans="1:27" x14ac:dyDescent="0.25">
      <c r="A39" s="108"/>
      <c r="B39" s="14">
        <f t="shared" si="4"/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>+E39-K39</f>
        <v>5350000</v>
      </c>
      <c r="H39" s="5"/>
      <c r="I39" s="5"/>
      <c r="J39" s="5"/>
      <c r="K39" s="5"/>
      <c r="L39" s="5">
        <f t="shared" si="37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42">+L39-U39</f>
        <v>4747500</v>
      </c>
      <c r="W39" s="8"/>
      <c r="X39" s="9"/>
      <c r="Y39" s="8">
        <f t="shared" si="31"/>
        <v>4747500</v>
      </c>
    </row>
    <row r="40" spans="1:27" ht="17.25" customHeight="1" x14ac:dyDescent="0.25">
      <c r="A40" s="108"/>
      <c r="B40" s="14">
        <f t="shared" si="4"/>
        <v>37</v>
      </c>
      <c r="C40" s="11" t="s">
        <v>148</v>
      </c>
      <c r="D40" s="6"/>
      <c r="E40" s="5">
        <v>4000000</v>
      </c>
      <c r="F40" s="12">
        <v>30</v>
      </c>
      <c r="G40" s="5">
        <f t="shared" ref="G40:G43" si="43">+E40/30*F40</f>
        <v>4000000.0000000005</v>
      </c>
      <c r="H40" s="5"/>
      <c r="I40" s="5"/>
      <c r="J40" s="5"/>
      <c r="K40" s="5"/>
      <c r="L40" s="5">
        <f t="shared" ref="L40" si="44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42"/>
        <v>3640000.0000000005</v>
      </c>
      <c r="W40" s="8"/>
      <c r="X40" s="9"/>
      <c r="Y40" s="8">
        <f t="shared" si="31"/>
        <v>3640000.0000000005</v>
      </c>
    </row>
    <row r="41" spans="1:27" ht="21" customHeight="1" x14ac:dyDescent="0.25">
      <c r="A41" s="108"/>
      <c r="B41" s="14">
        <f t="shared" si="4"/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 t="shared" si="43"/>
        <v>4500000</v>
      </c>
      <c r="H41" s="5"/>
      <c r="I41" s="5"/>
      <c r="J41" s="5"/>
      <c r="K41" s="5">
        <v>2700000</v>
      </c>
      <c r="L41" s="5">
        <f t="shared" si="37"/>
        <v>7200000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5">
        <v>317224</v>
      </c>
      <c r="U41" s="5">
        <f>SUM(M41:T41)</f>
        <v>732224</v>
      </c>
      <c r="V41" s="7">
        <f t="shared" si="42"/>
        <v>6467776</v>
      </c>
      <c r="W41" s="8"/>
      <c r="X41" s="9"/>
      <c r="Y41" s="8">
        <f t="shared" si="31"/>
        <v>6467776</v>
      </c>
    </row>
    <row r="42" spans="1:27" ht="26.25" customHeight="1" x14ac:dyDescent="0.25">
      <c r="A42" s="108"/>
      <c r="B42" s="14">
        <f t="shared" si="4"/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 t="shared" si="43"/>
        <v>4800000</v>
      </c>
      <c r="H42" s="5"/>
      <c r="I42" s="5"/>
      <c r="J42" s="5"/>
      <c r="K42" s="5"/>
      <c r="L42" s="5">
        <f t="shared" ref="L42" si="45">SUM(G42:J42)+K42</f>
        <v>4800000</v>
      </c>
      <c r="M42" s="5">
        <f>+G42*4%</f>
        <v>192000</v>
      </c>
      <c r="N42" s="5">
        <f>+G42*5%</f>
        <v>240000</v>
      </c>
      <c r="O42" s="5"/>
      <c r="P42" s="5"/>
      <c r="Q42" s="5">
        <v>51000</v>
      </c>
      <c r="R42" s="5"/>
      <c r="S42" s="5"/>
      <c r="T42" s="5">
        <v>1198791</v>
      </c>
      <c r="U42" s="5">
        <f t="shared" ref="U42" si="46">SUM(M42:T42)</f>
        <v>1681791</v>
      </c>
      <c r="V42" s="7">
        <f t="shared" si="42"/>
        <v>3118209</v>
      </c>
      <c r="W42" s="8"/>
      <c r="X42" s="9"/>
      <c r="Y42" s="8">
        <f t="shared" si="31"/>
        <v>3118209</v>
      </c>
    </row>
    <row r="43" spans="1:27" ht="26.25" customHeight="1" x14ac:dyDescent="0.25">
      <c r="A43" s="108"/>
      <c r="B43" s="14">
        <f t="shared" si="4"/>
        <v>40</v>
      </c>
      <c r="C43" s="11" t="s">
        <v>66</v>
      </c>
      <c r="D43" s="6"/>
      <c r="E43" s="5">
        <v>4000000</v>
      </c>
      <c r="F43" s="12">
        <v>30</v>
      </c>
      <c r="G43" s="5">
        <f t="shared" si="43"/>
        <v>4000000.0000000005</v>
      </c>
      <c r="H43" s="5"/>
      <c r="I43" s="5"/>
      <c r="J43" s="5"/>
      <c r="K43" s="5"/>
      <c r="L43" s="5">
        <f t="shared" ref="L43" si="47">SUM(G43:J43)+K43</f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ref="U43" si="48">SUM(M43:T43)</f>
        <v>364500.00000000006</v>
      </c>
      <c r="V43" s="7">
        <f t="shared" si="42"/>
        <v>3635500.0000000005</v>
      </c>
      <c r="W43" s="8"/>
      <c r="X43" s="9"/>
      <c r="Y43" s="8">
        <f t="shared" si="31"/>
        <v>3635500.0000000005</v>
      </c>
    </row>
    <row r="44" spans="1:27" ht="24" customHeight="1" x14ac:dyDescent="0.25">
      <c r="A44" s="108"/>
      <c r="B44" s="14">
        <f t="shared" si="4"/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33"/>
        <v>6000000</v>
      </c>
      <c r="H44" s="5"/>
      <c r="I44" s="5"/>
      <c r="J44" s="5">
        <v>400000</v>
      </c>
      <c r="K44" s="5"/>
      <c r="L44" s="5">
        <f t="shared" si="37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42"/>
        <v>5734000</v>
      </c>
      <c r="W44" s="8"/>
      <c r="X44" s="9"/>
      <c r="Y44" s="8">
        <f t="shared" si="31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08"/>
      <c r="B45" s="14">
        <f t="shared" si="4"/>
        <v>42</v>
      </c>
      <c r="C45" s="11" t="s">
        <v>69</v>
      </c>
      <c r="D45" s="6" t="s">
        <v>26</v>
      </c>
      <c r="E45" s="5">
        <v>6000000</v>
      </c>
      <c r="F45" s="12">
        <v>30</v>
      </c>
      <c r="G45" s="5">
        <f>+E45-K45</f>
        <v>6000000</v>
      </c>
      <c r="H45" s="5"/>
      <c r="I45" s="5"/>
      <c r="J45" s="5">
        <v>400000</v>
      </c>
      <c r="K45" s="5"/>
      <c r="L45" s="5">
        <f t="shared" si="37"/>
        <v>6400000</v>
      </c>
      <c r="M45" s="5">
        <f>+G45*4%</f>
        <v>240000</v>
      </c>
      <c r="N45" s="5">
        <f>+G45*5%</f>
        <v>300000</v>
      </c>
      <c r="O45" s="5"/>
      <c r="P45" s="5"/>
      <c r="Q45" s="5">
        <v>120000</v>
      </c>
      <c r="R45" s="5"/>
      <c r="S45" s="5"/>
      <c r="T45" s="5"/>
      <c r="U45" s="5">
        <f t="shared" si="0"/>
        <v>660000</v>
      </c>
      <c r="V45" s="7">
        <f t="shared" ref="V45:V48" si="49">L45-U45</f>
        <v>5740000</v>
      </c>
      <c r="W45" s="8"/>
      <c r="X45" s="9"/>
      <c r="Y45" s="8">
        <f t="shared" si="31"/>
        <v>5740000</v>
      </c>
    </row>
    <row r="46" spans="1:27" ht="18" customHeight="1" x14ac:dyDescent="0.25">
      <c r="A46" s="109"/>
      <c r="B46" s="14">
        <f t="shared" si="4"/>
        <v>43</v>
      </c>
      <c r="C46" s="11" t="s">
        <v>71</v>
      </c>
      <c r="D46" s="6" t="s">
        <v>26</v>
      </c>
      <c r="E46" s="5">
        <v>4500000</v>
      </c>
      <c r="F46" s="12">
        <v>30</v>
      </c>
      <c r="G46" s="5">
        <f>+E46-K46</f>
        <v>4500000</v>
      </c>
      <c r="H46" s="5"/>
      <c r="I46" s="5"/>
      <c r="J46" s="5"/>
      <c r="K46" s="5"/>
      <c r="L46" s="5">
        <f t="shared" si="37"/>
        <v>4500000</v>
      </c>
      <c r="M46" s="5">
        <v>180000</v>
      </c>
      <c r="N46" s="5">
        <v>225000</v>
      </c>
      <c r="O46" s="5"/>
      <c r="P46" s="5"/>
      <c r="Q46" s="5">
        <v>31000</v>
      </c>
      <c r="R46" s="5"/>
      <c r="S46" s="5"/>
      <c r="T46" s="5"/>
      <c r="U46" s="5">
        <f t="shared" si="0"/>
        <v>436000</v>
      </c>
      <c r="V46" s="7">
        <f t="shared" si="49"/>
        <v>4064000</v>
      </c>
      <c r="W46" s="8"/>
      <c r="X46" s="9"/>
      <c r="Y46" s="8">
        <f t="shared" si="31"/>
        <v>4064000</v>
      </c>
    </row>
    <row r="47" spans="1:27" ht="21" customHeight="1" x14ac:dyDescent="0.25">
      <c r="A47" s="107" t="s">
        <v>143</v>
      </c>
      <c r="B47" s="14">
        <v>1</v>
      </c>
      <c r="C47" s="11" t="s">
        <v>144</v>
      </c>
      <c r="D47" s="6"/>
      <c r="E47" s="5">
        <v>737717</v>
      </c>
      <c r="F47" s="12">
        <v>30</v>
      </c>
      <c r="G47" s="5">
        <f t="shared" ref="G47:G56" si="50">+E47/30*F47</f>
        <v>737717</v>
      </c>
      <c r="H47" s="5"/>
      <c r="I47" s="5"/>
      <c r="J47" s="5"/>
      <c r="K47" s="5"/>
      <c r="L47" s="5">
        <f t="shared" si="37"/>
        <v>737717</v>
      </c>
      <c r="M47" s="5"/>
      <c r="N47" s="5"/>
      <c r="O47" s="5"/>
      <c r="P47" s="5"/>
      <c r="Q47" s="5"/>
      <c r="R47" s="5"/>
      <c r="S47" s="5"/>
      <c r="T47" s="5"/>
      <c r="U47" s="5"/>
      <c r="V47" s="7">
        <f t="shared" si="49"/>
        <v>737717</v>
      </c>
      <c r="W47" s="8"/>
      <c r="X47" s="9"/>
      <c r="Y47" s="8">
        <f t="shared" si="31"/>
        <v>737717</v>
      </c>
    </row>
    <row r="48" spans="1:27" ht="20.25" customHeight="1" x14ac:dyDescent="0.25">
      <c r="A48" s="108"/>
      <c r="B48" s="14">
        <v>2</v>
      </c>
      <c r="C48" s="11" t="s">
        <v>72</v>
      </c>
      <c r="D48" s="6" t="s">
        <v>26</v>
      </c>
      <c r="E48" s="5">
        <v>3000000</v>
      </c>
      <c r="F48" s="12">
        <v>30</v>
      </c>
      <c r="G48" s="5">
        <f>+E48-K48</f>
        <v>3000000</v>
      </c>
      <c r="H48" s="5"/>
      <c r="I48" s="5"/>
      <c r="J48" s="5"/>
      <c r="K48" s="5"/>
      <c r="L48" s="5">
        <f t="shared" si="37"/>
        <v>3000000</v>
      </c>
      <c r="M48" s="5">
        <v>120000</v>
      </c>
      <c r="N48" s="5">
        <v>150000</v>
      </c>
      <c r="O48" s="5"/>
      <c r="P48" s="5"/>
      <c r="Q48" s="5"/>
      <c r="R48" s="5"/>
      <c r="S48" s="5"/>
      <c r="T48" s="84">
        <f>481778</f>
        <v>481778</v>
      </c>
      <c r="U48" s="5">
        <f t="shared" ref="U48" si="51">SUM(M48:T48)</f>
        <v>751778</v>
      </c>
      <c r="V48" s="7">
        <f t="shared" si="49"/>
        <v>2248222</v>
      </c>
      <c r="W48" s="8"/>
      <c r="X48" s="9"/>
      <c r="Y48" s="8">
        <f t="shared" si="31"/>
        <v>2248222</v>
      </c>
    </row>
    <row r="49" spans="1:25" x14ac:dyDescent="0.25">
      <c r="A49" s="108"/>
      <c r="B49" s="14">
        <v>3</v>
      </c>
      <c r="C49" s="3" t="s">
        <v>75</v>
      </c>
      <c r="D49" s="4" t="s">
        <v>26</v>
      </c>
      <c r="E49" s="5">
        <v>2500000</v>
      </c>
      <c r="F49" s="12">
        <v>30</v>
      </c>
      <c r="G49" s="5">
        <f>+E49</f>
        <v>2500000</v>
      </c>
      <c r="H49" s="5"/>
      <c r="I49" s="5"/>
      <c r="J49" s="5"/>
      <c r="K49" s="5"/>
      <c r="L49" s="5">
        <f>SUM(G49:J49)+K49</f>
        <v>2500000</v>
      </c>
      <c r="M49" s="5">
        <f>+E49*4%</f>
        <v>100000</v>
      </c>
      <c r="N49" s="5">
        <f>+E49*4%</f>
        <v>100000</v>
      </c>
      <c r="O49" s="5"/>
      <c r="P49" s="5"/>
      <c r="Q49" s="5"/>
      <c r="R49" s="5"/>
      <c r="S49" s="5"/>
      <c r="T49" s="5"/>
      <c r="U49" s="5">
        <f>SUM(M49:T49)</f>
        <v>200000</v>
      </c>
      <c r="V49" s="7">
        <f>L49-U49</f>
        <v>2300000</v>
      </c>
      <c r="W49" s="8"/>
      <c r="X49" s="9"/>
      <c r="Y49" s="8">
        <f t="shared" si="31"/>
        <v>2300000</v>
      </c>
    </row>
    <row r="50" spans="1:25" ht="18" customHeight="1" x14ac:dyDescent="0.25">
      <c r="A50" s="108"/>
      <c r="B50" s="14">
        <v>4</v>
      </c>
      <c r="C50" s="11" t="s">
        <v>76</v>
      </c>
      <c r="D50" s="6" t="s">
        <v>26</v>
      </c>
      <c r="E50" s="5">
        <v>3000000</v>
      </c>
      <c r="F50" s="12">
        <v>30</v>
      </c>
      <c r="G50" s="5">
        <f t="shared" si="50"/>
        <v>3000000</v>
      </c>
      <c r="H50" s="5">
        <v>0</v>
      </c>
      <c r="I50" s="5"/>
      <c r="J50" s="5"/>
      <c r="K50" s="5"/>
      <c r="L50" s="5">
        <f>SUM(G50:J50)+K50</f>
        <v>3000000</v>
      </c>
      <c r="M50" s="5">
        <f>+E50*4%</f>
        <v>120000</v>
      </c>
      <c r="N50" s="5">
        <f>+E50*5%</f>
        <v>150000</v>
      </c>
      <c r="O50" s="5"/>
      <c r="P50" s="5"/>
      <c r="Q50" s="17"/>
      <c r="R50" s="5"/>
      <c r="S50" s="5"/>
      <c r="T50" s="84"/>
      <c r="U50" s="5">
        <f>+M50+N50+T50</f>
        <v>270000</v>
      </c>
      <c r="V50" s="7">
        <f>+L50-U50</f>
        <v>2730000</v>
      </c>
      <c r="W50" s="8"/>
      <c r="X50" s="9"/>
      <c r="Y50" s="8">
        <f t="shared" si="31"/>
        <v>2730000</v>
      </c>
    </row>
    <row r="51" spans="1:25" ht="24" x14ac:dyDescent="0.25">
      <c r="A51" s="108"/>
      <c r="B51" s="14">
        <v>5</v>
      </c>
      <c r="C51" s="11" t="s">
        <v>80</v>
      </c>
      <c r="D51" s="6" t="s">
        <v>26</v>
      </c>
      <c r="E51" s="5">
        <v>1500000</v>
      </c>
      <c r="F51" s="12">
        <v>30</v>
      </c>
      <c r="G51" s="5">
        <f>+E51-K51</f>
        <v>1450000</v>
      </c>
      <c r="H51" s="5"/>
      <c r="I51" s="5"/>
      <c r="J51" s="5"/>
      <c r="K51" s="5">
        <f>+E51/30</f>
        <v>50000</v>
      </c>
      <c r="L51" s="5">
        <f t="shared" ref="L51" si="52">SUM(G51:J51)+K51</f>
        <v>1500000</v>
      </c>
      <c r="M51" s="5">
        <f>+E51*4%</f>
        <v>60000</v>
      </c>
      <c r="N51" s="5">
        <f>+E51*4%</f>
        <v>60000</v>
      </c>
      <c r="O51" s="5"/>
      <c r="P51" s="5"/>
      <c r="Q51" s="17"/>
      <c r="R51" s="5"/>
      <c r="S51" s="5"/>
      <c r="T51" s="5"/>
      <c r="U51" s="5">
        <f t="shared" ref="U51" si="53">SUM(M51:T51)</f>
        <v>120000</v>
      </c>
      <c r="V51" s="7">
        <f t="shared" ref="V51:V59" si="54">+L51-U51</f>
        <v>1380000</v>
      </c>
      <c r="W51" s="8"/>
      <c r="X51" s="9"/>
      <c r="Y51" s="8">
        <f t="shared" si="31"/>
        <v>1380000</v>
      </c>
    </row>
    <row r="52" spans="1:25" ht="21.75" customHeight="1" x14ac:dyDescent="0.25">
      <c r="A52" s="108"/>
      <c r="B52" s="14">
        <v>6</v>
      </c>
      <c r="C52" s="11" t="s">
        <v>81</v>
      </c>
      <c r="D52" s="6" t="s">
        <v>26</v>
      </c>
      <c r="E52" s="5">
        <v>1800000</v>
      </c>
      <c r="F52" s="12">
        <v>30</v>
      </c>
      <c r="G52" s="5">
        <f t="shared" si="50"/>
        <v>1800000</v>
      </c>
      <c r="H52" s="5">
        <v>0</v>
      </c>
      <c r="I52" s="5"/>
      <c r="J52" s="5"/>
      <c r="K52" s="5"/>
      <c r="L52" s="5">
        <f t="shared" si="37"/>
        <v>1800000</v>
      </c>
      <c r="M52" s="5">
        <f>+G52*4%</f>
        <v>72000</v>
      </c>
      <c r="N52" s="5">
        <f>+G52*4%</f>
        <v>72000</v>
      </c>
      <c r="O52" s="5"/>
      <c r="P52" s="5"/>
      <c r="Q52" s="5">
        <v>0</v>
      </c>
      <c r="R52" s="5"/>
      <c r="S52" s="5"/>
      <c r="T52" s="5"/>
      <c r="U52" s="5">
        <f t="shared" ref="U52:U107" si="55">SUM(M52:T52)</f>
        <v>144000</v>
      </c>
      <c r="V52" s="7">
        <f t="shared" si="54"/>
        <v>1656000</v>
      </c>
      <c r="W52" s="8"/>
      <c r="X52" s="9"/>
      <c r="Y52" s="8">
        <f t="shared" si="31"/>
        <v>1656000</v>
      </c>
    </row>
    <row r="53" spans="1:25" ht="21.75" customHeight="1" x14ac:dyDescent="0.25">
      <c r="A53" s="108"/>
      <c r="B53" s="14">
        <v>7</v>
      </c>
      <c r="C53" s="11" t="s">
        <v>82</v>
      </c>
      <c r="D53" s="6" t="s">
        <v>26</v>
      </c>
      <c r="E53" s="5">
        <v>737717</v>
      </c>
      <c r="F53" s="12">
        <v>30</v>
      </c>
      <c r="G53" s="5">
        <f t="shared" si="50"/>
        <v>737717</v>
      </c>
      <c r="H53" s="5">
        <v>83140</v>
      </c>
      <c r="I53" s="5"/>
      <c r="J53" s="5"/>
      <c r="K53" s="5"/>
      <c r="L53" s="5">
        <f t="shared" ref="L53" si="56">SUM(G53:J53)+K53</f>
        <v>820857</v>
      </c>
      <c r="M53" s="5">
        <v>29509</v>
      </c>
      <c r="N53" s="5">
        <v>29509</v>
      </c>
      <c r="O53" s="5"/>
      <c r="P53" s="5"/>
      <c r="Q53" s="17"/>
      <c r="R53" s="5"/>
      <c r="S53" s="5"/>
      <c r="T53" s="5"/>
      <c r="U53" s="5">
        <f t="shared" si="55"/>
        <v>59018</v>
      </c>
      <c r="V53" s="7">
        <f t="shared" si="54"/>
        <v>761839</v>
      </c>
      <c r="W53" s="8"/>
      <c r="X53" s="9"/>
      <c r="Y53" s="8">
        <f t="shared" si="31"/>
        <v>761839</v>
      </c>
    </row>
    <row r="54" spans="1:25" ht="21" customHeight="1" x14ac:dyDescent="0.25">
      <c r="A54" s="108"/>
      <c r="B54" s="14">
        <v>8</v>
      </c>
      <c r="C54" s="11" t="s">
        <v>182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/>
      <c r="L54" s="5">
        <f>SUM(G54:J54)+K54</f>
        <v>3000000</v>
      </c>
      <c r="M54" s="5">
        <f>+G54*4%</f>
        <v>120000</v>
      </c>
      <c r="N54" s="5">
        <f>+G54*4%</f>
        <v>120000</v>
      </c>
      <c r="O54" s="5"/>
      <c r="P54" s="5"/>
      <c r="Q54" s="5"/>
      <c r="R54" s="5"/>
      <c r="S54" s="5"/>
      <c r="T54" s="5"/>
      <c r="U54" s="5">
        <f>SUM(M54:T54)</f>
        <v>240000</v>
      </c>
      <c r="V54" s="7">
        <f>+L54-U54</f>
        <v>2760000</v>
      </c>
      <c r="W54" s="8"/>
      <c r="X54" s="9"/>
      <c r="Y54" s="8">
        <f t="shared" si="31"/>
        <v>2760000</v>
      </c>
    </row>
    <row r="55" spans="1:25" ht="17.25" customHeight="1" x14ac:dyDescent="0.25">
      <c r="A55" s="108"/>
      <c r="B55" s="14">
        <v>9</v>
      </c>
      <c r="C55" s="11" t="s">
        <v>83</v>
      </c>
      <c r="D55" s="6" t="s">
        <v>26</v>
      </c>
      <c r="E55" s="5">
        <v>3500000</v>
      </c>
      <c r="F55" s="12">
        <v>30</v>
      </c>
      <c r="G55" s="5">
        <f>+E55-K55</f>
        <v>3500000</v>
      </c>
      <c r="H55" s="5"/>
      <c r="I55" s="5"/>
      <c r="J55" s="5"/>
      <c r="K55" s="5"/>
      <c r="L55" s="5">
        <f t="shared" ref="L55" si="57">SUM(G55:J55)+K55</f>
        <v>3500000</v>
      </c>
      <c r="M55" s="5">
        <f>+E55*4%</f>
        <v>140000</v>
      </c>
      <c r="N55" s="5">
        <f>+E55*5%</f>
        <v>175000</v>
      </c>
      <c r="O55" s="5"/>
      <c r="P55" s="5"/>
      <c r="Q55" s="5">
        <v>0</v>
      </c>
      <c r="R55" s="5"/>
      <c r="S55" s="5"/>
      <c r="T55" s="5">
        <v>774624</v>
      </c>
      <c r="U55" s="5">
        <f t="shared" ref="U55" si="58">SUM(M55:T55)</f>
        <v>1089624</v>
      </c>
      <c r="V55" s="7">
        <f t="shared" si="54"/>
        <v>2410376</v>
      </c>
      <c r="W55" s="8"/>
      <c r="X55" s="9"/>
      <c r="Y55" s="8">
        <f t="shared" si="31"/>
        <v>2410376</v>
      </c>
    </row>
    <row r="56" spans="1:25" ht="17.25" customHeight="1" x14ac:dyDescent="0.25">
      <c r="A56" s="108"/>
      <c r="B56" s="14">
        <v>10</v>
      </c>
      <c r="C56" s="11" t="s">
        <v>84</v>
      </c>
      <c r="D56" s="6" t="s">
        <v>26</v>
      </c>
      <c r="E56" s="5">
        <v>2500000</v>
      </c>
      <c r="F56" s="12">
        <v>30</v>
      </c>
      <c r="G56" s="5">
        <f t="shared" si="50"/>
        <v>2500000</v>
      </c>
      <c r="H56" s="5"/>
      <c r="I56" s="5"/>
      <c r="J56" s="5">
        <v>700000</v>
      </c>
      <c r="K56" s="5"/>
      <c r="L56" s="5">
        <f>SUM(G56:J56)+K56</f>
        <v>3200000</v>
      </c>
      <c r="M56" s="5">
        <f>+G56*4%</f>
        <v>100000</v>
      </c>
      <c r="N56" s="5">
        <f>+G56*4%</f>
        <v>100000</v>
      </c>
      <c r="O56" s="5"/>
      <c r="P56" s="5"/>
      <c r="Q56" s="5">
        <v>0</v>
      </c>
      <c r="R56" s="5"/>
      <c r="S56" s="5"/>
      <c r="T56" s="5">
        <v>200210</v>
      </c>
      <c r="U56" s="5">
        <f t="shared" si="55"/>
        <v>400210</v>
      </c>
      <c r="V56" s="7">
        <f t="shared" si="54"/>
        <v>2799790</v>
      </c>
      <c r="W56" s="8"/>
      <c r="X56" s="9"/>
      <c r="Y56" s="8">
        <f t="shared" si="31"/>
        <v>2799790</v>
      </c>
    </row>
    <row r="57" spans="1:25" ht="17.25" customHeight="1" x14ac:dyDescent="0.25">
      <c r="A57" s="108"/>
      <c r="B57" s="14">
        <v>11</v>
      </c>
      <c r="C57" s="11" t="s">
        <v>86</v>
      </c>
      <c r="D57" s="6" t="s">
        <v>26</v>
      </c>
      <c r="E57" s="5">
        <v>1500000</v>
      </c>
      <c r="F57" s="12">
        <v>30</v>
      </c>
      <c r="G57" s="5">
        <f>E57/30*F57</f>
        <v>1500000</v>
      </c>
      <c r="H57" s="5"/>
      <c r="I57" s="5"/>
      <c r="J57" s="5"/>
      <c r="K57" s="5"/>
      <c r="L57" s="5">
        <f t="shared" ref="L57" si="59">SUM(G57:J57)+K57</f>
        <v>1500000</v>
      </c>
      <c r="M57" s="5">
        <f>+G57*4%</f>
        <v>60000</v>
      </c>
      <c r="N57" s="5">
        <f t="shared" ref="N57" si="60">+G57*4%</f>
        <v>60000</v>
      </c>
      <c r="O57" s="5">
        <v>0</v>
      </c>
      <c r="P57" s="5"/>
      <c r="Q57" s="5">
        <v>0</v>
      </c>
      <c r="R57" s="5"/>
      <c r="S57" s="5"/>
      <c r="T57" s="5">
        <v>422966</v>
      </c>
      <c r="U57" s="5">
        <f t="shared" ref="U57" si="61">SUM(M57:T57)</f>
        <v>542966</v>
      </c>
      <c r="V57" s="7">
        <f t="shared" si="54"/>
        <v>957034</v>
      </c>
      <c r="W57" s="8"/>
      <c r="X57" s="9"/>
      <c r="Y57" s="8">
        <f t="shared" si="31"/>
        <v>957034</v>
      </c>
    </row>
    <row r="58" spans="1:25" ht="17.25" customHeight="1" x14ac:dyDescent="0.25">
      <c r="A58" s="108"/>
      <c r="B58" s="14">
        <v>12</v>
      </c>
      <c r="C58" s="11" t="s">
        <v>174</v>
      </c>
      <c r="D58" s="6" t="s">
        <v>26</v>
      </c>
      <c r="E58" s="5">
        <v>737717</v>
      </c>
      <c r="F58" s="12">
        <v>30</v>
      </c>
      <c r="G58" s="5">
        <f>+E58-I58</f>
        <v>688535.8666666667</v>
      </c>
      <c r="H58" s="5">
        <f>+(83140/30)*F58</f>
        <v>83140</v>
      </c>
      <c r="I58" s="5">
        <f>+E58/30*2</f>
        <v>49181.133333333331</v>
      </c>
      <c r="J58" s="5"/>
      <c r="K58" s="5"/>
      <c r="L58" s="5">
        <f t="shared" ref="L58" si="62">SUM(G58:J58)+K58</f>
        <v>820857</v>
      </c>
      <c r="M58" s="5">
        <f>+E58*4%</f>
        <v>29508.68</v>
      </c>
      <c r="N58" s="5">
        <f>+E58*4%</f>
        <v>29508.68</v>
      </c>
      <c r="O58" s="5"/>
      <c r="P58" s="5"/>
      <c r="Q58" s="5">
        <v>0</v>
      </c>
      <c r="R58" s="5"/>
      <c r="S58" s="5"/>
      <c r="T58" s="5"/>
      <c r="U58" s="5">
        <v>59018</v>
      </c>
      <c r="V58" s="7">
        <f t="shared" si="54"/>
        <v>761839</v>
      </c>
      <c r="W58" s="8"/>
      <c r="X58" s="9"/>
      <c r="Y58" s="8">
        <f t="shared" si="31"/>
        <v>761839</v>
      </c>
    </row>
    <row r="59" spans="1:25" ht="24" x14ac:dyDescent="0.25">
      <c r="A59" s="108"/>
      <c r="B59" s="14">
        <v>13</v>
      </c>
      <c r="C59" s="11" t="s">
        <v>87</v>
      </c>
      <c r="D59" s="6" t="s">
        <v>26</v>
      </c>
      <c r="E59" s="5">
        <v>3000000</v>
      </c>
      <c r="F59" s="12">
        <v>30</v>
      </c>
      <c r="G59" s="5">
        <f>E59/30*F59</f>
        <v>3000000</v>
      </c>
      <c r="H59" s="5"/>
      <c r="I59" s="5"/>
      <c r="J59" s="5">
        <v>200000</v>
      </c>
      <c r="K59" s="5"/>
      <c r="L59" s="5">
        <f t="shared" si="37"/>
        <v>3200000</v>
      </c>
      <c r="M59" s="5">
        <f>+G59*4%</f>
        <v>120000</v>
      </c>
      <c r="N59" s="5">
        <f>+G59*0.05</f>
        <v>150000</v>
      </c>
      <c r="O59" s="5"/>
      <c r="P59" s="5"/>
      <c r="Q59" s="5">
        <v>0</v>
      </c>
      <c r="R59" s="5"/>
      <c r="S59" s="5"/>
      <c r="T59" s="5">
        <v>323803</v>
      </c>
      <c r="U59" s="5">
        <f t="shared" si="55"/>
        <v>593803</v>
      </c>
      <c r="V59" s="7">
        <f t="shared" si="54"/>
        <v>2606197</v>
      </c>
      <c r="W59" s="8"/>
      <c r="X59" s="9"/>
      <c r="Y59" s="8">
        <f t="shared" si="31"/>
        <v>2606197</v>
      </c>
    </row>
    <row r="60" spans="1:25" ht="18.75" customHeight="1" x14ac:dyDescent="0.25">
      <c r="A60" s="108"/>
      <c r="B60" s="14">
        <v>14</v>
      </c>
      <c r="C60" s="11" t="s">
        <v>188</v>
      </c>
      <c r="D60" s="6"/>
      <c r="E60" s="5">
        <v>2000000</v>
      </c>
      <c r="F60" s="12">
        <v>30</v>
      </c>
      <c r="G60" s="5">
        <f>+E60</f>
        <v>2000000</v>
      </c>
      <c r="H60" s="5"/>
      <c r="I60" s="5"/>
      <c r="J60" s="5"/>
      <c r="K60" s="5"/>
      <c r="L60" s="5">
        <f t="shared" si="37"/>
        <v>2000000</v>
      </c>
      <c r="M60" s="5">
        <f>+G60*4%</f>
        <v>80000</v>
      </c>
      <c r="N60" s="5">
        <f>+G60*4%</f>
        <v>80000</v>
      </c>
      <c r="O60" s="5"/>
      <c r="P60" s="5"/>
      <c r="Q60" s="5">
        <v>0</v>
      </c>
      <c r="R60" s="5"/>
      <c r="S60" s="5"/>
      <c r="T60" s="5"/>
      <c r="U60" s="5">
        <f>SUM(M60:T60)</f>
        <v>160000</v>
      </c>
      <c r="V60" s="7">
        <f>+L60-U60</f>
        <v>1840000</v>
      </c>
      <c r="W60" s="8"/>
      <c r="X60" s="9"/>
      <c r="Y60" s="8">
        <f t="shared" si="31"/>
        <v>1840000</v>
      </c>
    </row>
    <row r="61" spans="1:25" x14ac:dyDescent="0.25">
      <c r="A61" s="108"/>
      <c r="B61" s="14">
        <v>15</v>
      </c>
      <c r="C61" s="3" t="s">
        <v>88</v>
      </c>
      <c r="D61" s="4" t="s">
        <v>26</v>
      </c>
      <c r="E61" s="5">
        <v>3500000</v>
      </c>
      <c r="F61" s="12">
        <v>30</v>
      </c>
      <c r="G61" s="5">
        <f>E61/30*F61</f>
        <v>3500000</v>
      </c>
      <c r="H61" s="5"/>
      <c r="I61" s="5"/>
      <c r="J61" s="5"/>
      <c r="K61" s="5"/>
      <c r="L61" s="5">
        <f t="shared" si="37"/>
        <v>3500000</v>
      </c>
      <c r="M61" s="5">
        <f>+L61*4%</f>
        <v>140000</v>
      </c>
      <c r="N61" s="5">
        <f>+L61*5%</f>
        <v>175000</v>
      </c>
      <c r="O61" s="5"/>
      <c r="P61" s="5"/>
      <c r="Q61" s="5">
        <v>0</v>
      </c>
      <c r="R61" s="5"/>
      <c r="S61" s="5"/>
      <c r="T61" s="5"/>
      <c r="U61" s="5">
        <f t="shared" si="55"/>
        <v>315000</v>
      </c>
      <c r="V61" s="7">
        <f t="shared" ref="V61:V71" si="63">L61-U61</f>
        <v>3185000</v>
      </c>
      <c r="W61" s="8"/>
      <c r="X61" s="9"/>
      <c r="Y61" s="8">
        <f t="shared" si="31"/>
        <v>3185000</v>
      </c>
    </row>
    <row r="62" spans="1:25" x14ac:dyDescent="0.25">
      <c r="A62" s="108"/>
      <c r="B62" s="14">
        <v>16</v>
      </c>
      <c r="C62" s="11" t="s">
        <v>89</v>
      </c>
      <c r="D62" s="6" t="s">
        <v>26</v>
      </c>
      <c r="E62" s="5">
        <v>4000000</v>
      </c>
      <c r="F62" s="12">
        <v>30</v>
      </c>
      <c r="G62" s="5">
        <f t="shared" ref="G62:G108" si="64">E62/30*F62</f>
        <v>4000000.0000000005</v>
      </c>
      <c r="H62" s="5"/>
      <c r="I62" s="5"/>
      <c r="J62" s="5">
        <v>300000</v>
      </c>
      <c r="K62" s="5"/>
      <c r="L62" s="5">
        <f>SUM(G62:J62)+K62</f>
        <v>4300000</v>
      </c>
      <c r="M62" s="5">
        <v>160000</v>
      </c>
      <c r="N62" s="5">
        <v>200000</v>
      </c>
      <c r="O62" s="5"/>
      <c r="P62" s="5"/>
      <c r="Q62" s="5">
        <v>3000</v>
      </c>
      <c r="R62" s="5"/>
      <c r="S62" s="5"/>
      <c r="T62" s="5">
        <v>879143</v>
      </c>
      <c r="U62" s="5">
        <f t="shared" si="55"/>
        <v>1242143</v>
      </c>
      <c r="V62" s="7">
        <f t="shared" si="63"/>
        <v>3057857</v>
      </c>
      <c r="W62" s="8"/>
      <c r="X62" s="9"/>
      <c r="Y62" s="8">
        <f t="shared" si="31"/>
        <v>3057857</v>
      </c>
    </row>
    <row r="63" spans="1:25" x14ac:dyDescent="0.25">
      <c r="A63" s="108"/>
      <c r="B63" s="14">
        <v>17</v>
      </c>
      <c r="C63" s="11" t="s">
        <v>90</v>
      </c>
      <c r="D63" s="6" t="s">
        <v>26</v>
      </c>
      <c r="E63" s="5">
        <v>800000</v>
      </c>
      <c r="F63" s="12">
        <v>30</v>
      </c>
      <c r="G63" s="5">
        <f t="shared" si="64"/>
        <v>800000</v>
      </c>
      <c r="H63" s="5">
        <f>+(83140/30)*F63</f>
        <v>83140</v>
      </c>
      <c r="I63" s="5"/>
      <c r="J63" s="5"/>
      <c r="K63" s="5"/>
      <c r="L63" s="5">
        <f t="shared" si="37"/>
        <v>883140</v>
      </c>
      <c r="M63" s="5">
        <f>+G63*4%</f>
        <v>32000</v>
      </c>
      <c r="N63" s="5">
        <f>+G63*4%</f>
        <v>32000</v>
      </c>
      <c r="O63" s="5"/>
      <c r="P63" s="5"/>
      <c r="Q63" s="5"/>
      <c r="R63" s="5"/>
      <c r="S63" s="5"/>
      <c r="T63" s="5"/>
      <c r="U63" s="5">
        <f t="shared" si="55"/>
        <v>64000</v>
      </c>
      <c r="V63" s="7">
        <f t="shared" si="63"/>
        <v>819140</v>
      </c>
      <c r="W63" s="8"/>
      <c r="X63" s="9"/>
      <c r="Y63" s="8">
        <f t="shared" si="31"/>
        <v>819140</v>
      </c>
    </row>
    <row r="64" spans="1:25" ht="17.25" customHeight="1" x14ac:dyDescent="0.25">
      <c r="A64" s="108"/>
      <c r="B64" s="14">
        <v>18</v>
      </c>
      <c r="C64" s="11" t="s">
        <v>91</v>
      </c>
      <c r="D64" s="6" t="s">
        <v>26</v>
      </c>
      <c r="E64" s="5">
        <v>4200000</v>
      </c>
      <c r="F64" s="12">
        <v>30</v>
      </c>
      <c r="G64" s="5">
        <f t="shared" si="64"/>
        <v>4200000</v>
      </c>
      <c r="H64" s="5">
        <v>0</v>
      </c>
      <c r="I64" s="5"/>
      <c r="J64" s="5"/>
      <c r="K64" s="5"/>
      <c r="L64" s="5">
        <f t="shared" si="37"/>
        <v>4200000</v>
      </c>
      <c r="M64" s="5">
        <f>+E64*0.04</f>
        <v>168000</v>
      </c>
      <c r="N64" s="5">
        <f>+E64*0.05</f>
        <v>210000</v>
      </c>
      <c r="O64" s="5"/>
      <c r="P64" s="5"/>
      <c r="Q64" s="5">
        <v>0</v>
      </c>
      <c r="R64" s="5"/>
      <c r="S64" s="5"/>
      <c r="T64" s="5"/>
      <c r="U64" s="5">
        <f>SUM(M64:T64)</f>
        <v>378000</v>
      </c>
      <c r="V64" s="7">
        <f>L64-U64</f>
        <v>3822000</v>
      </c>
      <c r="W64" s="8"/>
      <c r="X64" s="9"/>
      <c r="Y64" s="8">
        <f t="shared" si="31"/>
        <v>3822000</v>
      </c>
    </row>
    <row r="65" spans="1:28" ht="17.25" customHeight="1" x14ac:dyDescent="0.25">
      <c r="A65" s="108"/>
      <c r="B65" s="14">
        <v>19</v>
      </c>
      <c r="C65" s="11" t="s">
        <v>92</v>
      </c>
      <c r="D65" s="6" t="s">
        <v>26</v>
      </c>
      <c r="E65" s="5">
        <v>1550000</v>
      </c>
      <c r="F65" s="12">
        <v>30</v>
      </c>
      <c r="G65" s="5">
        <f t="shared" si="64"/>
        <v>1550000</v>
      </c>
      <c r="H65" s="5"/>
      <c r="I65" s="5"/>
      <c r="J65" s="5"/>
      <c r="K65" s="5"/>
      <c r="L65" s="5">
        <f t="shared" ref="L65:L67" si="65">SUM(G65:J65)+K65</f>
        <v>1550000</v>
      </c>
      <c r="M65" s="5">
        <f>+E65*4%</f>
        <v>62000</v>
      </c>
      <c r="N65" s="5">
        <f>+E65*4%</f>
        <v>62000</v>
      </c>
      <c r="O65" s="5"/>
      <c r="P65" s="5"/>
      <c r="Q65" s="5"/>
      <c r="R65" s="5"/>
      <c r="S65" s="5"/>
      <c r="T65" s="5"/>
      <c r="U65" s="5">
        <f t="shared" ref="U65:U67" si="66">SUM(M65:T65)</f>
        <v>124000</v>
      </c>
      <c r="V65" s="7">
        <f t="shared" si="63"/>
        <v>1426000</v>
      </c>
      <c r="W65" s="8"/>
      <c r="X65" s="9"/>
      <c r="Y65" s="8">
        <f t="shared" si="31"/>
        <v>1426000</v>
      </c>
    </row>
    <row r="66" spans="1:28" ht="17.25" customHeight="1" x14ac:dyDescent="0.25">
      <c r="A66" s="108"/>
      <c r="B66" s="14">
        <v>20</v>
      </c>
      <c r="C66" s="11" t="s">
        <v>93</v>
      </c>
      <c r="D66" s="6"/>
      <c r="E66" s="5">
        <v>1200000</v>
      </c>
      <c r="F66" s="12">
        <v>30</v>
      </c>
      <c r="G66" s="5">
        <f t="shared" si="64"/>
        <v>1200000</v>
      </c>
      <c r="H66" s="5">
        <f>+(83140/30)*F66</f>
        <v>83140</v>
      </c>
      <c r="I66" s="5"/>
      <c r="J66" s="5"/>
      <c r="K66" s="5"/>
      <c r="L66" s="5">
        <f t="shared" ref="L66" si="67">SUM(G66:J66)+K66</f>
        <v>1283140</v>
      </c>
      <c r="M66" s="5">
        <f>+G66*4%</f>
        <v>48000</v>
      </c>
      <c r="N66" s="5">
        <f>+G66*4%</f>
        <v>48000</v>
      </c>
      <c r="O66" s="5"/>
      <c r="P66" s="5"/>
      <c r="Q66" s="5"/>
      <c r="R66" s="5"/>
      <c r="S66" s="5"/>
      <c r="T66" s="5"/>
      <c r="U66" s="5">
        <f t="shared" ref="U66" si="68">SUM(M66:T66)</f>
        <v>96000</v>
      </c>
      <c r="V66" s="7">
        <f t="shared" si="63"/>
        <v>1187140</v>
      </c>
      <c r="W66" s="8"/>
      <c r="X66" s="9"/>
      <c r="Y66" s="8">
        <f t="shared" si="31"/>
        <v>1187140</v>
      </c>
    </row>
    <row r="67" spans="1:28" ht="20.25" customHeight="1" x14ac:dyDescent="0.25">
      <c r="A67" s="108"/>
      <c r="B67" s="14">
        <v>21</v>
      </c>
      <c r="C67" s="11" t="s">
        <v>165</v>
      </c>
      <c r="D67" s="6" t="s">
        <v>26</v>
      </c>
      <c r="E67" s="5">
        <v>1500000</v>
      </c>
      <c r="F67" s="12">
        <v>30</v>
      </c>
      <c r="G67" s="5">
        <v>1500000</v>
      </c>
      <c r="H67" s="5"/>
      <c r="I67" s="5"/>
      <c r="J67" s="5">
        <v>73600</v>
      </c>
      <c r="K67" s="5"/>
      <c r="L67" s="5">
        <f t="shared" si="65"/>
        <v>1573600</v>
      </c>
      <c r="M67" s="5">
        <f>+E67*4%</f>
        <v>60000</v>
      </c>
      <c r="N67" s="5">
        <f>+E67*4%</f>
        <v>60000</v>
      </c>
      <c r="O67" s="5"/>
      <c r="P67" s="5"/>
      <c r="Q67" s="5"/>
      <c r="R67" s="5"/>
      <c r="S67" s="5"/>
      <c r="T67" s="5"/>
      <c r="U67" s="5">
        <f t="shared" si="66"/>
        <v>120000</v>
      </c>
      <c r="V67" s="7">
        <f>L67-U67</f>
        <v>1453600</v>
      </c>
      <c r="W67" s="8"/>
      <c r="X67" s="9"/>
      <c r="Y67" s="8">
        <f t="shared" si="31"/>
        <v>1453600</v>
      </c>
    </row>
    <row r="68" spans="1:28" ht="29.25" customHeight="1" x14ac:dyDescent="0.25">
      <c r="A68" s="108"/>
      <c r="B68" s="14">
        <v>22</v>
      </c>
      <c r="C68" s="11" t="s">
        <v>166</v>
      </c>
      <c r="D68" s="6" t="s">
        <v>26</v>
      </c>
      <c r="E68" s="5">
        <v>2500000</v>
      </c>
      <c r="F68" s="12">
        <v>30</v>
      </c>
      <c r="G68" s="5">
        <f>+E68-K68</f>
        <v>2500000</v>
      </c>
      <c r="H68" s="5"/>
      <c r="I68" s="5"/>
      <c r="J68" s="5"/>
      <c r="K68" s="5"/>
      <c r="L68" s="5">
        <f t="shared" si="37"/>
        <v>2500000</v>
      </c>
      <c r="M68" s="5">
        <f>+G68*4%</f>
        <v>100000</v>
      </c>
      <c r="N68" s="5">
        <f>+G68*4%</f>
        <v>100000</v>
      </c>
      <c r="O68" s="5"/>
      <c r="P68" s="5"/>
      <c r="Q68" s="5">
        <v>0</v>
      </c>
      <c r="R68" s="5"/>
      <c r="S68" s="5"/>
      <c r="T68" s="5">
        <v>363928</v>
      </c>
      <c r="U68" s="5">
        <f>SUM(M68:T68)</f>
        <v>563928</v>
      </c>
      <c r="V68" s="7">
        <f>L68-U68</f>
        <v>1936072</v>
      </c>
      <c r="W68" s="8"/>
      <c r="X68" s="9"/>
      <c r="Y68" s="8">
        <f t="shared" si="31"/>
        <v>1936072</v>
      </c>
      <c r="AB68" s="10">
        <f>1196000+644000</f>
        <v>1840000</v>
      </c>
    </row>
    <row r="69" spans="1:28" ht="25.5" customHeight="1" x14ac:dyDescent="0.25">
      <c r="A69" s="108"/>
      <c r="B69" s="14">
        <v>23</v>
      </c>
      <c r="C69" s="11" t="s">
        <v>155</v>
      </c>
      <c r="D69" s="6"/>
      <c r="E69" s="5">
        <v>368858</v>
      </c>
      <c r="F69" s="12">
        <v>30</v>
      </c>
      <c r="G69" s="5">
        <f t="shared" si="64"/>
        <v>368858</v>
      </c>
      <c r="H69" s="5"/>
      <c r="I69" s="5"/>
      <c r="J69" s="5"/>
      <c r="K69" s="5"/>
      <c r="L69" s="5">
        <f t="shared" ref="L69" si="69">SUM(G69:J69)+K69</f>
        <v>368858</v>
      </c>
      <c r="M69" s="5"/>
      <c r="N69" s="5"/>
      <c r="O69" s="5"/>
      <c r="P69" s="5"/>
      <c r="Q69" s="5"/>
      <c r="R69" s="5"/>
      <c r="S69" s="5"/>
      <c r="T69" s="5"/>
      <c r="U69" s="5">
        <f t="shared" ref="U69" si="70">SUM(M69:T69)</f>
        <v>0</v>
      </c>
      <c r="V69" s="7">
        <f t="shared" ref="V69" si="71">L69-U69</f>
        <v>368858</v>
      </c>
      <c r="W69" s="8"/>
      <c r="X69" s="9"/>
      <c r="Y69" s="8">
        <f t="shared" si="31"/>
        <v>368858</v>
      </c>
    </row>
    <row r="70" spans="1:28" x14ac:dyDescent="0.25">
      <c r="A70" s="108"/>
      <c r="B70" s="14">
        <v>24</v>
      </c>
      <c r="C70" s="3" t="s">
        <v>100</v>
      </c>
      <c r="D70" s="4" t="s">
        <v>26</v>
      </c>
      <c r="E70" s="5">
        <v>800000</v>
      </c>
      <c r="F70" s="12">
        <v>30</v>
      </c>
      <c r="G70" s="5">
        <f t="shared" si="64"/>
        <v>800000</v>
      </c>
      <c r="H70" s="5">
        <f>+(83140/30)*F70</f>
        <v>83140</v>
      </c>
      <c r="I70" s="5"/>
      <c r="J70" s="5"/>
      <c r="K70" s="5"/>
      <c r="L70" s="5">
        <f t="shared" si="37"/>
        <v>883140</v>
      </c>
      <c r="M70" s="5">
        <f>+G70*4%</f>
        <v>32000</v>
      </c>
      <c r="N70" s="5">
        <f>+G70*4%</f>
        <v>32000</v>
      </c>
      <c r="O70" s="5"/>
      <c r="P70" s="5"/>
      <c r="Q70" s="5"/>
      <c r="R70" s="5"/>
      <c r="S70" s="5"/>
      <c r="T70" s="5"/>
      <c r="U70" s="5">
        <f t="shared" si="55"/>
        <v>64000</v>
      </c>
      <c r="V70" s="7">
        <f t="shared" si="63"/>
        <v>819140</v>
      </c>
      <c r="W70" s="8"/>
      <c r="X70" s="9"/>
      <c r="Y70" s="8">
        <f t="shared" si="31"/>
        <v>819140</v>
      </c>
      <c r="AB70" s="10">
        <f>1840000-1196000</f>
        <v>644000</v>
      </c>
    </row>
    <row r="71" spans="1:28" x14ac:dyDescent="0.25">
      <c r="A71" s="108"/>
      <c r="B71" s="14">
        <v>25</v>
      </c>
      <c r="C71" s="3" t="s">
        <v>175</v>
      </c>
      <c r="D71" s="4" t="s">
        <v>26</v>
      </c>
      <c r="E71" s="5">
        <v>1000000</v>
      </c>
      <c r="F71" s="12">
        <v>30</v>
      </c>
      <c r="G71" s="5">
        <f t="shared" si="64"/>
        <v>1000000.0000000001</v>
      </c>
      <c r="H71" s="5">
        <f>+(83140/30)*F71</f>
        <v>83140</v>
      </c>
      <c r="I71" s="5"/>
      <c r="J71" s="5"/>
      <c r="K71" s="5"/>
      <c r="L71" s="5">
        <f t="shared" ref="L71" si="72">SUM(G71:J71)+K71</f>
        <v>1083140</v>
      </c>
      <c r="M71" s="5">
        <f>+G71*4%</f>
        <v>40000.000000000007</v>
      </c>
      <c r="N71" s="5">
        <f>+G71*4%</f>
        <v>40000.000000000007</v>
      </c>
      <c r="O71" s="5"/>
      <c r="P71" s="5"/>
      <c r="Q71" s="5"/>
      <c r="R71" s="5"/>
      <c r="S71" s="5"/>
      <c r="T71" s="5"/>
      <c r="U71" s="5">
        <f t="shared" ref="U71" si="73">SUM(M71:T71)</f>
        <v>80000.000000000015</v>
      </c>
      <c r="V71" s="7">
        <f t="shared" si="63"/>
        <v>1003140</v>
      </c>
      <c r="W71" s="8"/>
      <c r="X71" s="9"/>
      <c r="Y71" s="8">
        <f t="shared" si="31"/>
        <v>1003140</v>
      </c>
      <c r="AB71" s="10">
        <f>1840000-1196000</f>
        <v>644000</v>
      </c>
    </row>
    <row r="72" spans="1:28" ht="21" customHeight="1" x14ac:dyDescent="0.25">
      <c r="A72" s="108"/>
      <c r="B72" s="14">
        <v>26</v>
      </c>
      <c r="C72" s="11" t="s">
        <v>183</v>
      </c>
      <c r="D72" s="6"/>
      <c r="E72" s="5">
        <v>3500000</v>
      </c>
      <c r="F72" s="12">
        <v>30</v>
      </c>
      <c r="G72" s="5">
        <f>+E72/30*F72</f>
        <v>3500000</v>
      </c>
      <c r="H72" s="5"/>
      <c r="I72" s="5"/>
      <c r="J72" s="5"/>
      <c r="K72" s="5"/>
      <c r="L72" s="5">
        <f t="shared" ref="L72" si="74">SUM(G72:J72)+K72</f>
        <v>3500000</v>
      </c>
      <c r="M72" s="5">
        <f>+G72*4%</f>
        <v>140000</v>
      </c>
      <c r="N72" s="5">
        <f>+G72*5%</f>
        <v>175000</v>
      </c>
      <c r="O72" s="5"/>
      <c r="P72" s="5"/>
      <c r="Q72" s="5"/>
      <c r="R72" s="5"/>
      <c r="S72" s="5"/>
      <c r="T72" s="5">
        <v>1104732</v>
      </c>
      <c r="U72" s="5">
        <f>SUM(M72:T72)</f>
        <v>1419732</v>
      </c>
      <c r="V72" s="7">
        <f>+L72-U72</f>
        <v>2080268</v>
      </c>
      <c r="W72" s="8"/>
      <c r="X72" s="9"/>
      <c r="Y72" s="8">
        <f t="shared" si="31"/>
        <v>2080268</v>
      </c>
    </row>
    <row r="73" spans="1:28" x14ac:dyDescent="0.25">
      <c r="A73" s="108"/>
      <c r="B73" s="14">
        <v>27</v>
      </c>
      <c r="C73" s="11" t="s">
        <v>104</v>
      </c>
      <c r="D73" s="6" t="s">
        <v>26</v>
      </c>
      <c r="E73" s="5">
        <v>4000000</v>
      </c>
      <c r="F73" s="12">
        <v>30</v>
      </c>
      <c r="G73" s="5">
        <f>+E73-I73</f>
        <v>3866666.6666666665</v>
      </c>
      <c r="H73" s="5"/>
      <c r="I73" s="5">
        <f>+E73/30</f>
        <v>133333.33333333334</v>
      </c>
      <c r="J73" s="5"/>
      <c r="K73" s="18"/>
      <c r="L73" s="5">
        <f t="shared" ref="L73" si="75">SUM(G73:J73)+K73</f>
        <v>4000000</v>
      </c>
      <c r="M73" s="5">
        <f>+E73*0.04</f>
        <v>160000</v>
      </c>
      <c r="N73" s="5">
        <f>+E73*0.05</f>
        <v>200000</v>
      </c>
      <c r="O73" s="5"/>
      <c r="P73" s="5"/>
      <c r="Q73" s="5">
        <v>3000</v>
      </c>
      <c r="R73" s="5"/>
      <c r="S73" s="5"/>
      <c r="T73" s="5"/>
      <c r="U73" s="5">
        <f t="shared" ref="U73" si="76">SUM(M73:T73)</f>
        <v>363000</v>
      </c>
      <c r="V73" s="7">
        <f>+L73-U73</f>
        <v>3637000</v>
      </c>
      <c r="W73" s="8"/>
      <c r="X73" s="9"/>
      <c r="Y73" s="8">
        <f t="shared" si="31"/>
        <v>3637000</v>
      </c>
      <c r="Z73" s="10" t="s">
        <v>105</v>
      </c>
    </row>
    <row r="74" spans="1:28" ht="21" customHeight="1" x14ac:dyDescent="0.25">
      <c r="A74" s="108"/>
      <c r="B74" s="14">
        <v>28</v>
      </c>
      <c r="C74" s="3" t="s">
        <v>177</v>
      </c>
      <c r="D74" s="4"/>
      <c r="E74" s="5">
        <v>2400000</v>
      </c>
      <c r="F74" s="12">
        <v>30</v>
      </c>
      <c r="G74" s="5">
        <f t="shared" ref="G74" si="77">E74/30*F74</f>
        <v>2400000</v>
      </c>
      <c r="H74" s="5"/>
      <c r="I74" s="5"/>
      <c r="J74" s="5"/>
      <c r="K74" s="5"/>
      <c r="L74" s="5">
        <f t="shared" ref="L74" si="78">SUM(G74:J74)+K74</f>
        <v>2400000</v>
      </c>
      <c r="M74" s="5">
        <f>+G74*4%</f>
        <v>96000</v>
      </c>
      <c r="N74" s="5">
        <f>+G74*4%</f>
        <v>96000</v>
      </c>
      <c r="O74" s="5"/>
      <c r="P74" s="5"/>
      <c r="Q74" s="5"/>
      <c r="R74" s="5"/>
      <c r="S74" s="5"/>
      <c r="T74" s="5"/>
      <c r="U74" s="5">
        <f>SUM(M74:T74)</f>
        <v>192000</v>
      </c>
      <c r="V74" s="7">
        <f t="shared" ref="V74" si="79">L74-U74</f>
        <v>2208000</v>
      </c>
      <c r="W74" s="8"/>
      <c r="X74" s="9"/>
      <c r="Y74" s="8">
        <f t="shared" si="31"/>
        <v>2208000</v>
      </c>
    </row>
    <row r="75" spans="1:28" x14ac:dyDescent="0.25">
      <c r="A75" s="108"/>
      <c r="B75" s="14">
        <v>29</v>
      </c>
      <c r="C75" s="11" t="s">
        <v>106</v>
      </c>
      <c r="D75" s="6" t="s">
        <v>26</v>
      </c>
      <c r="E75" s="5">
        <v>2200000</v>
      </c>
      <c r="F75" s="12">
        <v>30</v>
      </c>
      <c r="G75" s="5">
        <f>+E75-I75</f>
        <v>2053333.3333333333</v>
      </c>
      <c r="H75" s="5"/>
      <c r="I75" s="5">
        <f>+E75/30*2</f>
        <v>146666.66666666666</v>
      </c>
      <c r="J75" s="5"/>
      <c r="K75" s="5"/>
      <c r="L75" s="5">
        <f t="shared" ref="L75" si="80">SUM(G75:J75)+K75</f>
        <v>2200000</v>
      </c>
      <c r="M75" s="5">
        <f>+E75*4%</f>
        <v>88000</v>
      </c>
      <c r="N75" s="5">
        <f>+E75*4%</f>
        <v>88000</v>
      </c>
      <c r="O75" s="5"/>
      <c r="P75" s="5"/>
      <c r="Q75" s="5">
        <v>0</v>
      </c>
      <c r="R75" s="5"/>
      <c r="S75" s="5"/>
      <c r="T75" s="5"/>
      <c r="U75" s="5">
        <f t="shared" ref="U75" si="81">SUM(M75:T75)</f>
        <v>176000</v>
      </c>
      <c r="V75" s="7">
        <f t="shared" ref="V75:V80" si="82">+L75-U75</f>
        <v>2024000</v>
      </c>
      <c r="W75" s="8"/>
      <c r="X75" s="9"/>
      <c r="Y75" s="8">
        <f t="shared" si="31"/>
        <v>2024000</v>
      </c>
      <c r="Z75" s="10" t="s">
        <v>105</v>
      </c>
    </row>
    <row r="76" spans="1:28" x14ac:dyDescent="0.25">
      <c r="A76" s="108"/>
      <c r="B76" s="14">
        <v>30</v>
      </c>
      <c r="C76" s="11" t="s">
        <v>107</v>
      </c>
      <c r="D76" s="6" t="s">
        <v>26</v>
      </c>
      <c r="E76" s="5">
        <v>3000000</v>
      </c>
      <c r="F76" s="12">
        <v>30</v>
      </c>
      <c r="G76" s="5">
        <f t="shared" si="64"/>
        <v>3000000</v>
      </c>
      <c r="H76" s="5"/>
      <c r="I76" s="5"/>
      <c r="J76" s="5"/>
      <c r="K76" s="5"/>
      <c r="L76" s="5">
        <f t="shared" si="37"/>
        <v>3000000</v>
      </c>
      <c r="M76" s="5">
        <f>+E76*4%</f>
        <v>120000</v>
      </c>
      <c r="N76" s="5">
        <f>+E76*5%</f>
        <v>150000</v>
      </c>
      <c r="O76" s="5"/>
      <c r="P76" s="5"/>
      <c r="Q76" s="17">
        <v>0</v>
      </c>
      <c r="R76" s="5"/>
      <c r="S76" s="5">
        <v>0</v>
      </c>
      <c r="T76" s="5">
        <v>795577</v>
      </c>
      <c r="U76" s="5">
        <f t="shared" si="55"/>
        <v>1065577</v>
      </c>
      <c r="V76" s="7">
        <f t="shared" si="82"/>
        <v>1934423</v>
      </c>
      <c r="W76" s="8"/>
      <c r="X76" s="9"/>
      <c r="Y76" s="8">
        <f t="shared" si="31"/>
        <v>1934423</v>
      </c>
    </row>
    <row r="77" spans="1:28" ht="20.25" customHeight="1" x14ac:dyDescent="0.25">
      <c r="A77" s="108"/>
      <c r="B77" s="14">
        <v>31</v>
      </c>
      <c r="C77" s="11" t="s">
        <v>167</v>
      </c>
      <c r="D77" s="6"/>
      <c r="E77" s="5">
        <v>4500000</v>
      </c>
      <c r="F77" s="12">
        <v>30</v>
      </c>
      <c r="G77" s="5">
        <f t="shared" si="64"/>
        <v>4500000</v>
      </c>
      <c r="H77" s="5"/>
      <c r="I77" s="5"/>
      <c r="J77" s="5"/>
      <c r="K77" s="5"/>
      <c r="L77" s="5">
        <f t="shared" ref="L77:L80" si="83">SUM(G77:J77)+K77</f>
        <v>4500000</v>
      </c>
      <c r="M77" s="5">
        <f>+G77*4%</f>
        <v>180000</v>
      </c>
      <c r="N77" s="5">
        <f>+G77*5%</f>
        <v>225000</v>
      </c>
      <c r="O77" s="5"/>
      <c r="P77" s="5"/>
      <c r="Q77" s="17">
        <v>18000</v>
      </c>
      <c r="R77" s="5"/>
      <c r="S77" s="5"/>
      <c r="T77" s="5"/>
      <c r="U77" s="5">
        <f t="shared" si="55"/>
        <v>423000</v>
      </c>
      <c r="V77" s="7">
        <f t="shared" si="82"/>
        <v>4077000</v>
      </c>
      <c r="W77" s="8"/>
      <c r="X77" s="9"/>
      <c r="Y77" s="8">
        <f t="shared" si="31"/>
        <v>4077000</v>
      </c>
    </row>
    <row r="78" spans="1:28" ht="16.5" customHeight="1" x14ac:dyDescent="0.25">
      <c r="A78" s="108"/>
      <c r="B78" s="14">
        <v>32</v>
      </c>
      <c r="C78" s="11" t="s">
        <v>108</v>
      </c>
      <c r="D78" s="6"/>
      <c r="E78" s="5">
        <v>4500000</v>
      </c>
      <c r="F78" s="12">
        <v>30</v>
      </c>
      <c r="G78" s="5">
        <f t="shared" si="64"/>
        <v>4500000</v>
      </c>
      <c r="H78" s="5"/>
      <c r="I78" s="5"/>
      <c r="J78" s="5"/>
      <c r="K78" s="5"/>
      <c r="L78" s="5">
        <f t="shared" si="83"/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72000</v>
      </c>
      <c r="R78" s="5"/>
      <c r="S78" s="5"/>
      <c r="T78" s="5"/>
      <c r="U78" s="5">
        <f t="shared" si="55"/>
        <v>477000</v>
      </c>
      <c r="V78" s="7">
        <f t="shared" si="82"/>
        <v>4023000</v>
      </c>
      <c r="W78" s="8"/>
      <c r="X78" s="9"/>
      <c r="Y78" s="8">
        <f t="shared" si="31"/>
        <v>4023000</v>
      </c>
    </row>
    <row r="79" spans="1:28" ht="18.75" customHeight="1" x14ac:dyDescent="0.25">
      <c r="A79" s="108"/>
      <c r="B79" s="14">
        <v>33</v>
      </c>
      <c r="C79" s="11" t="s">
        <v>168</v>
      </c>
      <c r="D79" s="6"/>
      <c r="E79" s="5">
        <v>737717</v>
      </c>
      <c r="F79" s="12">
        <v>30</v>
      </c>
      <c r="G79" s="5">
        <f t="shared" si="64"/>
        <v>737717</v>
      </c>
      <c r="H79" s="5">
        <f t="shared" ref="H79:H80" si="84">+(83140/30)*F79</f>
        <v>83140</v>
      </c>
      <c r="I79" s="5"/>
      <c r="J79" s="5"/>
      <c r="K79" s="5"/>
      <c r="L79" s="5">
        <f t="shared" si="83"/>
        <v>820857</v>
      </c>
      <c r="M79" s="5">
        <f t="shared" ref="M79:M80" si="85">+G79*4%</f>
        <v>29508.68</v>
      </c>
      <c r="N79" s="5">
        <f>+G79*4%</f>
        <v>29508.68</v>
      </c>
      <c r="O79" s="5"/>
      <c r="P79" s="5"/>
      <c r="Q79" s="17"/>
      <c r="R79" s="5"/>
      <c r="S79" s="5"/>
      <c r="T79" s="5"/>
      <c r="U79" s="5">
        <v>59018</v>
      </c>
      <c r="V79" s="7">
        <f t="shared" si="82"/>
        <v>761839</v>
      </c>
      <c r="W79" s="8"/>
      <c r="X79" s="9"/>
      <c r="Y79" s="8">
        <f t="shared" si="31"/>
        <v>761839</v>
      </c>
    </row>
    <row r="80" spans="1:28" ht="19.5" customHeight="1" x14ac:dyDescent="0.25">
      <c r="A80" s="108"/>
      <c r="B80" s="14">
        <v>34</v>
      </c>
      <c r="C80" s="11" t="s">
        <v>169</v>
      </c>
      <c r="D80" s="6"/>
      <c r="E80" s="5">
        <v>737717</v>
      </c>
      <c r="F80" s="12">
        <v>30</v>
      </c>
      <c r="G80" s="5">
        <f t="shared" si="64"/>
        <v>737717</v>
      </c>
      <c r="H80" s="5">
        <f t="shared" si="84"/>
        <v>83140</v>
      </c>
      <c r="I80" s="5"/>
      <c r="J80" s="5"/>
      <c r="K80" s="5"/>
      <c r="L80" s="5">
        <f t="shared" si="83"/>
        <v>820857</v>
      </c>
      <c r="M80" s="5">
        <f t="shared" si="85"/>
        <v>29508.68</v>
      </c>
      <c r="N80" s="5">
        <f>+G80*4%</f>
        <v>29508.68</v>
      </c>
      <c r="O80" s="5"/>
      <c r="P80" s="5"/>
      <c r="Q80" s="17"/>
      <c r="R80" s="5"/>
      <c r="S80" s="5"/>
      <c r="T80" s="5"/>
      <c r="U80" s="5">
        <f>+U79</f>
        <v>59018</v>
      </c>
      <c r="V80" s="7">
        <f t="shared" si="82"/>
        <v>761839</v>
      </c>
      <c r="W80" s="8"/>
      <c r="X80" s="9"/>
      <c r="Y80" s="8">
        <f t="shared" si="31"/>
        <v>761839</v>
      </c>
    </row>
    <row r="81" spans="1:25" ht="19.5" customHeight="1" x14ac:dyDescent="0.25">
      <c r="A81" s="108"/>
      <c r="B81" s="14">
        <v>35</v>
      </c>
      <c r="C81" s="11" t="s">
        <v>170</v>
      </c>
      <c r="D81" s="6"/>
      <c r="E81" s="5">
        <v>2500000</v>
      </c>
      <c r="F81" s="12">
        <v>30</v>
      </c>
      <c r="G81" s="5">
        <f t="shared" si="64"/>
        <v>2500000</v>
      </c>
      <c r="H81" s="5"/>
      <c r="I81" s="5"/>
      <c r="J81" s="5">
        <v>350000</v>
      </c>
      <c r="K81" s="5"/>
      <c r="L81" s="5">
        <f>SUM(G81:J81)+K81</f>
        <v>2850000</v>
      </c>
      <c r="M81" s="5">
        <f>+G81*4%</f>
        <v>100000</v>
      </c>
      <c r="N81" s="5">
        <f>+G81*4%</f>
        <v>100000</v>
      </c>
      <c r="O81" s="5"/>
      <c r="P81" s="5"/>
      <c r="Q81" s="17"/>
      <c r="R81" s="5"/>
      <c r="S81" s="5"/>
      <c r="T81" s="5"/>
      <c r="U81" s="5">
        <f>SUM(M81:T81)</f>
        <v>200000</v>
      </c>
      <c r="V81" s="7">
        <f>+L81-U81</f>
        <v>2650000</v>
      </c>
      <c r="W81" s="8"/>
      <c r="X81" s="9"/>
      <c r="Y81" s="8">
        <f t="shared" si="31"/>
        <v>2650000</v>
      </c>
    </row>
    <row r="82" spans="1:25" ht="24" x14ac:dyDescent="0.25">
      <c r="A82" s="108"/>
      <c r="B82" s="14">
        <v>36</v>
      </c>
      <c r="C82" s="11" t="s">
        <v>109</v>
      </c>
      <c r="D82" s="6" t="s">
        <v>26</v>
      </c>
      <c r="E82" s="5">
        <v>2200000</v>
      </c>
      <c r="F82" s="12">
        <v>30</v>
      </c>
      <c r="G82" s="5">
        <f t="shared" si="64"/>
        <v>2200000</v>
      </c>
      <c r="H82" s="5"/>
      <c r="I82" s="5"/>
      <c r="J82" s="5"/>
      <c r="K82" s="5"/>
      <c r="L82" s="5">
        <f t="shared" ref="L82" si="86">SUM(G82:J82)+K82</f>
        <v>2200000</v>
      </c>
      <c r="M82" s="5">
        <f>+E82*4%</f>
        <v>88000</v>
      </c>
      <c r="N82" s="5">
        <f>+E82*4%</f>
        <v>88000</v>
      </c>
      <c r="O82" s="5"/>
      <c r="P82" s="5"/>
      <c r="Q82" s="17">
        <v>0</v>
      </c>
      <c r="R82" s="5"/>
      <c r="S82" s="5"/>
      <c r="T82" s="5"/>
      <c r="U82" s="5">
        <f t="shared" ref="U82" si="87">SUM(M82:T82)</f>
        <v>176000</v>
      </c>
      <c r="V82" s="7">
        <f t="shared" ref="V82:V84" si="88">+L82-U82</f>
        <v>2024000</v>
      </c>
      <c r="W82" s="8"/>
      <c r="X82" s="9"/>
      <c r="Y82" s="8">
        <f t="shared" si="31"/>
        <v>2024000</v>
      </c>
    </row>
    <row r="83" spans="1:25" ht="22.5" customHeight="1" x14ac:dyDescent="0.25">
      <c r="A83" s="108"/>
      <c r="B83" s="14">
        <v>37</v>
      </c>
      <c r="C83" s="11" t="s">
        <v>149</v>
      </c>
      <c r="D83" s="6"/>
      <c r="E83" s="5">
        <v>2500000</v>
      </c>
      <c r="F83" s="12">
        <v>30</v>
      </c>
      <c r="G83" s="5">
        <f t="shared" si="64"/>
        <v>2500000</v>
      </c>
      <c r="H83" s="5"/>
      <c r="I83" s="5"/>
      <c r="J83" s="5"/>
      <c r="K83" s="5"/>
      <c r="L83" s="5">
        <f t="shared" ref="L83:L86" si="89">SUM(G83:J83)+K83</f>
        <v>2500000</v>
      </c>
      <c r="M83" s="5">
        <f>+G83*4%</f>
        <v>100000</v>
      </c>
      <c r="N83" s="5">
        <f>+G83*4%</f>
        <v>100000</v>
      </c>
      <c r="O83" s="5"/>
      <c r="P83" s="5"/>
      <c r="Q83" s="5">
        <v>0</v>
      </c>
      <c r="R83" s="5"/>
      <c r="S83" s="5"/>
      <c r="T83" s="5"/>
      <c r="U83" s="5">
        <f>SUM(M83:T83)</f>
        <v>200000</v>
      </c>
      <c r="V83" s="7">
        <f t="shared" si="88"/>
        <v>2300000</v>
      </c>
      <c r="W83" s="8"/>
      <c r="X83" s="9"/>
      <c r="Y83" s="8">
        <f t="shared" si="31"/>
        <v>2300000</v>
      </c>
    </row>
    <row r="84" spans="1:25" ht="20.25" customHeight="1" x14ac:dyDescent="0.25">
      <c r="A84" s="108"/>
      <c r="B84" s="14">
        <v>38</v>
      </c>
      <c r="C84" s="11" t="s">
        <v>111</v>
      </c>
      <c r="D84" s="6" t="s">
        <v>26</v>
      </c>
      <c r="E84" s="5">
        <v>5500000</v>
      </c>
      <c r="F84" s="12">
        <v>30</v>
      </c>
      <c r="G84" s="5">
        <f>+E84</f>
        <v>5500000</v>
      </c>
      <c r="H84" s="5"/>
      <c r="I84" s="5"/>
      <c r="J84" s="5"/>
      <c r="K84" s="5"/>
      <c r="L84" s="5">
        <f t="shared" si="89"/>
        <v>5500000</v>
      </c>
      <c r="M84" s="5">
        <f>+E84*4%</f>
        <v>220000</v>
      </c>
      <c r="N84" s="5">
        <f>+E84*5%</f>
        <v>275000</v>
      </c>
      <c r="O84" s="5"/>
      <c r="P84" s="5"/>
      <c r="Q84" s="5">
        <v>102000</v>
      </c>
      <c r="R84" s="5"/>
      <c r="S84" s="5"/>
      <c r="T84" s="5">
        <v>610699</v>
      </c>
      <c r="U84" s="5">
        <f t="shared" ref="U84" si="90">SUM(M84:T84)</f>
        <v>1207699</v>
      </c>
      <c r="V84" s="7">
        <f t="shared" si="88"/>
        <v>4292301</v>
      </c>
      <c r="W84" s="8"/>
      <c r="X84" s="9"/>
      <c r="Y84" s="8">
        <f t="shared" si="31"/>
        <v>4292301</v>
      </c>
    </row>
    <row r="85" spans="1:25" ht="21.75" customHeight="1" x14ac:dyDescent="0.25">
      <c r="A85" s="108"/>
      <c r="B85" s="14">
        <v>39</v>
      </c>
      <c r="C85" s="11" t="s">
        <v>184</v>
      </c>
      <c r="D85" s="6"/>
      <c r="E85" s="5">
        <v>5400000</v>
      </c>
      <c r="F85" s="12">
        <v>30</v>
      </c>
      <c r="G85" s="5">
        <f>+E85/30*F85</f>
        <v>5400000</v>
      </c>
      <c r="H85" s="5"/>
      <c r="I85" s="5"/>
      <c r="J85" s="5"/>
      <c r="K85" s="5"/>
      <c r="L85" s="5">
        <f>SUM(G85:J85)+K85</f>
        <v>5400000</v>
      </c>
      <c r="M85" s="5">
        <f>+G85*4%</f>
        <v>216000</v>
      </c>
      <c r="N85" s="5">
        <f>+G85*5%</f>
        <v>270000</v>
      </c>
      <c r="O85" s="5"/>
      <c r="P85" s="5"/>
      <c r="Q85" s="5">
        <v>125000</v>
      </c>
      <c r="R85" s="5"/>
      <c r="S85" s="5"/>
      <c r="T85" s="5"/>
      <c r="U85" s="5">
        <f>SUM(M85:T85)</f>
        <v>611000</v>
      </c>
      <c r="V85" s="7">
        <f>+L85-U85</f>
        <v>4789000</v>
      </c>
      <c r="W85" s="8"/>
      <c r="X85" s="9"/>
      <c r="Y85" s="8">
        <f t="shared" si="31"/>
        <v>4789000</v>
      </c>
    </row>
    <row r="86" spans="1:25" x14ac:dyDescent="0.25">
      <c r="A86" s="108"/>
      <c r="B86" s="14">
        <v>40</v>
      </c>
      <c r="C86" s="11" t="s">
        <v>112</v>
      </c>
      <c r="D86" s="6" t="s">
        <v>26</v>
      </c>
      <c r="E86" s="5">
        <v>4500000</v>
      </c>
      <c r="F86" s="12">
        <v>30</v>
      </c>
      <c r="G86" s="5">
        <f>+E86-K86</f>
        <v>4500000</v>
      </c>
      <c r="H86" s="5"/>
      <c r="I86" s="5"/>
      <c r="J86" s="5"/>
      <c r="K86" s="5"/>
      <c r="L86" s="5">
        <f t="shared" si="89"/>
        <v>4500000</v>
      </c>
      <c r="M86" s="5">
        <f>+L86*4%</f>
        <v>180000</v>
      </c>
      <c r="N86" s="5">
        <f>+L86*5%</f>
        <v>225000</v>
      </c>
      <c r="O86" s="5">
        <v>0</v>
      </c>
      <c r="P86" s="5"/>
      <c r="Q86" s="5">
        <v>8500</v>
      </c>
      <c r="R86" s="5"/>
      <c r="S86" s="5"/>
      <c r="T86" s="5"/>
      <c r="U86" s="5">
        <f>SUM(M86:T86)</f>
        <v>413500</v>
      </c>
      <c r="V86" s="7">
        <f t="shared" ref="V86:V89" si="91">L86-U86</f>
        <v>4086500</v>
      </c>
      <c r="W86" s="8"/>
      <c r="X86" s="9"/>
      <c r="Y86" s="8">
        <f t="shared" si="31"/>
        <v>4086500</v>
      </c>
    </row>
    <row r="87" spans="1:25" x14ac:dyDescent="0.25">
      <c r="A87" s="108"/>
      <c r="B87" s="14">
        <v>41</v>
      </c>
      <c r="C87" s="11" t="s">
        <v>113</v>
      </c>
      <c r="D87" s="6" t="s">
        <v>26</v>
      </c>
      <c r="E87" s="5">
        <v>3500000</v>
      </c>
      <c r="F87" s="12">
        <v>30</v>
      </c>
      <c r="G87" s="5">
        <f t="shared" si="64"/>
        <v>3500000</v>
      </c>
      <c r="H87" s="5"/>
      <c r="I87" s="5"/>
      <c r="J87" s="5"/>
      <c r="K87" s="5"/>
      <c r="L87" s="5">
        <f t="shared" ref="L87:L104" si="92">SUM(G87:J87)+K87</f>
        <v>3500000</v>
      </c>
      <c r="M87" s="5">
        <f>+G87*4%</f>
        <v>140000</v>
      </c>
      <c r="N87" s="5">
        <f>+G87*5%</f>
        <v>175000</v>
      </c>
      <c r="O87" s="5">
        <v>0</v>
      </c>
      <c r="P87" s="5"/>
      <c r="Q87" s="5">
        <v>0</v>
      </c>
      <c r="R87" s="5"/>
      <c r="S87" s="5"/>
      <c r="T87" s="5"/>
      <c r="U87" s="5">
        <f t="shared" si="55"/>
        <v>315000</v>
      </c>
      <c r="V87" s="7">
        <f t="shared" si="91"/>
        <v>3185000</v>
      </c>
      <c r="W87" s="8"/>
      <c r="X87" s="9"/>
      <c r="Y87" s="8">
        <f t="shared" si="31"/>
        <v>3185000</v>
      </c>
    </row>
    <row r="88" spans="1:25" ht="24" x14ac:dyDescent="0.25">
      <c r="A88" s="108"/>
      <c r="B88" s="14">
        <v>42</v>
      </c>
      <c r="C88" s="11" t="s">
        <v>115</v>
      </c>
      <c r="D88" s="6" t="s">
        <v>26</v>
      </c>
      <c r="E88" s="5">
        <v>1500000</v>
      </c>
      <c r="F88" s="12">
        <v>30</v>
      </c>
      <c r="G88" s="5">
        <f t="shared" si="64"/>
        <v>1500000</v>
      </c>
      <c r="H88" s="5"/>
      <c r="I88" s="5"/>
      <c r="J88" s="5"/>
      <c r="K88" s="5"/>
      <c r="L88" s="5">
        <f t="shared" ref="L88" si="93">SUM(G88:J88)+K88</f>
        <v>1500000</v>
      </c>
      <c r="M88" s="5">
        <f>+G88*4%</f>
        <v>60000</v>
      </c>
      <c r="N88" s="5">
        <f>+G88*4%</f>
        <v>60000</v>
      </c>
      <c r="O88" s="5"/>
      <c r="P88" s="5"/>
      <c r="Q88" s="5"/>
      <c r="R88" s="5"/>
      <c r="S88" s="5"/>
      <c r="T88" s="5"/>
      <c r="U88" s="5">
        <f t="shared" si="55"/>
        <v>120000</v>
      </c>
      <c r="V88" s="7">
        <f t="shared" si="91"/>
        <v>1380000</v>
      </c>
      <c r="W88" s="8"/>
      <c r="X88" s="9"/>
      <c r="Y88" s="8">
        <f t="shared" si="31"/>
        <v>1380000</v>
      </c>
    </row>
    <row r="89" spans="1:25" ht="23.25" customHeight="1" x14ac:dyDescent="0.25">
      <c r="A89" s="108"/>
      <c r="B89" s="14">
        <v>43</v>
      </c>
      <c r="C89" s="3" t="s">
        <v>116</v>
      </c>
      <c r="D89" s="4" t="s">
        <v>26</v>
      </c>
      <c r="E89" s="5">
        <v>737717</v>
      </c>
      <c r="F89" s="12">
        <v>30</v>
      </c>
      <c r="G89" s="5">
        <f t="shared" si="64"/>
        <v>737717</v>
      </c>
      <c r="H89" s="5">
        <v>83140</v>
      </c>
      <c r="I89" s="5"/>
      <c r="J89" s="5">
        <v>23054</v>
      </c>
      <c r="K89" s="5"/>
      <c r="L89" s="5">
        <f t="shared" si="92"/>
        <v>843911</v>
      </c>
      <c r="M89" s="5">
        <v>29509</v>
      </c>
      <c r="N89" s="5">
        <v>29509</v>
      </c>
      <c r="O89" s="5"/>
      <c r="P89" s="5"/>
      <c r="Q89" s="5">
        <v>0</v>
      </c>
      <c r="R89" s="5"/>
      <c r="S89" s="5"/>
      <c r="T89" s="5"/>
      <c r="U89" s="5">
        <f t="shared" si="55"/>
        <v>59018</v>
      </c>
      <c r="V89" s="7">
        <f t="shared" si="91"/>
        <v>784893</v>
      </c>
      <c r="W89" s="8"/>
      <c r="X89" s="9"/>
      <c r="Y89" s="8">
        <f>V89+W89-X89</f>
        <v>784893</v>
      </c>
    </row>
    <row r="90" spans="1:25" ht="22.5" customHeight="1" x14ac:dyDescent="0.25">
      <c r="A90" s="108"/>
      <c r="B90" s="14">
        <v>44</v>
      </c>
      <c r="C90" s="3" t="s">
        <v>176</v>
      </c>
      <c r="D90" s="4"/>
      <c r="E90" s="5">
        <v>737717</v>
      </c>
      <c r="F90" s="12">
        <v>30</v>
      </c>
      <c r="G90" s="5">
        <f t="shared" si="64"/>
        <v>737717</v>
      </c>
      <c r="H90" s="5">
        <f t="shared" ref="H90" si="94">+(83140/30)*F90</f>
        <v>83140</v>
      </c>
      <c r="I90" s="5"/>
      <c r="J90" s="5">
        <v>9157</v>
      </c>
      <c r="K90" s="5"/>
      <c r="L90" s="5">
        <f>SUM(G90:J90)+K90</f>
        <v>830014</v>
      </c>
      <c r="M90" s="5">
        <f>+G90*4%</f>
        <v>29508.68</v>
      </c>
      <c r="N90" s="5">
        <f>+G90*4%</f>
        <v>29508.68</v>
      </c>
      <c r="O90" s="5"/>
      <c r="P90" s="5"/>
      <c r="Q90" s="5"/>
      <c r="R90" s="5"/>
      <c r="S90" s="5"/>
      <c r="T90" s="5"/>
      <c r="U90" s="5">
        <f t="shared" si="55"/>
        <v>59017.36</v>
      </c>
      <c r="V90" s="7">
        <f>L90-U90</f>
        <v>770996.64</v>
      </c>
      <c r="W90" s="8"/>
      <c r="X90" s="9"/>
      <c r="Y90" s="8">
        <f>V90+W90-X90</f>
        <v>770996.64</v>
      </c>
    </row>
    <row r="91" spans="1:25" ht="22.5" customHeight="1" x14ac:dyDescent="0.25">
      <c r="A91" s="108"/>
      <c r="B91" s="14">
        <v>45</v>
      </c>
      <c r="C91" s="3" t="s">
        <v>189</v>
      </c>
      <c r="D91" s="4"/>
      <c r="E91" s="5">
        <v>400000</v>
      </c>
      <c r="F91" s="12">
        <v>30</v>
      </c>
      <c r="G91" s="5">
        <f>+E91</f>
        <v>400000</v>
      </c>
      <c r="H91" s="5">
        <v>41570</v>
      </c>
      <c r="I91" s="5"/>
      <c r="J91" s="5"/>
      <c r="K91" s="5"/>
      <c r="L91" s="5">
        <f>SUM(G91:J91)+K91</f>
        <v>441570</v>
      </c>
      <c r="M91" s="5">
        <f>+G91*4%</f>
        <v>16000</v>
      </c>
      <c r="N91" s="5">
        <f>+G91*4%</f>
        <v>16000</v>
      </c>
      <c r="O91" s="5"/>
      <c r="P91" s="5"/>
      <c r="Q91" s="5"/>
      <c r="R91" s="5"/>
      <c r="S91" s="5"/>
      <c r="T91" s="5"/>
      <c r="U91" s="5">
        <f t="shared" si="55"/>
        <v>32000</v>
      </c>
      <c r="V91" s="7">
        <f>L91-U91</f>
        <v>409570</v>
      </c>
      <c r="W91" s="8"/>
      <c r="X91" s="9"/>
      <c r="Y91" s="8">
        <f>V91+W91-X91</f>
        <v>409570</v>
      </c>
    </row>
    <row r="92" spans="1:25" x14ac:dyDescent="0.25">
      <c r="A92" s="108"/>
      <c r="B92" s="14">
        <v>46</v>
      </c>
      <c r="C92" s="11" t="s">
        <v>119</v>
      </c>
      <c r="D92" s="6" t="s">
        <v>26</v>
      </c>
      <c r="E92" s="5">
        <v>15400000</v>
      </c>
      <c r="F92" s="12">
        <v>30</v>
      </c>
      <c r="G92" s="5">
        <f t="shared" si="64"/>
        <v>15400000</v>
      </c>
      <c r="H92" s="5"/>
      <c r="I92" s="5"/>
      <c r="J92" s="5">
        <v>600000</v>
      </c>
      <c r="K92" s="5"/>
      <c r="L92" s="5">
        <f t="shared" si="92"/>
        <v>16000000</v>
      </c>
      <c r="M92" s="5">
        <v>616000</v>
      </c>
      <c r="N92" s="5">
        <f>616000+308000</f>
        <v>924000</v>
      </c>
      <c r="O92" s="5">
        <v>102400</v>
      </c>
      <c r="P92" s="5"/>
      <c r="Q92" s="5">
        <v>916000</v>
      </c>
      <c r="R92" s="5">
        <v>5000000</v>
      </c>
      <c r="S92" s="5"/>
      <c r="T92" s="5">
        <v>2314715</v>
      </c>
      <c r="U92" s="5">
        <f t="shared" si="55"/>
        <v>9873115</v>
      </c>
      <c r="V92" s="7">
        <f>+L92-U92</f>
        <v>6126885</v>
      </c>
      <c r="W92" s="8"/>
      <c r="X92" s="9"/>
      <c r="Y92" s="8">
        <f t="shared" ref="Y92:Y110" si="95">V92+W92-X92</f>
        <v>6126885</v>
      </c>
    </row>
    <row r="93" spans="1:25" x14ac:dyDescent="0.25">
      <c r="A93" s="108"/>
      <c r="B93" s="14">
        <v>47</v>
      </c>
      <c r="C93" s="11" t="s">
        <v>120</v>
      </c>
      <c r="D93" s="6" t="s">
        <v>26</v>
      </c>
      <c r="E93" s="5">
        <v>4500000</v>
      </c>
      <c r="F93" s="12">
        <v>30</v>
      </c>
      <c r="G93" s="5">
        <f>+E93-K93</f>
        <v>4500000</v>
      </c>
      <c r="H93" s="5"/>
      <c r="I93" s="5"/>
      <c r="J93" s="5">
        <v>0</v>
      </c>
      <c r="K93" s="5">
        <v>0</v>
      </c>
      <c r="L93" s="5">
        <f t="shared" si="92"/>
        <v>4500000</v>
      </c>
      <c r="M93" s="5">
        <v>180000</v>
      </c>
      <c r="N93" s="5">
        <v>225000</v>
      </c>
      <c r="O93" s="5"/>
      <c r="P93" s="5"/>
      <c r="Q93" s="5">
        <v>72000</v>
      </c>
      <c r="R93" s="5"/>
      <c r="S93" s="5"/>
      <c r="T93" s="5">
        <v>1138458</v>
      </c>
      <c r="U93" s="5">
        <f t="shared" si="55"/>
        <v>1615458</v>
      </c>
      <c r="V93" s="7">
        <f>+L93-U93</f>
        <v>2884542</v>
      </c>
      <c r="W93" s="8"/>
      <c r="X93" s="9"/>
      <c r="Y93" s="8">
        <f t="shared" si="95"/>
        <v>2884542</v>
      </c>
    </row>
    <row r="94" spans="1:25" ht="24" x14ac:dyDescent="0.25">
      <c r="A94" s="108"/>
      <c r="B94" s="14">
        <v>48</v>
      </c>
      <c r="C94" s="11" t="s">
        <v>158</v>
      </c>
      <c r="D94" s="6"/>
      <c r="E94" s="5">
        <v>1600000</v>
      </c>
      <c r="F94" s="12">
        <v>30</v>
      </c>
      <c r="G94" s="5">
        <f t="shared" si="64"/>
        <v>1600000</v>
      </c>
      <c r="H94" s="5"/>
      <c r="I94" s="5"/>
      <c r="J94" s="5"/>
      <c r="K94" s="5"/>
      <c r="L94" s="5">
        <f t="shared" ref="L94" si="96">SUM(G94:J94)+K94</f>
        <v>1600000</v>
      </c>
      <c r="M94" s="5">
        <f t="shared" ref="M94" si="97">+G94*4%</f>
        <v>64000</v>
      </c>
      <c r="N94" s="5">
        <f>+G94*4%</f>
        <v>64000</v>
      </c>
      <c r="O94" s="5"/>
      <c r="P94" s="5"/>
      <c r="Q94" s="5"/>
      <c r="R94" s="5"/>
      <c r="S94" s="5"/>
      <c r="T94" s="5"/>
      <c r="U94" s="5">
        <f t="shared" ref="U94" si="98">SUM(M94:T94)</f>
        <v>128000</v>
      </c>
      <c r="V94" s="7">
        <f>+L94-U94</f>
        <v>1472000</v>
      </c>
      <c r="W94" s="8"/>
      <c r="X94" s="9"/>
      <c r="Y94" s="8">
        <f t="shared" si="95"/>
        <v>1472000</v>
      </c>
    </row>
    <row r="95" spans="1:25" x14ac:dyDescent="0.25">
      <c r="A95" s="108"/>
      <c r="B95" s="14">
        <v>49</v>
      </c>
      <c r="C95" s="11" t="s">
        <v>121</v>
      </c>
      <c r="D95" s="6" t="s">
        <v>26</v>
      </c>
      <c r="E95" s="5">
        <v>2500000</v>
      </c>
      <c r="F95" s="12">
        <v>30</v>
      </c>
      <c r="G95" s="5">
        <f>+E95-K95</f>
        <v>2500000</v>
      </c>
      <c r="H95" s="5"/>
      <c r="I95" s="5"/>
      <c r="J95" s="5"/>
      <c r="K95" s="5">
        <v>0</v>
      </c>
      <c r="L95" s="5">
        <f t="shared" si="92"/>
        <v>2500000</v>
      </c>
      <c r="M95" s="5">
        <v>100000</v>
      </c>
      <c r="N95" s="5">
        <v>100000</v>
      </c>
      <c r="O95" s="5"/>
      <c r="P95" s="5"/>
      <c r="Q95" s="5">
        <v>0</v>
      </c>
      <c r="R95" s="5"/>
      <c r="S95" s="5"/>
      <c r="T95" s="5"/>
      <c r="U95" s="5">
        <f t="shared" si="55"/>
        <v>200000</v>
      </c>
      <c r="V95" s="7">
        <f>+L95-U95</f>
        <v>2300000</v>
      </c>
      <c r="W95" s="8"/>
      <c r="X95" s="9"/>
      <c r="Y95" s="8">
        <f t="shared" si="95"/>
        <v>2300000</v>
      </c>
    </row>
    <row r="96" spans="1:25" x14ac:dyDescent="0.25">
      <c r="A96" s="108"/>
      <c r="B96" s="14">
        <v>50</v>
      </c>
      <c r="C96" s="3" t="s">
        <v>122</v>
      </c>
      <c r="D96" s="4" t="s">
        <v>26</v>
      </c>
      <c r="E96" s="5">
        <v>3000000</v>
      </c>
      <c r="F96" s="12">
        <v>30</v>
      </c>
      <c r="G96" s="5">
        <f>+E96-K96</f>
        <v>3000000</v>
      </c>
      <c r="H96" s="5"/>
      <c r="I96" s="5"/>
      <c r="J96" s="5">
        <v>270000</v>
      </c>
      <c r="K96" s="5"/>
      <c r="L96" s="5">
        <f t="shared" si="92"/>
        <v>3270000</v>
      </c>
      <c r="M96" s="5">
        <v>120000</v>
      </c>
      <c r="N96" s="5">
        <v>150000</v>
      </c>
      <c r="O96" s="5"/>
      <c r="P96" s="5"/>
      <c r="Q96" s="5">
        <v>0</v>
      </c>
      <c r="R96" s="5"/>
      <c r="S96" s="5"/>
      <c r="T96" s="5">
        <v>514771</v>
      </c>
      <c r="U96" s="5">
        <f>SUM(M96:T96)</f>
        <v>784771</v>
      </c>
      <c r="V96" s="7">
        <f>L96-U96</f>
        <v>2485229</v>
      </c>
      <c r="W96" s="8"/>
      <c r="X96" s="9"/>
      <c r="Y96" s="8">
        <f t="shared" si="95"/>
        <v>2485229</v>
      </c>
    </row>
    <row r="97" spans="1:25" x14ac:dyDescent="0.25">
      <c r="A97" s="108"/>
      <c r="B97" s="14">
        <v>51</v>
      </c>
      <c r="C97" s="3" t="s">
        <v>123</v>
      </c>
      <c r="D97" s="4" t="s">
        <v>26</v>
      </c>
      <c r="E97" s="5">
        <v>1600000</v>
      </c>
      <c r="F97" s="12">
        <v>30</v>
      </c>
      <c r="G97" s="5">
        <f t="shared" si="64"/>
        <v>1600000</v>
      </c>
      <c r="H97" s="5"/>
      <c r="I97" s="5"/>
      <c r="J97" s="5">
        <v>200000</v>
      </c>
      <c r="K97" s="5"/>
      <c r="L97" s="5">
        <f>SUM(G97:J97)+K97</f>
        <v>1800000</v>
      </c>
      <c r="M97" s="5">
        <f>+G97*4%</f>
        <v>64000</v>
      </c>
      <c r="N97" s="5">
        <f>+G97*4%</f>
        <v>64000</v>
      </c>
      <c r="O97" s="5"/>
      <c r="P97" s="5"/>
      <c r="Q97" s="5"/>
      <c r="R97" s="5"/>
      <c r="S97" s="5"/>
      <c r="T97" s="5"/>
      <c r="U97" s="5">
        <f>SUM(M97:T97)</f>
        <v>128000</v>
      </c>
      <c r="V97" s="7">
        <f>L97-U97</f>
        <v>1672000</v>
      </c>
      <c r="W97" s="8"/>
      <c r="X97" s="9"/>
      <c r="Y97" s="8">
        <f t="shared" si="95"/>
        <v>1672000</v>
      </c>
    </row>
    <row r="98" spans="1:25" ht="23.25" customHeight="1" x14ac:dyDescent="0.25">
      <c r="A98" s="108"/>
      <c r="B98" s="14">
        <v>52</v>
      </c>
      <c r="C98" s="11" t="s">
        <v>127</v>
      </c>
      <c r="D98" s="6" t="s">
        <v>26</v>
      </c>
      <c r="E98" s="5">
        <v>3750000</v>
      </c>
      <c r="F98" s="12">
        <v>30</v>
      </c>
      <c r="G98" s="5">
        <f t="shared" si="64"/>
        <v>3750000</v>
      </c>
      <c r="H98" s="5"/>
      <c r="I98" s="5"/>
      <c r="J98" s="5"/>
      <c r="K98" s="5"/>
      <c r="L98" s="5">
        <f t="shared" si="92"/>
        <v>3750000</v>
      </c>
      <c r="M98" s="5">
        <f>+E98*4%</f>
        <v>150000</v>
      </c>
      <c r="N98" s="5">
        <f>+E98*5%</f>
        <v>187500</v>
      </c>
      <c r="O98" s="5"/>
      <c r="P98" s="5"/>
      <c r="Q98" s="5"/>
      <c r="R98" s="5"/>
      <c r="S98" s="5"/>
      <c r="T98" s="5"/>
      <c r="U98" s="5">
        <f t="shared" si="55"/>
        <v>337500</v>
      </c>
      <c r="V98" s="7">
        <f>+L98-U98</f>
        <v>3412500</v>
      </c>
      <c r="W98" s="8"/>
      <c r="X98" s="9"/>
      <c r="Y98" s="8">
        <f t="shared" si="95"/>
        <v>3412500</v>
      </c>
    </row>
    <row r="99" spans="1:25" ht="24" x14ac:dyDescent="0.25">
      <c r="A99" s="108"/>
      <c r="B99" s="14">
        <v>53</v>
      </c>
      <c r="C99" s="11" t="s">
        <v>128</v>
      </c>
      <c r="D99" s="6" t="s">
        <v>26</v>
      </c>
      <c r="E99" s="5">
        <v>3700000</v>
      </c>
      <c r="F99" s="12">
        <v>30</v>
      </c>
      <c r="G99" s="5">
        <f t="shared" si="64"/>
        <v>3700000</v>
      </c>
      <c r="H99" s="5"/>
      <c r="I99" s="5"/>
      <c r="J99" s="5">
        <v>650000</v>
      </c>
      <c r="K99" s="5"/>
      <c r="L99" s="5">
        <f t="shared" si="92"/>
        <v>4350000</v>
      </c>
      <c r="M99" s="5">
        <f t="shared" ref="M99" si="99">+G99*4%</f>
        <v>148000</v>
      </c>
      <c r="N99" s="5">
        <f>+G99*5%</f>
        <v>185000</v>
      </c>
      <c r="O99" s="5"/>
      <c r="P99" s="5"/>
      <c r="Q99" s="5"/>
      <c r="R99" s="5"/>
      <c r="S99" s="5"/>
      <c r="T99" s="5"/>
      <c r="U99" s="5">
        <f t="shared" ref="U99:U100" si="100">SUM(M99:T99)</f>
        <v>333000</v>
      </c>
      <c r="V99" s="7">
        <f>+L99-U99</f>
        <v>4017000</v>
      </c>
      <c r="W99" s="8"/>
      <c r="X99" s="9"/>
      <c r="Y99" s="8">
        <f t="shared" si="95"/>
        <v>4017000</v>
      </c>
    </row>
    <row r="100" spans="1:25" ht="22.5" customHeight="1" x14ac:dyDescent="0.25">
      <c r="A100" s="108"/>
      <c r="B100" s="14">
        <v>54</v>
      </c>
      <c r="C100" s="11" t="s">
        <v>67</v>
      </c>
      <c r="D100" s="6" t="s">
        <v>26</v>
      </c>
      <c r="E100" s="5">
        <v>3500000</v>
      </c>
      <c r="F100" s="12">
        <v>30</v>
      </c>
      <c r="G100" s="5">
        <f>+E100-K100</f>
        <v>3500000</v>
      </c>
      <c r="H100" s="5"/>
      <c r="I100" s="5"/>
      <c r="J100" s="5" t="s">
        <v>1</v>
      </c>
      <c r="K100" s="5"/>
      <c r="L100" s="5">
        <f t="shared" si="92"/>
        <v>3500000</v>
      </c>
      <c r="M100" s="5">
        <f>+L100*4%</f>
        <v>140000</v>
      </c>
      <c r="N100" s="5">
        <f>+L100*5%</f>
        <v>175000</v>
      </c>
      <c r="O100" s="5"/>
      <c r="P100" s="5"/>
      <c r="Q100" s="5"/>
      <c r="R100" s="5"/>
      <c r="S100" s="5"/>
      <c r="T100" s="5"/>
      <c r="U100" s="5">
        <f t="shared" si="100"/>
        <v>315000</v>
      </c>
      <c r="V100" s="7">
        <f t="shared" ref="V100" si="101">+L100-U100</f>
        <v>3185000</v>
      </c>
      <c r="W100" s="8"/>
      <c r="X100" s="9"/>
      <c r="Y100" s="8">
        <f t="shared" si="95"/>
        <v>3185000</v>
      </c>
    </row>
    <row r="101" spans="1:25" ht="19.5" customHeight="1" x14ac:dyDescent="0.25">
      <c r="A101" s="108"/>
      <c r="B101" s="14">
        <v>55</v>
      </c>
      <c r="C101" s="11" t="s">
        <v>129</v>
      </c>
      <c r="D101" s="6" t="s">
        <v>34</v>
      </c>
      <c r="E101" s="5">
        <v>2000000</v>
      </c>
      <c r="F101" s="12">
        <v>30</v>
      </c>
      <c r="G101" s="5">
        <f t="shared" si="64"/>
        <v>2000000.0000000002</v>
      </c>
      <c r="H101" s="5"/>
      <c r="I101" s="5"/>
      <c r="J101" s="5"/>
      <c r="K101" s="5"/>
      <c r="L101" s="5">
        <f t="shared" si="92"/>
        <v>2000000.0000000002</v>
      </c>
      <c r="M101" s="5">
        <f>+E101*4%</f>
        <v>80000</v>
      </c>
      <c r="N101" s="5">
        <f>+E101*4%</f>
        <v>80000</v>
      </c>
      <c r="O101" s="5"/>
      <c r="P101" s="5"/>
      <c r="Q101" s="17"/>
      <c r="R101" s="5"/>
      <c r="S101" s="5"/>
      <c r="T101" s="5"/>
      <c r="U101" s="5">
        <f t="shared" si="55"/>
        <v>160000</v>
      </c>
      <c r="V101" s="7">
        <f>+L101-U101</f>
        <v>1840000.0000000002</v>
      </c>
      <c r="W101" s="8"/>
      <c r="X101" s="9"/>
      <c r="Y101" s="8">
        <f t="shared" si="95"/>
        <v>1840000.0000000002</v>
      </c>
    </row>
    <row r="102" spans="1:25" ht="22.5" customHeight="1" x14ac:dyDescent="0.25">
      <c r="A102" s="108"/>
      <c r="B102" s="14">
        <v>56</v>
      </c>
      <c r="C102" s="11" t="s">
        <v>172</v>
      </c>
      <c r="D102" s="6"/>
      <c r="E102" s="5">
        <v>1500000</v>
      </c>
      <c r="F102" s="12">
        <v>30</v>
      </c>
      <c r="G102" s="5">
        <f t="shared" si="64"/>
        <v>1500000</v>
      </c>
      <c r="H102" s="5"/>
      <c r="I102" s="5"/>
      <c r="J102" s="5"/>
      <c r="K102" s="5"/>
      <c r="L102" s="5">
        <f t="shared" ref="L102" si="102">SUM(G102:J102)+K102</f>
        <v>1500000</v>
      </c>
      <c r="M102" s="5">
        <f>+G102*4%</f>
        <v>60000</v>
      </c>
      <c r="N102" s="5">
        <f>+G102*4%</f>
        <v>60000</v>
      </c>
      <c r="O102" s="5">
        <v>0</v>
      </c>
      <c r="P102" s="5"/>
      <c r="Q102" s="17"/>
      <c r="R102" s="5"/>
      <c r="S102" s="5"/>
      <c r="T102" s="5"/>
      <c r="U102" s="5">
        <f t="shared" si="55"/>
        <v>120000</v>
      </c>
      <c r="V102" s="7">
        <f>+L102-U102</f>
        <v>1380000</v>
      </c>
      <c r="W102" s="8"/>
      <c r="X102" s="9"/>
      <c r="Y102" s="8">
        <f t="shared" si="95"/>
        <v>1380000</v>
      </c>
    </row>
    <row r="103" spans="1:25" x14ac:dyDescent="0.25">
      <c r="A103" s="108"/>
      <c r="B103" s="14">
        <v>57</v>
      </c>
      <c r="C103" s="3" t="s">
        <v>130</v>
      </c>
      <c r="D103" s="4" t="s">
        <v>26</v>
      </c>
      <c r="E103" s="5">
        <v>1600000</v>
      </c>
      <c r="F103" s="12">
        <v>30</v>
      </c>
      <c r="G103" s="5">
        <f t="shared" si="64"/>
        <v>1600000</v>
      </c>
      <c r="H103" s="5"/>
      <c r="I103" s="5"/>
      <c r="J103" s="5"/>
      <c r="K103" s="5"/>
      <c r="L103" s="5">
        <f t="shared" si="92"/>
        <v>1600000</v>
      </c>
      <c r="M103" s="5">
        <f>+L103*4%</f>
        <v>64000</v>
      </c>
      <c r="N103" s="5">
        <v>64000</v>
      </c>
      <c r="O103" s="5"/>
      <c r="P103" s="5"/>
      <c r="Q103" s="5">
        <v>0</v>
      </c>
      <c r="R103" s="5"/>
      <c r="S103" s="5"/>
      <c r="T103" s="5">
        <v>249127</v>
      </c>
      <c r="U103" s="5">
        <f t="shared" si="55"/>
        <v>377127</v>
      </c>
      <c r="V103" s="7">
        <f>L103-U103</f>
        <v>1222873</v>
      </c>
      <c r="W103" s="8"/>
      <c r="X103" s="9"/>
      <c r="Y103" s="8">
        <f t="shared" si="95"/>
        <v>1222873</v>
      </c>
    </row>
    <row r="104" spans="1:25" ht="23.25" customHeight="1" x14ac:dyDescent="0.25">
      <c r="A104" s="108"/>
      <c r="B104" s="14">
        <v>58</v>
      </c>
      <c r="C104" s="11" t="s">
        <v>131</v>
      </c>
      <c r="D104" s="6" t="s">
        <v>26</v>
      </c>
      <c r="E104" s="5">
        <v>1500000</v>
      </c>
      <c r="F104" s="12">
        <v>30</v>
      </c>
      <c r="G104" s="5">
        <f t="shared" si="64"/>
        <v>1500000</v>
      </c>
      <c r="H104" s="5">
        <v>0</v>
      </c>
      <c r="I104" s="5"/>
      <c r="J104" s="5"/>
      <c r="K104" s="5"/>
      <c r="L104" s="5">
        <f t="shared" si="92"/>
        <v>1500000</v>
      </c>
      <c r="M104" s="5">
        <f>+G104*4%</f>
        <v>60000</v>
      </c>
      <c r="N104" s="5">
        <f>+G104*4%</f>
        <v>60000</v>
      </c>
      <c r="O104" s="5"/>
      <c r="P104" s="5"/>
      <c r="Q104" s="5">
        <v>0</v>
      </c>
      <c r="R104" s="5"/>
      <c r="S104" s="5"/>
      <c r="T104" s="5"/>
      <c r="U104" s="5">
        <f t="shared" si="55"/>
        <v>120000</v>
      </c>
      <c r="V104" s="7">
        <f t="shared" ref="V104:V108" si="103">+L104-U104</f>
        <v>1380000</v>
      </c>
      <c r="W104" s="8"/>
      <c r="X104" s="9"/>
      <c r="Y104" s="8">
        <f t="shared" si="95"/>
        <v>1380000</v>
      </c>
    </row>
    <row r="105" spans="1:25" ht="24" x14ac:dyDescent="0.25">
      <c r="A105" s="108"/>
      <c r="B105" s="14">
        <v>59</v>
      </c>
      <c r="C105" s="11" t="s">
        <v>133</v>
      </c>
      <c r="D105" s="6" t="s">
        <v>26</v>
      </c>
      <c r="E105" s="5">
        <v>1800000</v>
      </c>
      <c r="F105" s="12">
        <v>30</v>
      </c>
      <c r="G105" s="5">
        <f>+E105</f>
        <v>1800000</v>
      </c>
      <c r="H105" s="5"/>
      <c r="I105" s="5"/>
      <c r="J105" s="5"/>
      <c r="K105" s="21"/>
      <c r="L105" s="5">
        <f t="shared" ref="L105:L106" si="104">SUM(G105:J105)+K105</f>
        <v>1800000</v>
      </c>
      <c r="M105" s="5">
        <f>+E105*4%</f>
        <v>72000</v>
      </c>
      <c r="N105" s="5">
        <f>+E105*4%</f>
        <v>72000</v>
      </c>
      <c r="O105" s="5"/>
      <c r="P105" s="5"/>
      <c r="Q105" s="5">
        <v>0</v>
      </c>
      <c r="R105" s="5"/>
      <c r="S105" s="5"/>
      <c r="T105" s="5"/>
      <c r="U105" s="5">
        <f t="shared" si="55"/>
        <v>144000</v>
      </c>
      <c r="V105" s="7">
        <f t="shared" si="103"/>
        <v>1656000</v>
      </c>
      <c r="W105" s="8"/>
      <c r="X105" s="9"/>
      <c r="Y105" s="8">
        <f t="shared" si="95"/>
        <v>1656000</v>
      </c>
    </row>
    <row r="106" spans="1:25" ht="18.75" customHeight="1" x14ac:dyDescent="0.25">
      <c r="A106" s="108"/>
      <c r="B106" s="14">
        <v>60</v>
      </c>
      <c r="C106" s="11" t="s">
        <v>178</v>
      </c>
      <c r="D106" s="6"/>
      <c r="E106" s="5">
        <v>737717</v>
      </c>
      <c r="F106" s="12">
        <v>30</v>
      </c>
      <c r="G106" s="5">
        <f t="shared" si="64"/>
        <v>737717</v>
      </c>
      <c r="H106" s="5"/>
      <c r="I106" s="5"/>
      <c r="J106" s="5"/>
      <c r="K106" s="21"/>
      <c r="L106" s="5">
        <f t="shared" si="104"/>
        <v>737717</v>
      </c>
      <c r="M106" s="5"/>
      <c r="N106" s="5"/>
      <c r="O106" s="5"/>
      <c r="P106" s="5"/>
      <c r="Q106" s="5"/>
      <c r="R106" s="5"/>
      <c r="S106" s="5"/>
      <c r="T106" s="5"/>
      <c r="U106" s="5">
        <f t="shared" si="55"/>
        <v>0</v>
      </c>
      <c r="V106" s="7">
        <f t="shared" si="103"/>
        <v>737717</v>
      </c>
      <c r="W106" s="8"/>
      <c r="X106" s="9"/>
      <c r="Y106" s="8">
        <f t="shared" si="95"/>
        <v>737717</v>
      </c>
    </row>
    <row r="107" spans="1:25" ht="18.75" customHeight="1" x14ac:dyDescent="0.25">
      <c r="A107" s="108"/>
      <c r="B107" s="14">
        <v>61</v>
      </c>
      <c r="C107" s="11" t="s">
        <v>134</v>
      </c>
      <c r="D107" s="6" t="s">
        <v>26</v>
      </c>
      <c r="E107" s="5">
        <v>2000000</v>
      </c>
      <c r="F107" s="12">
        <v>30</v>
      </c>
      <c r="G107" s="5">
        <f t="shared" si="64"/>
        <v>2000000.0000000002</v>
      </c>
      <c r="H107" s="5"/>
      <c r="I107" s="5"/>
      <c r="J107" s="5"/>
      <c r="K107" s="5"/>
      <c r="L107" s="5">
        <f>SUM(G107:J107)+K107</f>
        <v>2000000.0000000002</v>
      </c>
      <c r="M107" s="5">
        <f>+E107*0.04</f>
        <v>80000</v>
      </c>
      <c r="N107" s="5">
        <v>80000</v>
      </c>
      <c r="O107" s="5"/>
      <c r="P107" s="5"/>
      <c r="Q107" s="5"/>
      <c r="R107" s="5"/>
      <c r="S107" s="5"/>
      <c r="T107" s="5"/>
      <c r="U107" s="5">
        <f t="shared" si="55"/>
        <v>160000</v>
      </c>
      <c r="V107" s="7">
        <f t="shared" si="103"/>
        <v>1840000.0000000002</v>
      </c>
      <c r="W107" s="8"/>
      <c r="X107" s="9"/>
      <c r="Y107" s="8">
        <f t="shared" si="95"/>
        <v>1840000.0000000002</v>
      </c>
    </row>
    <row r="108" spans="1:25" ht="23.25" customHeight="1" x14ac:dyDescent="0.25">
      <c r="A108" s="108"/>
      <c r="B108" s="14">
        <v>62</v>
      </c>
      <c r="C108" s="11" t="s">
        <v>136</v>
      </c>
      <c r="D108" s="6"/>
      <c r="E108" s="5">
        <v>2000000</v>
      </c>
      <c r="F108" s="12">
        <v>30</v>
      </c>
      <c r="G108" s="5">
        <f t="shared" si="64"/>
        <v>2000000.0000000002</v>
      </c>
      <c r="H108" s="5"/>
      <c r="I108" s="5"/>
      <c r="J108" s="5"/>
      <c r="K108" s="22"/>
      <c r="L108" s="5">
        <f t="shared" ref="L108:L110" si="105">SUM(G108:J108)+K108</f>
        <v>2000000.0000000002</v>
      </c>
      <c r="M108" s="5">
        <f>+G108*4%</f>
        <v>80000.000000000015</v>
      </c>
      <c r="N108" s="5">
        <f>+G108*4%</f>
        <v>80000.000000000015</v>
      </c>
      <c r="O108" s="5"/>
      <c r="P108" s="5"/>
      <c r="Q108" s="5">
        <v>0</v>
      </c>
      <c r="R108" s="5"/>
      <c r="S108" s="5"/>
      <c r="T108" s="5"/>
      <c r="U108" s="5">
        <f t="shared" ref="U108:U110" si="106">SUM(M108:T108)</f>
        <v>160000.00000000003</v>
      </c>
      <c r="V108" s="7">
        <f t="shared" si="103"/>
        <v>1840000.0000000002</v>
      </c>
      <c r="W108" s="8"/>
      <c r="X108" s="9"/>
      <c r="Y108" s="8">
        <f t="shared" si="95"/>
        <v>1840000.0000000002</v>
      </c>
    </row>
    <row r="109" spans="1:25" ht="18.75" customHeight="1" x14ac:dyDescent="0.25">
      <c r="A109" s="108"/>
      <c r="B109" s="14">
        <v>63</v>
      </c>
      <c r="C109" s="11" t="s">
        <v>159</v>
      </c>
      <c r="D109" s="6"/>
      <c r="E109" s="5">
        <v>737717</v>
      </c>
      <c r="F109" s="12">
        <v>30</v>
      </c>
      <c r="G109" s="5">
        <f>+E109</f>
        <v>737717</v>
      </c>
      <c r="H109" s="5"/>
      <c r="I109" s="5"/>
      <c r="J109" s="5"/>
      <c r="K109" s="22"/>
      <c r="L109" s="5">
        <f t="shared" si="105"/>
        <v>737717</v>
      </c>
      <c r="M109" s="5"/>
      <c r="N109" s="5"/>
      <c r="O109" s="5"/>
      <c r="P109" s="5"/>
      <c r="Q109" s="5"/>
      <c r="R109" s="5"/>
      <c r="S109" s="5"/>
      <c r="T109" s="5"/>
      <c r="U109" s="5">
        <f>SUM(M109:T109)</f>
        <v>0</v>
      </c>
      <c r="V109" s="7">
        <f>+L109-U109</f>
        <v>737717</v>
      </c>
      <c r="W109" s="8"/>
      <c r="X109" s="9"/>
      <c r="Y109" s="8">
        <f t="shared" si="95"/>
        <v>737717</v>
      </c>
    </row>
    <row r="110" spans="1:25" ht="23.25" customHeight="1" x14ac:dyDescent="0.25">
      <c r="A110" s="75"/>
      <c r="B110" s="14">
        <v>64</v>
      </c>
      <c r="C110" s="11" t="s">
        <v>185</v>
      </c>
      <c r="D110" s="6"/>
      <c r="E110" s="5">
        <v>1200000</v>
      </c>
      <c r="F110" s="12">
        <v>30</v>
      </c>
      <c r="G110" s="5">
        <f t="shared" ref="G110" si="107">E110/30*F110</f>
        <v>1200000</v>
      </c>
      <c r="H110" s="5">
        <f t="shared" ref="H110" si="108">+(83140/30)*F110</f>
        <v>83140</v>
      </c>
      <c r="I110" s="5"/>
      <c r="J110" s="5"/>
      <c r="K110" s="22"/>
      <c r="L110" s="5">
        <f t="shared" si="105"/>
        <v>1283140</v>
      </c>
      <c r="M110" s="5">
        <f>+G110*4%</f>
        <v>48000</v>
      </c>
      <c r="N110" s="5">
        <f t="shared" ref="N110" si="109">+G110*4%</f>
        <v>48000</v>
      </c>
      <c r="O110" s="5"/>
      <c r="P110" s="5"/>
      <c r="Q110" s="5">
        <v>0</v>
      </c>
      <c r="R110" s="5"/>
      <c r="S110" s="5"/>
      <c r="T110" s="5"/>
      <c r="U110" s="5">
        <f t="shared" si="106"/>
        <v>96000</v>
      </c>
      <c r="V110" s="7">
        <f t="shared" ref="V110" si="110">+L110-U110</f>
        <v>1187140</v>
      </c>
      <c r="W110" s="8"/>
      <c r="X110" s="9"/>
      <c r="Y110" s="8">
        <f t="shared" si="95"/>
        <v>1187140</v>
      </c>
    </row>
    <row r="111" spans="1:25" x14ac:dyDescent="0.25">
      <c r="A111" s="13"/>
      <c r="B111" s="13"/>
      <c r="C111" s="23" t="s">
        <v>139</v>
      </c>
      <c r="D111" s="13"/>
      <c r="E111" s="18">
        <f>SUM(E4:E110)</f>
        <v>377650630</v>
      </c>
      <c r="F111" s="18" t="s">
        <v>1</v>
      </c>
      <c r="G111" s="8">
        <f>SUM(G4:G110)</f>
        <v>368124115.5333333</v>
      </c>
      <c r="H111" s="8">
        <f>SUM(H4:H110)</f>
        <v>956110</v>
      </c>
      <c r="I111" s="8"/>
      <c r="J111" s="8">
        <f>SUM(J4:J110)</f>
        <v>16559798</v>
      </c>
      <c r="K111" s="8">
        <f t="shared" ref="K111:X111" si="111">SUM(K4:K110)</f>
        <v>5170666.666666666</v>
      </c>
      <c r="L111" s="8">
        <f>SUM(L4:L110)</f>
        <v>392639887.66666663</v>
      </c>
      <c r="M111" s="8">
        <f>SUM(M4:M110)</f>
        <v>14800345.479999999</v>
      </c>
      <c r="N111" s="8">
        <f>SUM(N4:N110)</f>
        <v>18023268.669999998</v>
      </c>
      <c r="O111" s="8">
        <f>SUM(O4:O110)</f>
        <v>102400</v>
      </c>
      <c r="P111" s="8">
        <f t="shared" si="111"/>
        <v>1021210</v>
      </c>
      <c r="Q111" s="8">
        <f t="shared" si="111"/>
        <v>4288943</v>
      </c>
      <c r="R111" s="8">
        <f t="shared" si="111"/>
        <v>10165000</v>
      </c>
      <c r="S111" s="8">
        <f t="shared" si="111"/>
        <v>344614</v>
      </c>
      <c r="T111" s="8">
        <f t="shared" si="111"/>
        <v>19089213</v>
      </c>
      <c r="U111" s="8">
        <f t="shared" si="111"/>
        <v>67834996.069999993</v>
      </c>
      <c r="V111" s="8">
        <f>SUM(V4:V110)</f>
        <v>324804891.59666663</v>
      </c>
      <c r="W111" s="8">
        <f t="shared" si="111"/>
        <v>0</v>
      </c>
      <c r="X111" s="8">
        <f t="shared" si="111"/>
        <v>0</v>
      </c>
      <c r="Y111" s="8">
        <f>SUM(Y4:Y110)</f>
        <v>324804891.59666663</v>
      </c>
    </row>
    <row r="112" spans="1:25" x14ac:dyDescent="0.25">
      <c r="E112" s="26"/>
      <c r="F112" s="26"/>
      <c r="G112" s="26"/>
      <c r="V112" s="20"/>
      <c r="W112" s="20"/>
      <c r="Y112" s="20"/>
    </row>
    <row r="113" spans="2:29" x14ac:dyDescent="0.25"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9"/>
      <c r="W113" s="25"/>
      <c r="X113" s="30"/>
      <c r="Y113" s="29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C115" s="31"/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5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5"/>
      <c r="W116" s="25"/>
      <c r="X116" s="30"/>
      <c r="Y116" s="25"/>
      <c r="Z116" s="25"/>
      <c r="AA116" s="25"/>
      <c r="AB116" s="25"/>
      <c r="AC116" s="25"/>
    </row>
    <row r="117" spans="2:29" x14ac:dyDescent="0.25">
      <c r="B117" s="25"/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6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25"/>
      <c r="AA117" s="25"/>
      <c r="AB117" s="25"/>
      <c r="AC117" s="25"/>
    </row>
    <row r="118" spans="2:29" x14ac:dyDescent="0.25">
      <c r="B118" s="25"/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5"/>
      <c r="W118" s="25"/>
      <c r="X118" s="30"/>
      <c r="Y118" s="25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4"/>
      <c r="X121" s="35"/>
      <c r="Y121" s="34"/>
      <c r="Z121" s="25"/>
      <c r="AA121" s="25"/>
      <c r="AB121" s="25"/>
      <c r="AC121" s="25"/>
    </row>
    <row r="122" spans="2:29" x14ac:dyDescent="0.25">
      <c r="B122" s="36"/>
      <c r="C122" s="31"/>
      <c r="D122" s="34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4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25"/>
      <c r="C123" s="31"/>
      <c r="D123" s="25"/>
      <c r="E123" s="26"/>
      <c r="F123" s="26"/>
      <c r="G123" s="38"/>
      <c r="H123" s="26"/>
      <c r="I123" s="26"/>
      <c r="J123" s="26"/>
      <c r="K123" s="26"/>
      <c r="L123" s="26"/>
      <c r="M123" s="26"/>
      <c r="N123" s="26"/>
      <c r="O123" s="39"/>
      <c r="P123" s="39"/>
      <c r="Q123" s="39"/>
      <c r="R123" s="39"/>
      <c r="S123" s="39"/>
      <c r="T123" s="26"/>
      <c r="U123" s="26"/>
      <c r="V123" s="25"/>
      <c r="W123" s="25"/>
      <c r="X123" s="30"/>
      <c r="Y123" s="25"/>
      <c r="Z123" s="25"/>
      <c r="AA123" s="25"/>
      <c r="AB123" s="25"/>
      <c r="AC123" s="25"/>
    </row>
    <row r="124" spans="2:29" x14ac:dyDescent="0.25">
      <c r="B124" s="25"/>
      <c r="C124" s="40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4"/>
      <c r="W124" s="34"/>
      <c r="X124" s="35"/>
      <c r="Y124" s="34"/>
      <c r="Z124" s="25"/>
      <c r="AA124" s="25"/>
      <c r="AB124" s="25"/>
      <c r="AC124" s="25"/>
    </row>
    <row r="125" spans="2:29" x14ac:dyDescent="0.25">
      <c r="B125" s="34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25"/>
      <c r="C126" s="40"/>
      <c r="D126" s="34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  <c r="W126" s="29"/>
      <c r="X126" s="30"/>
      <c r="Y126" s="29"/>
      <c r="Z126" s="25"/>
      <c r="AA126" s="25"/>
      <c r="AB126" s="25"/>
      <c r="AC126" s="25"/>
    </row>
    <row r="127" spans="2:29" x14ac:dyDescent="0.25"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31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40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>
        <f>737717*4</f>
        <v>2950868</v>
      </c>
      <c r="M137" s="26">
        <f>737717*2</f>
        <v>1475434</v>
      </c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31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5"/>
      <c r="W144" s="25"/>
      <c r="X144" s="30"/>
      <c r="Y144" s="25"/>
      <c r="Z144" s="25"/>
      <c r="AA144" s="25"/>
      <c r="AB144" s="25"/>
      <c r="AC144" s="25"/>
    </row>
    <row r="145" spans="2:29" x14ac:dyDescent="0.25">
      <c r="C145" s="31"/>
      <c r="D145" s="25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25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B146" s="25"/>
      <c r="C146" s="31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25"/>
      <c r="AA146" s="25"/>
      <c r="AB146" s="25"/>
      <c r="AC146" s="25"/>
    </row>
    <row r="147" spans="2:29" x14ac:dyDescent="0.25">
      <c r="B147" s="25"/>
      <c r="C147" s="31"/>
      <c r="D147" s="2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4"/>
      <c r="W147" s="34"/>
      <c r="X147" s="35"/>
      <c r="Y147" s="34"/>
      <c r="Z147" s="25"/>
      <c r="AA147" s="25"/>
      <c r="AB147" s="25"/>
      <c r="AC147" s="25"/>
    </row>
    <row r="148" spans="2:29" x14ac:dyDescent="0.25">
      <c r="B148" s="25"/>
      <c r="C148" s="40"/>
      <c r="D148" s="34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</row>
    <row r="149" spans="2:29" x14ac:dyDescent="0.25">
      <c r="B149" s="41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C150" s="40"/>
      <c r="D150" s="34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9"/>
      <c r="W150" s="29"/>
      <c r="X150" s="30"/>
      <c r="Y150" s="29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31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40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5"/>
      <c r="W155" s="25"/>
      <c r="X155" s="30"/>
      <c r="Y155" s="25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9"/>
      <c r="W156" s="29"/>
      <c r="X156" s="30"/>
      <c r="Y156" s="29"/>
    </row>
    <row r="157" spans="2:29" x14ac:dyDescent="0.25">
      <c r="B157" s="25"/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5"/>
      <c r="W157" s="25"/>
      <c r="X157" s="30"/>
      <c r="Y157" s="25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42"/>
      <c r="W159" s="42"/>
      <c r="X159" s="30"/>
      <c r="Y159" s="42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3"/>
      <c r="W160" s="43"/>
      <c r="X160" s="30"/>
      <c r="Y160" s="43"/>
    </row>
    <row r="161" spans="3:25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5"/>
      <c r="W161" s="25"/>
      <c r="X161" s="30"/>
      <c r="Y161" s="25"/>
    </row>
    <row r="162" spans="3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3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3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3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3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3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3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>
        <v>3003000</v>
      </c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3:25" x14ac:dyDescent="0.25">
      <c r="C169" s="40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3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3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3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3:25" x14ac:dyDescent="0.25">
      <c r="C173" s="31">
        <v>42614840</v>
      </c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>
        <v>412608</v>
      </c>
      <c r="V173" s="25"/>
      <c r="W173" s="25"/>
      <c r="X173" s="30"/>
      <c r="Y173" s="25"/>
    </row>
    <row r="174" spans="3:25" x14ac:dyDescent="0.25">
      <c r="C174" s="31">
        <v>9675182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1880000</v>
      </c>
      <c r="V174" s="25"/>
      <c r="W174" s="25"/>
      <c r="X174" s="30"/>
      <c r="Y174" s="25"/>
    </row>
    <row r="175" spans="3:25" x14ac:dyDescent="0.25">
      <c r="C175" s="31">
        <v>17903600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5"/>
      <c r="W175" s="25"/>
      <c r="X175" s="30"/>
      <c r="Y175" s="25"/>
    </row>
    <row r="176" spans="3:25" x14ac:dyDescent="0.25">
      <c r="C176" s="31">
        <f>SUM(C173:C175)</f>
        <v>70193622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v>400000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f>+C176+C177</f>
        <v>70593622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82" spans="3:25" x14ac:dyDescent="0.25">
      <c r="C182" s="24">
        <v>11000000</v>
      </c>
    </row>
    <row r="183" spans="3:25" x14ac:dyDescent="0.25">
      <c r="C183" s="24">
        <f>+C181+C182</f>
        <v>11000000</v>
      </c>
    </row>
    <row r="188" spans="3:25" x14ac:dyDescent="0.25">
      <c r="C188" s="24">
        <v>3185000</v>
      </c>
    </row>
    <row r="189" spans="3:25" x14ac:dyDescent="0.25">
      <c r="C189" s="24">
        <v>1080000</v>
      </c>
    </row>
    <row r="190" spans="3:25" x14ac:dyDescent="0.25">
      <c r="C190" s="24">
        <v>4850100</v>
      </c>
    </row>
    <row r="191" spans="3:25" x14ac:dyDescent="0.25">
      <c r="C191" s="24">
        <v>5027500</v>
      </c>
    </row>
    <row r="192" spans="3:25" x14ac:dyDescent="0.25">
      <c r="C192" s="24">
        <v>4566000</v>
      </c>
    </row>
    <row r="193" spans="3:3" x14ac:dyDescent="0.25">
      <c r="C193" s="24">
        <v>1050000</v>
      </c>
    </row>
    <row r="194" spans="3:3" x14ac:dyDescent="0.25">
      <c r="C194" s="24">
        <v>3877333</v>
      </c>
    </row>
    <row r="195" spans="3:3" x14ac:dyDescent="0.25">
      <c r="C195" s="24">
        <v>6732440</v>
      </c>
    </row>
    <row r="196" spans="3:3" x14ac:dyDescent="0.25">
      <c r="C196" s="24">
        <v>3460000</v>
      </c>
    </row>
    <row r="197" spans="3:3" x14ac:dyDescent="0.25">
      <c r="C197" s="24">
        <v>588800</v>
      </c>
    </row>
    <row r="198" spans="3:3" x14ac:dyDescent="0.25">
      <c r="C198" s="24">
        <v>1868000</v>
      </c>
    </row>
    <row r="199" spans="3:3" x14ac:dyDescent="0.25">
      <c r="C199" s="24">
        <v>10313000</v>
      </c>
    </row>
    <row r="200" spans="3:3" x14ac:dyDescent="0.25">
      <c r="C200" s="24">
        <v>3443800</v>
      </c>
    </row>
    <row r="201" spans="3:3" x14ac:dyDescent="0.25">
      <c r="C201" s="24">
        <v>8136400</v>
      </c>
    </row>
    <row r="202" spans="3:3" x14ac:dyDescent="0.25">
      <c r="C202" s="24">
        <v>9675183</v>
      </c>
    </row>
    <row r="203" spans="3:3" x14ac:dyDescent="0.25">
      <c r="C203" s="24">
        <f>SUM(C187:C202)</f>
        <v>67853556</v>
      </c>
    </row>
  </sheetData>
  <mergeCells count="7">
    <mergeCell ref="D146:Y146"/>
    <mergeCell ref="C1:V1"/>
    <mergeCell ref="E2:L2"/>
    <mergeCell ref="M2:U2"/>
    <mergeCell ref="A3:A46"/>
    <mergeCell ref="A47:A109"/>
    <mergeCell ref="E145:R14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C204"/>
  <sheetViews>
    <sheetView workbookViewId="0">
      <selection activeCell="J3" sqref="J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0" width="15.7109375" style="27" bestFit="1" customWidth="1"/>
    <col min="21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05" t="s">
        <v>193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3"/>
      <c r="X1" s="9"/>
      <c r="Y1" s="13"/>
    </row>
    <row r="2" spans="1:25" x14ac:dyDescent="0.25">
      <c r="C2" s="72" t="s">
        <v>1</v>
      </c>
      <c r="D2" s="13"/>
      <c r="E2" s="106" t="s">
        <v>2</v>
      </c>
      <c r="F2" s="106"/>
      <c r="G2" s="106"/>
      <c r="H2" s="106"/>
      <c r="I2" s="106"/>
      <c r="J2" s="106"/>
      <c r="K2" s="106"/>
      <c r="L2" s="106"/>
      <c r="M2" s="106" t="s">
        <v>3</v>
      </c>
      <c r="N2" s="106"/>
      <c r="O2" s="106"/>
      <c r="P2" s="106"/>
      <c r="Q2" s="106"/>
      <c r="R2" s="106"/>
      <c r="S2" s="106"/>
      <c r="T2" s="106"/>
      <c r="U2" s="106"/>
      <c r="V2" s="13"/>
      <c r="W2" s="13"/>
      <c r="X2" s="9"/>
      <c r="Y2" s="13"/>
    </row>
    <row r="3" spans="1:25" ht="39" customHeight="1" x14ac:dyDescent="0.25">
      <c r="A3" s="107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191</v>
      </c>
      <c r="J3" s="15" t="s">
        <v>199</v>
      </c>
      <c r="K3" s="15" t="s">
        <v>161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180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4" t="s">
        <v>23</v>
      </c>
      <c r="W3" s="14"/>
      <c r="X3" s="16"/>
      <c r="Y3" s="14" t="s">
        <v>187</v>
      </c>
    </row>
    <row r="4" spans="1:25" x14ac:dyDescent="0.25">
      <c r="A4" s="108"/>
      <c r="B4" s="14">
        <v>1</v>
      </c>
      <c r="C4" s="11" t="s">
        <v>25</v>
      </c>
      <c r="D4" s="6" t="s">
        <v>26</v>
      </c>
      <c r="E4" s="5">
        <v>7000000</v>
      </c>
      <c r="F4" s="12">
        <v>29</v>
      </c>
      <c r="G4" s="5">
        <f>+E4</f>
        <v>7000000</v>
      </c>
      <c r="H4" s="5"/>
      <c r="I4" s="5"/>
      <c r="J4" s="5"/>
      <c r="K4" s="5"/>
      <c r="L4" s="5">
        <f>SUM(G4:J4)+K4</f>
        <v>7000000</v>
      </c>
      <c r="M4" s="5">
        <f>+E4*4%</f>
        <v>280000</v>
      </c>
      <c r="N4" s="5">
        <f>+E4*5%</f>
        <v>350000</v>
      </c>
      <c r="O4" s="5"/>
      <c r="P4" s="5"/>
      <c r="Q4" s="5">
        <v>233000</v>
      </c>
      <c r="R4" s="5"/>
      <c r="S4" s="5"/>
      <c r="T4" s="5"/>
      <c r="U4" s="5">
        <f t="shared" ref="U4:U47" si="0">SUM(M4:T4)</f>
        <v>863000</v>
      </c>
      <c r="V4" s="7">
        <f t="shared" ref="V4:V9" si="1">+L4-U4</f>
        <v>6137000</v>
      </c>
      <c r="W4" s="8"/>
      <c r="X4" s="9"/>
      <c r="Y4" s="8">
        <f>V4+W4-X4</f>
        <v>6137000</v>
      </c>
    </row>
    <row r="5" spans="1:25" ht="24" x14ac:dyDescent="0.25">
      <c r="A5" s="108"/>
      <c r="B5" s="14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5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08"/>
      <c r="B6" s="14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19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08"/>
      <c r="B7" s="14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/>
      <c r="L7" s="5">
        <f t="shared" ref="L7" si="4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19">
        <v>726520</v>
      </c>
      <c r="U7" s="5">
        <f t="shared" ref="U7" si="5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08"/>
      <c r="B8" s="14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:G57" si="6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08"/>
      <c r="B9" s="14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6"/>
        <v>5000000</v>
      </c>
      <c r="H9" s="5"/>
      <c r="I9" s="5"/>
      <c r="J9" s="5">
        <v>2012670</v>
      </c>
      <c r="K9" s="5"/>
      <c r="L9" s="5">
        <f>SUM(G9:J9)+K9</f>
        <v>7012670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5812670</v>
      </c>
      <c r="W9" s="8"/>
      <c r="X9" s="9"/>
      <c r="Y9" s="8">
        <f t="shared" si="3"/>
        <v>5812670</v>
      </c>
    </row>
    <row r="10" spans="1:25" x14ac:dyDescent="0.25">
      <c r="A10" s="108"/>
      <c r="B10" s="14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 t="shared" si="6"/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19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08"/>
      <c r="B11" s="14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 t="shared" si="6"/>
        <v>4500000</v>
      </c>
      <c r="H11" s="5"/>
      <c r="I11" s="5"/>
      <c r="J11" s="5"/>
      <c r="K11" s="5"/>
      <c r="L11" s="5">
        <f t="shared" ref="L11" si="7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8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08"/>
      <c r="B12" s="14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 t="shared" si="6"/>
        <v>5400000</v>
      </c>
      <c r="H12" s="5"/>
      <c r="I12" s="5"/>
      <c r="J12" s="5"/>
      <c r="K12" s="5"/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9" si="9">+L12-U12</f>
        <v>4907500</v>
      </c>
      <c r="W12" s="8"/>
      <c r="X12" s="9"/>
      <c r="Y12" s="8">
        <f t="shared" si="3"/>
        <v>4907500</v>
      </c>
    </row>
    <row r="13" spans="1:25" x14ac:dyDescent="0.25">
      <c r="A13" s="108"/>
      <c r="B13" s="14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si="6"/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0">SUM(M13:T13)</f>
        <v>407800</v>
      </c>
      <c r="V13" s="7">
        <f t="shared" si="9"/>
        <v>4092200</v>
      </c>
      <c r="W13" s="8"/>
      <c r="X13" s="9"/>
      <c r="Y13" s="8">
        <f t="shared" si="3"/>
        <v>4092200</v>
      </c>
    </row>
    <row r="14" spans="1:25" x14ac:dyDescent="0.25">
      <c r="A14" s="108"/>
      <c r="B14" s="14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6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9"/>
        <v>4092000</v>
      </c>
      <c r="W14" s="8"/>
      <c r="X14" s="9"/>
      <c r="Y14" s="8">
        <f t="shared" si="3"/>
        <v>4092000</v>
      </c>
    </row>
    <row r="15" spans="1:25" x14ac:dyDescent="0.25">
      <c r="A15" s="108"/>
      <c r="B15" s="14">
        <v>12</v>
      </c>
      <c r="C15" s="3" t="s">
        <v>37</v>
      </c>
      <c r="D15" s="4" t="s">
        <v>26</v>
      </c>
      <c r="E15" s="5">
        <v>4500000</v>
      </c>
      <c r="F15" s="12">
        <v>23</v>
      </c>
      <c r="G15" s="5">
        <f t="shared" si="6"/>
        <v>3450000</v>
      </c>
      <c r="H15" s="5"/>
      <c r="I15" s="5"/>
      <c r="J15" s="5"/>
      <c r="K15" s="5">
        <f>+E15-G15</f>
        <v>1050000</v>
      </c>
      <c r="L15" s="5">
        <f t="shared" ref="L15" si="11">SUM(G15:J15)+K15</f>
        <v>4500000</v>
      </c>
      <c r="M15" s="5">
        <f>+E15*4%</f>
        <v>180000</v>
      </c>
      <c r="N15" s="5">
        <f>+E15*5%</f>
        <v>225000</v>
      </c>
      <c r="O15" s="5"/>
      <c r="P15" s="5"/>
      <c r="Q15" s="5">
        <v>72000</v>
      </c>
      <c r="R15" s="5"/>
      <c r="S15" s="5"/>
      <c r="T15" s="19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08"/>
      <c r="B16" s="14">
        <v>13</v>
      </c>
      <c r="C16" s="3" t="s">
        <v>38</v>
      </c>
      <c r="D16" s="4" t="s">
        <v>34</v>
      </c>
      <c r="E16" s="5">
        <v>4000000</v>
      </c>
      <c r="F16" s="12">
        <v>3</v>
      </c>
      <c r="G16" s="5">
        <f t="shared" si="6"/>
        <v>400000</v>
      </c>
      <c r="H16" s="5"/>
      <c r="I16" s="5"/>
      <c r="J16" s="5"/>
      <c r="K16" s="5">
        <f>+E16-G16</f>
        <v>3600000</v>
      </c>
      <c r="L16" s="5">
        <f t="shared" ref="L16" si="12">SUM(G16:J16)+K16</f>
        <v>4000000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3">SUM(M16:T16)</f>
        <v>364500</v>
      </c>
      <c r="V16" s="7">
        <f t="shared" ref="V16:V18" si="14">+L16-U16</f>
        <v>3635500</v>
      </c>
      <c r="W16" s="8"/>
      <c r="X16" s="9"/>
      <c r="Y16" s="8">
        <f t="shared" si="3"/>
        <v>3635500</v>
      </c>
    </row>
    <row r="17" spans="1:25" ht="23.25" customHeight="1" x14ac:dyDescent="0.25">
      <c r="A17" s="108"/>
      <c r="B17" s="14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6"/>
        <v>4500000</v>
      </c>
      <c r="H17" s="5"/>
      <c r="I17" s="5"/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5">SUM(M17:T17)</f>
        <v>477000</v>
      </c>
      <c r="V17" s="7">
        <f t="shared" si="14"/>
        <v>4023000</v>
      </c>
      <c r="W17" s="8"/>
      <c r="X17" s="9"/>
      <c r="Y17" s="8">
        <f t="shared" si="3"/>
        <v>4023000</v>
      </c>
    </row>
    <row r="18" spans="1:25" ht="23.25" customHeight="1" x14ac:dyDescent="0.25">
      <c r="A18" s="108"/>
      <c r="B18" s="14">
        <v>15</v>
      </c>
      <c r="C18" s="3" t="s">
        <v>194</v>
      </c>
      <c r="D18" s="4" t="s">
        <v>34</v>
      </c>
      <c r="E18" s="5">
        <v>5200000</v>
      </c>
      <c r="F18" s="12">
        <v>26</v>
      </c>
      <c r="G18" s="5">
        <f t="shared" si="6"/>
        <v>4506666.666666667</v>
      </c>
      <c r="H18" s="5"/>
      <c r="I18" s="5"/>
      <c r="J18" s="5"/>
      <c r="K18" s="5">
        <v>375555</v>
      </c>
      <c r="L18" s="5">
        <f>SUM(G18:J18)+K18</f>
        <v>4882221.666666667</v>
      </c>
      <c r="M18" s="5">
        <f>+G18*4%</f>
        <v>180266.66666666669</v>
      </c>
      <c r="N18" s="5">
        <f>+G18*5%</f>
        <v>225333.33333333337</v>
      </c>
      <c r="O18" s="5"/>
      <c r="P18" s="5"/>
      <c r="Q18" s="5">
        <v>118000</v>
      </c>
      <c r="R18" s="5"/>
      <c r="S18" s="5"/>
      <c r="T18" s="5"/>
      <c r="U18" s="5">
        <f t="shared" ref="U18" si="16">SUM(M18:T18)</f>
        <v>523600.00000000006</v>
      </c>
      <c r="V18" s="7">
        <f t="shared" si="14"/>
        <v>4358621.666666667</v>
      </c>
      <c r="W18" s="8"/>
      <c r="X18" s="9"/>
      <c r="Y18" s="8">
        <f t="shared" si="3"/>
        <v>4358621.666666667</v>
      </c>
    </row>
    <row r="19" spans="1:25" x14ac:dyDescent="0.25">
      <c r="A19" s="108"/>
      <c r="B19" s="14">
        <v>16</v>
      </c>
      <c r="C19" s="11" t="s">
        <v>40</v>
      </c>
      <c r="D19" s="6" t="s">
        <v>26</v>
      </c>
      <c r="E19" s="5">
        <v>5500000</v>
      </c>
      <c r="F19" s="12">
        <v>30</v>
      </c>
      <c r="G19" s="5">
        <f>+E19-K19</f>
        <v>2933333</v>
      </c>
      <c r="H19" s="5"/>
      <c r="I19" s="5"/>
      <c r="J19" s="5">
        <v>450000</v>
      </c>
      <c r="K19" s="5">
        <v>2566667</v>
      </c>
      <c r="L19" s="5">
        <f t="shared" si="2"/>
        <v>5950000</v>
      </c>
      <c r="M19" s="5">
        <f>+E19*4%</f>
        <v>220000</v>
      </c>
      <c r="N19" s="5">
        <f>+E19*5%</f>
        <v>275000</v>
      </c>
      <c r="O19" s="5"/>
      <c r="P19" s="5"/>
      <c r="Q19" s="17">
        <v>150521</v>
      </c>
      <c r="R19" s="5">
        <v>1365000</v>
      </c>
      <c r="S19" s="5"/>
      <c r="T19" s="5"/>
      <c r="U19" s="5">
        <f t="shared" si="0"/>
        <v>2010521</v>
      </c>
      <c r="V19" s="7">
        <f t="shared" si="9"/>
        <v>3939479</v>
      </c>
      <c r="W19" s="8"/>
      <c r="X19" s="9"/>
      <c r="Y19" s="8">
        <f t="shared" si="3"/>
        <v>3939479</v>
      </c>
    </row>
    <row r="20" spans="1:25" ht="24" x14ac:dyDescent="0.25">
      <c r="A20" s="108"/>
      <c r="B20" s="14">
        <v>17</v>
      </c>
      <c r="C20" s="11" t="s">
        <v>42</v>
      </c>
      <c r="D20" s="6" t="s">
        <v>26</v>
      </c>
      <c r="E20" s="5">
        <v>5350000</v>
      </c>
      <c r="F20" s="12">
        <v>30</v>
      </c>
      <c r="G20" s="5">
        <f t="shared" si="6"/>
        <v>5350000</v>
      </c>
      <c r="H20" s="5"/>
      <c r="I20" s="5"/>
      <c r="J20" s="5">
        <v>1000000</v>
      </c>
      <c r="K20" s="5"/>
      <c r="L20" s="5">
        <f t="shared" si="2"/>
        <v>6350000</v>
      </c>
      <c r="M20" s="5">
        <v>214000</v>
      </c>
      <c r="N20" s="5">
        <f>214000+53500</f>
        <v>267500</v>
      </c>
      <c r="O20" s="5"/>
      <c r="P20" s="5"/>
      <c r="Q20" s="17">
        <v>121000</v>
      </c>
      <c r="R20" s="5"/>
      <c r="S20" s="5"/>
      <c r="T20" s="19">
        <v>810005</v>
      </c>
      <c r="U20" s="5">
        <f>SUM(M20:T20)</f>
        <v>1412505</v>
      </c>
      <c r="V20" s="7">
        <f>L20-U20</f>
        <v>4937495</v>
      </c>
      <c r="W20" s="8"/>
      <c r="X20" s="9"/>
      <c r="Y20" s="8">
        <f t="shared" si="3"/>
        <v>4937495</v>
      </c>
    </row>
    <row r="21" spans="1:25" x14ac:dyDescent="0.25">
      <c r="A21" s="108"/>
      <c r="B21" s="14">
        <v>18</v>
      </c>
      <c r="C21" s="11" t="s">
        <v>43</v>
      </c>
      <c r="D21" s="6" t="s">
        <v>26</v>
      </c>
      <c r="E21" s="5">
        <v>6600000</v>
      </c>
      <c r="F21" s="12">
        <v>30</v>
      </c>
      <c r="G21" s="5">
        <f t="shared" si="6"/>
        <v>6600000</v>
      </c>
      <c r="H21" s="5"/>
      <c r="I21" s="5"/>
      <c r="J21" s="5"/>
      <c r="K21" s="5"/>
      <c r="L21" s="5">
        <f t="shared" si="2"/>
        <v>6600000</v>
      </c>
      <c r="M21" s="5">
        <f>+G21*4%</f>
        <v>264000</v>
      </c>
      <c r="N21" s="5">
        <f>+G21*5%</f>
        <v>330000</v>
      </c>
      <c r="O21" s="5"/>
      <c r="P21" s="5"/>
      <c r="Q21" s="17">
        <v>180000</v>
      </c>
      <c r="R21" s="5"/>
      <c r="S21" s="5"/>
      <c r="T21" s="18"/>
      <c r="U21" s="5">
        <f t="shared" si="0"/>
        <v>774000</v>
      </c>
      <c r="V21" s="7">
        <f>L21-U21</f>
        <v>5826000</v>
      </c>
      <c r="W21" s="8"/>
      <c r="X21" s="9"/>
      <c r="Y21" s="8">
        <f t="shared" si="3"/>
        <v>5826000</v>
      </c>
    </row>
    <row r="22" spans="1:25" x14ac:dyDescent="0.25">
      <c r="A22" s="108"/>
      <c r="B22" s="14">
        <v>19</v>
      </c>
      <c r="C22" s="11" t="s">
        <v>44</v>
      </c>
      <c r="D22" s="6" t="s">
        <v>26</v>
      </c>
      <c r="E22" s="5">
        <v>6900000</v>
      </c>
      <c r="F22" s="12">
        <v>30</v>
      </c>
      <c r="G22" s="5">
        <f t="shared" si="6"/>
        <v>6900000</v>
      </c>
      <c r="H22" s="5"/>
      <c r="I22" s="5"/>
      <c r="J22" s="5">
        <v>1400000</v>
      </c>
      <c r="K22" s="5"/>
      <c r="L22" s="5">
        <f t="shared" ref="L22" si="17">SUM(G22:J22)+K22</f>
        <v>8300000</v>
      </c>
      <c r="M22" s="5">
        <f t="shared" ref="M22" si="18">+G22*4%</f>
        <v>276000</v>
      </c>
      <c r="N22" s="5">
        <f t="shared" ref="N22" si="19">+G22*5%</f>
        <v>345000</v>
      </c>
      <c r="O22" s="5"/>
      <c r="P22" s="5"/>
      <c r="Q22" s="17">
        <v>113000</v>
      </c>
      <c r="R22" s="5">
        <v>1300000</v>
      </c>
      <c r="S22" s="5"/>
      <c r="T22" s="18"/>
      <c r="U22" s="5">
        <f t="shared" ref="U22" si="20">SUM(M22:T22)</f>
        <v>2034000</v>
      </c>
      <c r="V22" s="7">
        <f>L22-U22</f>
        <v>6266000</v>
      </c>
      <c r="W22" s="8"/>
      <c r="X22" s="9"/>
      <c r="Y22" s="8">
        <f t="shared" si="3"/>
        <v>6266000</v>
      </c>
    </row>
    <row r="23" spans="1:25" x14ac:dyDescent="0.25">
      <c r="A23" s="108"/>
      <c r="B23" s="14"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 t="shared" si="6"/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19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08"/>
      <c r="B24" s="14"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 t="shared" si="6"/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08"/>
      <c r="B25" s="14"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6"/>
        <v>5500000</v>
      </c>
      <c r="H25" s="5"/>
      <c r="I25" s="5"/>
      <c r="J25" s="5"/>
      <c r="K25" s="5"/>
      <c r="L25" s="5">
        <f t="shared" ref="L25" si="21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2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08"/>
      <c r="B26" s="14">
        <v>23</v>
      </c>
      <c r="C26" s="11" t="s">
        <v>192</v>
      </c>
      <c r="D26" s="6"/>
      <c r="E26" s="5">
        <v>6600000</v>
      </c>
      <c r="F26" s="12">
        <v>30</v>
      </c>
      <c r="G26" s="5">
        <f t="shared" si="6"/>
        <v>6600000</v>
      </c>
      <c r="H26" s="5"/>
      <c r="I26" s="5"/>
      <c r="J26" s="5"/>
      <c r="K26" s="5">
        <v>678333</v>
      </c>
      <c r="L26" s="5">
        <f t="shared" ref="L26" si="23">SUM(G26:J26)+K26</f>
        <v>7278333</v>
      </c>
      <c r="M26" s="5">
        <f>+G26*4%</f>
        <v>264000</v>
      </c>
      <c r="N26" s="5">
        <f>+G26*5%</f>
        <v>330000</v>
      </c>
      <c r="O26" s="5"/>
      <c r="P26" s="5"/>
      <c r="Q26" s="17">
        <v>281000</v>
      </c>
      <c r="R26" s="5"/>
      <c r="S26" s="5"/>
      <c r="T26" s="5"/>
      <c r="U26" s="5">
        <f>SUM(M26:T26)</f>
        <v>875000</v>
      </c>
      <c r="V26" s="7">
        <f>+L26-U26</f>
        <v>6403333</v>
      </c>
      <c r="W26" s="8"/>
      <c r="X26" s="9"/>
      <c r="Y26" s="8">
        <f>V26+W26-X26</f>
        <v>6403333</v>
      </c>
    </row>
    <row r="27" spans="1:25" x14ac:dyDescent="0.25">
      <c r="A27" s="108"/>
      <c r="B27" s="14">
        <v>24</v>
      </c>
      <c r="C27" s="11" t="s">
        <v>49</v>
      </c>
      <c r="D27" s="6" t="s">
        <v>26</v>
      </c>
      <c r="E27" s="5">
        <v>4500000</v>
      </c>
      <c r="F27" s="12">
        <v>23</v>
      </c>
      <c r="G27" s="5">
        <f t="shared" si="6"/>
        <v>3450000</v>
      </c>
      <c r="H27" s="5"/>
      <c r="I27" s="5"/>
      <c r="J27" s="5"/>
      <c r="K27" s="5">
        <f>+E27-G27+1200000</f>
        <v>2250000</v>
      </c>
      <c r="L27" s="5">
        <f t="shared" ref="L27" si="24">SUM(G27:J27)+K27</f>
        <v>5700000</v>
      </c>
      <c r="M27" s="5">
        <f>+L27*4%</f>
        <v>228000</v>
      </c>
      <c r="N27" s="5">
        <f>+L27*5%</f>
        <v>285000</v>
      </c>
      <c r="O27" s="5"/>
      <c r="P27" s="5"/>
      <c r="Q27" s="17">
        <v>72000</v>
      </c>
      <c r="R27" s="5"/>
      <c r="S27" s="5"/>
      <c r="T27" s="5"/>
      <c r="U27" s="5">
        <f t="shared" ref="U27" si="25">SUM(M27:T27)</f>
        <v>585000</v>
      </c>
      <c r="V27" s="7">
        <f>+L27-U27</f>
        <v>5115000</v>
      </c>
      <c r="W27" s="8"/>
      <c r="X27" s="9"/>
      <c r="Y27" s="8">
        <f t="shared" ref="Y27:Y89" si="26">V27+W27-X27</f>
        <v>5115000</v>
      </c>
    </row>
    <row r="28" spans="1:25" x14ac:dyDescent="0.25">
      <c r="A28" s="108"/>
      <c r="B28" s="14">
        <v>25</v>
      </c>
      <c r="C28" s="11" t="s">
        <v>50</v>
      </c>
      <c r="D28" s="6" t="s">
        <v>26</v>
      </c>
      <c r="E28" s="5">
        <v>6000000</v>
      </c>
      <c r="F28" s="12">
        <v>29</v>
      </c>
      <c r="G28" s="5">
        <f t="shared" si="6"/>
        <v>5800000</v>
      </c>
      <c r="H28" s="5"/>
      <c r="I28" s="5"/>
      <c r="J28" s="5"/>
      <c r="K28" s="5">
        <f>+E28-G28</f>
        <v>200000</v>
      </c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26"/>
        <v>5381000</v>
      </c>
    </row>
    <row r="29" spans="1:25" ht="16.5" customHeight="1" x14ac:dyDescent="0.25">
      <c r="A29" s="108"/>
      <c r="B29" s="14"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>+E29-K29</f>
        <v>2683333</v>
      </c>
      <c r="H29" s="5"/>
      <c r="I29" s="5"/>
      <c r="J29" s="5"/>
      <c r="K29" s="5">
        <v>816667</v>
      </c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27">SUM(M29:T29)</f>
        <v>426000</v>
      </c>
      <c r="V29" s="7">
        <f>L29-U29</f>
        <v>3074000</v>
      </c>
      <c r="W29" s="8"/>
      <c r="X29" s="9"/>
      <c r="Y29" s="8">
        <f t="shared" si="26"/>
        <v>3074000</v>
      </c>
    </row>
    <row r="30" spans="1:25" x14ac:dyDescent="0.25">
      <c r="A30" s="108"/>
      <c r="B30" s="14"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 t="shared" si="6"/>
        <v>4800000</v>
      </c>
      <c r="H30" s="5"/>
      <c r="I30" s="5"/>
      <c r="J30" s="5"/>
      <c r="K30" s="5"/>
      <c r="L30" s="5">
        <f>+G30+H30+I30+J30+K30</f>
        <v>4800000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1150000</v>
      </c>
      <c r="S30" s="5"/>
      <c r="T30" s="19">
        <v>209579</v>
      </c>
      <c r="U30" s="5">
        <f t="shared" si="0"/>
        <v>1791579</v>
      </c>
      <c r="V30" s="7">
        <f>L30-U30</f>
        <v>3008421</v>
      </c>
      <c r="W30" s="8"/>
      <c r="X30" s="9"/>
      <c r="Y30" s="8">
        <f t="shared" si="26"/>
        <v>3008421</v>
      </c>
    </row>
    <row r="31" spans="1:25" ht="25.5" customHeight="1" x14ac:dyDescent="0.25">
      <c r="A31" s="108"/>
      <c r="B31" s="14">
        <v>28</v>
      </c>
      <c r="C31" s="11" t="s">
        <v>54</v>
      </c>
      <c r="D31" s="6" t="s">
        <v>26</v>
      </c>
      <c r="E31" s="5">
        <v>4280000</v>
      </c>
      <c r="F31" s="12">
        <v>19</v>
      </c>
      <c r="G31" s="5">
        <f t="shared" si="6"/>
        <v>2710666.6666666665</v>
      </c>
      <c r="H31" s="5"/>
      <c r="I31" s="5"/>
      <c r="J31" s="5"/>
      <c r="K31" s="5">
        <f>+E31-G31</f>
        <v>1569333.3333333335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26"/>
        <v>3863736</v>
      </c>
    </row>
    <row r="32" spans="1:25" x14ac:dyDescent="0.25">
      <c r="A32" s="108"/>
      <c r="B32" s="14"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 t="shared" si="6"/>
        <v>3500000</v>
      </c>
      <c r="H32" s="5"/>
      <c r="I32" s="5"/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19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26"/>
        <v>2927804</v>
      </c>
    </row>
    <row r="33" spans="1:27" x14ac:dyDescent="0.25">
      <c r="A33" s="108"/>
      <c r="B33" s="14">
        <v>30</v>
      </c>
      <c r="C33" s="11" t="s">
        <v>195</v>
      </c>
      <c r="D33" s="6"/>
      <c r="E33" s="5">
        <v>4500000</v>
      </c>
      <c r="F33" s="12">
        <v>13</v>
      </c>
      <c r="G33" s="5">
        <f t="shared" si="6"/>
        <v>1950000</v>
      </c>
      <c r="H33" s="5"/>
      <c r="I33" s="5"/>
      <c r="J33" s="5"/>
      <c r="K33" s="5">
        <v>162500</v>
      </c>
      <c r="L33" s="5">
        <f>SUM(G33:J33)+K33</f>
        <v>2112500</v>
      </c>
      <c r="M33" s="5">
        <f>+G33*4%</f>
        <v>78000</v>
      </c>
      <c r="N33" s="5">
        <f>+G33*4%</f>
        <v>78000</v>
      </c>
      <c r="O33" s="5"/>
      <c r="P33" s="5"/>
      <c r="Q33" s="5">
        <v>1400</v>
      </c>
      <c r="R33" s="5"/>
      <c r="S33" s="5"/>
      <c r="T33" s="5"/>
      <c r="U33" s="5">
        <f>SUM(M33:T33)</f>
        <v>157400</v>
      </c>
      <c r="V33" s="7">
        <f>+L33-U33</f>
        <v>1955100</v>
      </c>
      <c r="W33" s="8"/>
      <c r="X33" s="9"/>
      <c r="Y33" s="8">
        <f t="shared" si="26"/>
        <v>1955100</v>
      </c>
    </row>
    <row r="34" spans="1:27" x14ac:dyDescent="0.25">
      <c r="A34" s="108"/>
      <c r="B34" s="14">
        <v>31</v>
      </c>
      <c r="C34" s="11" t="s">
        <v>55</v>
      </c>
      <c r="D34" s="6" t="s">
        <v>26</v>
      </c>
      <c r="E34" s="5">
        <v>6000000</v>
      </c>
      <c r="F34" s="12">
        <v>30</v>
      </c>
      <c r="G34" s="5">
        <f t="shared" si="6"/>
        <v>6000000</v>
      </c>
      <c r="H34" s="5"/>
      <c r="I34" s="5"/>
      <c r="J34" s="5"/>
      <c r="K34" s="5"/>
      <c r="L34" s="5">
        <f t="shared" si="2"/>
        <v>6000000</v>
      </c>
      <c r="M34" s="5">
        <f>+L34*4%</f>
        <v>240000</v>
      </c>
      <c r="N34" s="5">
        <f>+L34*5%</f>
        <v>300000</v>
      </c>
      <c r="O34" s="5"/>
      <c r="P34" s="5"/>
      <c r="Q34" s="5">
        <v>208000</v>
      </c>
      <c r="R34" s="5"/>
      <c r="S34" s="5">
        <v>122614</v>
      </c>
      <c r="T34" s="5"/>
      <c r="U34" s="5">
        <f t="shared" si="0"/>
        <v>870614</v>
      </c>
      <c r="V34" s="7">
        <f t="shared" ref="V34:V35" si="28">+L34-U34</f>
        <v>5129386</v>
      </c>
      <c r="W34" s="8"/>
      <c r="X34" s="9"/>
      <c r="Y34" s="8">
        <f t="shared" si="26"/>
        <v>5129386</v>
      </c>
    </row>
    <row r="35" spans="1:27" x14ac:dyDescent="0.25">
      <c r="A35" s="108"/>
      <c r="B35" s="14">
        <v>32</v>
      </c>
      <c r="C35" s="11" t="s">
        <v>56</v>
      </c>
      <c r="D35" s="6" t="s">
        <v>26</v>
      </c>
      <c r="E35" s="5">
        <v>4500000</v>
      </c>
      <c r="F35" s="12">
        <v>30</v>
      </c>
      <c r="G35" s="5">
        <f t="shared" si="6"/>
        <v>4500000</v>
      </c>
      <c r="H35" s="5"/>
      <c r="I35" s="5"/>
      <c r="J35" s="5">
        <v>500000</v>
      </c>
      <c r="K35" s="5"/>
      <c r="L35" s="5">
        <f t="shared" si="2"/>
        <v>5000000</v>
      </c>
      <c r="M35" s="5">
        <f t="shared" ref="M35" si="29">+G35*4%</f>
        <v>180000</v>
      </c>
      <c r="N35" s="5">
        <f t="shared" ref="N35" si="30">+G35*5%</f>
        <v>225000</v>
      </c>
      <c r="O35" s="5"/>
      <c r="P35" s="5"/>
      <c r="Q35" s="5">
        <v>11000</v>
      </c>
      <c r="R35" s="5"/>
      <c r="S35" s="5"/>
      <c r="T35" s="19">
        <v>551399</v>
      </c>
      <c r="U35" s="5">
        <f t="shared" si="0"/>
        <v>967399</v>
      </c>
      <c r="V35" s="7">
        <f t="shared" si="28"/>
        <v>4032601</v>
      </c>
      <c r="W35" s="8"/>
      <c r="X35" s="9"/>
      <c r="Y35" s="8">
        <f t="shared" si="26"/>
        <v>4032601</v>
      </c>
    </row>
    <row r="36" spans="1:27" ht="24.75" customHeight="1" x14ac:dyDescent="0.25">
      <c r="A36" s="108"/>
      <c r="B36" s="14"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 t="shared" si="6"/>
        <v>6420000</v>
      </c>
      <c r="H36" s="5"/>
      <c r="I36" s="5"/>
      <c r="J36" s="5"/>
      <c r="K36" s="5"/>
      <c r="L36" s="5">
        <f>SUM(G36:J36)+K36</f>
        <v>6420000</v>
      </c>
      <c r="M36" s="5">
        <f>+E36*4%</f>
        <v>256800</v>
      </c>
      <c r="N36" s="5">
        <f>+E36*5%</f>
        <v>321000</v>
      </c>
      <c r="O36" s="5"/>
      <c r="P36" s="5"/>
      <c r="Q36" s="5">
        <v>231000</v>
      </c>
      <c r="R36" s="5"/>
      <c r="S36" s="5"/>
      <c r="T36" s="5"/>
      <c r="U36" s="5">
        <f t="shared" si="0"/>
        <v>808800</v>
      </c>
      <c r="V36" s="7">
        <f>+L36-U36</f>
        <v>5611200</v>
      </c>
      <c r="W36" s="8"/>
      <c r="X36" s="9"/>
      <c r="Y36" s="8">
        <f t="shared" si="26"/>
        <v>5611200</v>
      </c>
    </row>
    <row r="37" spans="1:27" x14ac:dyDescent="0.25">
      <c r="A37" s="108"/>
      <c r="B37" s="14"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 t="shared" si="6"/>
        <v>6900000</v>
      </c>
      <c r="H37" s="5"/>
      <c r="I37" s="5"/>
      <c r="J37" s="5">
        <v>1500000</v>
      </c>
      <c r="K37" s="5"/>
      <c r="L37" s="5">
        <f t="shared" ref="L37:L47" si="31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26"/>
        <v>7434000</v>
      </c>
    </row>
    <row r="38" spans="1:27" ht="19.5" customHeight="1" x14ac:dyDescent="0.25">
      <c r="A38" s="108"/>
      <c r="B38" s="14"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si="6"/>
        <v>5500000</v>
      </c>
      <c r="H38" s="5"/>
      <c r="I38" s="5"/>
      <c r="J38" s="5">
        <v>500000</v>
      </c>
      <c r="K38" s="5"/>
      <c r="L38" s="5">
        <f t="shared" ref="L38" si="32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33">SUM(M38:T38)</f>
        <v>639000</v>
      </c>
      <c r="V38" s="7">
        <f t="shared" ref="V38" si="34">L38-U38</f>
        <v>5361000</v>
      </c>
      <c r="W38" s="8"/>
      <c r="X38" s="9"/>
      <c r="Y38" s="8">
        <f t="shared" si="26"/>
        <v>5361000</v>
      </c>
    </row>
    <row r="39" spans="1:27" x14ac:dyDescent="0.25">
      <c r="A39" s="108"/>
      <c r="B39" s="14"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 t="shared" si="6"/>
        <v>5350000</v>
      </c>
      <c r="H39" s="5"/>
      <c r="I39" s="5"/>
      <c r="J39" s="5"/>
      <c r="K39" s="5"/>
      <c r="L39" s="5">
        <f t="shared" si="31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35">+L39-U39</f>
        <v>4747500</v>
      </c>
      <c r="W39" s="8"/>
      <c r="X39" s="9"/>
      <c r="Y39" s="8">
        <f t="shared" si="26"/>
        <v>4747500</v>
      </c>
    </row>
    <row r="40" spans="1:27" ht="17.25" customHeight="1" x14ac:dyDescent="0.25">
      <c r="A40" s="108"/>
      <c r="B40" s="14">
        <v>37</v>
      </c>
      <c r="C40" s="11" t="s">
        <v>148</v>
      </c>
      <c r="D40" s="6"/>
      <c r="E40" s="5">
        <v>4000000</v>
      </c>
      <c r="F40" s="12">
        <v>30</v>
      </c>
      <c r="G40" s="5">
        <f t="shared" si="6"/>
        <v>4000000.0000000005</v>
      </c>
      <c r="H40" s="5"/>
      <c r="I40" s="5"/>
      <c r="J40" s="5"/>
      <c r="K40" s="5"/>
      <c r="L40" s="5">
        <f t="shared" ref="L40" si="36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35"/>
        <v>3640000.0000000005</v>
      </c>
      <c r="W40" s="8"/>
      <c r="X40" s="9"/>
      <c r="Y40" s="8">
        <f t="shared" si="26"/>
        <v>3640000.0000000005</v>
      </c>
    </row>
    <row r="41" spans="1:27" ht="21" customHeight="1" x14ac:dyDescent="0.25">
      <c r="A41" s="108"/>
      <c r="B41" s="14"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>+E41-K41</f>
        <v>2295000</v>
      </c>
      <c r="H41" s="5"/>
      <c r="I41" s="5"/>
      <c r="J41" s="5"/>
      <c r="K41" s="5">
        <v>2205000</v>
      </c>
      <c r="L41" s="5">
        <f t="shared" si="31"/>
        <v>4500000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85">
        <v>317224</v>
      </c>
      <c r="U41" s="5">
        <f>SUM(M41:T41)</f>
        <v>732224</v>
      </c>
      <c r="V41" s="7">
        <f t="shared" si="35"/>
        <v>3767776</v>
      </c>
      <c r="W41" s="8"/>
      <c r="X41" s="9"/>
      <c r="Y41" s="8">
        <f t="shared" si="26"/>
        <v>3767776</v>
      </c>
    </row>
    <row r="42" spans="1:27" ht="26.25" customHeight="1" x14ac:dyDescent="0.25">
      <c r="A42" s="108"/>
      <c r="B42" s="14"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>+E42-K42</f>
        <v>2400000</v>
      </c>
      <c r="H42" s="5"/>
      <c r="I42" s="5"/>
      <c r="J42" s="5"/>
      <c r="K42" s="5">
        <v>2400000</v>
      </c>
      <c r="L42" s="5">
        <f t="shared" ref="L42:L43" si="37">SUM(G42:J42)+K42</f>
        <v>4800000</v>
      </c>
      <c r="M42" s="5">
        <f>+E42*4%</f>
        <v>192000</v>
      </c>
      <c r="N42" s="5">
        <f>+E42*5%</f>
        <v>240000</v>
      </c>
      <c r="O42" s="5"/>
      <c r="P42" s="5"/>
      <c r="Q42" s="5">
        <v>51000</v>
      </c>
      <c r="R42" s="5"/>
      <c r="S42" s="5"/>
      <c r="T42" s="85">
        <v>1198791</v>
      </c>
      <c r="U42" s="5">
        <f t="shared" ref="U42:U43" si="38">SUM(M42:T42)</f>
        <v>1681791</v>
      </c>
      <c r="V42" s="7">
        <f t="shared" si="35"/>
        <v>3118209</v>
      </c>
      <c r="W42" s="8"/>
      <c r="X42" s="9"/>
      <c r="Y42" s="8">
        <f t="shared" si="26"/>
        <v>3118209</v>
      </c>
    </row>
    <row r="43" spans="1:27" ht="26.25" customHeight="1" x14ac:dyDescent="0.25">
      <c r="A43" s="108"/>
      <c r="B43" s="14">
        <v>40</v>
      </c>
      <c r="C43" s="11" t="s">
        <v>66</v>
      </c>
      <c r="D43" s="6"/>
      <c r="E43" s="5">
        <v>4000000</v>
      </c>
      <c r="F43" s="12">
        <v>30</v>
      </c>
      <c r="G43" s="5">
        <f t="shared" si="6"/>
        <v>4000000.0000000005</v>
      </c>
      <c r="H43" s="5"/>
      <c r="I43" s="5"/>
      <c r="J43" s="5"/>
      <c r="K43" s="5"/>
      <c r="L43" s="5">
        <f t="shared" si="37"/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si="38"/>
        <v>364500.00000000006</v>
      </c>
      <c r="V43" s="7">
        <f t="shared" si="35"/>
        <v>3635500.0000000005</v>
      </c>
      <c r="W43" s="8"/>
      <c r="X43" s="9"/>
      <c r="Y43" s="8">
        <f t="shared" si="26"/>
        <v>3635500.0000000005</v>
      </c>
    </row>
    <row r="44" spans="1:27" ht="24" customHeight="1" x14ac:dyDescent="0.25">
      <c r="A44" s="108"/>
      <c r="B44" s="14"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6"/>
        <v>6000000</v>
      </c>
      <c r="H44" s="5"/>
      <c r="I44" s="5"/>
      <c r="J44" s="5">
        <v>400000</v>
      </c>
      <c r="K44" s="5"/>
      <c r="L44" s="5">
        <f t="shared" si="31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35"/>
        <v>5734000</v>
      </c>
      <c r="W44" s="8"/>
      <c r="X44" s="9"/>
      <c r="Y44" s="8">
        <f t="shared" si="26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08"/>
      <c r="B45" s="14">
        <v>42</v>
      </c>
      <c r="C45" s="11" t="s">
        <v>196</v>
      </c>
      <c r="D45" s="6" t="s">
        <v>26</v>
      </c>
      <c r="E45" s="5">
        <v>4500000</v>
      </c>
      <c r="F45" s="12">
        <v>13</v>
      </c>
      <c r="G45" s="5">
        <f t="shared" si="6"/>
        <v>1950000</v>
      </c>
      <c r="H45" s="5"/>
      <c r="I45" s="5"/>
      <c r="J45" s="5"/>
      <c r="K45" s="5">
        <v>162500</v>
      </c>
      <c r="L45" s="5">
        <f t="shared" ref="L45" si="39">SUM(G45:J45)+K45</f>
        <v>2112500</v>
      </c>
      <c r="M45" s="5">
        <f>+G45*4%</f>
        <v>78000</v>
      </c>
      <c r="N45" s="5">
        <f>+G45*4%</f>
        <v>78000</v>
      </c>
      <c r="O45" s="5"/>
      <c r="P45" s="5"/>
      <c r="Q45" s="5">
        <v>1400</v>
      </c>
      <c r="R45" s="5"/>
      <c r="S45" s="5"/>
      <c r="T45" s="5"/>
      <c r="U45" s="5">
        <f t="shared" ref="U45" si="40">SUM(M45:T45)</f>
        <v>157400</v>
      </c>
      <c r="V45" s="7">
        <f t="shared" ref="V45:V49" si="41">L45-U45</f>
        <v>1955100</v>
      </c>
      <c r="W45" s="8"/>
      <c r="X45" s="9"/>
      <c r="Y45" s="8">
        <f t="shared" si="26"/>
        <v>1955100</v>
      </c>
    </row>
    <row r="46" spans="1:27" ht="30.75" customHeight="1" x14ac:dyDescent="0.25">
      <c r="A46" s="108"/>
      <c r="B46" s="14">
        <v>43</v>
      </c>
      <c r="C46" s="11" t="s">
        <v>69</v>
      </c>
      <c r="D46" s="6" t="s">
        <v>26</v>
      </c>
      <c r="E46" s="5">
        <v>6000000</v>
      </c>
      <c r="F46" s="12">
        <v>30</v>
      </c>
      <c r="G46" s="5">
        <f t="shared" si="6"/>
        <v>6000000</v>
      </c>
      <c r="H46" s="5"/>
      <c r="I46" s="5"/>
      <c r="J46" s="5">
        <v>400000</v>
      </c>
      <c r="K46" s="5"/>
      <c r="L46" s="5">
        <f t="shared" si="31"/>
        <v>6400000</v>
      </c>
      <c r="M46" s="5">
        <f>+G46*4%</f>
        <v>240000</v>
      </c>
      <c r="N46" s="5">
        <f>+G46*5%</f>
        <v>300000</v>
      </c>
      <c r="O46" s="5"/>
      <c r="P46" s="5"/>
      <c r="Q46" s="5">
        <v>120000</v>
      </c>
      <c r="R46" s="5"/>
      <c r="S46" s="5"/>
      <c r="T46" s="5"/>
      <c r="U46" s="5">
        <f t="shared" si="0"/>
        <v>660000</v>
      </c>
      <c r="V46" s="7">
        <f t="shared" si="41"/>
        <v>5740000</v>
      </c>
      <c r="W46" s="8"/>
      <c r="X46" s="9"/>
      <c r="Y46" s="8">
        <f t="shared" si="26"/>
        <v>5740000</v>
      </c>
    </row>
    <row r="47" spans="1:27" ht="18" customHeight="1" x14ac:dyDescent="0.25">
      <c r="A47" s="109"/>
      <c r="B47" s="14">
        <v>44</v>
      </c>
      <c r="C47" s="11" t="s">
        <v>71</v>
      </c>
      <c r="D47" s="6" t="s">
        <v>26</v>
      </c>
      <c r="E47" s="5">
        <v>4500000</v>
      </c>
      <c r="F47" s="12">
        <v>29</v>
      </c>
      <c r="G47" s="5">
        <f t="shared" si="6"/>
        <v>4350000</v>
      </c>
      <c r="H47" s="5">
        <v>100005</v>
      </c>
      <c r="I47" s="5"/>
      <c r="J47" s="5"/>
      <c r="K47" s="5"/>
      <c r="L47" s="5">
        <f t="shared" si="31"/>
        <v>4450005</v>
      </c>
      <c r="M47" s="5">
        <v>180000</v>
      </c>
      <c r="N47" s="5">
        <v>225000</v>
      </c>
      <c r="O47" s="5"/>
      <c r="P47" s="5"/>
      <c r="Q47" s="5">
        <v>31000</v>
      </c>
      <c r="R47" s="5"/>
      <c r="S47" s="5"/>
      <c r="T47" s="5"/>
      <c r="U47" s="5">
        <f t="shared" si="0"/>
        <v>436000</v>
      </c>
      <c r="V47" s="7">
        <f t="shared" si="41"/>
        <v>4014005</v>
      </c>
      <c r="W47" s="8"/>
      <c r="X47" s="9"/>
      <c r="Y47" s="8">
        <f t="shared" si="26"/>
        <v>4014005</v>
      </c>
    </row>
    <row r="48" spans="1:27" ht="21" customHeight="1" x14ac:dyDescent="0.25">
      <c r="A48" s="107" t="s">
        <v>143</v>
      </c>
      <c r="B48" s="14">
        <v>1</v>
      </c>
      <c r="C48" s="11" t="s">
        <v>144</v>
      </c>
      <c r="D48" s="6"/>
      <c r="E48" s="5">
        <v>737717</v>
      </c>
      <c r="F48" s="12">
        <v>30</v>
      </c>
      <c r="G48" s="5">
        <f t="shared" si="6"/>
        <v>737717</v>
      </c>
      <c r="H48" s="5"/>
      <c r="I48" s="5"/>
      <c r="J48" s="5"/>
      <c r="K48" s="5"/>
      <c r="L48" s="5">
        <f t="shared" ref="L48:L77" si="42">SUM(G48:J48)+K48</f>
        <v>737717</v>
      </c>
      <c r="M48" s="5"/>
      <c r="N48" s="5"/>
      <c r="O48" s="5"/>
      <c r="P48" s="5"/>
      <c r="Q48" s="5"/>
      <c r="R48" s="5"/>
      <c r="S48" s="5"/>
      <c r="T48" s="5"/>
      <c r="U48" s="5"/>
      <c r="V48" s="7">
        <f t="shared" si="41"/>
        <v>737717</v>
      </c>
      <c r="W48" s="8"/>
      <c r="X48" s="9"/>
      <c r="Y48" s="8">
        <f t="shared" si="26"/>
        <v>737717</v>
      </c>
    </row>
    <row r="49" spans="1:25" ht="20.25" customHeight="1" x14ac:dyDescent="0.25">
      <c r="A49" s="108"/>
      <c r="B49" s="14">
        <v>2</v>
      </c>
      <c r="C49" s="11" t="s">
        <v>72</v>
      </c>
      <c r="D49" s="6" t="s">
        <v>26</v>
      </c>
      <c r="E49" s="5">
        <v>3000000</v>
      </c>
      <c r="F49" s="12">
        <v>23</v>
      </c>
      <c r="G49" s="5">
        <f t="shared" si="6"/>
        <v>2300000</v>
      </c>
      <c r="H49" s="5"/>
      <c r="I49" s="5"/>
      <c r="J49" s="5"/>
      <c r="K49" s="5">
        <f>+E49-G49</f>
        <v>700000</v>
      </c>
      <c r="L49" s="5">
        <f t="shared" si="42"/>
        <v>3000000</v>
      </c>
      <c r="M49" s="5">
        <v>120000</v>
      </c>
      <c r="N49" s="5">
        <v>150000</v>
      </c>
      <c r="O49" s="5"/>
      <c r="P49" s="5"/>
      <c r="Q49" s="5"/>
      <c r="R49" s="5"/>
      <c r="S49" s="5"/>
      <c r="T49" s="84">
        <f>481778</f>
        <v>481778</v>
      </c>
      <c r="U49" s="5">
        <f t="shared" ref="U49" si="43">SUM(M49:T49)</f>
        <v>751778</v>
      </c>
      <c r="V49" s="7">
        <f t="shared" si="41"/>
        <v>2248222</v>
      </c>
      <c r="W49" s="8"/>
      <c r="X49" s="9"/>
      <c r="Y49" s="8">
        <f t="shared" si="26"/>
        <v>2248222</v>
      </c>
    </row>
    <row r="50" spans="1:25" x14ac:dyDescent="0.25">
      <c r="A50" s="108"/>
      <c r="B50" s="14">
        <v>3</v>
      </c>
      <c r="C50" s="3" t="s">
        <v>75</v>
      </c>
      <c r="D50" s="4" t="s">
        <v>26</v>
      </c>
      <c r="E50" s="5">
        <v>2500000</v>
      </c>
      <c r="F50" s="12">
        <v>30</v>
      </c>
      <c r="G50" s="5">
        <f>+E50</f>
        <v>2500000</v>
      </c>
      <c r="H50" s="5"/>
      <c r="I50" s="5">
        <v>312500</v>
      </c>
      <c r="J50" s="5"/>
      <c r="K50" s="5"/>
      <c r="L50" s="5">
        <f>SUM(G50:J50)+K50</f>
        <v>2812500</v>
      </c>
      <c r="M50" s="5">
        <f>+E50*4%</f>
        <v>100000</v>
      </c>
      <c r="N50" s="5">
        <f>+E50*4%</f>
        <v>100000</v>
      </c>
      <c r="O50" s="5"/>
      <c r="P50" s="5"/>
      <c r="Q50" s="5"/>
      <c r="R50" s="5"/>
      <c r="S50" s="5"/>
      <c r="T50" s="5"/>
      <c r="U50" s="5">
        <f>SUM(M50:T50)</f>
        <v>200000</v>
      </c>
      <c r="V50" s="7">
        <f>L50-U50</f>
        <v>2612500</v>
      </c>
      <c r="W50" s="8"/>
      <c r="X50" s="9"/>
      <c r="Y50" s="8">
        <f t="shared" si="26"/>
        <v>2612500</v>
      </c>
    </row>
    <row r="51" spans="1:25" ht="18" customHeight="1" x14ac:dyDescent="0.25">
      <c r="A51" s="108"/>
      <c r="B51" s="14">
        <v>4</v>
      </c>
      <c r="C51" s="11" t="s">
        <v>76</v>
      </c>
      <c r="D51" s="6" t="s">
        <v>26</v>
      </c>
      <c r="E51" s="5">
        <v>3000000</v>
      </c>
      <c r="F51" s="12">
        <v>30</v>
      </c>
      <c r="G51" s="5">
        <f t="shared" si="6"/>
        <v>3000000</v>
      </c>
      <c r="H51" s="5">
        <v>0</v>
      </c>
      <c r="I51" s="5"/>
      <c r="J51" s="5"/>
      <c r="K51" s="5"/>
      <c r="L51" s="5">
        <f>SUM(G51:J51)+K51</f>
        <v>3000000</v>
      </c>
      <c r="M51" s="5">
        <f>+E51*4%</f>
        <v>120000</v>
      </c>
      <c r="N51" s="5">
        <f>+E51*5%</f>
        <v>150000</v>
      </c>
      <c r="O51" s="5"/>
      <c r="P51" s="5"/>
      <c r="Q51" s="17"/>
      <c r="R51" s="5"/>
      <c r="S51" s="5"/>
      <c r="T51" s="84"/>
      <c r="U51" s="5">
        <f>+M51+N51+T51</f>
        <v>270000</v>
      </c>
      <c r="V51" s="7">
        <f>+L51-U51</f>
        <v>2730000</v>
      </c>
      <c r="W51" s="8"/>
      <c r="X51" s="9"/>
      <c r="Y51" s="8">
        <f t="shared" si="26"/>
        <v>2730000</v>
      </c>
    </row>
    <row r="52" spans="1:25" ht="24" x14ac:dyDescent="0.25">
      <c r="A52" s="108"/>
      <c r="B52" s="14">
        <v>5</v>
      </c>
      <c r="C52" s="11" t="s">
        <v>80</v>
      </c>
      <c r="D52" s="6" t="s">
        <v>26</v>
      </c>
      <c r="E52" s="5">
        <v>1500000</v>
      </c>
      <c r="F52" s="12">
        <v>29</v>
      </c>
      <c r="G52" s="5">
        <f t="shared" si="6"/>
        <v>1450000</v>
      </c>
      <c r="H52" s="5"/>
      <c r="I52" s="5"/>
      <c r="J52" s="5"/>
      <c r="K52" s="5">
        <f>+E52-G52</f>
        <v>50000</v>
      </c>
      <c r="L52" s="5">
        <f t="shared" ref="L52" si="44">SUM(G52:J52)+K52</f>
        <v>1500000</v>
      </c>
      <c r="M52" s="5">
        <f>+E52*4%</f>
        <v>60000</v>
      </c>
      <c r="N52" s="5">
        <f>+E52*4%</f>
        <v>60000</v>
      </c>
      <c r="O52" s="5"/>
      <c r="P52" s="5"/>
      <c r="Q52" s="17"/>
      <c r="R52" s="5"/>
      <c r="S52" s="5"/>
      <c r="T52" s="5"/>
      <c r="U52" s="5">
        <f t="shared" ref="U52" si="45">SUM(M52:T52)</f>
        <v>120000</v>
      </c>
      <c r="V52" s="7">
        <f t="shared" ref="V52:V60" si="46">+L52-U52</f>
        <v>1380000</v>
      </c>
      <c r="W52" s="8"/>
      <c r="X52" s="9"/>
      <c r="Y52" s="8">
        <f t="shared" si="26"/>
        <v>1380000</v>
      </c>
    </row>
    <row r="53" spans="1:25" ht="21.75" customHeight="1" x14ac:dyDescent="0.25">
      <c r="A53" s="108"/>
      <c r="B53" s="14">
        <v>6</v>
      </c>
      <c r="C53" s="11" t="s">
        <v>81</v>
      </c>
      <c r="D53" s="6" t="s">
        <v>26</v>
      </c>
      <c r="E53" s="5">
        <v>1800000</v>
      </c>
      <c r="F53" s="12">
        <v>23</v>
      </c>
      <c r="G53" s="5">
        <f t="shared" si="6"/>
        <v>1380000</v>
      </c>
      <c r="H53" s="5">
        <v>0</v>
      </c>
      <c r="I53" s="5"/>
      <c r="J53" s="5"/>
      <c r="K53" s="5">
        <f>+E53-G53</f>
        <v>420000</v>
      </c>
      <c r="L53" s="5">
        <f t="shared" si="42"/>
        <v>1800000</v>
      </c>
      <c r="M53" s="5">
        <f>+E53*4%</f>
        <v>72000</v>
      </c>
      <c r="N53" s="5">
        <f>+E53*4%</f>
        <v>72000</v>
      </c>
      <c r="O53" s="5"/>
      <c r="P53" s="5"/>
      <c r="Q53" s="5">
        <v>0</v>
      </c>
      <c r="R53" s="5"/>
      <c r="S53" s="5"/>
      <c r="T53" s="5"/>
      <c r="U53" s="5">
        <f t="shared" ref="U53:U108" si="47">SUM(M53:T53)</f>
        <v>144000</v>
      </c>
      <c r="V53" s="7">
        <f t="shared" si="46"/>
        <v>1656000</v>
      </c>
      <c r="W53" s="8"/>
      <c r="X53" s="9"/>
      <c r="Y53" s="8">
        <f t="shared" si="26"/>
        <v>1656000</v>
      </c>
    </row>
    <row r="54" spans="1:25" ht="21.75" customHeight="1" x14ac:dyDescent="0.25">
      <c r="A54" s="108"/>
      <c r="B54" s="14">
        <v>7</v>
      </c>
      <c r="C54" s="11" t="s">
        <v>82</v>
      </c>
      <c r="D54" s="6" t="s">
        <v>26</v>
      </c>
      <c r="E54" s="5">
        <v>737717</v>
      </c>
      <c r="F54" s="12">
        <v>30</v>
      </c>
      <c r="G54" s="5">
        <f t="shared" si="6"/>
        <v>737717</v>
      </c>
      <c r="H54" s="5">
        <v>83140</v>
      </c>
      <c r="I54" s="5"/>
      <c r="J54" s="5"/>
      <c r="K54" s="5"/>
      <c r="L54" s="5">
        <f t="shared" ref="L54" si="48">SUM(G54:J54)+K54</f>
        <v>820857</v>
      </c>
      <c r="M54" s="5">
        <v>29509</v>
      </c>
      <c r="N54" s="5">
        <v>29509</v>
      </c>
      <c r="O54" s="5"/>
      <c r="P54" s="5"/>
      <c r="Q54" s="17"/>
      <c r="R54" s="5"/>
      <c r="S54" s="5"/>
      <c r="T54" s="5"/>
      <c r="U54" s="5">
        <f t="shared" si="47"/>
        <v>59018</v>
      </c>
      <c r="V54" s="7">
        <f t="shared" si="46"/>
        <v>761839</v>
      </c>
      <c r="W54" s="8"/>
      <c r="X54" s="9"/>
      <c r="Y54" s="8">
        <f t="shared" si="26"/>
        <v>761839</v>
      </c>
    </row>
    <row r="55" spans="1:25" ht="21" customHeight="1" x14ac:dyDescent="0.25">
      <c r="A55" s="108"/>
      <c r="B55" s="14">
        <v>8</v>
      </c>
      <c r="C55" s="11" t="s">
        <v>182</v>
      </c>
      <c r="D55" s="6"/>
      <c r="E55" s="5">
        <v>3000000</v>
      </c>
      <c r="F55" s="12">
        <v>30</v>
      </c>
      <c r="G55" s="5">
        <f>+E55/30*F55</f>
        <v>3000000</v>
      </c>
      <c r="H55" s="5"/>
      <c r="I55" s="5"/>
      <c r="J55" s="5"/>
      <c r="K55" s="5"/>
      <c r="L55" s="5">
        <f>SUM(G55:J55)+K55</f>
        <v>3000000</v>
      </c>
      <c r="M55" s="5">
        <f>+G55*4%</f>
        <v>120000</v>
      </c>
      <c r="N55" s="5">
        <f>+G55*4%</f>
        <v>120000</v>
      </c>
      <c r="O55" s="5"/>
      <c r="P55" s="5"/>
      <c r="Q55" s="5"/>
      <c r="R55" s="5"/>
      <c r="S55" s="5"/>
      <c r="T55" s="5"/>
      <c r="U55" s="5">
        <f>SUM(M55:T55)</f>
        <v>240000</v>
      </c>
      <c r="V55" s="7">
        <f>+L55-U55</f>
        <v>2760000</v>
      </c>
      <c r="W55" s="8"/>
      <c r="X55" s="9"/>
      <c r="Y55" s="8">
        <f t="shared" si="26"/>
        <v>2760000</v>
      </c>
    </row>
    <row r="56" spans="1:25" ht="17.25" customHeight="1" x14ac:dyDescent="0.25">
      <c r="A56" s="108"/>
      <c r="B56" s="14">
        <v>9</v>
      </c>
      <c r="C56" s="11" t="s">
        <v>83</v>
      </c>
      <c r="D56" s="6" t="s">
        <v>26</v>
      </c>
      <c r="E56" s="5">
        <v>3500000</v>
      </c>
      <c r="F56" s="12">
        <v>30</v>
      </c>
      <c r="G56" s="5">
        <f>+E56-K56</f>
        <v>3500000</v>
      </c>
      <c r="H56" s="5"/>
      <c r="I56" s="5"/>
      <c r="J56" s="5"/>
      <c r="K56" s="5"/>
      <c r="L56" s="5">
        <f t="shared" ref="L56" si="49">SUM(G56:J56)+K56</f>
        <v>3500000</v>
      </c>
      <c r="M56" s="5">
        <f>+E56*4%</f>
        <v>140000</v>
      </c>
      <c r="N56" s="5">
        <f>+E56*5%</f>
        <v>175000</v>
      </c>
      <c r="O56" s="5"/>
      <c r="P56" s="5"/>
      <c r="Q56" s="5">
        <v>0</v>
      </c>
      <c r="R56" s="5"/>
      <c r="S56" s="5"/>
      <c r="T56" s="5">
        <v>774624</v>
      </c>
      <c r="U56" s="5">
        <f t="shared" ref="U56" si="50">SUM(M56:T56)</f>
        <v>1089624</v>
      </c>
      <c r="V56" s="7">
        <f t="shared" si="46"/>
        <v>2410376</v>
      </c>
      <c r="W56" s="8"/>
      <c r="X56" s="9"/>
      <c r="Y56" s="8">
        <f t="shared" si="26"/>
        <v>2410376</v>
      </c>
    </row>
    <row r="57" spans="1:25" ht="17.25" customHeight="1" x14ac:dyDescent="0.25">
      <c r="A57" s="108"/>
      <c r="B57" s="14">
        <v>10</v>
      </c>
      <c r="C57" s="11" t="s">
        <v>84</v>
      </c>
      <c r="D57" s="6" t="s">
        <v>26</v>
      </c>
      <c r="E57" s="5">
        <v>2500000</v>
      </c>
      <c r="F57" s="12">
        <v>23</v>
      </c>
      <c r="G57" s="5">
        <f t="shared" si="6"/>
        <v>1916666.6666666665</v>
      </c>
      <c r="H57" s="5"/>
      <c r="I57" s="5"/>
      <c r="J57" s="5">
        <v>700000</v>
      </c>
      <c r="K57" s="5">
        <f>+E57-G57</f>
        <v>583333.33333333349</v>
      </c>
      <c r="L57" s="5">
        <f>SUM(G57:J57)+K57</f>
        <v>3200000</v>
      </c>
      <c r="M57" s="5">
        <f>+G57*4%</f>
        <v>76666.666666666657</v>
      </c>
      <c r="N57" s="5">
        <f>+G57*4%</f>
        <v>76666.666666666657</v>
      </c>
      <c r="O57" s="5"/>
      <c r="P57" s="5"/>
      <c r="Q57" s="5">
        <v>0</v>
      </c>
      <c r="R57" s="5"/>
      <c r="S57" s="5"/>
      <c r="T57" s="5">
        <v>200210</v>
      </c>
      <c r="U57" s="5">
        <f t="shared" si="47"/>
        <v>353543.33333333331</v>
      </c>
      <c r="V57" s="7">
        <f t="shared" si="46"/>
        <v>2846456.6666666665</v>
      </c>
      <c r="W57" s="8"/>
      <c r="X57" s="9"/>
      <c r="Y57" s="8">
        <f t="shared" si="26"/>
        <v>2846456.6666666665</v>
      </c>
    </row>
    <row r="58" spans="1:25" ht="17.25" customHeight="1" x14ac:dyDescent="0.25">
      <c r="A58" s="108"/>
      <c r="B58" s="14">
        <v>11</v>
      </c>
      <c r="C58" s="11" t="s">
        <v>86</v>
      </c>
      <c r="D58" s="6" t="s">
        <v>26</v>
      </c>
      <c r="E58" s="5">
        <v>1500000</v>
      </c>
      <c r="F58" s="12">
        <v>23</v>
      </c>
      <c r="G58" s="5">
        <f>E58/30*F58</f>
        <v>1150000</v>
      </c>
      <c r="H58" s="5"/>
      <c r="I58" s="5"/>
      <c r="J58" s="5"/>
      <c r="K58" s="5">
        <f>+E58-G58</f>
        <v>350000</v>
      </c>
      <c r="L58" s="5">
        <f t="shared" ref="L58:L59" si="51">SUM(G58:J58)+K58</f>
        <v>1500000</v>
      </c>
      <c r="M58" s="5">
        <f>+E58*4%</f>
        <v>60000</v>
      </c>
      <c r="N58" s="5">
        <f>+E58*4%</f>
        <v>60000</v>
      </c>
      <c r="O58" s="5">
        <v>0</v>
      </c>
      <c r="P58" s="5"/>
      <c r="Q58" s="5">
        <v>0</v>
      </c>
      <c r="R58" s="5"/>
      <c r="S58" s="5"/>
      <c r="T58" s="5">
        <v>422966</v>
      </c>
      <c r="U58" s="5">
        <f t="shared" ref="U58" si="52">SUM(M58:T58)</f>
        <v>542966</v>
      </c>
      <c r="V58" s="7">
        <f t="shared" si="46"/>
        <v>957034</v>
      </c>
      <c r="W58" s="8"/>
      <c r="X58" s="9"/>
      <c r="Y58" s="8">
        <f t="shared" si="26"/>
        <v>957034</v>
      </c>
    </row>
    <row r="59" spans="1:25" ht="17.25" customHeight="1" x14ac:dyDescent="0.25">
      <c r="A59" s="108"/>
      <c r="B59" s="14">
        <v>12</v>
      </c>
      <c r="C59" s="11" t="s">
        <v>174</v>
      </c>
      <c r="D59" s="6" t="s">
        <v>26</v>
      </c>
      <c r="E59" s="5">
        <v>737717</v>
      </c>
      <c r="F59" s="12">
        <v>23</v>
      </c>
      <c r="G59" s="5">
        <f>E59/30*F59</f>
        <v>565583.03333333333</v>
      </c>
      <c r="H59" s="5">
        <v>83140</v>
      </c>
      <c r="I59" s="5"/>
      <c r="J59" s="5"/>
      <c r="K59" s="5">
        <f>+E59-G59</f>
        <v>172133.96666666667</v>
      </c>
      <c r="L59" s="5">
        <f t="shared" si="51"/>
        <v>820857</v>
      </c>
      <c r="M59" s="5">
        <f>+E59*4%</f>
        <v>29508.68</v>
      </c>
      <c r="N59" s="5">
        <f>+E59*4%</f>
        <v>29508.68</v>
      </c>
      <c r="O59" s="5"/>
      <c r="P59" s="5"/>
      <c r="Q59" s="5">
        <v>0</v>
      </c>
      <c r="R59" s="5"/>
      <c r="S59" s="5"/>
      <c r="T59" s="5"/>
      <c r="U59" s="5">
        <v>59018</v>
      </c>
      <c r="V59" s="7">
        <f t="shared" si="46"/>
        <v>761839</v>
      </c>
      <c r="W59" s="8"/>
      <c r="X59" s="9"/>
      <c r="Y59" s="8">
        <f t="shared" si="26"/>
        <v>761839</v>
      </c>
    </row>
    <row r="60" spans="1:25" ht="24" x14ac:dyDescent="0.25">
      <c r="A60" s="108"/>
      <c r="B60" s="14">
        <v>13</v>
      </c>
      <c r="C60" s="11" t="s">
        <v>87</v>
      </c>
      <c r="D60" s="6" t="s">
        <v>26</v>
      </c>
      <c r="E60" s="5">
        <v>3000000</v>
      </c>
      <c r="F60" s="12">
        <v>29</v>
      </c>
      <c r="G60" s="5">
        <f>E60/30*F60</f>
        <v>2900000</v>
      </c>
      <c r="H60" s="5">
        <v>66670</v>
      </c>
      <c r="I60" s="5"/>
      <c r="J60" s="5">
        <v>200000</v>
      </c>
      <c r="K60" s="5"/>
      <c r="L60" s="5">
        <f t="shared" si="42"/>
        <v>3166670</v>
      </c>
      <c r="M60" s="5">
        <f>+E60*4%</f>
        <v>120000</v>
      </c>
      <c r="N60" s="5">
        <f>+E60*0.05</f>
        <v>150000</v>
      </c>
      <c r="O60" s="5"/>
      <c r="P60" s="5"/>
      <c r="Q60" s="5">
        <v>0</v>
      </c>
      <c r="R60" s="5"/>
      <c r="S60" s="5"/>
      <c r="T60" s="5">
        <v>323803</v>
      </c>
      <c r="U60" s="5">
        <f t="shared" si="47"/>
        <v>593803</v>
      </c>
      <c r="V60" s="7">
        <f t="shared" si="46"/>
        <v>2572867</v>
      </c>
      <c r="W60" s="8"/>
      <c r="X60" s="9"/>
      <c r="Y60" s="8">
        <f t="shared" si="26"/>
        <v>2572867</v>
      </c>
    </row>
    <row r="61" spans="1:25" ht="18.75" customHeight="1" x14ac:dyDescent="0.25">
      <c r="A61" s="108"/>
      <c r="B61" s="14">
        <v>14</v>
      </c>
      <c r="C61" s="11" t="s">
        <v>188</v>
      </c>
      <c r="D61" s="6"/>
      <c r="E61" s="5">
        <v>2000000</v>
      </c>
      <c r="F61" s="12">
        <v>30</v>
      </c>
      <c r="G61" s="5">
        <f>+E61</f>
        <v>2000000</v>
      </c>
      <c r="H61" s="5"/>
      <c r="I61" s="5"/>
      <c r="J61" s="5"/>
      <c r="K61" s="5"/>
      <c r="L61" s="5">
        <f t="shared" si="42"/>
        <v>2000000</v>
      </c>
      <c r="M61" s="5">
        <f>+G61*4%</f>
        <v>80000</v>
      </c>
      <c r="N61" s="5">
        <f>+G61*4%</f>
        <v>80000</v>
      </c>
      <c r="O61" s="5"/>
      <c r="P61" s="5"/>
      <c r="Q61" s="5">
        <v>0</v>
      </c>
      <c r="R61" s="5"/>
      <c r="S61" s="5"/>
      <c r="T61" s="5"/>
      <c r="U61" s="5">
        <f>SUM(M61:T61)</f>
        <v>160000</v>
      </c>
      <c r="V61" s="7">
        <f>+L61-U61</f>
        <v>1840000</v>
      </c>
      <c r="W61" s="8"/>
      <c r="X61" s="9"/>
      <c r="Y61" s="8">
        <f t="shared" si="26"/>
        <v>1840000</v>
      </c>
    </row>
    <row r="62" spans="1:25" x14ac:dyDescent="0.25">
      <c r="A62" s="108"/>
      <c r="B62" s="14">
        <v>15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/>
      <c r="L62" s="5">
        <f t="shared" si="42"/>
        <v>3500000</v>
      </c>
      <c r="M62" s="5">
        <f>+L62*4%</f>
        <v>140000</v>
      </c>
      <c r="N62" s="5">
        <f>+L62*5%</f>
        <v>175000</v>
      </c>
      <c r="O62" s="5"/>
      <c r="P62" s="5"/>
      <c r="Q62" s="5">
        <v>0</v>
      </c>
      <c r="R62" s="5"/>
      <c r="S62" s="5"/>
      <c r="T62" s="5"/>
      <c r="U62" s="5">
        <f t="shared" si="47"/>
        <v>315000</v>
      </c>
      <c r="V62" s="7">
        <f t="shared" ref="V62:V72" si="53">L62-U62</f>
        <v>3185000</v>
      </c>
      <c r="W62" s="8"/>
      <c r="X62" s="9"/>
      <c r="Y62" s="8">
        <f t="shared" si="26"/>
        <v>3185000</v>
      </c>
    </row>
    <row r="63" spans="1:25" s="83" customFormat="1" x14ac:dyDescent="0.25">
      <c r="A63" s="108"/>
      <c r="B63" s="76">
        <v>16</v>
      </c>
      <c r="C63" s="77" t="s">
        <v>89</v>
      </c>
      <c r="D63" s="78" t="s">
        <v>26</v>
      </c>
      <c r="E63" s="19">
        <v>4000000</v>
      </c>
      <c r="F63" s="79">
        <v>30</v>
      </c>
      <c r="G63" s="19">
        <f t="shared" ref="G63:G109" si="54">E63/30*F63</f>
        <v>4000000.0000000005</v>
      </c>
      <c r="H63" s="19"/>
      <c r="I63" s="19">
        <v>2062417</v>
      </c>
      <c r="J63" s="19">
        <v>300000</v>
      </c>
      <c r="K63" s="19"/>
      <c r="L63" s="19">
        <f>SUM(G63:J63)+K63</f>
        <v>6362417</v>
      </c>
      <c r="M63" s="19">
        <f>6062417*4%</f>
        <v>242496.68</v>
      </c>
      <c r="N63" s="19">
        <f>+(G63+I63)*5%</f>
        <v>303120.85000000003</v>
      </c>
      <c r="O63" s="19"/>
      <c r="P63" s="19"/>
      <c r="Q63" s="19">
        <v>3000</v>
      </c>
      <c r="R63" s="19"/>
      <c r="S63" s="19"/>
      <c r="T63" s="19">
        <v>879143</v>
      </c>
      <c r="U63" s="19">
        <f t="shared" si="47"/>
        <v>1427760.53</v>
      </c>
      <c r="V63" s="80">
        <f t="shared" si="53"/>
        <v>4934656.47</v>
      </c>
      <c r="W63" s="81"/>
      <c r="X63" s="82"/>
      <c r="Y63" s="81">
        <f t="shared" si="26"/>
        <v>4934656.47</v>
      </c>
    </row>
    <row r="64" spans="1:25" x14ac:dyDescent="0.25">
      <c r="A64" s="108"/>
      <c r="B64" s="14">
        <v>17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54"/>
        <v>800000</v>
      </c>
      <c r="H64" s="5">
        <f>+(83140/30)*F64</f>
        <v>83140</v>
      </c>
      <c r="I64" s="5"/>
      <c r="J64" s="5"/>
      <c r="K64" s="5"/>
      <c r="L64" s="5">
        <f t="shared" si="42"/>
        <v>883140</v>
      </c>
      <c r="M64" s="5">
        <f>+G64*4%</f>
        <v>32000</v>
      </c>
      <c r="N64" s="5">
        <f>+G64*4%</f>
        <v>32000</v>
      </c>
      <c r="O64" s="5"/>
      <c r="P64" s="5"/>
      <c r="Q64" s="5"/>
      <c r="R64" s="5"/>
      <c r="S64" s="5"/>
      <c r="T64" s="5"/>
      <c r="U64" s="5">
        <f t="shared" si="47"/>
        <v>64000</v>
      </c>
      <c r="V64" s="7">
        <f t="shared" si="53"/>
        <v>819140</v>
      </c>
      <c r="W64" s="8"/>
      <c r="X64" s="9"/>
      <c r="Y64" s="8">
        <f t="shared" si="26"/>
        <v>819140</v>
      </c>
    </row>
    <row r="65" spans="1:28" ht="17.25" customHeight="1" x14ac:dyDescent="0.25">
      <c r="A65" s="108"/>
      <c r="B65" s="14">
        <v>18</v>
      </c>
      <c r="C65" s="11" t="s">
        <v>91</v>
      </c>
      <c r="D65" s="6" t="s">
        <v>26</v>
      </c>
      <c r="E65" s="5">
        <v>4200000</v>
      </c>
      <c r="F65" s="12">
        <v>18</v>
      </c>
      <c r="G65" s="5">
        <f>+E65-K65-140000</f>
        <v>2258889</v>
      </c>
      <c r="H65" s="5">
        <v>93338</v>
      </c>
      <c r="I65" s="5"/>
      <c r="J65" s="5"/>
      <c r="K65" s="5">
        <v>1801111</v>
      </c>
      <c r="L65" s="5">
        <f t="shared" si="42"/>
        <v>4153338</v>
      </c>
      <c r="M65" s="5">
        <f>+E65*0.04</f>
        <v>168000</v>
      </c>
      <c r="N65" s="5">
        <f>+E65*0.05</f>
        <v>210000</v>
      </c>
      <c r="O65" s="5"/>
      <c r="P65" s="5"/>
      <c r="Q65" s="5">
        <v>0</v>
      </c>
      <c r="R65" s="5"/>
      <c r="S65" s="5"/>
      <c r="T65" s="5"/>
      <c r="U65" s="5">
        <f>SUM(M65:T65)</f>
        <v>378000</v>
      </c>
      <c r="V65" s="7">
        <f>L65-U65</f>
        <v>3775338</v>
      </c>
      <c r="W65" s="8"/>
      <c r="X65" s="9"/>
      <c r="Y65" s="8">
        <f t="shared" si="26"/>
        <v>3775338</v>
      </c>
    </row>
    <row r="66" spans="1:28" ht="17.25" customHeight="1" x14ac:dyDescent="0.25">
      <c r="A66" s="108"/>
      <c r="B66" s="14">
        <v>19</v>
      </c>
      <c r="C66" s="11" t="s">
        <v>92</v>
      </c>
      <c r="D66" s="6" t="s">
        <v>26</v>
      </c>
      <c r="E66" s="5">
        <v>1550000</v>
      </c>
      <c r="F66" s="12">
        <v>23</v>
      </c>
      <c r="G66" s="5">
        <f t="shared" si="54"/>
        <v>1188333.3333333333</v>
      </c>
      <c r="H66" s="5"/>
      <c r="I66" s="5"/>
      <c r="J66" s="5"/>
      <c r="K66" s="5">
        <f>+E66-G66</f>
        <v>361666.66666666674</v>
      </c>
      <c r="L66" s="5">
        <f t="shared" ref="L66:L68" si="55">SUM(G66:J66)+K66</f>
        <v>1550000</v>
      </c>
      <c r="M66" s="5">
        <f>+E66*4%</f>
        <v>62000</v>
      </c>
      <c r="N66" s="5">
        <f>+E66*4%</f>
        <v>62000</v>
      </c>
      <c r="O66" s="5"/>
      <c r="P66" s="5"/>
      <c r="Q66" s="5"/>
      <c r="R66" s="5"/>
      <c r="S66" s="5"/>
      <c r="T66" s="5"/>
      <c r="U66" s="5">
        <f t="shared" ref="U66:U68" si="56">SUM(M66:T66)</f>
        <v>124000</v>
      </c>
      <c r="V66" s="7">
        <f t="shared" si="53"/>
        <v>1426000</v>
      </c>
      <c r="W66" s="8"/>
      <c r="X66" s="9"/>
      <c r="Y66" s="8">
        <f t="shared" si="26"/>
        <v>1426000</v>
      </c>
    </row>
    <row r="67" spans="1:28" ht="17.25" customHeight="1" x14ac:dyDescent="0.25">
      <c r="A67" s="108"/>
      <c r="B67" s="14">
        <v>20</v>
      </c>
      <c r="C67" s="11" t="s">
        <v>93</v>
      </c>
      <c r="D67" s="6"/>
      <c r="E67" s="5">
        <v>1200000</v>
      </c>
      <c r="F67" s="12">
        <v>30</v>
      </c>
      <c r="G67" s="5">
        <f t="shared" si="54"/>
        <v>1200000</v>
      </c>
      <c r="H67" s="5">
        <f>+(83140/30)*F67</f>
        <v>83140</v>
      </c>
      <c r="I67" s="5"/>
      <c r="J67" s="5"/>
      <c r="K67" s="5">
        <f t="shared" ref="K67:K68" si="57">+E67-G67</f>
        <v>0</v>
      </c>
      <c r="L67" s="5">
        <f t="shared" ref="L67" si="58">SUM(G67:J67)+K67</f>
        <v>1283140</v>
      </c>
      <c r="M67" s="5">
        <f>+G67*4%</f>
        <v>48000</v>
      </c>
      <c r="N67" s="5">
        <f>+G67*4%</f>
        <v>48000</v>
      </c>
      <c r="O67" s="5"/>
      <c r="P67" s="5"/>
      <c r="Q67" s="5"/>
      <c r="R67" s="5"/>
      <c r="S67" s="5"/>
      <c r="T67" s="5"/>
      <c r="U67" s="5">
        <f t="shared" ref="U67" si="59">SUM(M67:T67)</f>
        <v>96000</v>
      </c>
      <c r="V67" s="7">
        <f t="shared" si="53"/>
        <v>1187140</v>
      </c>
      <c r="W67" s="8"/>
      <c r="X67" s="9"/>
      <c r="Y67" s="8">
        <f t="shared" si="26"/>
        <v>1187140</v>
      </c>
    </row>
    <row r="68" spans="1:28" ht="20.25" customHeight="1" x14ac:dyDescent="0.25">
      <c r="A68" s="108"/>
      <c r="B68" s="14">
        <v>21</v>
      </c>
      <c r="C68" s="11" t="s">
        <v>165</v>
      </c>
      <c r="D68" s="6" t="s">
        <v>26</v>
      </c>
      <c r="E68" s="5">
        <v>1500000</v>
      </c>
      <c r="F68" s="12">
        <v>23</v>
      </c>
      <c r="G68" s="5">
        <f t="shared" si="54"/>
        <v>1150000</v>
      </c>
      <c r="H68" s="5"/>
      <c r="I68" s="5"/>
      <c r="J68" s="5"/>
      <c r="K68" s="5">
        <f t="shared" si="57"/>
        <v>350000</v>
      </c>
      <c r="L68" s="5">
        <f t="shared" si="55"/>
        <v>1500000</v>
      </c>
      <c r="M68" s="5">
        <f>+E68*4%</f>
        <v>60000</v>
      </c>
      <c r="N68" s="5">
        <f>+E68*4%</f>
        <v>60000</v>
      </c>
      <c r="O68" s="5"/>
      <c r="P68" s="5"/>
      <c r="Q68" s="5"/>
      <c r="R68" s="5"/>
      <c r="S68" s="5"/>
      <c r="T68" s="5"/>
      <c r="U68" s="5">
        <f t="shared" si="56"/>
        <v>120000</v>
      </c>
      <c r="V68" s="7">
        <f>L68-U68</f>
        <v>1380000</v>
      </c>
      <c r="W68" s="8"/>
      <c r="X68" s="9"/>
      <c r="Y68" s="8">
        <f t="shared" si="26"/>
        <v>1380000</v>
      </c>
    </row>
    <row r="69" spans="1:28" ht="29.25" customHeight="1" x14ac:dyDescent="0.25">
      <c r="A69" s="108"/>
      <c r="B69" s="14">
        <v>22</v>
      </c>
      <c r="C69" s="11" t="s">
        <v>166</v>
      </c>
      <c r="D69" s="6" t="s">
        <v>26</v>
      </c>
      <c r="E69" s="5">
        <v>2500000</v>
      </c>
      <c r="F69" s="12">
        <v>24</v>
      </c>
      <c r="G69" s="5">
        <f t="shared" si="54"/>
        <v>2000000</v>
      </c>
      <c r="H69" s="5"/>
      <c r="I69" s="5"/>
      <c r="J69" s="5"/>
      <c r="K69" s="5">
        <f>+E69-G69</f>
        <v>500000</v>
      </c>
      <c r="L69" s="5">
        <f t="shared" si="42"/>
        <v>2500000</v>
      </c>
      <c r="M69" s="5">
        <f>+E69*4%</f>
        <v>100000</v>
      </c>
      <c r="N69" s="5">
        <f>+E69*4%</f>
        <v>100000</v>
      </c>
      <c r="O69" s="5"/>
      <c r="P69" s="5"/>
      <c r="Q69" s="5">
        <v>0</v>
      </c>
      <c r="R69" s="5"/>
      <c r="S69" s="5"/>
      <c r="T69" s="5"/>
      <c r="U69" s="5">
        <f>SUM(M69:T69)</f>
        <v>200000</v>
      </c>
      <c r="V69" s="7">
        <f>L69-U69</f>
        <v>2300000</v>
      </c>
      <c r="W69" s="8"/>
      <c r="X69" s="9"/>
      <c r="Y69" s="8">
        <f t="shared" si="26"/>
        <v>2300000</v>
      </c>
      <c r="AB69" s="10">
        <f>1196000+644000</f>
        <v>1840000</v>
      </c>
    </row>
    <row r="70" spans="1:28" ht="25.5" customHeight="1" x14ac:dyDescent="0.25">
      <c r="A70" s="108"/>
      <c r="B70" s="14">
        <v>23</v>
      </c>
      <c r="C70" s="11" t="s">
        <v>155</v>
      </c>
      <c r="D70" s="6"/>
      <c r="E70" s="5">
        <v>368858</v>
      </c>
      <c r="F70" s="12">
        <v>30</v>
      </c>
      <c r="G70" s="5">
        <f t="shared" si="54"/>
        <v>368858</v>
      </c>
      <c r="H70" s="5"/>
      <c r="I70" s="5"/>
      <c r="J70" s="5"/>
      <c r="K70" s="5"/>
      <c r="L70" s="5">
        <f t="shared" ref="L70" si="60">SUM(G70:J70)+K70</f>
        <v>368858</v>
      </c>
      <c r="M70" s="5"/>
      <c r="N70" s="5"/>
      <c r="O70" s="5"/>
      <c r="P70" s="5"/>
      <c r="Q70" s="5"/>
      <c r="R70" s="5"/>
      <c r="S70" s="5"/>
      <c r="T70" s="5"/>
      <c r="U70" s="5">
        <f t="shared" ref="U70" si="61">SUM(M70:T70)</f>
        <v>0</v>
      </c>
      <c r="V70" s="7">
        <f t="shared" ref="V70" si="62">L70-U70</f>
        <v>368858</v>
      </c>
      <c r="W70" s="8"/>
      <c r="X70" s="9"/>
      <c r="Y70" s="8">
        <f t="shared" si="26"/>
        <v>368858</v>
      </c>
    </row>
    <row r="71" spans="1:28" x14ac:dyDescent="0.25">
      <c r="A71" s="108"/>
      <c r="B71" s="14">
        <v>24</v>
      </c>
      <c r="C71" s="3" t="s">
        <v>100</v>
      </c>
      <c r="D71" s="4" t="s">
        <v>26</v>
      </c>
      <c r="E71" s="5">
        <v>800000</v>
      </c>
      <c r="F71" s="12">
        <v>30</v>
      </c>
      <c r="G71" s="5">
        <f t="shared" si="54"/>
        <v>800000</v>
      </c>
      <c r="H71" s="5">
        <f>+(83140/30)*F71</f>
        <v>83140</v>
      </c>
      <c r="I71" s="5"/>
      <c r="J71" s="5"/>
      <c r="K71" s="5"/>
      <c r="L71" s="5">
        <f t="shared" si="42"/>
        <v>883140</v>
      </c>
      <c r="M71" s="5">
        <f>+G71*4%</f>
        <v>32000</v>
      </c>
      <c r="N71" s="5">
        <f>+G71*4%</f>
        <v>32000</v>
      </c>
      <c r="O71" s="5"/>
      <c r="P71" s="5"/>
      <c r="Q71" s="5"/>
      <c r="R71" s="5"/>
      <c r="S71" s="5"/>
      <c r="T71" s="5"/>
      <c r="U71" s="5">
        <f t="shared" si="47"/>
        <v>64000</v>
      </c>
      <c r="V71" s="7">
        <f t="shared" si="53"/>
        <v>819140</v>
      </c>
      <c r="W71" s="8"/>
      <c r="X71" s="9"/>
      <c r="Y71" s="8">
        <f t="shared" si="26"/>
        <v>819140</v>
      </c>
      <c r="AB71" s="10">
        <f>1840000-1196000</f>
        <v>644000</v>
      </c>
    </row>
    <row r="72" spans="1:28" x14ac:dyDescent="0.25">
      <c r="A72" s="108"/>
      <c r="B72" s="14">
        <v>25</v>
      </c>
      <c r="C72" s="3" t="s">
        <v>175</v>
      </c>
      <c r="D72" s="4" t="s">
        <v>26</v>
      </c>
      <c r="E72" s="5">
        <v>1000000</v>
      </c>
      <c r="F72" s="12">
        <v>30</v>
      </c>
      <c r="G72" s="5">
        <f t="shared" si="54"/>
        <v>1000000.0000000001</v>
      </c>
      <c r="H72" s="5">
        <f>+(83140/30)*F72</f>
        <v>83140</v>
      </c>
      <c r="I72" s="5"/>
      <c r="J72" s="5"/>
      <c r="K72" s="5"/>
      <c r="L72" s="5">
        <f t="shared" ref="L72" si="63">SUM(G72:J72)+K72</f>
        <v>1083140</v>
      </c>
      <c r="M72" s="5">
        <f>+G72*4%</f>
        <v>40000.000000000007</v>
      </c>
      <c r="N72" s="5">
        <f>+G72*4%</f>
        <v>40000.000000000007</v>
      </c>
      <c r="O72" s="5"/>
      <c r="P72" s="5"/>
      <c r="Q72" s="5"/>
      <c r="R72" s="5"/>
      <c r="S72" s="5"/>
      <c r="T72" s="5"/>
      <c r="U72" s="5">
        <f t="shared" ref="U72" si="64">SUM(M72:T72)</f>
        <v>80000.000000000015</v>
      </c>
      <c r="V72" s="7">
        <f t="shared" si="53"/>
        <v>1003140</v>
      </c>
      <c r="W72" s="8"/>
      <c r="X72" s="9"/>
      <c r="Y72" s="8">
        <f t="shared" si="26"/>
        <v>1003140</v>
      </c>
      <c r="AB72" s="10">
        <f>1840000-1196000</f>
        <v>644000</v>
      </c>
    </row>
    <row r="73" spans="1:28" ht="21" customHeight="1" x14ac:dyDescent="0.25">
      <c r="A73" s="108"/>
      <c r="B73" s="14">
        <v>26</v>
      </c>
      <c r="C73" s="11" t="s">
        <v>183</v>
      </c>
      <c r="D73" s="6"/>
      <c r="E73" s="5">
        <v>3500000</v>
      </c>
      <c r="F73" s="12">
        <v>30</v>
      </c>
      <c r="G73" s="5">
        <f>+E73/30*F73</f>
        <v>3500000</v>
      </c>
      <c r="H73" s="5"/>
      <c r="I73" s="5"/>
      <c r="J73" s="5"/>
      <c r="K73" s="5"/>
      <c r="L73" s="5">
        <f t="shared" ref="L73" si="65">SUM(G73:J73)+K73</f>
        <v>3500000</v>
      </c>
      <c r="M73" s="5">
        <f>+G73*4%</f>
        <v>140000</v>
      </c>
      <c r="N73" s="5">
        <f>+G73*5%</f>
        <v>175000</v>
      </c>
      <c r="O73" s="5"/>
      <c r="P73" s="5"/>
      <c r="Q73" s="5"/>
      <c r="R73" s="5"/>
      <c r="S73" s="5"/>
      <c r="T73" s="5"/>
      <c r="U73" s="5">
        <f>SUM(M73:T73)</f>
        <v>315000</v>
      </c>
      <c r="V73" s="7">
        <f>+L73-U73</f>
        <v>3185000</v>
      </c>
      <c r="W73" s="8"/>
      <c r="X73" s="9"/>
      <c r="Y73" s="8">
        <f t="shared" si="26"/>
        <v>3185000</v>
      </c>
    </row>
    <row r="74" spans="1:28" x14ac:dyDescent="0.25">
      <c r="A74" s="108"/>
      <c r="B74" s="14">
        <v>27</v>
      </c>
      <c r="C74" s="11" t="s">
        <v>104</v>
      </c>
      <c r="D74" s="6" t="s">
        <v>26</v>
      </c>
      <c r="E74" s="5">
        <v>4000000</v>
      </c>
      <c r="F74" s="12">
        <v>30</v>
      </c>
      <c r="G74" s="5">
        <f>+E74-I74</f>
        <v>4000000</v>
      </c>
      <c r="H74" s="5"/>
      <c r="I74" s="5"/>
      <c r="J74" s="5"/>
      <c r="K74" s="18"/>
      <c r="L74" s="5">
        <f t="shared" ref="L74" si="66">SUM(G74:J74)+K74</f>
        <v>4000000</v>
      </c>
      <c r="M74" s="5">
        <f>+E74*0.04</f>
        <v>160000</v>
      </c>
      <c r="N74" s="5">
        <f>+E74*0.05</f>
        <v>200000</v>
      </c>
      <c r="O74" s="5"/>
      <c r="P74" s="5"/>
      <c r="Q74" s="5">
        <v>3000</v>
      </c>
      <c r="R74" s="5"/>
      <c r="S74" s="5"/>
      <c r="T74" s="5"/>
      <c r="U74" s="5">
        <f t="shared" ref="U74" si="67">SUM(M74:T74)</f>
        <v>363000</v>
      </c>
      <c r="V74" s="7">
        <f>+L74-U74</f>
        <v>3637000</v>
      </c>
      <c r="W74" s="8"/>
      <c r="X74" s="9"/>
      <c r="Y74" s="8">
        <f t="shared" si="26"/>
        <v>3637000</v>
      </c>
      <c r="Z74" s="10" t="s">
        <v>105</v>
      </c>
    </row>
    <row r="75" spans="1:28" ht="21" customHeight="1" x14ac:dyDescent="0.25">
      <c r="A75" s="108"/>
      <c r="B75" s="14">
        <v>28</v>
      </c>
      <c r="C75" s="3" t="s">
        <v>177</v>
      </c>
      <c r="D75" s="4"/>
      <c r="E75" s="5">
        <v>2400000</v>
      </c>
      <c r="F75" s="12">
        <v>23</v>
      </c>
      <c r="G75" s="5">
        <f t="shared" ref="G75:G76" si="68">E75/30*F75</f>
        <v>1840000</v>
      </c>
      <c r="H75" s="5"/>
      <c r="I75" s="5"/>
      <c r="J75" s="5"/>
      <c r="K75" s="5">
        <f>+E75-G75</f>
        <v>560000</v>
      </c>
      <c r="L75" s="5">
        <f t="shared" ref="L75" si="69">SUM(G75:J75)+K75</f>
        <v>2400000</v>
      </c>
      <c r="M75" s="5">
        <f>+G75*4%</f>
        <v>73600</v>
      </c>
      <c r="N75" s="5">
        <f>+G75*4%</f>
        <v>73600</v>
      </c>
      <c r="O75" s="5"/>
      <c r="P75" s="5"/>
      <c r="Q75" s="5"/>
      <c r="R75" s="5"/>
      <c r="S75" s="5"/>
      <c r="T75" s="5"/>
      <c r="U75" s="5">
        <f>SUM(M75:T75)</f>
        <v>147200</v>
      </c>
      <c r="V75" s="7">
        <f t="shared" ref="V75" si="70">L75-U75</f>
        <v>2252800</v>
      </c>
      <c r="W75" s="8"/>
      <c r="X75" s="9"/>
      <c r="Y75" s="8">
        <f t="shared" si="26"/>
        <v>2252800</v>
      </c>
    </row>
    <row r="76" spans="1:28" x14ac:dyDescent="0.25">
      <c r="A76" s="108"/>
      <c r="B76" s="14">
        <v>29</v>
      </c>
      <c r="C76" s="11" t="s">
        <v>106</v>
      </c>
      <c r="D76" s="6" t="s">
        <v>26</v>
      </c>
      <c r="E76" s="5">
        <v>2200000</v>
      </c>
      <c r="F76" s="12">
        <v>28</v>
      </c>
      <c r="G76" s="5">
        <f t="shared" si="68"/>
        <v>2053333.3333333333</v>
      </c>
      <c r="H76" s="5"/>
      <c r="I76" s="5"/>
      <c r="J76" s="5"/>
      <c r="K76" s="5">
        <f t="shared" ref="K76:K82" si="71">+E76-G76</f>
        <v>146666.66666666674</v>
      </c>
      <c r="L76" s="5">
        <f t="shared" ref="L76" si="72">SUM(G76:J76)+K76</f>
        <v>2200000</v>
      </c>
      <c r="M76" s="5">
        <f>+E76*4%</f>
        <v>88000</v>
      </c>
      <c r="N76" s="5">
        <f>+E76*4%</f>
        <v>88000</v>
      </c>
      <c r="O76" s="5"/>
      <c r="P76" s="5"/>
      <c r="Q76" s="5">
        <v>0</v>
      </c>
      <c r="R76" s="5"/>
      <c r="S76" s="5"/>
      <c r="T76" s="5"/>
      <c r="U76" s="5">
        <f t="shared" ref="U76" si="73">SUM(M76:T76)</f>
        <v>176000</v>
      </c>
      <c r="V76" s="7">
        <f t="shared" ref="V76:V81" si="74">+L76-U76</f>
        <v>2024000</v>
      </c>
      <c r="W76" s="8"/>
      <c r="X76" s="9"/>
      <c r="Y76" s="8">
        <f t="shared" si="26"/>
        <v>2024000</v>
      </c>
      <c r="Z76" s="10" t="s">
        <v>105</v>
      </c>
    </row>
    <row r="77" spans="1:28" x14ac:dyDescent="0.25">
      <c r="A77" s="108"/>
      <c r="B77" s="14">
        <v>30</v>
      </c>
      <c r="C77" s="11" t="s">
        <v>107</v>
      </c>
      <c r="D77" s="6" t="s">
        <v>26</v>
      </c>
      <c r="E77" s="5">
        <v>3000000</v>
      </c>
      <c r="F77" s="12">
        <v>30</v>
      </c>
      <c r="G77" s="5">
        <f t="shared" si="54"/>
        <v>3000000</v>
      </c>
      <c r="H77" s="5"/>
      <c r="I77" s="5">
        <v>585937</v>
      </c>
      <c r="J77" s="5"/>
      <c r="K77" s="5">
        <f t="shared" si="71"/>
        <v>0</v>
      </c>
      <c r="L77" s="5">
        <f t="shared" si="42"/>
        <v>3585937</v>
      </c>
      <c r="M77" s="5">
        <f>+E77*4%</f>
        <v>120000</v>
      </c>
      <c r="N77" s="5">
        <f>+E77*5%</f>
        <v>150000</v>
      </c>
      <c r="O77" s="5"/>
      <c r="P77" s="5"/>
      <c r="Q77" s="17">
        <v>0</v>
      </c>
      <c r="R77" s="5"/>
      <c r="S77" s="5">
        <v>0</v>
      </c>
      <c r="T77" s="5"/>
      <c r="U77" s="5">
        <f t="shared" si="47"/>
        <v>270000</v>
      </c>
      <c r="V77" s="7">
        <f t="shared" si="74"/>
        <v>3315937</v>
      </c>
      <c r="W77" s="8"/>
      <c r="X77" s="9"/>
      <c r="Y77" s="8">
        <f t="shared" si="26"/>
        <v>3315937</v>
      </c>
    </row>
    <row r="78" spans="1:28" ht="20.25" customHeight="1" x14ac:dyDescent="0.25">
      <c r="A78" s="108"/>
      <c r="B78" s="14">
        <v>31</v>
      </c>
      <c r="C78" s="11" t="s">
        <v>167</v>
      </c>
      <c r="D78" s="6"/>
      <c r="E78" s="5">
        <v>4500000</v>
      </c>
      <c r="F78" s="12">
        <v>30</v>
      </c>
      <c r="G78" s="5">
        <f t="shared" si="54"/>
        <v>4500000</v>
      </c>
      <c r="H78" s="5"/>
      <c r="I78" s="5"/>
      <c r="J78" s="5"/>
      <c r="K78" s="5">
        <f t="shared" si="71"/>
        <v>0</v>
      </c>
      <c r="L78" s="5">
        <f t="shared" ref="L78:L81" si="75">SUM(G78:J78)+K78</f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18000</v>
      </c>
      <c r="R78" s="5"/>
      <c r="S78" s="5"/>
      <c r="T78" s="5"/>
      <c r="U78" s="5">
        <f t="shared" si="47"/>
        <v>423000</v>
      </c>
      <c r="V78" s="7">
        <f t="shared" si="74"/>
        <v>4077000</v>
      </c>
      <c r="W78" s="8"/>
      <c r="X78" s="9"/>
      <c r="Y78" s="8">
        <f t="shared" si="26"/>
        <v>4077000</v>
      </c>
    </row>
    <row r="79" spans="1:28" ht="16.5" customHeight="1" x14ac:dyDescent="0.25">
      <c r="A79" s="108"/>
      <c r="B79" s="14">
        <v>32</v>
      </c>
      <c r="C79" s="11" t="s">
        <v>108</v>
      </c>
      <c r="D79" s="6"/>
      <c r="E79" s="5">
        <v>4500000</v>
      </c>
      <c r="F79" s="12">
        <v>30</v>
      </c>
      <c r="G79" s="5">
        <f t="shared" si="54"/>
        <v>4500000</v>
      </c>
      <c r="H79" s="5"/>
      <c r="I79" s="5"/>
      <c r="J79" s="5"/>
      <c r="K79" s="5">
        <f t="shared" si="71"/>
        <v>0</v>
      </c>
      <c r="L79" s="5">
        <f t="shared" si="75"/>
        <v>4500000</v>
      </c>
      <c r="M79" s="5">
        <f>+G79*4%</f>
        <v>180000</v>
      </c>
      <c r="N79" s="5">
        <f>+G79*5%</f>
        <v>225000</v>
      </c>
      <c r="O79" s="5"/>
      <c r="P79" s="5"/>
      <c r="Q79" s="17">
        <v>72000</v>
      </c>
      <c r="R79" s="5"/>
      <c r="S79" s="5"/>
      <c r="T79" s="5"/>
      <c r="U79" s="5">
        <f t="shared" si="47"/>
        <v>477000</v>
      </c>
      <c r="V79" s="7">
        <f t="shared" si="74"/>
        <v>4023000</v>
      </c>
      <c r="W79" s="8"/>
      <c r="X79" s="9"/>
      <c r="Y79" s="8">
        <f t="shared" si="26"/>
        <v>4023000</v>
      </c>
    </row>
    <row r="80" spans="1:28" ht="18.75" customHeight="1" x14ac:dyDescent="0.25">
      <c r="A80" s="108"/>
      <c r="B80" s="14">
        <v>33</v>
      </c>
      <c r="C80" s="11" t="s">
        <v>168</v>
      </c>
      <c r="D80" s="6"/>
      <c r="E80" s="5">
        <v>737717</v>
      </c>
      <c r="F80" s="12">
        <v>23</v>
      </c>
      <c r="G80" s="5">
        <f t="shared" si="54"/>
        <v>565583.03333333333</v>
      </c>
      <c r="H80" s="5">
        <v>83140</v>
      </c>
      <c r="I80" s="5"/>
      <c r="J80" s="5"/>
      <c r="K80" s="5">
        <f t="shared" si="71"/>
        <v>172133.96666666667</v>
      </c>
      <c r="L80" s="5">
        <f t="shared" si="75"/>
        <v>820857</v>
      </c>
      <c r="M80" s="5">
        <f>+E80*4%</f>
        <v>29508.68</v>
      </c>
      <c r="N80" s="5">
        <f>+E80*4%</f>
        <v>29508.68</v>
      </c>
      <c r="O80" s="5"/>
      <c r="P80" s="5"/>
      <c r="Q80" s="17"/>
      <c r="R80" s="5"/>
      <c r="S80" s="5"/>
      <c r="T80" s="5"/>
      <c r="U80" s="5">
        <v>59018</v>
      </c>
      <c r="V80" s="7">
        <f t="shared" si="74"/>
        <v>761839</v>
      </c>
      <c r="W80" s="8"/>
      <c r="X80" s="9"/>
      <c r="Y80" s="8">
        <f t="shared" si="26"/>
        <v>761839</v>
      </c>
    </row>
    <row r="81" spans="1:25" ht="19.5" customHeight="1" x14ac:dyDescent="0.25">
      <c r="A81" s="108"/>
      <c r="B81" s="14">
        <v>34</v>
      </c>
      <c r="C81" s="11" t="s">
        <v>169</v>
      </c>
      <c r="D81" s="6"/>
      <c r="E81" s="5">
        <v>737717</v>
      </c>
      <c r="F81" s="12">
        <v>30</v>
      </c>
      <c r="G81" s="5">
        <f t="shared" si="54"/>
        <v>737717</v>
      </c>
      <c r="H81" s="5">
        <f t="shared" ref="H81" si="76">+(83140/30)*F81</f>
        <v>83140</v>
      </c>
      <c r="I81" s="5"/>
      <c r="J81" s="5"/>
      <c r="K81" s="5">
        <f t="shared" si="71"/>
        <v>0</v>
      </c>
      <c r="L81" s="5">
        <f t="shared" si="75"/>
        <v>820857</v>
      </c>
      <c r="M81" s="5">
        <f t="shared" ref="M81" si="77">+G81*4%</f>
        <v>29508.68</v>
      </c>
      <c r="N81" s="5">
        <f>+G81*4%</f>
        <v>29508.68</v>
      </c>
      <c r="O81" s="5"/>
      <c r="P81" s="5"/>
      <c r="Q81" s="17"/>
      <c r="R81" s="5"/>
      <c r="S81" s="5"/>
      <c r="T81" s="5"/>
      <c r="U81" s="5">
        <f>+U80</f>
        <v>59018</v>
      </c>
      <c r="V81" s="7">
        <f t="shared" si="74"/>
        <v>761839</v>
      </c>
      <c r="W81" s="8"/>
      <c r="X81" s="9"/>
      <c r="Y81" s="8">
        <f t="shared" si="26"/>
        <v>761839</v>
      </c>
    </row>
    <row r="82" spans="1:25" ht="19.5" customHeight="1" x14ac:dyDescent="0.25">
      <c r="A82" s="108"/>
      <c r="B82" s="14">
        <v>35</v>
      </c>
      <c r="C82" s="11" t="s">
        <v>170</v>
      </c>
      <c r="D82" s="6"/>
      <c r="E82" s="5">
        <v>2500000</v>
      </c>
      <c r="F82" s="12">
        <v>23</v>
      </c>
      <c r="G82" s="5">
        <f t="shared" si="54"/>
        <v>1916666.6666666665</v>
      </c>
      <c r="H82" s="5"/>
      <c r="I82" s="5"/>
      <c r="J82" s="5">
        <v>350000</v>
      </c>
      <c r="K82" s="5">
        <f t="shared" si="71"/>
        <v>583333.33333333349</v>
      </c>
      <c r="L82" s="5">
        <f>SUM(G82:J82)+K82</f>
        <v>2850000</v>
      </c>
      <c r="M82" s="5">
        <f>+E82*4%</f>
        <v>100000</v>
      </c>
      <c r="N82" s="5">
        <f>+E82*4%</f>
        <v>100000</v>
      </c>
      <c r="O82" s="5"/>
      <c r="P82" s="5"/>
      <c r="Q82" s="17"/>
      <c r="R82" s="5"/>
      <c r="S82" s="5"/>
      <c r="T82" s="5"/>
      <c r="U82" s="5">
        <f>SUM(M82:T82)</f>
        <v>200000</v>
      </c>
      <c r="V82" s="7">
        <f>+L82-U82</f>
        <v>2650000</v>
      </c>
      <c r="W82" s="8"/>
      <c r="X82" s="9"/>
      <c r="Y82" s="8">
        <f t="shared" si="26"/>
        <v>2650000</v>
      </c>
    </row>
    <row r="83" spans="1:25" ht="24" x14ac:dyDescent="0.25">
      <c r="A83" s="108"/>
      <c r="B83" s="14">
        <v>36</v>
      </c>
      <c r="C83" s="11" t="s">
        <v>109</v>
      </c>
      <c r="D83" s="6" t="s">
        <v>26</v>
      </c>
      <c r="E83" s="5">
        <v>2200000</v>
      </c>
      <c r="F83" s="12">
        <v>23</v>
      </c>
      <c r="G83" s="5">
        <f t="shared" si="54"/>
        <v>1686666.6666666665</v>
      </c>
      <c r="H83" s="5"/>
      <c r="I83" s="5"/>
      <c r="J83" s="5"/>
      <c r="K83" s="5">
        <f>+E83-G83</f>
        <v>513333.33333333349</v>
      </c>
      <c r="L83" s="5">
        <f t="shared" ref="L83" si="78">SUM(G83:J83)+K83</f>
        <v>2200000</v>
      </c>
      <c r="M83" s="5">
        <f>+E83*4%</f>
        <v>88000</v>
      </c>
      <c r="N83" s="5">
        <f>+E83*4%</f>
        <v>88000</v>
      </c>
      <c r="O83" s="5"/>
      <c r="P83" s="5"/>
      <c r="Q83" s="17">
        <v>0</v>
      </c>
      <c r="R83" s="5"/>
      <c r="S83" s="5"/>
      <c r="T83" s="5"/>
      <c r="U83" s="5">
        <f t="shared" ref="U83" si="79">SUM(M83:T83)</f>
        <v>176000</v>
      </c>
      <c r="V83" s="7">
        <f t="shared" ref="V83:V85" si="80">+L83-U83</f>
        <v>2024000</v>
      </c>
      <c r="W83" s="8"/>
      <c r="X83" s="9"/>
      <c r="Y83" s="8">
        <f t="shared" si="26"/>
        <v>2024000</v>
      </c>
    </row>
    <row r="84" spans="1:25" ht="22.5" customHeight="1" x14ac:dyDescent="0.25">
      <c r="A84" s="108"/>
      <c r="B84" s="14">
        <v>37</v>
      </c>
      <c r="C84" s="11" t="s">
        <v>149</v>
      </c>
      <c r="D84" s="6"/>
      <c r="E84" s="5">
        <v>2500000</v>
      </c>
      <c r="F84" s="12">
        <v>21</v>
      </c>
      <c r="G84" s="5">
        <v>1750000</v>
      </c>
      <c r="H84" s="5">
        <v>111116</v>
      </c>
      <c r="I84" s="5"/>
      <c r="J84" s="5"/>
      <c r="K84" s="5">
        <v>583333</v>
      </c>
      <c r="L84" s="5">
        <f t="shared" ref="L84:L87" si="81">SUM(G84:J84)+K84</f>
        <v>2444449</v>
      </c>
      <c r="M84" s="5">
        <v>100000</v>
      </c>
      <c r="N84" s="5">
        <v>100000</v>
      </c>
      <c r="O84" s="5"/>
      <c r="P84" s="5"/>
      <c r="Q84" s="5">
        <v>0</v>
      </c>
      <c r="R84" s="5"/>
      <c r="S84" s="5"/>
      <c r="T84" s="5"/>
      <c r="U84" s="5">
        <f>SUM(M84:T84)</f>
        <v>200000</v>
      </c>
      <c r="V84" s="7">
        <f t="shared" si="80"/>
        <v>2244449</v>
      </c>
      <c r="W84" s="8"/>
      <c r="X84" s="9"/>
      <c r="Y84" s="8">
        <f t="shared" si="26"/>
        <v>2244449</v>
      </c>
    </row>
    <row r="85" spans="1:25" ht="20.25" customHeight="1" x14ac:dyDescent="0.25">
      <c r="A85" s="108"/>
      <c r="B85" s="14">
        <v>38</v>
      </c>
      <c r="C85" s="11" t="s">
        <v>111</v>
      </c>
      <c r="D85" s="6" t="s">
        <v>26</v>
      </c>
      <c r="E85" s="5">
        <v>5500000</v>
      </c>
      <c r="F85" s="12">
        <v>23</v>
      </c>
      <c r="G85" s="5">
        <f t="shared" si="54"/>
        <v>4216666.666666667</v>
      </c>
      <c r="H85" s="5"/>
      <c r="I85" s="5"/>
      <c r="J85" s="5"/>
      <c r="K85" s="5">
        <f t="shared" ref="K85:K96" si="82">+E85-G85</f>
        <v>1283333.333333333</v>
      </c>
      <c r="L85" s="5">
        <f t="shared" si="81"/>
        <v>5500000</v>
      </c>
      <c r="M85" s="5">
        <f>+E85*4%</f>
        <v>220000</v>
      </c>
      <c r="N85" s="5">
        <f>+E85*5%</f>
        <v>275000</v>
      </c>
      <c r="O85" s="5"/>
      <c r="P85" s="5"/>
      <c r="Q85" s="5">
        <v>102000</v>
      </c>
      <c r="R85" s="5"/>
      <c r="S85" s="5"/>
      <c r="T85" s="5">
        <v>610699</v>
      </c>
      <c r="U85" s="5">
        <f t="shared" ref="U85" si="83">SUM(M85:T85)</f>
        <v>1207699</v>
      </c>
      <c r="V85" s="7">
        <f t="shared" si="80"/>
        <v>4292301</v>
      </c>
      <c r="W85" s="8"/>
      <c r="X85" s="9"/>
      <c r="Y85" s="8">
        <f t="shared" si="26"/>
        <v>4292301</v>
      </c>
    </row>
    <row r="86" spans="1:25" ht="21.75" customHeight="1" x14ac:dyDescent="0.25">
      <c r="A86" s="108"/>
      <c r="B86" s="14">
        <v>39</v>
      </c>
      <c r="C86" s="11" t="s">
        <v>184</v>
      </c>
      <c r="D86" s="6"/>
      <c r="E86" s="5">
        <v>5400000</v>
      </c>
      <c r="F86" s="12">
        <v>30</v>
      </c>
      <c r="G86" s="5">
        <f>+E86/30*F86</f>
        <v>5400000</v>
      </c>
      <c r="H86" s="5"/>
      <c r="I86" s="5"/>
      <c r="J86" s="5"/>
      <c r="K86" s="5">
        <f t="shared" si="82"/>
        <v>0</v>
      </c>
      <c r="L86" s="5">
        <f>SUM(G86:J86)+K86</f>
        <v>5400000</v>
      </c>
      <c r="M86" s="5">
        <f>+G86*4%</f>
        <v>216000</v>
      </c>
      <c r="N86" s="5">
        <f>+G86*5%</f>
        <v>270000</v>
      </c>
      <c r="O86" s="5"/>
      <c r="P86" s="5"/>
      <c r="Q86" s="5">
        <v>125000</v>
      </c>
      <c r="R86" s="5"/>
      <c r="S86" s="5"/>
      <c r="T86" s="5"/>
      <c r="U86" s="5">
        <f>SUM(M86:T86)</f>
        <v>611000</v>
      </c>
      <c r="V86" s="7">
        <f>+L86-U86</f>
        <v>4789000</v>
      </c>
      <c r="W86" s="8"/>
      <c r="X86" s="9"/>
      <c r="Y86" s="8">
        <f t="shared" si="26"/>
        <v>4789000</v>
      </c>
    </row>
    <row r="87" spans="1:25" x14ac:dyDescent="0.25">
      <c r="A87" s="108"/>
      <c r="B87" s="14">
        <v>40</v>
      </c>
      <c r="C87" s="11" t="s">
        <v>112</v>
      </c>
      <c r="D87" s="6" t="s">
        <v>26</v>
      </c>
      <c r="E87" s="5">
        <v>4500000</v>
      </c>
      <c r="F87" s="12">
        <v>30</v>
      </c>
      <c r="G87" s="5">
        <f>+E87/30*F87</f>
        <v>4500000</v>
      </c>
      <c r="H87" s="5"/>
      <c r="I87" s="5"/>
      <c r="J87" s="5"/>
      <c r="K87" s="5">
        <f t="shared" si="82"/>
        <v>0</v>
      </c>
      <c r="L87" s="5">
        <f t="shared" si="81"/>
        <v>4500000</v>
      </c>
      <c r="M87" s="5">
        <f>+L87*4%</f>
        <v>180000</v>
      </c>
      <c r="N87" s="5">
        <f>+L87*5%</f>
        <v>225000</v>
      </c>
      <c r="O87" s="5">
        <v>0</v>
      </c>
      <c r="P87" s="5"/>
      <c r="Q87" s="5">
        <v>8500</v>
      </c>
      <c r="R87" s="5"/>
      <c r="S87" s="5"/>
      <c r="T87" s="5"/>
      <c r="U87" s="5">
        <f>SUM(M87:T87)</f>
        <v>413500</v>
      </c>
      <c r="V87" s="7">
        <f t="shared" ref="V87:V90" si="84">L87-U87</f>
        <v>4086500</v>
      </c>
      <c r="W87" s="8"/>
      <c r="X87" s="9"/>
      <c r="Y87" s="8">
        <f t="shared" si="26"/>
        <v>4086500</v>
      </c>
    </row>
    <row r="88" spans="1:25" x14ac:dyDescent="0.25">
      <c r="A88" s="108"/>
      <c r="B88" s="14">
        <v>41</v>
      </c>
      <c r="C88" s="11" t="s">
        <v>113</v>
      </c>
      <c r="D88" s="6" t="s">
        <v>26</v>
      </c>
      <c r="E88" s="5">
        <v>3500000</v>
      </c>
      <c r="F88" s="12">
        <v>30</v>
      </c>
      <c r="G88" s="5">
        <f t="shared" si="54"/>
        <v>3500000</v>
      </c>
      <c r="H88" s="5"/>
      <c r="I88" s="5"/>
      <c r="J88" s="5"/>
      <c r="K88" s="5">
        <f t="shared" si="82"/>
        <v>0</v>
      </c>
      <c r="L88" s="5">
        <f t="shared" ref="L88:L105" si="85">SUM(G88:J88)+K88</f>
        <v>3500000</v>
      </c>
      <c r="M88" s="5">
        <f>+G88*4%</f>
        <v>140000</v>
      </c>
      <c r="N88" s="5">
        <f>+G88*5%</f>
        <v>175000</v>
      </c>
      <c r="O88" s="5">
        <v>0</v>
      </c>
      <c r="P88" s="5"/>
      <c r="Q88" s="5">
        <v>0</v>
      </c>
      <c r="R88" s="5"/>
      <c r="S88" s="5"/>
      <c r="T88" s="5"/>
      <c r="U88" s="5">
        <f t="shared" si="47"/>
        <v>315000</v>
      </c>
      <c r="V88" s="7">
        <f t="shared" si="84"/>
        <v>3185000</v>
      </c>
      <c r="W88" s="8"/>
      <c r="X88" s="9"/>
      <c r="Y88" s="8">
        <f t="shared" si="26"/>
        <v>3185000</v>
      </c>
    </row>
    <row r="89" spans="1:25" ht="24" x14ac:dyDescent="0.25">
      <c r="A89" s="108"/>
      <c r="B89" s="14">
        <v>42</v>
      </c>
      <c r="C89" s="11" t="s">
        <v>115</v>
      </c>
      <c r="D89" s="6" t="s">
        <v>26</v>
      </c>
      <c r="E89" s="5">
        <v>1500000</v>
      </c>
      <c r="F89" s="12">
        <v>30</v>
      </c>
      <c r="G89" s="5">
        <f t="shared" si="54"/>
        <v>1500000</v>
      </c>
      <c r="H89" s="5"/>
      <c r="I89" s="5"/>
      <c r="J89" s="5"/>
      <c r="K89" s="5">
        <f t="shared" si="82"/>
        <v>0</v>
      </c>
      <c r="L89" s="5">
        <f t="shared" ref="L89" si="86">SUM(G89:J89)+K89</f>
        <v>1500000</v>
      </c>
      <c r="M89" s="5">
        <f>+G89*4%</f>
        <v>60000</v>
      </c>
      <c r="N89" s="5">
        <f>+G89*4%</f>
        <v>60000</v>
      </c>
      <c r="O89" s="5"/>
      <c r="P89" s="5"/>
      <c r="Q89" s="5"/>
      <c r="R89" s="5"/>
      <c r="S89" s="5"/>
      <c r="T89" s="5"/>
      <c r="U89" s="5">
        <f t="shared" si="47"/>
        <v>120000</v>
      </c>
      <c r="V89" s="7">
        <f t="shared" si="84"/>
        <v>1380000</v>
      </c>
      <c r="W89" s="8"/>
      <c r="X89" s="9"/>
      <c r="Y89" s="8">
        <f t="shared" si="26"/>
        <v>1380000</v>
      </c>
    </row>
    <row r="90" spans="1:25" ht="23.25" customHeight="1" x14ac:dyDescent="0.25">
      <c r="A90" s="108"/>
      <c r="B90" s="14">
        <v>43</v>
      </c>
      <c r="C90" s="3" t="s">
        <v>116</v>
      </c>
      <c r="D90" s="4" t="s">
        <v>26</v>
      </c>
      <c r="E90" s="5">
        <v>737717</v>
      </c>
      <c r="F90" s="12">
        <v>30</v>
      </c>
      <c r="G90" s="5">
        <f t="shared" si="54"/>
        <v>737717</v>
      </c>
      <c r="H90" s="5">
        <v>83140</v>
      </c>
      <c r="I90" s="5"/>
      <c r="J90" s="19">
        <v>32659</v>
      </c>
      <c r="K90" s="5">
        <f t="shared" si="82"/>
        <v>0</v>
      </c>
      <c r="L90" s="5">
        <f t="shared" si="85"/>
        <v>853516</v>
      </c>
      <c r="M90" s="5">
        <v>29509</v>
      </c>
      <c r="N90" s="5">
        <v>29509</v>
      </c>
      <c r="O90" s="5"/>
      <c r="P90" s="5"/>
      <c r="Q90" s="5">
        <v>0</v>
      </c>
      <c r="R90" s="5"/>
      <c r="S90" s="5"/>
      <c r="T90" s="5"/>
      <c r="U90" s="5">
        <f t="shared" si="47"/>
        <v>59018</v>
      </c>
      <c r="V90" s="7">
        <f t="shared" si="84"/>
        <v>794498</v>
      </c>
      <c r="W90" s="8"/>
      <c r="X90" s="9"/>
      <c r="Y90" s="8">
        <f>V90+W90-X90</f>
        <v>794498</v>
      </c>
    </row>
    <row r="91" spans="1:25" ht="22.5" customHeight="1" x14ac:dyDescent="0.25">
      <c r="A91" s="108"/>
      <c r="B91" s="14">
        <v>44</v>
      </c>
      <c r="C91" s="3" t="s">
        <v>176</v>
      </c>
      <c r="D91" s="4"/>
      <c r="E91" s="5">
        <v>737717</v>
      </c>
      <c r="F91" s="12">
        <v>23</v>
      </c>
      <c r="G91" s="5">
        <f t="shared" si="54"/>
        <v>565583.03333333333</v>
      </c>
      <c r="H91" s="5">
        <v>83140</v>
      </c>
      <c r="I91" s="5"/>
      <c r="J91" s="19">
        <v>23052</v>
      </c>
      <c r="K91" s="5">
        <f t="shared" si="82"/>
        <v>172133.96666666667</v>
      </c>
      <c r="L91" s="5">
        <f>SUM(G91:J91)+K91</f>
        <v>843909</v>
      </c>
      <c r="M91" s="5">
        <f>+E91*4%</f>
        <v>29508.68</v>
      </c>
      <c r="N91" s="5">
        <f>+E91*4%</f>
        <v>29508.68</v>
      </c>
      <c r="O91" s="5"/>
      <c r="P91" s="5"/>
      <c r="Q91" s="5"/>
      <c r="R91" s="5"/>
      <c r="S91" s="5"/>
      <c r="T91" s="5"/>
      <c r="U91" s="5">
        <f t="shared" si="47"/>
        <v>59017.36</v>
      </c>
      <c r="V91" s="7">
        <f>L91-U91</f>
        <v>784891.64</v>
      </c>
      <c r="W91" s="8"/>
      <c r="X91" s="9"/>
      <c r="Y91" s="8">
        <f>V91+W91-X91</f>
        <v>784891.64</v>
      </c>
    </row>
    <row r="92" spans="1:25" ht="22.5" customHeight="1" x14ac:dyDescent="0.25">
      <c r="A92" s="108"/>
      <c r="B92" s="14">
        <v>45</v>
      </c>
      <c r="C92" s="3" t="s">
        <v>189</v>
      </c>
      <c r="D92" s="4"/>
      <c r="E92" s="5">
        <v>400000</v>
      </c>
      <c r="F92" s="12">
        <v>30</v>
      </c>
      <c r="G92" s="5">
        <f>+E92</f>
        <v>400000</v>
      </c>
      <c r="H92" s="5">
        <v>41570</v>
      </c>
      <c r="I92" s="5"/>
      <c r="J92" s="5"/>
      <c r="K92" s="5">
        <f t="shared" si="82"/>
        <v>0</v>
      </c>
      <c r="L92" s="5">
        <f>SUM(G92:J92)+K92</f>
        <v>441570</v>
      </c>
      <c r="M92" s="5">
        <f>+G92*4%</f>
        <v>16000</v>
      </c>
      <c r="N92" s="5">
        <f>+G92*4%</f>
        <v>16000</v>
      </c>
      <c r="O92" s="5"/>
      <c r="P92" s="5"/>
      <c r="Q92" s="5"/>
      <c r="R92" s="5"/>
      <c r="S92" s="5"/>
      <c r="T92" s="5"/>
      <c r="U92" s="5">
        <f t="shared" si="47"/>
        <v>32000</v>
      </c>
      <c r="V92" s="7">
        <f>L92-U92</f>
        <v>409570</v>
      </c>
      <c r="W92" s="8"/>
      <c r="X92" s="9"/>
      <c r="Y92" s="8">
        <f>V92+W92-X92</f>
        <v>409570</v>
      </c>
    </row>
    <row r="93" spans="1:25" x14ac:dyDescent="0.25">
      <c r="A93" s="108"/>
      <c r="B93" s="14">
        <v>46</v>
      </c>
      <c r="C93" s="11" t="s">
        <v>119</v>
      </c>
      <c r="D93" s="6" t="s">
        <v>26</v>
      </c>
      <c r="E93" s="5">
        <v>15400000</v>
      </c>
      <c r="F93" s="12">
        <v>30</v>
      </c>
      <c r="G93" s="5">
        <f t="shared" si="54"/>
        <v>15400000</v>
      </c>
      <c r="H93" s="5"/>
      <c r="I93" s="5"/>
      <c r="J93" s="5">
        <v>600000</v>
      </c>
      <c r="K93" s="5">
        <f t="shared" si="82"/>
        <v>0</v>
      </c>
      <c r="L93" s="5">
        <f t="shared" si="85"/>
        <v>16000000</v>
      </c>
      <c r="M93" s="5">
        <v>616000</v>
      </c>
      <c r="N93" s="5">
        <f>616000+308000</f>
        <v>924000</v>
      </c>
      <c r="O93" s="5">
        <v>102400</v>
      </c>
      <c r="P93" s="5"/>
      <c r="Q93" s="5">
        <v>916000</v>
      </c>
      <c r="R93" s="5">
        <v>5000000</v>
      </c>
      <c r="S93" s="5"/>
      <c r="T93" s="5">
        <v>2314715</v>
      </c>
      <c r="U93" s="5">
        <f t="shared" si="47"/>
        <v>9873115</v>
      </c>
      <c r="V93" s="7">
        <f>+L93-U93</f>
        <v>6126885</v>
      </c>
      <c r="W93" s="8"/>
      <c r="X93" s="9"/>
      <c r="Y93" s="8">
        <f t="shared" ref="Y93:Y111" si="87">V93+W93-X93</f>
        <v>6126885</v>
      </c>
    </row>
    <row r="94" spans="1:25" x14ac:dyDescent="0.25">
      <c r="A94" s="108"/>
      <c r="B94" s="14">
        <v>47</v>
      </c>
      <c r="C94" s="11" t="s">
        <v>120</v>
      </c>
      <c r="D94" s="6" t="s">
        <v>26</v>
      </c>
      <c r="E94" s="5">
        <v>4500000</v>
      </c>
      <c r="F94" s="12">
        <v>23</v>
      </c>
      <c r="G94" s="5">
        <f t="shared" si="54"/>
        <v>3450000</v>
      </c>
      <c r="H94" s="5"/>
      <c r="I94" s="5"/>
      <c r="J94" s="5">
        <v>0</v>
      </c>
      <c r="K94" s="5">
        <f t="shared" si="82"/>
        <v>1050000</v>
      </c>
      <c r="L94" s="5">
        <f t="shared" si="85"/>
        <v>4500000</v>
      </c>
      <c r="M94" s="5">
        <v>180000</v>
      </c>
      <c r="N94" s="5">
        <v>225000</v>
      </c>
      <c r="O94" s="5"/>
      <c r="P94" s="5"/>
      <c r="Q94" s="5">
        <v>72000</v>
      </c>
      <c r="R94" s="5"/>
      <c r="S94" s="5"/>
      <c r="T94" s="5">
        <v>1138458</v>
      </c>
      <c r="U94" s="5">
        <f t="shared" si="47"/>
        <v>1615458</v>
      </c>
      <c r="V94" s="7">
        <f>+L94-U94</f>
        <v>2884542</v>
      </c>
      <c r="W94" s="8"/>
      <c r="X94" s="9"/>
      <c r="Y94" s="8">
        <f t="shared" si="87"/>
        <v>2884542</v>
      </c>
    </row>
    <row r="95" spans="1:25" ht="24" x14ac:dyDescent="0.25">
      <c r="A95" s="108"/>
      <c r="B95" s="14">
        <v>48</v>
      </c>
      <c r="C95" s="11" t="s">
        <v>158</v>
      </c>
      <c r="D95" s="6"/>
      <c r="E95" s="5">
        <v>1600000</v>
      </c>
      <c r="F95" s="12">
        <v>23</v>
      </c>
      <c r="G95" s="5">
        <f t="shared" si="54"/>
        <v>1226666.6666666667</v>
      </c>
      <c r="H95" s="5"/>
      <c r="I95" s="5"/>
      <c r="J95" s="5"/>
      <c r="K95" s="5">
        <f t="shared" si="82"/>
        <v>373333.33333333326</v>
      </c>
      <c r="L95" s="5">
        <f t="shared" ref="L95" si="88">SUM(G95:J95)+K95</f>
        <v>1600000</v>
      </c>
      <c r="M95" s="5">
        <f>+E95*4%</f>
        <v>64000</v>
      </c>
      <c r="N95" s="5">
        <f>+E95*4%</f>
        <v>64000</v>
      </c>
      <c r="O95" s="5"/>
      <c r="P95" s="5"/>
      <c r="Q95" s="5"/>
      <c r="R95" s="5"/>
      <c r="S95" s="5"/>
      <c r="T95" s="5"/>
      <c r="U95" s="5">
        <f t="shared" ref="U95" si="89">SUM(M95:T95)</f>
        <v>128000</v>
      </c>
      <c r="V95" s="7">
        <f>+L95-U95</f>
        <v>1472000</v>
      </c>
      <c r="W95" s="8"/>
      <c r="X95" s="9"/>
      <c r="Y95" s="8">
        <f t="shared" si="87"/>
        <v>1472000</v>
      </c>
    </row>
    <row r="96" spans="1:25" x14ac:dyDescent="0.25">
      <c r="A96" s="108"/>
      <c r="B96" s="14">
        <v>49</v>
      </c>
      <c r="C96" s="11" t="s">
        <v>121</v>
      </c>
      <c r="D96" s="6" t="s">
        <v>26</v>
      </c>
      <c r="E96" s="5">
        <v>2500000</v>
      </c>
      <c r="F96" s="12">
        <v>16</v>
      </c>
      <c r="G96" s="5">
        <f t="shared" si="54"/>
        <v>1333333.3333333333</v>
      </c>
      <c r="H96" s="5"/>
      <c r="I96" s="5"/>
      <c r="J96" s="5"/>
      <c r="K96" s="5">
        <f t="shared" si="82"/>
        <v>1166666.6666666667</v>
      </c>
      <c r="L96" s="5">
        <f t="shared" si="85"/>
        <v>2500000</v>
      </c>
      <c r="M96" s="5">
        <v>100000</v>
      </c>
      <c r="N96" s="5">
        <v>100000</v>
      </c>
      <c r="O96" s="5"/>
      <c r="P96" s="5"/>
      <c r="Q96" s="5">
        <v>0</v>
      </c>
      <c r="R96" s="5"/>
      <c r="S96" s="5"/>
      <c r="T96" s="5"/>
      <c r="U96" s="5">
        <f t="shared" si="47"/>
        <v>200000</v>
      </c>
      <c r="V96" s="7">
        <f>+L96-U96</f>
        <v>2300000</v>
      </c>
      <c r="W96" s="8"/>
      <c r="X96" s="9"/>
      <c r="Y96" s="8">
        <f t="shared" si="87"/>
        <v>2300000</v>
      </c>
    </row>
    <row r="97" spans="1:25" x14ac:dyDescent="0.25">
      <c r="A97" s="108"/>
      <c r="B97" s="14">
        <v>50</v>
      </c>
      <c r="C97" s="3" t="s">
        <v>122</v>
      </c>
      <c r="D97" s="4" t="s">
        <v>26</v>
      </c>
      <c r="E97" s="5">
        <v>3000000</v>
      </c>
      <c r="F97" s="12">
        <v>30</v>
      </c>
      <c r="G97" s="5">
        <f>+E97-K97</f>
        <v>2533333</v>
      </c>
      <c r="H97" s="5"/>
      <c r="I97" s="5"/>
      <c r="J97" s="5">
        <v>270000</v>
      </c>
      <c r="K97" s="5">
        <v>466667</v>
      </c>
      <c r="L97" s="5">
        <f t="shared" si="85"/>
        <v>3270000</v>
      </c>
      <c r="M97" s="5">
        <v>120000</v>
      </c>
      <c r="N97" s="5">
        <v>150000</v>
      </c>
      <c r="O97" s="5"/>
      <c r="P97" s="5"/>
      <c r="Q97" s="5">
        <v>0</v>
      </c>
      <c r="R97" s="5"/>
      <c r="S97" s="5"/>
      <c r="T97" s="5">
        <v>514771</v>
      </c>
      <c r="U97" s="5">
        <f>SUM(M97:T97)</f>
        <v>784771</v>
      </c>
      <c r="V97" s="7">
        <f>L97-U97</f>
        <v>2485229</v>
      </c>
      <c r="W97" s="8"/>
      <c r="X97" s="9"/>
      <c r="Y97" s="8">
        <f t="shared" si="87"/>
        <v>2485229</v>
      </c>
    </row>
    <row r="98" spans="1:25" x14ac:dyDescent="0.25">
      <c r="A98" s="108"/>
      <c r="B98" s="14">
        <v>51</v>
      </c>
      <c r="C98" s="3" t="s">
        <v>123</v>
      </c>
      <c r="D98" s="4" t="s">
        <v>26</v>
      </c>
      <c r="E98" s="5">
        <v>1600000</v>
      </c>
      <c r="F98" s="12">
        <v>16</v>
      </c>
      <c r="G98" s="5">
        <f t="shared" si="54"/>
        <v>853333.33333333337</v>
      </c>
      <c r="H98" s="5"/>
      <c r="I98" s="5"/>
      <c r="J98" s="5">
        <v>200000</v>
      </c>
      <c r="K98" s="5">
        <f>+E98-G98</f>
        <v>746666.66666666663</v>
      </c>
      <c r="L98" s="5">
        <f>SUM(G98:J98)+K98</f>
        <v>1800000</v>
      </c>
      <c r="M98" s="5">
        <f>+E98*4%</f>
        <v>64000</v>
      </c>
      <c r="N98" s="5">
        <f>+E98*4%</f>
        <v>64000</v>
      </c>
      <c r="O98" s="5"/>
      <c r="P98" s="5"/>
      <c r="Q98" s="5"/>
      <c r="R98" s="5"/>
      <c r="S98" s="5"/>
      <c r="T98" s="5"/>
      <c r="U98" s="5">
        <f>SUM(M98:T98)</f>
        <v>128000</v>
      </c>
      <c r="V98" s="7">
        <f>L98-U98</f>
        <v>1672000</v>
      </c>
      <c r="W98" s="8"/>
      <c r="X98" s="9"/>
      <c r="Y98" s="8">
        <f t="shared" si="87"/>
        <v>1672000</v>
      </c>
    </row>
    <row r="99" spans="1:25" ht="23.25" customHeight="1" x14ac:dyDescent="0.25">
      <c r="A99" s="108"/>
      <c r="B99" s="14">
        <v>52</v>
      </c>
      <c r="C99" s="11" t="s">
        <v>127</v>
      </c>
      <c r="D99" s="6" t="s">
        <v>26</v>
      </c>
      <c r="E99" s="5">
        <v>3750000</v>
      </c>
      <c r="F99" s="12">
        <v>23</v>
      </c>
      <c r="G99" s="5">
        <f t="shared" si="54"/>
        <v>2875000</v>
      </c>
      <c r="H99" s="5"/>
      <c r="I99" s="5"/>
      <c r="J99" s="5"/>
      <c r="K99" s="5">
        <f t="shared" ref="K99:K101" si="90">+E99-G99</f>
        <v>875000</v>
      </c>
      <c r="L99" s="5">
        <f t="shared" si="85"/>
        <v>3750000</v>
      </c>
      <c r="M99" s="5">
        <f>+E99*4%</f>
        <v>150000</v>
      </c>
      <c r="N99" s="5">
        <f>+E99*5%</f>
        <v>187500</v>
      </c>
      <c r="O99" s="5"/>
      <c r="P99" s="5"/>
      <c r="Q99" s="5"/>
      <c r="R99" s="5"/>
      <c r="S99" s="5"/>
      <c r="T99" s="5"/>
      <c r="U99" s="5">
        <f t="shared" si="47"/>
        <v>337500</v>
      </c>
      <c r="V99" s="7">
        <f>+L99-U99</f>
        <v>3412500</v>
      </c>
      <c r="W99" s="8"/>
      <c r="X99" s="9"/>
      <c r="Y99" s="8">
        <f t="shared" si="87"/>
        <v>3412500</v>
      </c>
    </row>
    <row r="100" spans="1:25" ht="24" x14ac:dyDescent="0.25">
      <c r="A100" s="108"/>
      <c r="B100" s="14">
        <v>53</v>
      </c>
      <c r="C100" s="11" t="s">
        <v>128</v>
      </c>
      <c r="D100" s="6" t="s">
        <v>26</v>
      </c>
      <c r="E100" s="5">
        <v>3700000</v>
      </c>
      <c r="F100" s="12">
        <v>30</v>
      </c>
      <c r="G100" s="5">
        <f t="shared" si="54"/>
        <v>3700000</v>
      </c>
      <c r="H100" s="5"/>
      <c r="J100" s="5">
        <v>650000</v>
      </c>
      <c r="K100" s="5">
        <f t="shared" si="90"/>
        <v>0</v>
      </c>
      <c r="L100" s="5">
        <f>SUM(G100:J100)+K100</f>
        <v>4350000</v>
      </c>
      <c r="M100" s="5">
        <f t="shared" ref="M100" si="91">+G100*4%</f>
        <v>148000</v>
      </c>
      <c r="N100" s="5">
        <f>+G100*5%</f>
        <v>185000</v>
      </c>
      <c r="O100" s="5"/>
      <c r="P100" s="5"/>
      <c r="Q100" s="5"/>
      <c r="R100" s="5"/>
      <c r="S100" s="5"/>
      <c r="T100" s="5"/>
      <c r="U100" s="5">
        <f t="shared" ref="U100:U101" si="92">SUM(M100:T100)</f>
        <v>333000</v>
      </c>
      <c r="V100" s="7">
        <f>+L100-U100</f>
        <v>4017000</v>
      </c>
      <c r="W100" s="8"/>
      <c r="X100" s="9"/>
      <c r="Y100" s="8">
        <f t="shared" si="87"/>
        <v>4017000</v>
      </c>
    </row>
    <row r="101" spans="1:25" ht="22.5" customHeight="1" x14ac:dyDescent="0.25">
      <c r="A101" s="108"/>
      <c r="B101" s="14">
        <v>54</v>
      </c>
      <c r="C101" s="11" t="s">
        <v>67</v>
      </c>
      <c r="D101" s="6" t="s">
        <v>26</v>
      </c>
      <c r="E101" s="5">
        <v>3500000</v>
      </c>
      <c r="F101" s="12">
        <v>30</v>
      </c>
      <c r="G101" s="5">
        <f t="shared" si="54"/>
        <v>3500000</v>
      </c>
      <c r="H101" s="5"/>
      <c r="I101" s="5"/>
      <c r="J101" s="5" t="s">
        <v>1</v>
      </c>
      <c r="K101" s="5">
        <f t="shared" si="90"/>
        <v>0</v>
      </c>
      <c r="L101" s="5">
        <f t="shared" ref="L101" si="93">SUM(G101:J101)+K101</f>
        <v>3500000</v>
      </c>
      <c r="M101" s="5">
        <f>+L101*4%</f>
        <v>140000</v>
      </c>
      <c r="N101" s="5">
        <f>+L101*5%</f>
        <v>175000</v>
      </c>
      <c r="O101" s="5"/>
      <c r="P101" s="5"/>
      <c r="Q101" s="5"/>
      <c r="R101" s="5"/>
      <c r="S101" s="5"/>
      <c r="T101" s="5"/>
      <c r="U101" s="5">
        <f t="shared" si="92"/>
        <v>315000</v>
      </c>
      <c r="V101" s="7">
        <f t="shared" ref="V101" si="94">+L101-U101</f>
        <v>3185000</v>
      </c>
      <c r="W101" s="8"/>
      <c r="X101" s="9"/>
      <c r="Y101" s="8">
        <f t="shared" si="87"/>
        <v>3185000</v>
      </c>
    </row>
    <row r="102" spans="1:25" ht="19.5" customHeight="1" x14ac:dyDescent="0.25">
      <c r="A102" s="108"/>
      <c r="B102" s="14">
        <v>55</v>
      </c>
      <c r="C102" s="11" t="s">
        <v>129</v>
      </c>
      <c r="D102" s="6" t="s">
        <v>34</v>
      </c>
      <c r="E102" s="5">
        <v>2000000</v>
      </c>
      <c r="F102" s="12">
        <v>23</v>
      </c>
      <c r="G102" s="5">
        <f t="shared" si="54"/>
        <v>1533333.3333333335</v>
      </c>
      <c r="H102" s="5"/>
      <c r="I102" s="5"/>
      <c r="J102" s="5"/>
      <c r="K102" s="5">
        <f>+E102-G102</f>
        <v>466666.66666666651</v>
      </c>
      <c r="L102" s="5">
        <f t="shared" si="85"/>
        <v>2000000</v>
      </c>
      <c r="M102" s="5">
        <f>+E102*4%</f>
        <v>80000</v>
      </c>
      <c r="N102" s="5">
        <f>+E102*4%</f>
        <v>80000</v>
      </c>
      <c r="O102" s="5"/>
      <c r="P102" s="5"/>
      <c r="Q102" s="17"/>
      <c r="R102" s="5"/>
      <c r="S102" s="5"/>
      <c r="T102" s="5"/>
      <c r="U102" s="5">
        <f t="shared" si="47"/>
        <v>160000</v>
      </c>
      <c r="V102" s="7">
        <f>+L102-U102</f>
        <v>1840000</v>
      </c>
      <c r="W102" s="8"/>
      <c r="X102" s="9"/>
      <c r="Y102" s="8">
        <f t="shared" si="87"/>
        <v>1840000</v>
      </c>
    </row>
    <row r="103" spans="1:25" ht="22.5" customHeight="1" x14ac:dyDescent="0.25">
      <c r="A103" s="108"/>
      <c r="B103" s="14">
        <v>56</v>
      </c>
      <c r="C103" s="11" t="s">
        <v>172</v>
      </c>
      <c r="D103" s="6"/>
      <c r="E103" s="5">
        <v>1500000</v>
      </c>
      <c r="F103" s="12">
        <v>23</v>
      </c>
      <c r="G103" s="5">
        <f t="shared" si="54"/>
        <v>1150000</v>
      </c>
      <c r="H103" s="5"/>
      <c r="I103" s="5"/>
      <c r="J103" s="5"/>
      <c r="K103" s="5">
        <f>+E103-G103</f>
        <v>350000</v>
      </c>
      <c r="L103" s="5">
        <f t="shared" ref="L103" si="95">SUM(G103:J103)+K103</f>
        <v>1500000</v>
      </c>
      <c r="M103" s="5">
        <f>+E103*4%</f>
        <v>60000</v>
      </c>
      <c r="N103" s="5">
        <f>+E103*4%</f>
        <v>60000</v>
      </c>
      <c r="O103" s="5">
        <v>0</v>
      </c>
      <c r="P103" s="5"/>
      <c r="Q103" s="17"/>
      <c r="R103" s="5"/>
      <c r="S103" s="5"/>
      <c r="T103" s="5"/>
      <c r="U103" s="5">
        <f t="shared" si="47"/>
        <v>120000</v>
      </c>
      <c r="V103" s="7">
        <f>+L103-U103</f>
        <v>1380000</v>
      </c>
      <c r="W103" s="8"/>
      <c r="X103" s="9"/>
      <c r="Y103" s="8">
        <f t="shared" si="87"/>
        <v>1380000</v>
      </c>
    </row>
    <row r="104" spans="1:25" x14ac:dyDescent="0.25">
      <c r="A104" s="108"/>
      <c r="B104" s="14">
        <v>57</v>
      </c>
      <c r="C104" s="3" t="s">
        <v>130</v>
      </c>
      <c r="D104" s="4" t="s">
        <v>26</v>
      </c>
      <c r="E104" s="5">
        <v>1600000</v>
      </c>
      <c r="F104" s="12">
        <v>8</v>
      </c>
      <c r="G104" s="5">
        <f t="shared" si="54"/>
        <v>426666.66666666669</v>
      </c>
      <c r="H104" s="5"/>
      <c r="I104" s="5"/>
      <c r="J104" s="5"/>
      <c r="K104" s="5">
        <f>+E104-G104</f>
        <v>1173333.3333333333</v>
      </c>
      <c r="L104" s="5">
        <f t="shared" si="85"/>
        <v>1600000</v>
      </c>
      <c r="M104" s="5">
        <f>+L104*4%</f>
        <v>64000</v>
      </c>
      <c r="N104" s="5">
        <v>64000</v>
      </c>
      <c r="O104" s="5"/>
      <c r="P104" s="5"/>
      <c r="Q104" s="5">
        <v>0</v>
      </c>
      <c r="R104" s="5"/>
      <c r="S104" s="5">
        <v>175000</v>
      </c>
      <c r="T104" s="5">
        <v>249127</v>
      </c>
      <c r="U104" s="5">
        <f t="shared" si="47"/>
        <v>552127</v>
      </c>
      <c r="V104" s="7">
        <f>L104-U104</f>
        <v>1047873</v>
      </c>
      <c r="W104" s="8"/>
      <c r="X104" s="9"/>
      <c r="Y104" s="8">
        <f t="shared" si="87"/>
        <v>1047873</v>
      </c>
    </row>
    <row r="105" spans="1:25" ht="23.25" customHeight="1" x14ac:dyDescent="0.25">
      <c r="A105" s="108"/>
      <c r="B105" s="14">
        <v>58</v>
      </c>
      <c r="C105" s="11" t="s">
        <v>131</v>
      </c>
      <c r="D105" s="6" t="s">
        <v>26</v>
      </c>
      <c r="E105" s="5">
        <v>1500000</v>
      </c>
      <c r="F105" s="12">
        <v>30</v>
      </c>
      <c r="G105" s="5">
        <f t="shared" si="54"/>
        <v>1500000</v>
      </c>
      <c r="H105" s="5">
        <v>0</v>
      </c>
      <c r="I105" s="5"/>
      <c r="J105" s="5"/>
      <c r="K105" s="5"/>
      <c r="L105" s="5">
        <f t="shared" si="85"/>
        <v>1500000</v>
      </c>
      <c r="M105" s="5">
        <f>+G105*4%</f>
        <v>60000</v>
      </c>
      <c r="N105" s="5">
        <f>+G105*4%</f>
        <v>60000</v>
      </c>
      <c r="O105" s="5"/>
      <c r="P105" s="5"/>
      <c r="Q105" s="5">
        <v>0</v>
      </c>
      <c r="R105" s="5"/>
      <c r="S105" s="5"/>
      <c r="T105" s="5"/>
      <c r="U105" s="5">
        <f t="shared" si="47"/>
        <v>120000</v>
      </c>
      <c r="V105" s="7">
        <f t="shared" ref="V105:V109" si="96">+L105-U105</f>
        <v>1380000</v>
      </c>
      <c r="W105" s="8"/>
      <c r="X105" s="9"/>
      <c r="Y105" s="8">
        <f t="shared" si="87"/>
        <v>1380000</v>
      </c>
    </row>
    <row r="106" spans="1:25" ht="24" x14ac:dyDescent="0.25">
      <c r="A106" s="108"/>
      <c r="B106" s="14">
        <v>59</v>
      </c>
      <c r="C106" s="11" t="s">
        <v>133</v>
      </c>
      <c r="D106" s="6" t="s">
        <v>26</v>
      </c>
      <c r="E106" s="5">
        <v>1800000</v>
      </c>
      <c r="F106" s="12">
        <v>23</v>
      </c>
      <c r="G106" s="5">
        <f t="shared" si="54"/>
        <v>1380000</v>
      </c>
      <c r="H106" s="5"/>
      <c r="I106" s="5"/>
      <c r="J106" s="5"/>
      <c r="K106" s="21">
        <f>+E106-G106</f>
        <v>420000</v>
      </c>
      <c r="L106" s="5">
        <f t="shared" ref="L106:L107" si="97">SUM(G106:J106)+K106</f>
        <v>1800000</v>
      </c>
      <c r="M106" s="5">
        <f>+E106*4%</f>
        <v>72000</v>
      </c>
      <c r="N106" s="5">
        <f>+E106*4%</f>
        <v>72000</v>
      </c>
      <c r="O106" s="5"/>
      <c r="P106" s="5"/>
      <c r="Q106" s="5">
        <v>0</v>
      </c>
      <c r="R106" s="5"/>
      <c r="S106" s="5"/>
      <c r="T106" s="5"/>
      <c r="U106" s="5">
        <f t="shared" si="47"/>
        <v>144000</v>
      </c>
      <c r="V106" s="7">
        <f t="shared" si="96"/>
        <v>1656000</v>
      </c>
      <c r="W106" s="8"/>
      <c r="X106" s="9"/>
      <c r="Y106" s="8">
        <f t="shared" si="87"/>
        <v>1656000</v>
      </c>
    </row>
    <row r="107" spans="1:25" ht="18.75" customHeight="1" x14ac:dyDescent="0.25">
      <c r="A107" s="108"/>
      <c r="B107" s="14">
        <v>60</v>
      </c>
      <c r="C107" s="11" t="s">
        <v>178</v>
      </c>
      <c r="D107" s="6"/>
      <c r="E107" s="5">
        <v>737717</v>
      </c>
      <c r="F107" s="12">
        <v>30</v>
      </c>
      <c r="G107" s="5">
        <f t="shared" si="54"/>
        <v>737717</v>
      </c>
      <c r="H107" s="5"/>
      <c r="I107" s="5"/>
      <c r="J107" s="5">
        <v>70000</v>
      </c>
      <c r="K107" s="21"/>
      <c r="L107" s="5">
        <f t="shared" si="97"/>
        <v>807717</v>
      </c>
      <c r="M107" s="5"/>
      <c r="N107" s="5"/>
      <c r="O107" s="5"/>
      <c r="P107" s="5"/>
      <c r="Q107" s="5"/>
      <c r="R107" s="5"/>
      <c r="S107" s="5"/>
      <c r="T107" s="5"/>
      <c r="U107" s="5">
        <f t="shared" si="47"/>
        <v>0</v>
      </c>
      <c r="V107" s="7">
        <f t="shared" si="96"/>
        <v>807717</v>
      </c>
      <c r="W107" s="8"/>
      <c r="X107" s="9"/>
      <c r="Y107" s="8">
        <f t="shared" si="87"/>
        <v>807717</v>
      </c>
    </row>
    <row r="108" spans="1:25" ht="18.75" customHeight="1" x14ac:dyDescent="0.25">
      <c r="A108" s="108"/>
      <c r="B108" s="14">
        <v>61</v>
      </c>
      <c r="C108" s="11" t="s">
        <v>134</v>
      </c>
      <c r="D108" s="6" t="s">
        <v>26</v>
      </c>
      <c r="E108" s="5">
        <v>2700000</v>
      </c>
      <c r="F108" s="12">
        <v>30</v>
      </c>
      <c r="G108" s="5">
        <f t="shared" si="54"/>
        <v>2700000</v>
      </c>
      <c r="H108" s="5"/>
      <c r="I108" s="5">
        <v>114583</v>
      </c>
      <c r="J108" s="5"/>
      <c r="K108" s="5"/>
      <c r="L108" s="5">
        <f>SUM(G108:J108)+K108</f>
        <v>2814583</v>
      </c>
      <c r="M108" s="5">
        <f>+E108*0.04</f>
        <v>108000</v>
      </c>
      <c r="N108" s="5">
        <v>108000</v>
      </c>
      <c r="O108" s="5"/>
      <c r="P108" s="5"/>
      <c r="Q108" s="5"/>
      <c r="R108" s="5"/>
      <c r="S108" s="5"/>
      <c r="T108" s="5"/>
      <c r="U108" s="5">
        <f t="shared" si="47"/>
        <v>216000</v>
      </c>
      <c r="V108" s="7">
        <f t="shared" si="96"/>
        <v>2598583</v>
      </c>
      <c r="W108" s="8"/>
      <c r="X108" s="9"/>
      <c r="Y108" s="8">
        <f t="shared" si="87"/>
        <v>2598583</v>
      </c>
    </row>
    <row r="109" spans="1:25" ht="23.25" customHeight="1" x14ac:dyDescent="0.25">
      <c r="A109" s="108"/>
      <c r="B109" s="14">
        <v>62</v>
      </c>
      <c r="C109" s="11" t="s">
        <v>136</v>
      </c>
      <c r="D109" s="6"/>
      <c r="E109" s="5">
        <v>2000000</v>
      </c>
      <c r="F109" s="12">
        <v>30</v>
      </c>
      <c r="G109" s="5">
        <f t="shared" si="54"/>
        <v>2000000.0000000002</v>
      </c>
      <c r="H109" s="5"/>
      <c r="I109" s="5"/>
      <c r="J109" s="5"/>
      <c r="K109" s="22"/>
      <c r="L109" s="5">
        <f t="shared" ref="L109:L111" si="98">SUM(G109:J109)+K109</f>
        <v>2000000.0000000002</v>
      </c>
      <c r="M109" s="5">
        <f>+G109*4%</f>
        <v>80000.000000000015</v>
      </c>
      <c r="N109" s="5">
        <f>+G109*4%</f>
        <v>80000.000000000015</v>
      </c>
      <c r="O109" s="5"/>
      <c r="P109" s="5"/>
      <c r="Q109" s="5">
        <v>0</v>
      </c>
      <c r="R109" s="5"/>
      <c r="S109" s="5"/>
      <c r="T109" s="5"/>
      <c r="U109" s="5">
        <f t="shared" ref="U109:U111" si="99">SUM(M109:T109)</f>
        <v>160000.00000000003</v>
      </c>
      <c r="V109" s="7">
        <f t="shared" si="96"/>
        <v>1840000.0000000002</v>
      </c>
      <c r="W109" s="8"/>
      <c r="X109" s="9"/>
      <c r="Y109" s="8">
        <f t="shared" si="87"/>
        <v>1840000.0000000002</v>
      </c>
    </row>
    <row r="110" spans="1:25" ht="18.75" customHeight="1" x14ac:dyDescent="0.25">
      <c r="A110" s="108"/>
      <c r="B110" s="14">
        <v>63</v>
      </c>
      <c r="C110" s="11" t="s">
        <v>159</v>
      </c>
      <c r="D110" s="6"/>
      <c r="E110" s="5">
        <v>737717</v>
      </c>
      <c r="F110" s="12">
        <v>30</v>
      </c>
      <c r="G110" s="5">
        <f>+E110</f>
        <v>737717</v>
      </c>
      <c r="H110" s="5"/>
      <c r="I110" s="5"/>
      <c r="J110" s="5"/>
      <c r="K110" s="22"/>
      <c r="L110" s="5">
        <f t="shared" si="98"/>
        <v>737717</v>
      </c>
      <c r="M110" s="5"/>
      <c r="N110" s="5"/>
      <c r="O110" s="5"/>
      <c r="P110" s="5"/>
      <c r="Q110" s="5"/>
      <c r="R110" s="5"/>
      <c r="S110" s="5"/>
      <c r="T110" s="5"/>
      <c r="U110" s="5">
        <f>SUM(M110:T110)</f>
        <v>0</v>
      </c>
      <c r="V110" s="7">
        <f>+L110-U110</f>
        <v>737717</v>
      </c>
      <c r="W110" s="8"/>
      <c r="X110" s="9"/>
      <c r="Y110" s="8">
        <f t="shared" si="87"/>
        <v>737717</v>
      </c>
    </row>
    <row r="111" spans="1:25" ht="23.25" customHeight="1" x14ac:dyDescent="0.25">
      <c r="A111" s="75"/>
      <c r="B111" s="14">
        <v>64</v>
      </c>
      <c r="C111" s="11" t="s">
        <v>185</v>
      </c>
      <c r="D111" s="6"/>
      <c r="E111" s="5">
        <v>1200000</v>
      </c>
      <c r="F111" s="12">
        <v>30</v>
      </c>
      <c r="G111" s="5">
        <f t="shared" ref="G111" si="100">E111/30*F111</f>
        <v>1200000</v>
      </c>
      <c r="H111" s="5">
        <f t="shared" ref="H111" si="101">+(83140/30)*F111</f>
        <v>83140</v>
      </c>
      <c r="I111" s="5"/>
      <c r="J111" s="5"/>
      <c r="K111" s="22"/>
      <c r="L111" s="5">
        <f t="shared" si="98"/>
        <v>1283140</v>
      </c>
      <c r="M111" s="5">
        <f>+G111*4%</f>
        <v>48000</v>
      </c>
      <c r="N111" s="5">
        <f t="shared" ref="N111" si="102">+G111*4%</f>
        <v>48000</v>
      </c>
      <c r="O111" s="5"/>
      <c r="P111" s="5"/>
      <c r="Q111" s="5">
        <v>0</v>
      </c>
      <c r="R111" s="5"/>
      <c r="S111" s="5"/>
      <c r="T111" s="5"/>
      <c r="U111" s="5">
        <f t="shared" si="99"/>
        <v>96000</v>
      </c>
      <c r="V111" s="7">
        <f t="shared" ref="V111" si="103">+L111-U111</f>
        <v>1187140</v>
      </c>
      <c r="W111" s="8"/>
      <c r="X111" s="9"/>
      <c r="Y111" s="8">
        <f t="shared" si="87"/>
        <v>1187140</v>
      </c>
    </row>
    <row r="112" spans="1:25" x14ac:dyDescent="0.25">
      <c r="A112" s="13"/>
      <c r="B112" s="13"/>
      <c r="C112" s="23" t="s">
        <v>139</v>
      </c>
      <c r="D112" s="13"/>
      <c r="E112" s="18">
        <f>SUM(E4:E111)</f>
        <v>385400630</v>
      </c>
      <c r="F112" s="18" t="s">
        <v>1</v>
      </c>
      <c r="G112" s="8">
        <f>SUM(G4:G111)</f>
        <v>347202116.10000014</v>
      </c>
      <c r="H112" s="8">
        <f>SUM(H4:H111)</f>
        <v>1327239</v>
      </c>
      <c r="I112" s="8"/>
      <c r="J112" s="8">
        <f>SUM(J4:J111)</f>
        <v>14179698</v>
      </c>
      <c r="K112" s="8">
        <f t="shared" ref="K112:X112" si="104">SUM(K4:K111)</f>
        <v>34427401.566666663</v>
      </c>
      <c r="L112" s="8">
        <f>SUM(L4:L111)</f>
        <v>400211891.66666669</v>
      </c>
      <c r="M112" s="8">
        <f>SUM(M4:M111)</f>
        <v>15165775.49333333</v>
      </c>
      <c r="N112" s="8">
        <f>SUM(N4:N111)</f>
        <v>18460889.519999996</v>
      </c>
      <c r="O112" s="8">
        <f>SUM(O4:O111)</f>
        <v>102400</v>
      </c>
      <c r="P112" s="8">
        <f t="shared" si="104"/>
        <v>0</v>
      </c>
      <c r="Q112" s="8">
        <f t="shared" si="104"/>
        <v>4843503</v>
      </c>
      <c r="R112" s="8">
        <f t="shared" si="104"/>
        <v>10015000</v>
      </c>
      <c r="S112" s="8">
        <f t="shared" si="104"/>
        <v>519614</v>
      </c>
      <c r="T112" s="8">
        <f>SUM(T4:T111)</f>
        <v>16283597</v>
      </c>
      <c r="U112" s="8">
        <f t="shared" si="104"/>
        <v>65390780.933333337</v>
      </c>
      <c r="V112" s="8">
        <f>SUM(V4:V111)</f>
        <v>334821110.73333329</v>
      </c>
      <c r="W112" s="8">
        <f t="shared" si="104"/>
        <v>0</v>
      </c>
      <c r="X112" s="8">
        <f t="shared" si="104"/>
        <v>0</v>
      </c>
      <c r="Y112" s="8">
        <f>SUM(Y4:Y111)</f>
        <v>334821110.73333329</v>
      </c>
    </row>
    <row r="113" spans="2:29" x14ac:dyDescent="0.25">
      <c r="E113" s="26"/>
      <c r="F113" s="26"/>
      <c r="G113" s="26"/>
      <c r="V113" s="20"/>
      <c r="W113" s="20"/>
      <c r="Y113" s="20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S115" s="26" t="s">
        <v>197</v>
      </c>
      <c r="T115" s="26">
        <v>11699252</v>
      </c>
      <c r="U115" s="26"/>
      <c r="V115" s="29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S116" s="26" t="s">
        <v>198</v>
      </c>
      <c r="T116" s="26">
        <f>+T112-T115</f>
        <v>4584345</v>
      </c>
      <c r="U116" s="26"/>
      <c r="V116" s="25"/>
      <c r="W116" s="25"/>
      <c r="X116" s="30"/>
      <c r="Y116" s="29"/>
    </row>
    <row r="117" spans="2:29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>
        <f>+T115+T116</f>
        <v>16283597</v>
      </c>
      <c r="U117" s="26"/>
      <c r="V117" s="25"/>
      <c r="W117" s="25"/>
      <c r="X117" s="30"/>
      <c r="Y117" s="25"/>
      <c r="Z117" s="25"/>
      <c r="AA117" s="25"/>
      <c r="AB117" s="25"/>
      <c r="AC117" s="25"/>
    </row>
    <row r="118" spans="2:29" x14ac:dyDescent="0.25">
      <c r="B118" s="25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6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5"/>
      <c r="W121" s="25"/>
      <c r="X121" s="30"/>
      <c r="Y121" s="25"/>
      <c r="Z121" s="25"/>
      <c r="AA121" s="25"/>
      <c r="AB121" s="25"/>
      <c r="AC121" s="25"/>
    </row>
    <row r="122" spans="2:29" x14ac:dyDescent="0.25">
      <c r="B122" s="25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36"/>
      <c r="C123" s="31"/>
      <c r="D123" s="34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4"/>
      <c r="W123" s="34"/>
      <c r="X123" s="35"/>
      <c r="Y123" s="34"/>
      <c r="Z123" s="25"/>
      <c r="AA123" s="25"/>
      <c r="AB123" s="25"/>
      <c r="AC123" s="25"/>
    </row>
    <row r="124" spans="2:29" x14ac:dyDescent="0.25">
      <c r="B124" s="25"/>
      <c r="C124" s="31"/>
      <c r="D124" s="25"/>
      <c r="E124" s="26"/>
      <c r="F124" s="26"/>
      <c r="G124" s="38"/>
      <c r="H124" s="26"/>
      <c r="I124" s="26"/>
      <c r="J124" s="26"/>
      <c r="K124" s="26"/>
      <c r="L124" s="26"/>
      <c r="M124" s="26"/>
      <c r="N124" s="26"/>
      <c r="O124" s="39"/>
      <c r="P124" s="39"/>
      <c r="Q124" s="39"/>
      <c r="R124" s="39"/>
      <c r="S124" s="39"/>
      <c r="T124" s="26"/>
      <c r="U124" s="26"/>
      <c r="V124" s="25"/>
      <c r="W124" s="25"/>
      <c r="X124" s="30"/>
      <c r="Y124" s="25"/>
      <c r="Z124" s="25"/>
      <c r="AA124" s="25"/>
      <c r="AB124" s="25"/>
      <c r="AC124" s="25"/>
    </row>
    <row r="125" spans="2:29" x14ac:dyDescent="0.25">
      <c r="B125" s="25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34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4"/>
      <c r="W126" s="34"/>
      <c r="X126" s="35"/>
      <c r="Y126" s="34"/>
      <c r="Z126" s="25"/>
      <c r="AA126" s="25"/>
      <c r="AB126" s="25"/>
      <c r="AC126" s="25"/>
    </row>
    <row r="127" spans="2:29" x14ac:dyDescent="0.25">
      <c r="B127" s="25"/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31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>
        <f>737717*4</f>
        <v>2950868</v>
      </c>
      <c r="M138" s="26">
        <f>737717*2</f>
        <v>1475434</v>
      </c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  <c r="W144" s="29"/>
      <c r="X144" s="30"/>
      <c r="Y144" s="29"/>
      <c r="Z144" s="25"/>
      <c r="AA144" s="25"/>
      <c r="AB144" s="25"/>
      <c r="AC144" s="25"/>
    </row>
    <row r="145" spans="2:29" x14ac:dyDescent="0.25">
      <c r="C145" s="31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C146" s="31"/>
      <c r="D146" s="25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25"/>
      <c r="T146" s="26"/>
      <c r="U146" s="26"/>
      <c r="V146" s="25"/>
      <c r="W146" s="25"/>
      <c r="X146" s="30"/>
      <c r="Y146" s="25"/>
      <c r="Z146" s="25"/>
      <c r="AA146" s="25"/>
      <c r="AB146" s="25"/>
      <c r="AC146" s="25"/>
    </row>
    <row r="147" spans="2:29" x14ac:dyDescent="0.25">
      <c r="B147" s="25"/>
      <c r="C147" s="31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25"/>
      <c r="AA147" s="25"/>
      <c r="AB147" s="25"/>
      <c r="AC147" s="25"/>
    </row>
    <row r="148" spans="2:29" x14ac:dyDescent="0.25">
      <c r="B148" s="25"/>
      <c r="C148" s="31"/>
      <c r="D148" s="2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  <c r="Z148" s="25"/>
      <c r="AA148" s="25"/>
      <c r="AB148" s="25"/>
      <c r="AC148" s="25"/>
    </row>
    <row r="149" spans="2:29" x14ac:dyDescent="0.25">
      <c r="B149" s="25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B150" s="41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4"/>
      <c r="W150" s="34"/>
      <c r="X150" s="35"/>
      <c r="Y150" s="34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31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40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9"/>
      <c r="W155" s="29"/>
      <c r="X155" s="30"/>
      <c r="Y155" s="29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5"/>
      <c r="W156" s="25"/>
      <c r="X156" s="30"/>
      <c r="Y156" s="25"/>
    </row>
    <row r="157" spans="2:29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9"/>
      <c r="W157" s="29"/>
      <c r="X157" s="30"/>
      <c r="Y157" s="29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5"/>
      <c r="W159" s="25"/>
      <c r="X159" s="30"/>
      <c r="Y159" s="25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2"/>
      <c r="W160" s="42"/>
      <c r="X160" s="30"/>
      <c r="Y160" s="42"/>
    </row>
    <row r="161" spans="2:25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43"/>
      <c r="W161" s="43"/>
      <c r="X161" s="30"/>
      <c r="Y161" s="43"/>
    </row>
    <row r="162" spans="2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2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2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2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2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2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2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2:25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>
        <v>3003000</v>
      </c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2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2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2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2:25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5"/>
      <c r="W173" s="25"/>
      <c r="X173" s="30"/>
      <c r="Y173" s="25"/>
    </row>
    <row r="174" spans="2:25" x14ac:dyDescent="0.25">
      <c r="C174" s="31">
        <v>42614840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412608</v>
      </c>
      <c r="V174" s="25"/>
      <c r="W174" s="25"/>
      <c r="X174" s="30"/>
      <c r="Y174" s="25"/>
    </row>
    <row r="175" spans="2:25" x14ac:dyDescent="0.25">
      <c r="C175" s="31">
        <v>9675182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1880000</v>
      </c>
      <c r="V175" s="25"/>
      <c r="W175" s="25"/>
      <c r="X175" s="30"/>
      <c r="Y175" s="25"/>
    </row>
    <row r="176" spans="2:25" x14ac:dyDescent="0.25">
      <c r="C176" s="31">
        <v>17903600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f>SUM(C174:C176)</f>
        <v>70193622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v>400000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79" spans="3:25" x14ac:dyDescent="0.25">
      <c r="C179" s="31">
        <f>+C177+C178</f>
        <v>70593622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5"/>
      <c r="W179" s="25"/>
      <c r="X179" s="30"/>
      <c r="Y179" s="25"/>
    </row>
    <row r="183" spans="3:25" x14ac:dyDescent="0.25">
      <c r="C183" s="24">
        <v>11000000</v>
      </c>
    </row>
    <row r="184" spans="3:25" x14ac:dyDescent="0.25">
      <c r="C184" s="24">
        <f>+C182+C183</f>
        <v>11000000</v>
      </c>
    </row>
    <row r="189" spans="3:25" x14ac:dyDescent="0.25">
      <c r="C189" s="24">
        <v>3185000</v>
      </c>
    </row>
    <row r="190" spans="3:25" x14ac:dyDescent="0.25">
      <c r="C190" s="24">
        <v>1080000</v>
      </c>
    </row>
    <row r="191" spans="3:25" x14ac:dyDescent="0.25">
      <c r="C191" s="24">
        <v>4850100</v>
      </c>
    </row>
    <row r="192" spans="3:25" x14ac:dyDescent="0.25">
      <c r="C192" s="24">
        <v>5027500</v>
      </c>
    </row>
    <row r="193" spans="3:3" x14ac:dyDescent="0.25">
      <c r="C193" s="24">
        <v>4566000</v>
      </c>
    </row>
    <row r="194" spans="3:3" x14ac:dyDescent="0.25">
      <c r="C194" s="24">
        <v>1050000</v>
      </c>
    </row>
    <row r="195" spans="3:3" x14ac:dyDescent="0.25">
      <c r="C195" s="24">
        <v>3877333</v>
      </c>
    </row>
    <row r="196" spans="3:3" x14ac:dyDescent="0.25">
      <c r="C196" s="24">
        <v>6732440</v>
      </c>
    </row>
    <row r="197" spans="3:3" x14ac:dyDescent="0.25">
      <c r="C197" s="24">
        <v>3460000</v>
      </c>
    </row>
    <row r="198" spans="3:3" x14ac:dyDescent="0.25">
      <c r="C198" s="24">
        <v>588800</v>
      </c>
    </row>
    <row r="199" spans="3:3" x14ac:dyDescent="0.25">
      <c r="C199" s="24">
        <v>1868000</v>
      </c>
    </row>
    <row r="200" spans="3:3" x14ac:dyDescent="0.25">
      <c r="C200" s="24">
        <v>10313000</v>
      </c>
    </row>
    <row r="201" spans="3:3" x14ac:dyDescent="0.25">
      <c r="C201" s="24">
        <v>3443800</v>
      </c>
    </row>
    <row r="202" spans="3:3" x14ac:dyDescent="0.25">
      <c r="C202" s="24">
        <v>8136400</v>
      </c>
    </row>
    <row r="203" spans="3:3" x14ac:dyDescent="0.25">
      <c r="C203" s="24">
        <v>9675183</v>
      </c>
    </row>
    <row r="204" spans="3:3" x14ac:dyDescent="0.25">
      <c r="C204" s="24">
        <f>SUM(C188:C203)</f>
        <v>67853556</v>
      </c>
    </row>
  </sheetData>
  <mergeCells count="7">
    <mergeCell ref="D147:Y147"/>
    <mergeCell ref="C1:V1"/>
    <mergeCell ref="E2:L2"/>
    <mergeCell ref="M2:U2"/>
    <mergeCell ref="A3:A47"/>
    <mergeCell ref="A48:A110"/>
    <mergeCell ref="E146:R1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B208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2" t="s">
        <v>140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4"/>
      <c r="W1" s="44"/>
      <c r="X1" s="4"/>
    </row>
    <row r="2" spans="1:24" x14ac:dyDescent="0.25">
      <c r="C2" s="3" t="s">
        <v>1</v>
      </c>
      <c r="D2" s="4"/>
      <c r="E2" s="93" t="s">
        <v>2</v>
      </c>
      <c r="F2" s="93"/>
      <c r="G2" s="93"/>
      <c r="H2" s="93"/>
      <c r="I2" s="93"/>
      <c r="J2" s="93"/>
      <c r="K2" s="93"/>
      <c r="L2" s="93" t="s">
        <v>3</v>
      </c>
      <c r="M2" s="93"/>
      <c r="N2" s="93"/>
      <c r="O2" s="93"/>
      <c r="P2" s="93"/>
      <c r="Q2" s="93"/>
      <c r="R2" s="93"/>
      <c r="S2" s="93"/>
      <c r="T2" s="93"/>
      <c r="U2" s="4"/>
      <c r="V2" s="4"/>
      <c r="W2" s="44"/>
      <c r="X2" s="4"/>
    </row>
    <row r="3" spans="1:24" ht="60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24</v>
      </c>
    </row>
    <row r="4" spans="1:24" x14ac:dyDescent="0.25">
      <c r="A4" s="95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6" si="0">SUM(G4:I4)+J4</f>
        <v>4815000</v>
      </c>
      <c r="L4" s="5">
        <f t="shared" ref="L4:L37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5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5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5"/>
      <c r="B6" s="4">
        <v>3</v>
      </c>
      <c r="C6" s="11" t="s">
        <v>28</v>
      </c>
      <c r="D6" s="6" t="s">
        <v>26</v>
      </c>
      <c r="E6" s="5">
        <v>5500000</v>
      </c>
      <c r="F6" s="5">
        <v>29</v>
      </c>
      <c r="G6" s="5">
        <v>5438895</v>
      </c>
      <c r="H6" s="5"/>
      <c r="I6" s="5"/>
      <c r="J6" s="5"/>
      <c r="K6" s="5">
        <f t="shared" si="0"/>
        <v>5438895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4841895</v>
      </c>
      <c r="V6" s="7"/>
      <c r="W6" s="44"/>
      <c r="X6" s="7">
        <f t="shared" si="4"/>
        <v>4841895</v>
      </c>
    </row>
    <row r="7" spans="1:24" x14ac:dyDescent="0.25">
      <c r="A7" s="95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ref="G7" si="6">+E7/30*F7</f>
        <v>5492319</v>
      </c>
      <c r="H7" s="5"/>
      <c r="I7" s="5"/>
      <c r="J7" s="5"/>
      <c r="K7" s="5">
        <f t="shared" ref="K7" si="7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8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5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5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5" si="9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5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v>945750</v>
      </c>
      <c r="T10" s="5">
        <f t="shared" si="2"/>
        <v>1353295</v>
      </c>
      <c r="U10" s="7">
        <f>K10-T10</f>
        <v>3146705</v>
      </c>
      <c r="V10" s="7"/>
      <c r="W10" s="44"/>
      <c r="X10" s="7">
        <f t="shared" si="4"/>
        <v>3146705</v>
      </c>
    </row>
    <row r="11" spans="1:24" x14ac:dyDescent="0.25">
      <c r="A11" s="95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10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1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95"/>
      <c r="B12" s="4">
        <v>9</v>
      </c>
      <c r="C12" s="11" t="s">
        <v>33</v>
      </c>
      <c r="D12" s="6" t="s">
        <v>34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10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1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95"/>
      <c r="B13" s="4">
        <v>10</v>
      </c>
      <c r="C13" s="11" t="s">
        <v>35</v>
      </c>
      <c r="D13" s="6" t="s">
        <v>26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2">+K13-T13</f>
        <v>4907752</v>
      </c>
      <c r="V13" s="7"/>
      <c r="W13" s="44"/>
      <c r="X13" s="7">
        <f t="shared" si="4"/>
        <v>4907752</v>
      </c>
    </row>
    <row r="14" spans="1:24" x14ac:dyDescent="0.25">
      <c r="A14" s="95"/>
      <c r="B14" s="4">
        <v>11</v>
      </c>
      <c r="C14" s="3" t="s">
        <v>36</v>
      </c>
      <c r="D14" s="4" t="s">
        <v>26</v>
      </c>
      <c r="E14" s="5">
        <v>4500000</v>
      </c>
      <c r="F14" s="5">
        <v>30</v>
      </c>
      <c r="G14" s="5">
        <f t="shared" ref="G14:G20" si="13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2"/>
        <v>4092000</v>
      </c>
      <c r="V14" s="7"/>
      <c r="W14" s="44"/>
      <c r="X14" s="7">
        <f t="shared" si="4"/>
        <v>4092000</v>
      </c>
    </row>
    <row r="15" spans="1:24" x14ac:dyDescent="0.25">
      <c r="A15" s="95"/>
      <c r="B15" s="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3"/>
        <v>4200000</v>
      </c>
      <c r="H15" s="5"/>
      <c r="I15" s="5"/>
      <c r="J15" s="5"/>
      <c r="K15" s="5">
        <f t="shared" ref="K15:K17" si="14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5">SUM(L15:S15)</f>
        <v>410000</v>
      </c>
      <c r="U15" s="7">
        <f t="shared" si="12"/>
        <v>3790000</v>
      </c>
      <c r="V15" s="7"/>
      <c r="W15" s="44"/>
      <c r="X15" s="7">
        <f t="shared" si="4"/>
        <v>3790000</v>
      </c>
    </row>
    <row r="16" spans="1:24" x14ac:dyDescent="0.25">
      <c r="A16" s="95"/>
      <c r="B16" s="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3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5"/>
        <v>364500</v>
      </c>
      <c r="U16" s="7">
        <f t="shared" si="12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95"/>
      <c r="B17" s="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3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2"/>
        <v>4023000</v>
      </c>
      <c r="V17" s="7"/>
      <c r="W17" s="44"/>
      <c r="X17" s="7">
        <f t="shared" si="4"/>
        <v>4023000</v>
      </c>
    </row>
    <row r="18" spans="1:24" x14ac:dyDescent="0.25">
      <c r="A18" s="95"/>
      <c r="B18" s="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3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301042</v>
      </c>
      <c r="Q18" s="5">
        <v>400000</v>
      </c>
      <c r="R18" s="5"/>
      <c r="S18" s="5"/>
      <c r="T18" s="5">
        <f t="shared" si="2"/>
        <v>1196042</v>
      </c>
      <c r="U18" s="7">
        <f t="shared" si="12"/>
        <v>4753958</v>
      </c>
      <c r="V18" s="7"/>
      <c r="W18" s="44"/>
      <c r="X18" s="7">
        <f t="shared" si="4"/>
        <v>4753958</v>
      </c>
    </row>
    <row r="19" spans="1:24" x14ac:dyDescent="0.25">
      <c r="A19" s="95"/>
      <c r="B19" s="4">
        <v>16</v>
      </c>
      <c r="C19" s="11" t="s">
        <v>142</v>
      </c>
      <c r="D19" s="6" t="s">
        <v>26</v>
      </c>
      <c r="E19" s="5">
        <v>5000000</v>
      </c>
      <c r="F19" s="5">
        <v>22</v>
      </c>
      <c r="G19" s="5">
        <f t="shared" si="13"/>
        <v>3666666.6666666665</v>
      </c>
      <c r="H19" s="5"/>
      <c r="I19" s="5"/>
      <c r="J19" s="5"/>
      <c r="K19" s="5">
        <f t="shared" ref="K19:K20" si="16">SUM(G19:I19)+J19</f>
        <v>3666666.6666666665</v>
      </c>
      <c r="L19" s="5">
        <f>+G19*4%</f>
        <v>146666.66666666666</v>
      </c>
      <c r="M19" s="5">
        <f>+G19*5%</f>
        <v>183333.33333333334</v>
      </c>
      <c r="N19" s="5"/>
      <c r="O19" s="5"/>
      <c r="P19" s="17">
        <v>75000</v>
      </c>
      <c r="Q19" s="5"/>
      <c r="R19" s="5"/>
      <c r="S19" s="5"/>
      <c r="T19" s="5">
        <f t="shared" ref="T19:T20" si="17">SUM(L19:S19)</f>
        <v>405000</v>
      </c>
      <c r="U19" s="7">
        <f t="shared" si="12"/>
        <v>3261666.6666666665</v>
      </c>
      <c r="V19" s="7"/>
      <c r="W19" s="44"/>
      <c r="X19" s="7">
        <f t="shared" si="4"/>
        <v>3261666.6666666665</v>
      </c>
    </row>
    <row r="20" spans="1:24" x14ac:dyDescent="0.25">
      <c r="A20" s="95"/>
      <c r="B20" s="4">
        <v>17</v>
      </c>
      <c r="C20" s="11" t="s">
        <v>41</v>
      </c>
      <c r="D20" s="6" t="s">
        <v>26</v>
      </c>
      <c r="E20" s="5">
        <v>3500000</v>
      </c>
      <c r="F20" s="5">
        <v>30</v>
      </c>
      <c r="G20" s="5">
        <f t="shared" si="13"/>
        <v>3500000</v>
      </c>
      <c r="H20" s="5"/>
      <c r="I20" s="5"/>
      <c r="J20" s="5"/>
      <c r="K20" s="5">
        <f t="shared" si="16"/>
        <v>3500000</v>
      </c>
      <c r="L20" s="5">
        <f t="shared" ref="L20" si="18">+G20*4%</f>
        <v>140000</v>
      </c>
      <c r="M20" s="5">
        <f t="shared" ref="M20" si="19">+G20*5%</f>
        <v>175000</v>
      </c>
      <c r="N20" s="5"/>
      <c r="O20" s="5"/>
      <c r="P20" s="17"/>
      <c r="Q20" s="5"/>
      <c r="R20" s="5"/>
      <c r="S20" s="5"/>
      <c r="T20" s="5">
        <f t="shared" si="17"/>
        <v>315000</v>
      </c>
      <c r="U20" s="7">
        <f t="shared" si="12"/>
        <v>3185000</v>
      </c>
      <c r="V20" s="7"/>
      <c r="W20" s="44"/>
      <c r="X20" s="7">
        <f t="shared" si="4"/>
        <v>3185000</v>
      </c>
    </row>
    <row r="21" spans="1:24" ht="24" x14ac:dyDescent="0.25">
      <c r="A21" s="95"/>
      <c r="B21" s="4">
        <v>18</v>
      </c>
      <c r="C21" s="11" t="s">
        <v>42</v>
      </c>
      <c r="D21" s="6" t="s">
        <v>26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95"/>
      <c r="B22" s="4">
        <v>19</v>
      </c>
      <c r="C22" s="11" t="s">
        <v>43</v>
      </c>
      <c r="D22" s="6" t="s">
        <v>26</v>
      </c>
      <c r="E22" s="5">
        <v>6600000</v>
      </c>
      <c r="F22" s="5">
        <v>30</v>
      </c>
      <c r="G22" s="5">
        <f t="shared" ref="G22:G31" si="20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95"/>
      <c r="B23" s="4">
        <v>20</v>
      </c>
      <c r="C23" s="11" t="s">
        <v>44</v>
      </c>
      <c r="D23" s="6" t="s">
        <v>26</v>
      </c>
      <c r="E23" s="5">
        <v>6900000</v>
      </c>
      <c r="F23" s="5">
        <v>30</v>
      </c>
      <c r="G23" s="5">
        <f t="shared" si="20"/>
        <v>6900000</v>
      </c>
      <c r="H23" s="5"/>
      <c r="I23" s="5">
        <v>1400000</v>
      </c>
      <c r="J23" s="5"/>
      <c r="K23" s="5">
        <f t="shared" ref="K23" si="21">SUM(G23:I23)+J23</f>
        <v>8300000</v>
      </c>
      <c r="L23" s="5">
        <f t="shared" ref="L23" si="22">+G23*4%</f>
        <v>276000</v>
      </c>
      <c r="M23" s="5">
        <f t="shared" ref="M23" si="23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4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95"/>
      <c r="B24" s="4">
        <v>21</v>
      </c>
      <c r="C24" s="11" t="s">
        <v>45</v>
      </c>
      <c r="D24" s="6" t="s">
        <v>26</v>
      </c>
      <c r="E24" s="5">
        <v>3500000</v>
      </c>
      <c r="F24" s="5">
        <v>30</v>
      </c>
      <c r="G24" s="5">
        <f t="shared" ref="G24" si="25">+E24/30*F24</f>
        <v>3500000</v>
      </c>
      <c r="H24" s="5"/>
      <c r="I24" s="5"/>
      <c r="J24" s="5"/>
      <c r="K24" s="5">
        <f t="shared" ref="K24" si="26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4"/>
        <v>315000</v>
      </c>
      <c r="U24" s="7">
        <f t="shared" ref="U24" si="27">+K24-T24</f>
        <v>3185000</v>
      </c>
      <c r="V24" s="7"/>
      <c r="W24" s="44"/>
      <c r="X24" s="7">
        <f t="shared" si="4"/>
        <v>3185000</v>
      </c>
    </row>
    <row r="25" spans="1:24" x14ac:dyDescent="0.25">
      <c r="A25" s="95"/>
      <c r="B25" s="4">
        <v>22</v>
      </c>
      <c r="C25" s="11" t="s">
        <v>46</v>
      </c>
      <c r="D25" s="6" t="s">
        <v>26</v>
      </c>
      <c r="E25" s="5">
        <v>5000000</v>
      </c>
      <c r="F25" s="5">
        <v>30</v>
      </c>
      <c r="G25" s="5">
        <f t="shared" si="20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9"/>
        <v>250000</v>
      </c>
      <c r="N25" s="5"/>
      <c r="O25" s="5"/>
      <c r="P25" s="17">
        <v>50000</v>
      </c>
      <c r="Q25" s="5">
        <v>800000</v>
      </c>
      <c r="R25" s="5"/>
      <c r="S25" s="5">
        <f>884747</f>
        <v>884747</v>
      </c>
      <c r="T25" s="5">
        <f t="shared" si="2"/>
        <v>2184747</v>
      </c>
      <c r="U25" s="7">
        <f>+K25-T25</f>
        <v>4436570</v>
      </c>
      <c r="V25" s="7"/>
      <c r="W25" s="44"/>
      <c r="X25" s="7">
        <f t="shared" si="4"/>
        <v>4436570</v>
      </c>
    </row>
    <row r="26" spans="1:24" x14ac:dyDescent="0.25">
      <c r="A26" s="95"/>
      <c r="B26" s="4">
        <v>23</v>
      </c>
      <c r="C26" s="11" t="s">
        <v>47</v>
      </c>
      <c r="D26" s="6" t="s">
        <v>26</v>
      </c>
      <c r="E26" s="5">
        <v>4500000</v>
      </c>
      <c r="F26" s="5">
        <v>30</v>
      </c>
      <c r="G26" s="5">
        <f t="shared" si="20"/>
        <v>4500000</v>
      </c>
      <c r="H26" s="5"/>
      <c r="I26" s="5"/>
      <c r="J26" s="5"/>
      <c r="K26" s="5">
        <f t="shared" si="0"/>
        <v>4500000</v>
      </c>
      <c r="L26" s="5">
        <f t="shared" si="1"/>
        <v>180000</v>
      </c>
      <c r="M26" s="5">
        <f t="shared" si="9"/>
        <v>225000</v>
      </c>
      <c r="N26" s="5"/>
      <c r="O26" s="5"/>
      <c r="P26" s="17">
        <v>31000</v>
      </c>
      <c r="Q26" s="5"/>
      <c r="R26" s="5"/>
      <c r="S26" s="5"/>
      <c r="T26" s="5">
        <f t="shared" si="2"/>
        <v>436000</v>
      </c>
      <c r="U26" s="7">
        <f>+K26-T26</f>
        <v>4064000</v>
      </c>
      <c r="V26" s="7"/>
      <c r="W26" s="44"/>
      <c r="X26" s="7">
        <f t="shared" si="4"/>
        <v>4064000</v>
      </c>
    </row>
    <row r="27" spans="1:24" x14ac:dyDescent="0.25">
      <c r="A27" s="95"/>
      <c r="B27" s="4">
        <v>24</v>
      </c>
      <c r="C27" s="11" t="s">
        <v>48</v>
      </c>
      <c r="D27" s="6" t="s">
        <v>26</v>
      </c>
      <c r="E27" s="5">
        <v>5000000</v>
      </c>
      <c r="F27" s="5">
        <v>30</v>
      </c>
      <c r="G27" s="5">
        <f t="shared" si="20"/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si="1"/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29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95"/>
      <c r="B28" s="4">
        <v>25</v>
      </c>
      <c r="C28" s="11" t="s">
        <v>49</v>
      </c>
      <c r="D28" s="6" t="s">
        <v>26</v>
      </c>
      <c r="E28" s="5">
        <v>4500000</v>
      </c>
      <c r="F28" s="5">
        <v>30</v>
      </c>
      <c r="G28" s="5">
        <f t="shared" si="20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29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95"/>
      <c r="B29" s="4">
        <v>26</v>
      </c>
      <c r="C29" s="11" t="s">
        <v>50</v>
      </c>
      <c r="D29" s="6" t="s">
        <v>26</v>
      </c>
      <c r="E29" s="5">
        <v>6000000</v>
      </c>
      <c r="F29" s="5">
        <v>30</v>
      </c>
      <c r="G29" s="5">
        <f t="shared" si="20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95"/>
      <c r="B30" s="4">
        <v>27</v>
      </c>
      <c r="C30" s="11" t="s">
        <v>51</v>
      </c>
      <c r="D30" s="6" t="s">
        <v>26</v>
      </c>
      <c r="E30" s="5">
        <v>4500000</v>
      </c>
      <c r="F30" s="5">
        <v>30</v>
      </c>
      <c r="G30" s="5">
        <f t="shared" si="20"/>
        <v>4500000</v>
      </c>
      <c r="H30" s="5"/>
      <c r="I30" s="5">
        <v>300000</v>
      </c>
      <c r="J30" s="5"/>
      <c r="K30" s="5">
        <f t="shared" si="0"/>
        <v>4800000</v>
      </c>
      <c r="L30" s="5">
        <v>180000</v>
      </c>
      <c r="M30" s="5">
        <v>225000</v>
      </c>
      <c r="N30" s="5"/>
      <c r="O30" s="5"/>
      <c r="P30" s="17">
        <v>99000</v>
      </c>
      <c r="Q30" s="5"/>
      <c r="R30" s="5"/>
      <c r="S30" s="5"/>
      <c r="T30" s="5">
        <f t="shared" si="2"/>
        <v>504000</v>
      </c>
      <c r="U30" s="7">
        <f>K30-T30</f>
        <v>4296000</v>
      </c>
      <c r="V30" s="7"/>
      <c r="W30" s="44"/>
      <c r="X30" s="7">
        <f t="shared" si="4"/>
        <v>4296000</v>
      </c>
    </row>
    <row r="31" spans="1:24" x14ac:dyDescent="0.25">
      <c r="A31" s="95"/>
      <c r="B31" s="4">
        <v>28</v>
      </c>
      <c r="C31" s="11" t="s">
        <v>52</v>
      </c>
      <c r="D31" s="6" t="s">
        <v>26</v>
      </c>
      <c r="E31" s="5">
        <v>3500000</v>
      </c>
      <c r="F31" s="5">
        <v>30</v>
      </c>
      <c r="G31" s="5">
        <f t="shared" si="20"/>
        <v>3500000</v>
      </c>
      <c r="H31" s="5"/>
      <c r="I31" s="5"/>
      <c r="J31" s="5"/>
      <c r="K31" s="5">
        <f>SUM(G31:I31)+J31</f>
        <v>3500000</v>
      </c>
      <c r="L31" s="5">
        <v>140000</v>
      </c>
      <c r="M31" s="5">
        <v>175000</v>
      </c>
      <c r="N31" s="5"/>
      <c r="O31" s="5"/>
      <c r="P31" s="17">
        <v>0</v>
      </c>
      <c r="Q31" s="5"/>
      <c r="R31" s="5"/>
      <c r="S31" s="5"/>
      <c r="T31" s="5">
        <f t="shared" ref="T31" si="30">SUM(L31:S31)</f>
        <v>315000</v>
      </c>
      <c r="U31" s="7">
        <f>K31-T31</f>
        <v>3185000</v>
      </c>
      <c r="V31" s="7"/>
      <c r="W31" s="44"/>
      <c r="X31" s="7">
        <f t="shared" si="4"/>
        <v>3185000</v>
      </c>
    </row>
    <row r="32" spans="1:24" x14ac:dyDescent="0.25">
      <c r="A32" s="95"/>
      <c r="B32" s="4">
        <v>29</v>
      </c>
      <c r="C32" s="11" t="s">
        <v>53</v>
      </c>
      <c r="D32" s="6" t="s">
        <v>26</v>
      </c>
      <c r="E32" s="5">
        <v>4800000</v>
      </c>
      <c r="F32" s="5">
        <v>30</v>
      </c>
      <c r="G32" s="5">
        <f t="shared" ref="G32:G57" si="31">+E32/30*F32</f>
        <v>4800000</v>
      </c>
      <c r="H32" s="5"/>
      <c r="I32" s="5"/>
      <c r="J32" s="5"/>
      <c r="K32" s="5">
        <f t="shared" si="0"/>
        <v>4800000</v>
      </c>
      <c r="L32" s="5">
        <f>+G32*4%</f>
        <v>192000</v>
      </c>
      <c r="M32" s="5">
        <f>+G32*5%</f>
        <v>240000</v>
      </c>
      <c r="N32" s="5"/>
      <c r="O32" s="5"/>
      <c r="P32" s="5">
        <v>0</v>
      </c>
      <c r="Q32" s="5">
        <v>1300000</v>
      </c>
      <c r="R32" s="5"/>
      <c r="S32" s="5">
        <v>209579</v>
      </c>
      <c r="T32" s="5">
        <f t="shared" si="2"/>
        <v>1941579</v>
      </c>
      <c r="U32" s="7">
        <f>K32-T32</f>
        <v>2858421</v>
      </c>
      <c r="V32" s="7"/>
      <c r="W32" s="44"/>
      <c r="X32" s="7">
        <f t="shared" si="4"/>
        <v>2858421</v>
      </c>
    </row>
    <row r="33" spans="1:26" x14ac:dyDescent="0.25">
      <c r="A33" s="95"/>
      <c r="B33" s="4">
        <v>30</v>
      </c>
      <c r="C33" s="11" t="s">
        <v>54</v>
      </c>
      <c r="D33" s="6" t="s">
        <v>26</v>
      </c>
      <c r="E33" s="5">
        <v>4280000</v>
      </c>
      <c r="F33" s="5">
        <v>30</v>
      </c>
      <c r="G33" s="5">
        <f>E33/30*F33</f>
        <v>4280000</v>
      </c>
      <c r="H33" s="5"/>
      <c r="I33" s="5"/>
      <c r="J33" s="5"/>
      <c r="K33" s="5">
        <f t="shared" si="0"/>
        <v>4280000</v>
      </c>
      <c r="L33" s="5">
        <f>+G33*4%</f>
        <v>171200</v>
      </c>
      <c r="M33" s="5">
        <f>+G33*5%</f>
        <v>214000</v>
      </c>
      <c r="N33" s="5"/>
      <c r="O33" s="5"/>
      <c r="P33" s="17">
        <v>31064</v>
      </c>
      <c r="Q33" s="5"/>
      <c r="R33" s="5"/>
      <c r="S33" s="5"/>
      <c r="T33" s="5">
        <f t="shared" si="2"/>
        <v>416264</v>
      </c>
      <c r="U33" s="7">
        <f>K33-T33</f>
        <v>3863736</v>
      </c>
      <c r="V33" s="7"/>
      <c r="W33" s="44"/>
      <c r="X33" s="7">
        <f t="shared" si="4"/>
        <v>3863736</v>
      </c>
    </row>
    <row r="34" spans="1:26" x14ac:dyDescent="0.25">
      <c r="A34" s="95"/>
      <c r="B34" s="4">
        <v>31</v>
      </c>
      <c r="C34" s="11" t="s">
        <v>55</v>
      </c>
      <c r="D34" s="6" t="s">
        <v>26</v>
      </c>
      <c r="E34" s="5">
        <v>6000000</v>
      </c>
      <c r="F34" s="5">
        <v>21</v>
      </c>
      <c r="G34" s="5">
        <f t="shared" si="31"/>
        <v>4200000</v>
      </c>
      <c r="H34" s="5"/>
      <c r="I34" s="5"/>
      <c r="J34" s="5"/>
      <c r="K34" s="5">
        <f t="shared" si="0"/>
        <v>4200000</v>
      </c>
      <c r="L34" s="5">
        <f>+K34*4%</f>
        <v>168000</v>
      </c>
      <c r="M34" s="5">
        <f>+K34*5%</f>
        <v>210000</v>
      </c>
      <c r="N34" s="5"/>
      <c r="O34" s="5"/>
      <c r="P34" s="5">
        <v>173000</v>
      </c>
      <c r="Q34" s="5"/>
      <c r="R34" s="5">
        <v>122614</v>
      </c>
      <c r="S34" s="5"/>
      <c r="T34" s="5">
        <f t="shared" si="2"/>
        <v>673614</v>
      </c>
      <c r="U34" s="7">
        <f t="shared" ref="U34:U35" si="32">+K34-T34</f>
        <v>3526386</v>
      </c>
      <c r="V34" s="7"/>
      <c r="W34" s="44"/>
      <c r="X34" s="7">
        <f t="shared" si="4"/>
        <v>3526386</v>
      </c>
    </row>
    <row r="35" spans="1:26" x14ac:dyDescent="0.25">
      <c r="A35" s="95"/>
      <c r="B35" s="4">
        <v>32</v>
      </c>
      <c r="C35" s="11" t="s">
        <v>56</v>
      </c>
      <c r="D35" s="6" t="s">
        <v>26</v>
      </c>
      <c r="E35" s="5">
        <v>4500000</v>
      </c>
      <c r="F35" s="5">
        <v>30</v>
      </c>
      <c r="G35" s="5">
        <f t="shared" si="31"/>
        <v>4500000</v>
      </c>
      <c r="H35" s="5"/>
      <c r="I35" s="5">
        <v>500000</v>
      </c>
      <c r="J35" s="5"/>
      <c r="K35" s="5">
        <f t="shared" si="0"/>
        <v>5000000</v>
      </c>
      <c r="L35" s="5">
        <f t="shared" si="1"/>
        <v>180000</v>
      </c>
      <c r="M35" s="5">
        <f t="shared" si="9"/>
        <v>225000</v>
      </c>
      <c r="N35" s="5"/>
      <c r="O35" s="5"/>
      <c r="P35" s="5">
        <v>11000</v>
      </c>
      <c r="Q35" s="5"/>
      <c r="R35" s="5">
        <v>612500</v>
      </c>
      <c r="S35" s="5">
        <v>551399</v>
      </c>
      <c r="T35" s="5">
        <f t="shared" si="2"/>
        <v>1579899</v>
      </c>
      <c r="U35" s="7">
        <f t="shared" si="32"/>
        <v>3420101</v>
      </c>
      <c r="V35" s="7"/>
      <c r="W35" s="44"/>
      <c r="X35" s="7">
        <f t="shared" si="4"/>
        <v>3420101</v>
      </c>
    </row>
    <row r="36" spans="1:26" x14ac:dyDescent="0.25">
      <c r="A36" s="95"/>
      <c r="B36" s="4">
        <v>33</v>
      </c>
      <c r="C36" s="3" t="s">
        <v>57</v>
      </c>
      <c r="D36" s="4" t="s">
        <v>26</v>
      </c>
      <c r="E36" s="5">
        <v>4815000</v>
      </c>
      <c r="F36" s="5">
        <v>30</v>
      </c>
      <c r="G36" s="5">
        <f>+E36-J36</f>
        <v>4815000</v>
      </c>
      <c r="H36" s="5"/>
      <c r="I36" s="5"/>
      <c r="J36" s="5"/>
      <c r="K36" s="5">
        <f t="shared" si="0"/>
        <v>4815000</v>
      </c>
      <c r="L36" s="5">
        <f>+E36*4%</f>
        <v>192600</v>
      </c>
      <c r="M36" s="5">
        <f>+E36*5%</f>
        <v>240750</v>
      </c>
      <c r="N36" s="5"/>
      <c r="O36" s="5"/>
      <c r="P36" s="5">
        <v>34627</v>
      </c>
      <c r="Q36" s="5"/>
      <c r="R36" s="5"/>
      <c r="S36" s="5">
        <v>541379</v>
      </c>
      <c r="T36" s="5">
        <f t="shared" si="2"/>
        <v>1009356</v>
      </c>
      <c r="U36" s="7">
        <f>K36-T36</f>
        <v>3805644</v>
      </c>
      <c r="V36" s="7"/>
      <c r="W36" s="44"/>
      <c r="X36" s="7">
        <f t="shared" si="4"/>
        <v>3805644</v>
      </c>
    </row>
    <row r="37" spans="1:26" ht="24" x14ac:dyDescent="0.25">
      <c r="A37" s="95"/>
      <c r="B37" s="4">
        <v>34</v>
      </c>
      <c r="C37" s="11" t="s">
        <v>58</v>
      </c>
      <c r="D37" s="6" t="s">
        <v>26</v>
      </c>
      <c r="E37" s="5">
        <v>6000000</v>
      </c>
      <c r="F37" s="5">
        <v>30</v>
      </c>
      <c r="G37" s="5">
        <f>+E37/30*F37</f>
        <v>6000000</v>
      </c>
      <c r="H37" s="5"/>
      <c r="I37" s="5"/>
      <c r="J37" s="5"/>
      <c r="K37" s="5">
        <f t="shared" ref="K37:K85" si="33">SUM(G37:I37)+J37</f>
        <v>6000000</v>
      </c>
      <c r="L37" s="5">
        <f t="shared" si="1"/>
        <v>240000</v>
      </c>
      <c r="M37" s="5">
        <f>+G37*5%</f>
        <v>300000</v>
      </c>
      <c r="N37" s="5"/>
      <c r="O37" s="5"/>
      <c r="P37" s="5">
        <v>156000</v>
      </c>
      <c r="Q37" s="5"/>
      <c r="R37" s="5"/>
      <c r="S37" s="5"/>
      <c r="T37" s="5">
        <f t="shared" si="2"/>
        <v>696000</v>
      </c>
      <c r="U37" s="7">
        <f>+K37-T37</f>
        <v>5304000</v>
      </c>
      <c r="V37" s="7"/>
      <c r="W37" s="44"/>
      <c r="X37" s="7">
        <f t="shared" si="4"/>
        <v>5304000</v>
      </c>
    </row>
    <row r="38" spans="1:26" x14ac:dyDescent="0.25">
      <c r="A38" s="95"/>
      <c r="B38" s="4">
        <v>35</v>
      </c>
      <c r="C38" s="3" t="s">
        <v>59</v>
      </c>
      <c r="D38" s="4" t="s">
        <v>26</v>
      </c>
      <c r="E38" s="5">
        <v>6900000</v>
      </c>
      <c r="F38" s="5">
        <v>30</v>
      </c>
      <c r="G38" s="5">
        <f t="shared" si="31"/>
        <v>6900000</v>
      </c>
      <c r="H38" s="5"/>
      <c r="I38" s="5">
        <v>1500000</v>
      </c>
      <c r="J38" s="5"/>
      <c r="K38" s="5">
        <f t="shared" si="33"/>
        <v>8400000</v>
      </c>
      <c r="L38" s="5">
        <v>276000</v>
      </c>
      <c r="M38" s="5">
        <v>345000</v>
      </c>
      <c r="N38" s="5"/>
      <c r="O38" s="5"/>
      <c r="P38" s="5">
        <v>345000</v>
      </c>
      <c r="Q38" s="5"/>
      <c r="R38" s="5"/>
      <c r="S38" s="5"/>
      <c r="T38" s="5">
        <f t="shared" si="2"/>
        <v>966000</v>
      </c>
      <c r="U38" s="7">
        <f>K38-T38</f>
        <v>7434000</v>
      </c>
      <c r="V38" s="7"/>
      <c r="W38" s="44"/>
      <c r="X38" s="7">
        <f t="shared" si="4"/>
        <v>7434000</v>
      </c>
    </row>
    <row r="39" spans="1:26" x14ac:dyDescent="0.25">
      <c r="A39" s="95"/>
      <c r="B39" s="4">
        <v>36</v>
      </c>
      <c r="C39" s="3" t="s">
        <v>60</v>
      </c>
      <c r="D39" s="4" t="s">
        <v>26</v>
      </c>
      <c r="E39" s="5">
        <v>5000000</v>
      </c>
      <c r="F39" s="5">
        <v>30</v>
      </c>
      <c r="G39" s="5">
        <f t="shared" si="31"/>
        <v>5000000</v>
      </c>
      <c r="H39" s="5"/>
      <c r="I39" s="5"/>
      <c r="J39" s="5"/>
      <c r="K39" s="5">
        <f t="shared" ref="K39:K40" si="34">SUM(G39:I39)+J39</f>
        <v>5000000</v>
      </c>
      <c r="L39" s="5">
        <v>200000</v>
      </c>
      <c r="M39" s="5"/>
      <c r="N39" s="5"/>
      <c r="O39" s="5"/>
      <c r="P39" s="5">
        <v>175000</v>
      </c>
      <c r="Q39" s="5"/>
      <c r="R39" s="5"/>
      <c r="S39" s="5"/>
      <c r="T39" s="5">
        <f t="shared" ref="T39:T40" si="35">SUM(L39:S39)</f>
        <v>375000</v>
      </c>
      <c r="U39" s="7">
        <f t="shared" ref="U39:U40" si="36">K39-T39</f>
        <v>4625000</v>
      </c>
      <c r="V39" s="7"/>
      <c r="W39" s="44"/>
      <c r="X39" s="7">
        <f t="shared" si="4"/>
        <v>4625000</v>
      </c>
    </row>
    <row r="40" spans="1:26" x14ac:dyDescent="0.25">
      <c r="A40" s="95"/>
      <c r="B40" s="4">
        <v>37</v>
      </c>
      <c r="C40" s="3" t="s">
        <v>61</v>
      </c>
      <c r="D40" s="4" t="s">
        <v>26</v>
      </c>
      <c r="E40" s="5">
        <v>5500000</v>
      </c>
      <c r="F40" s="5">
        <v>30</v>
      </c>
      <c r="G40" s="5">
        <f t="shared" si="31"/>
        <v>5500000</v>
      </c>
      <c r="H40" s="5"/>
      <c r="I40" s="5">
        <v>500000</v>
      </c>
      <c r="J40" s="5"/>
      <c r="K40" s="5">
        <f t="shared" si="34"/>
        <v>6000000</v>
      </c>
      <c r="L40" s="5">
        <f>+G40*4%</f>
        <v>220000</v>
      </c>
      <c r="M40" s="5">
        <f>+G40*5%</f>
        <v>275000</v>
      </c>
      <c r="N40" s="5"/>
      <c r="O40" s="5"/>
      <c r="P40" s="5">
        <v>144000</v>
      </c>
      <c r="Q40" s="5"/>
      <c r="R40" s="5"/>
      <c r="S40" s="5"/>
      <c r="T40" s="5">
        <f t="shared" si="35"/>
        <v>639000</v>
      </c>
      <c r="U40" s="7">
        <f t="shared" si="36"/>
        <v>5361000</v>
      </c>
      <c r="V40" s="7"/>
      <c r="W40" s="44"/>
      <c r="X40" s="7">
        <f t="shared" si="4"/>
        <v>5361000</v>
      </c>
    </row>
    <row r="41" spans="1:26" x14ac:dyDescent="0.25">
      <c r="A41" s="95"/>
      <c r="B41" s="4">
        <v>38</v>
      </c>
      <c r="C41" s="11" t="s">
        <v>62</v>
      </c>
      <c r="D41" s="6" t="s">
        <v>26</v>
      </c>
      <c r="E41" s="5">
        <v>5350000</v>
      </c>
      <c r="F41" s="5">
        <v>30</v>
      </c>
      <c r="G41" s="5">
        <f t="shared" si="31"/>
        <v>5350000</v>
      </c>
      <c r="H41" s="5"/>
      <c r="I41" s="5"/>
      <c r="J41" s="5"/>
      <c r="K41" s="5">
        <f t="shared" si="33"/>
        <v>5350000</v>
      </c>
      <c r="L41" s="5">
        <f>+G41*4%</f>
        <v>214000</v>
      </c>
      <c r="M41" s="5">
        <f>+G41*5%</f>
        <v>267500</v>
      </c>
      <c r="N41" s="5"/>
      <c r="O41" s="5"/>
      <c r="P41" s="5">
        <v>121000</v>
      </c>
      <c r="Q41" s="5"/>
      <c r="R41" s="5"/>
      <c r="S41" s="5"/>
      <c r="T41" s="5">
        <f>SUM(L41:S41)</f>
        <v>602500</v>
      </c>
      <c r="U41" s="7">
        <f t="shared" ref="U41:U47" si="37">+K41-T41</f>
        <v>4747500</v>
      </c>
      <c r="V41" s="7"/>
      <c r="W41" s="44"/>
      <c r="X41" s="7">
        <f t="shared" si="4"/>
        <v>4747500</v>
      </c>
    </row>
    <row r="42" spans="1:26" x14ac:dyDescent="0.25">
      <c r="A42" s="95"/>
      <c r="B42" s="4">
        <v>39</v>
      </c>
      <c r="C42" s="11" t="s">
        <v>63</v>
      </c>
      <c r="D42" s="6" t="s">
        <v>26</v>
      </c>
      <c r="E42" s="5">
        <v>4500000</v>
      </c>
      <c r="F42" s="5">
        <v>29</v>
      </c>
      <c r="G42" s="5">
        <f t="shared" si="31"/>
        <v>4350000</v>
      </c>
      <c r="H42" s="5"/>
      <c r="I42" s="5"/>
      <c r="J42" s="5">
        <f>+E42-G42</f>
        <v>150000</v>
      </c>
      <c r="K42" s="5">
        <f t="shared" si="33"/>
        <v>4500000</v>
      </c>
      <c r="L42" s="5">
        <f>+E42*4%</f>
        <v>180000</v>
      </c>
      <c r="M42" s="5">
        <f>+E42*5%</f>
        <v>225000</v>
      </c>
      <c r="N42" s="5"/>
      <c r="O42" s="5"/>
      <c r="P42" s="5">
        <v>10000</v>
      </c>
      <c r="Q42" s="5"/>
      <c r="R42" s="5"/>
      <c r="S42" s="5"/>
      <c r="T42" s="5">
        <f>SUM(L42:S42)</f>
        <v>415000</v>
      </c>
      <c r="U42" s="7">
        <f t="shared" si="37"/>
        <v>4085000</v>
      </c>
      <c r="V42" s="7"/>
      <c r="W42" s="44"/>
      <c r="X42" s="7">
        <f t="shared" si="4"/>
        <v>4085000</v>
      </c>
    </row>
    <row r="43" spans="1:26" ht="24" x14ac:dyDescent="0.25">
      <c r="A43" s="95"/>
      <c r="B43" s="4">
        <v>40</v>
      </c>
      <c r="C43" s="11" t="s">
        <v>64</v>
      </c>
      <c r="D43" s="6"/>
      <c r="E43" s="5">
        <v>6000000</v>
      </c>
      <c r="F43" s="5">
        <v>30</v>
      </c>
      <c r="G43" s="5">
        <f t="shared" si="31"/>
        <v>6000000</v>
      </c>
      <c r="H43" s="5"/>
      <c r="I43" s="5"/>
      <c r="J43" s="5"/>
      <c r="K43" s="5">
        <f t="shared" ref="K43" si="38">SUM(G43:I43)+J43</f>
        <v>6000000</v>
      </c>
      <c r="L43" s="5">
        <f>+G43*4%</f>
        <v>240000</v>
      </c>
      <c r="M43" s="5">
        <f>+G43*5%</f>
        <v>300000</v>
      </c>
      <c r="N43" s="5"/>
      <c r="O43" s="5"/>
      <c r="P43" s="5">
        <v>203000</v>
      </c>
      <c r="Q43" s="5"/>
      <c r="R43" s="5"/>
      <c r="T43" s="5">
        <f>SUM(L43:S43)</f>
        <v>743000</v>
      </c>
      <c r="U43" s="7">
        <f t="shared" si="37"/>
        <v>5257000</v>
      </c>
      <c r="V43" s="7"/>
      <c r="W43" s="44"/>
      <c r="X43" s="7"/>
    </row>
    <row r="44" spans="1:26" ht="26.25" customHeight="1" x14ac:dyDescent="0.25">
      <c r="A44" s="95"/>
      <c r="B44" s="4">
        <v>41</v>
      </c>
      <c r="C44" s="11" t="s">
        <v>65</v>
      </c>
      <c r="D44" s="6" t="s">
        <v>26</v>
      </c>
      <c r="E44" s="5">
        <v>4250000</v>
      </c>
      <c r="F44" s="5">
        <v>30</v>
      </c>
      <c r="G44" s="5">
        <f t="shared" si="31"/>
        <v>4250000</v>
      </c>
      <c r="H44" s="5"/>
      <c r="I44" s="5"/>
      <c r="J44" s="5"/>
      <c r="K44" s="5">
        <f t="shared" ref="K44" si="39">SUM(G44:I44)+J44</f>
        <v>4250000</v>
      </c>
      <c r="L44" s="5">
        <f>+G44*4%</f>
        <v>170000</v>
      </c>
      <c r="M44" s="5">
        <f>+G44*5%</f>
        <v>212500</v>
      </c>
      <c r="N44" s="5"/>
      <c r="O44" s="5"/>
      <c r="P44" s="5">
        <v>38000</v>
      </c>
      <c r="Q44" s="5"/>
      <c r="R44" s="5"/>
      <c r="S44" s="5"/>
      <c r="T44" s="5">
        <f t="shared" ref="T44" si="40">SUM(L44:S44)</f>
        <v>420500</v>
      </c>
      <c r="U44" s="7">
        <f t="shared" si="37"/>
        <v>3829500</v>
      </c>
      <c r="V44" s="7"/>
      <c r="W44" s="44"/>
      <c r="X44" s="7">
        <f t="shared" ref="X44" si="41">U44+V44-W44</f>
        <v>3829500</v>
      </c>
    </row>
    <row r="45" spans="1:26" ht="26.25" customHeight="1" x14ac:dyDescent="0.25">
      <c r="A45" s="95"/>
      <c r="B45" s="4">
        <v>42</v>
      </c>
      <c r="C45" s="11" t="s">
        <v>66</v>
      </c>
      <c r="D45" s="6"/>
      <c r="E45" s="5">
        <v>4000000</v>
      </c>
      <c r="F45" s="5">
        <v>30</v>
      </c>
      <c r="G45" s="5">
        <f t="shared" si="31"/>
        <v>4000000.0000000005</v>
      </c>
      <c r="H45" s="5"/>
      <c r="I45" s="5"/>
      <c r="J45" s="5"/>
      <c r="K45" s="5">
        <f t="shared" ref="K45" si="42">SUM(G45:I45)+J45</f>
        <v>4000000.0000000005</v>
      </c>
      <c r="L45" s="5">
        <f>+G45*4%</f>
        <v>160000.00000000003</v>
      </c>
      <c r="M45" s="5">
        <f>+G45*5%</f>
        <v>200000.00000000003</v>
      </c>
      <c r="N45" s="5"/>
      <c r="O45" s="5"/>
      <c r="P45" s="5">
        <v>4500</v>
      </c>
      <c r="Q45" s="5"/>
      <c r="R45" s="5"/>
      <c r="S45" s="5"/>
      <c r="T45" s="5">
        <f t="shared" ref="T45" si="43">SUM(L45:S45)</f>
        <v>364500.00000000006</v>
      </c>
      <c r="U45" s="7">
        <f t="shared" si="37"/>
        <v>3635500.0000000005</v>
      </c>
      <c r="V45" s="7"/>
      <c r="W45" s="44"/>
      <c r="X45" s="7"/>
    </row>
    <row r="46" spans="1:26" ht="24" x14ac:dyDescent="0.25">
      <c r="A46" s="95"/>
      <c r="B46" s="4">
        <v>43</v>
      </c>
      <c r="C46" s="11" t="s">
        <v>67</v>
      </c>
      <c r="D46" s="6" t="s">
        <v>26</v>
      </c>
      <c r="E46" s="5">
        <v>3000000</v>
      </c>
      <c r="F46" s="5">
        <v>30</v>
      </c>
      <c r="G46" s="5">
        <f t="shared" si="31"/>
        <v>3000000</v>
      </c>
      <c r="H46" s="5"/>
      <c r="I46" s="5" t="s">
        <v>1</v>
      </c>
      <c r="J46" s="5"/>
      <c r="K46" s="5">
        <f t="shared" si="33"/>
        <v>3000000</v>
      </c>
      <c r="L46" s="5">
        <f>+K46*4%</f>
        <v>120000</v>
      </c>
      <c r="M46" s="5">
        <f>+K46*5%</f>
        <v>150000</v>
      </c>
      <c r="N46" s="5"/>
      <c r="O46" s="5"/>
      <c r="P46" s="5"/>
      <c r="Q46" s="5"/>
      <c r="R46" s="5"/>
      <c r="S46" s="5"/>
      <c r="T46" s="5">
        <f t="shared" si="2"/>
        <v>270000</v>
      </c>
      <c r="U46" s="7">
        <f t="shared" si="37"/>
        <v>2730000</v>
      </c>
      <c r="V46" s="7"/>
      <c r="W46" s="44"/>
      <c r="X46" s="7">
        <f t="shared" si="4"/>
        <v>2730000</v>
      </c>
    </row>
    <row r="47" spans="1:26" x14ac:dyDescent="0.25">
      <c r="A47" s="95"/>
      <c r="B47" s="4">
        <v>44</v>
      </c>
      <c r="C47" s="11" t="s">
        <v>68</v>
      </c>
      <c r="D47" s="6" t="s">
        <v>26</v>
      </c>
      <c r="E47" s="5">
        <v>5000000</v>
      </c>
      <c r="F47" s="5">
        <v>30</v>
      </c>
      <c r="G47" s="5">
        <f t="shared" si="31"/>
        <v>5000000</v>
      </c>
      <c r="H47" s="5"/>
      <c r="I47" s="5">
        <v>800000</v>
      </c>
      <c r="J47" s="5"/>
      <c r="K47" s="5">
        <f t="shared" si="33"/>
        <v>5800000</v>
      </c>
      <c r="L47" s="5">
        <f>+G47*4%</f>
        <v>200000</v>
      </c>
      <c r="M47" s="5">
        <f>+G47*5%</f>
        <v>250000</v>
      </c>
      <c r="N47" s="5"/>
      <c r="O47" s="5"/>
      <c r="P47" s="5">
        <v>50000</v>
      </c>
      <c r="Q47" s="5"/>
      <c r="R47" s="5"/>
      <c r="S47" s="5"/>
      <c r="T47" s="5">
        <f t="shared" si="2"/>
        <v>500000</v>
      </c>
      <c r="U47" s="7">
        <f t="shared" si="37"/>
        <v>5300000</v>
      </c>
      <c r="V47" s="7"/>
      <c r="W47" s="44"/>
      <c r="X47" s="7">
        <f t="shared" si="4"/>
        <v>5300000</v>
      </c>
      <c r="Y47" s="7">
        <v>4886979</v>
      </c>
      <c r="Z47" s="55">
        <f>+X47-Y47</f>
        <v>413021</v>
      </c>
    </row>
    <row r="48" spans="1:26" ht="30.75" customHeight="1" x14ac:dyDescent="0.25">
      <c r="A48" s="95"/>
      <c r="B48" s="4">
        <v>45</v>
      </c>
      <c r="C48" s="11" t="s">
        <v>69</v>
      </c>
      <c r="D48" s="6" t="s">
        <v>26</v>
      </c>
      <c r="E48" s="5">
        <v>5152050</v>
      </c>
      <c r="F48" s="5">
        <v>30</v>
      </c>
      <c r="G48" s="5">
        <f>+E48-J48</f>
        <v>5152050</v>
      </c>
      <c r="H48" s="5"/>
      <c r="I48" s="5">
        <v>350000</v>
      </c>
      <c r="J48" s="5"/>
      <c r="K48" s="5">
        <f t="shared" si="33"/>
        <v>5502050</v>
      </c>
      <c r="L48" s="5">
        <f>+G48*4%</f>
        <v>206082</v>
      </c>
      <c r="M48" s="5">
        <f>+G48*5%</f>
        <v>257602.5</v>
      </c>
      <c r="N48" s="5"/>
      <c r="O48" s="5"/>
      <c r="P48" s="5">
        <v>93000</v>
      </c>
      <c r="Q48" s="5"/>
      <c r="R48" s="5"/>
      <c r="S48" s="5"/>
      <c r="T48" s="5">
        <f t="shared" si="2"/>
        <v>556684.5</v>
      </c>
      <c r="U48" s="7">
        <f>K48-T48</f>
        <v>4945365.5</v>
      </c>
      <c r="V48" s="7"/>
      <c r="W48" s="44"/>
      <c r="X48" s="7">
        <f t="shared" si="4"/>
        <v>4945365.5</v>
      </c>
    </row>
    <row r="49" spans="1:24" x14ac:dyDescent="0.25">
      <c r="A49" s="95"/>
      <c r="B49" s="4">
        <v>46</v>
      </c>
      <c r="C49" s="11" t="s">
        <v>70</v>
      </c>
      <c r="D49" s="6" t="s">
        <v>26</v>
      </c>
      <c r="E49" s="5">
        <v>6900000</v>
      </c>
      <c r="F49" s="5">
        <v>30</v>
      </c>
      <c r="G49" s="5">
        <f t="shared" si="31"/>
        <v>6900000</v>
      </c>
      <c r="H49" s="5"/>
      <c r="I49" s="5"/>
      <c r="J49" s="5"/>
      <c r="K49" s="5">
        <f t="shared" si="33"/>
        <v>6900000</v>
      </c>
      <c r="L49" s="5">
        <v>276000</v>
      </c>
      <c r="M49" s="5">
        <v>345000</v>
      </c>
      <c r="N49" s="5"/>
      <c r="O49" s="5"/>
      <c r="P49" s="5">
        <v>219000</v>
      </c>
      <c r="Q49" s="5"/>
      <c r="R49" s="5"/>
      <c r="S49" s="5"/>
      <c r="T49" s="5">
        <f t="shared" si="2"/>
        <v>840000</v>
      </c>
      <c r="U49" s="7">
        <f>K49-T49</f>
        <v>6060000</v>
      </c>
      <c r="V49" s="7"/>
      <c r="W49" s="44"/>
      <c r="X49" s="7">
        <f t="shared" si="4"/>
        <v>6060000</v>
      </c>
    </row>
    <row r="50" spans="1:24" x14ac:dyDescent="0.25">
      <c r="A50" s="96"/>
      <c r="B50" s="4">
        <v>47</v>
      </c>
      <c r="C50" s="11" t="s">
        <v>71</v>
      </c>
      <c r="D50" s="6" t="s">
        <v>26</v>
      </c>
      <c r="E50" s="5">
        <v>4500000</v>
      </c>
      <c r="F50" s="5">
        <v>30</v>
      </c>
      <c r="G50" s="5">
        <f t="shared" si="31"/>
        <v>4500000</v>
      </c>
      <c r="H50" s="5"/>
      <c r="I50" s="5"/>
      <c r="J50" s="5"/>
      <c r="K50" s="5">
        <f t="shared" si="33"/>
        <v>4500000</v>
      </c>
      <c r="L50" s="5">
        <f>+G50*4%</f>
        <v>180000</v>
      </c>
      <c r="M50" s="5">
        <f>+G50*5%</f>
        <v>225000</v>
      </c>
      <c r="N50" s="5"/>
      <c r="O50" s="5"/>
      <c r="P50" s="5">
        <v>31000</v>
      </c>
      <c r="Q50" s="5"/>
      <c r="R50" s="5"/>
      <c r="S50" s="5"/>
      <c r="T50" s="5">
        <f t="shared" si="2"/>
        <v>436000</v>
      </c>
      <c r="U50" s="7">
        <f>K50-T50</f>
        <v>4064000</v>
      </c>
      <c r="V50" s="7"/>
      <c r="W50" s="44"/>
      <c r="X50" s="7">
        <f t="shared" si="4"/>
        <v>4064000</v>
      </c>
    </row>
    <row r="51" spans="1:24" x14ac:dyDescent="0.25">
      <c r="A51" s="94" t="s">
        <v>143</v>
      </c>
      <c r="B51" s="4">
        <v>1</v>
      </c>
      <c r="C51" s="11" t="s">
        <v>144</v>
      </c>
      <c r="D51" s="6"/>
      <c r="E51" s="5">
        <v>368858</v>
      </c>
      <c r="F51" s="5">
        <v>9</v>
      </c>
      <c r="G51" s="5">
        <f t="shared" si="31"/>
        <v>110657.4</v>
      </c>
      <c r="H51" s="5"/>
      <c r="I51" s="5"/>
      <c r="J51" s="5"/>
      <c r="K51" s="5">
        <f t="shared" si="33"/>
        <v>110657.4</v>
      </c>
      <c r="L51" s="5"/>
      <c r="M51" s="5"/>
      <c r="N51" s="5"/>
      <c r="O51" s="5"/>
      <c r="P51" s="5"/>
      <c r="Q51" s="5"/>
      <c r="R51" s="5"/>
      <c r="S51" s="5"/>
      <c r="T51" s="5"/>
      <c r="U51" s="7">
        <f>K51-T51</f>
        <v>110657.4</v>
      </c>
      <c r="V51" s="7"/>
      <c r="W51" s="44"/>
      <c r="X51" s="7">
        <f t="shared" si="4"/>
        <v>110657.4</v>
      </c>
    </row>
    <row r="52" spans="1:24" x14ac:dyDescent="0.25">
      <c r="A52" s="95"/>
      <c r="B52" s="4">
        <v>2</v>
      </c>
      <c r="C52" s="11" t="s">
        <v>72</v>
      </c>
      <c r="D52" s="6" t="s">
        <v>26</v>
      </c>
      <c r="E52" s="5">
        <v>3000000</v>
      </c>
      <c r="F52" s="5">
        <v>30</v>
      </c>
      <c r="G52" s="5">
        <f t="shared" si="31"/>
        <v>3000000</v>
      </c>
      <c r="H52" s="5"/>
      <c r="I52" s="5"/>
      <c r="J52" s="5"/>
      <c r="K52" s="5">
        <f t="shared" si="33"/>
        <v>3000000</v>
      </c>
      <c r="L52" s="5">
        <v>120000</v>
      </c>
      <c r="M52" s="5">
        <v>150000</v>
      </c>
      <c r="N52" s="5"/>
      <c r="O52" s="5"/>
      <c r="P52" s="5"/>
      <c r="Q52" s="5"/>
      <c r="R52" s="5"/>
      <c r="S52" s="5"/>
      <c r="T52" s="5">
        <f t="shared" si="2"/>
        <v>270000</v>
      </c>
      <c r="U52" s="7">
        <f>K52-T52</f>
        <v>2730000</v>
      </c>
      <c r="V52" s="7"/>
      <c r="W52" s="44"/>
      <c r="X52" s="7">
        <f t="shared" si="4"/>
        <v>2730000</v>
      </c>
    </row>
    <row r="53" spans="1:24" ht="24" customHeight="1" x14ac:dyDescent="0.25">
      <c r="A53" s="95"/>
      <c r="B53" s="4">
        <v>3</v>
      </c>
      <c r="C53" s="11" t="s">
        <v>73</v>
      </c>
      <c r="D53" s="6" t="s">
        <v>26</v>
      </c>
      <c r="E53" s="5">
        <v>4000000</v>
      </c>
      <c r="F53" s="5">
        <v>30</v>
      </c>
      <c r="G53" s="5">
        <f t="shared" si="31"/>
        <v>4000000.0000000005</v>
      </c>
      <c r="H53" s="5"/>
      <c r="I53" s="5"/>
      <c r="J53" s="5"/>
      <c r="K53" s="5">
        <f t="shared" si="33"/>
        <v>4000000.0000000005</v>
      </c>
      <c r="L53" s="5">
        <f>+G53*4%</f>
        <v>160000.00000000003</v>
      </c>
      <c r="M53" s="5">
        <f>+G53*5%</f>
        <v>200000.00000000003</v>
      </c>
      <c r="N53" s="5"/>
      <c r="O53" s="5"/>
      <c r="P53" s="17">
        <v>3000</v>
      </c>
      <c r="Q53" s="5"/>
      <c r="R53" s="5">
        <v>163485</v>
      </c>
      <c r="S53" s="5"/>
      <c r="T53" s="5">
        <f t="shared" si="2"/>
        <v>526485</v>
      </c>
      <c r="U53" s="7">
        <f>+K53-T53</f>
        <v>3473515.0000000005</v>
      </c>
      <c r="V53" s="7"/>
      <c r="W53" s="44"/>
      <c r="X53" s="7">
        <f t="shared" si="4"/>
        <v>3473515.0000000005</v>
      </c>
    </row>
    <row r="54" spans="1:24" ht="25.5" customHeight="1" x14ac:dyDescent="0.25">
      <c r="A54" s="95"/>
      <c r="B54" s="4">
        <v>4</v>
      </c>
      <c r="C54" s="11" t="s">
        <v>74</v>
      </c>
      <c r="D54" s="6" t="s">
        <v>26</v>
      </c>
      <c r="E54" s="5">
        <v>737717</v>
      </c>
      <c r="F54" s="5">
        <v>30</v>
      </c>
      <c r="G54" s="5">
        <f t="shared" si="31"/>
        <v>737717</v>
      </c>
      <c r="H54" s="5">
        <v>83140</v>
      </c>
      <c r="I54" s="5"/>
      <c r="J54" s="5"/>
      <c r="K54" s="5">
        <f t="shared" si="33"/>
        <v>820857</v>
      </c>
      <c r="L54" s="5">
        <f>+G54*4%</f>
        <v>29508.68</v>
      </c>
      <c r="M54" s="5">
        <v>29508</v>
      </c>
      <c r="N54" s="5"/>
      <c r="O54" s="5"/>
      <c r="P54" s="17"/>
      <c r="Q54" s="5"/>
      <c r="R54" s="5"/>
      <c r="S54" s="5"/>
      <c r="T54" s="5">
        <f t="shared" ref="T54" si="44">SUM(L54:S54)</f>
        <v>59016.68</v>
      </c>
      <c r="U54" s="7">
        <f>+K54-T54</f>
        <v>761840.32</v>
      </c>
      <c r="V54" s="7"/>
      <c r="W54" s="44"/>
      <c r="X54" s="7">
        <f t="shared" si="4"/>
        <v>761840.32</v>
      </c>
    </row>
    <row r="55" spans="1:24" x14ac:dyDescent="0.25">
      <c r="A55" s="95"/>
      <c r="B55" s="4">
        <v>5</v>
      </c>
      <c r="C55" s="3" t="s">
        <v>75</v>
      </c>
      <c r="D55" s="4" t="s">
        <v>26</v>
      </c>
      <c r="E55" s="5">
        <v>1600000</v>
      </c>
      <c r="F55" s="5">
        <v>30</v>
      </c>
      <c r="G55" s="5">
        <f t="shared" si="31"/>
        <v>1600000</v>
      </c>
      <c r="H55" s="5"/>
      <c r="I55" s="5"/>
      <c r="J55" s="5"/>
      <c r="K55" s="5">
        <f t="shared" ref="K55" si="45">SUM(G55:I55)+J55</f>
        <v>1600000</v>
      </c>
      <c r="L55" s="5">
        <f>+G55*4%</f>
        <v>64000</v>
      </c>
      <c r="M55" s="5">
        <f>+G55*4%</f>
        <v>64000</v>
      </c>
      <c r="N55" s="5"/>
      <c r="O55" s="5"/>
      <c r="P55" s="5"/>
      <c r="Q55" s="5"/>
      <c r="R55" s="5"/>
      <c r="S55" s="5"/>
      <c r="T55" s="5">
        <f t="shared" si="2"/>
        <v>128000</v>
      </c>
      <c r="U55" s="7">
        <f>K55-T55</f>
        <v>1472000</v>
      </c>
      <c r="V55" s="7"/>
      <c r="W55" s="44"/>
      <c r="X55" s="7">
        <f t="shared" si="4"/>
        <v>1472000</v>
      </c>
    </row>
    <row r="56" spans="1:24" ht="18" customHeight="1" x14ac:dyDescent="0.25">
      <c r="A56" s="95"/>
      <c r="B56" s="4">
        <v>6</v>
      </c>
      <c r="C56" s="11" t="s">
        <v>76</v>
      </c>
      <c r="D56" s="6" t="s">
        <v>26</v>
      </c>
      <c r="E56" s="5">
        <v>737717</v>
      </c>
      <c r="F56" s="5">
        <v>30</v>
      </c>
      <c r="G56" s="5">
        <f t="shared" si="31"/>
        <v>737717</v>
      </c>
      <c r="H56" s="5">
        <f t="shared" ref="H56:H59" si="46">+(83140/30)*F56</f>
        <v>83140</v>
      </c>
      <c r="I56" s="5"/>
      <c r="J56" s="5"/>
      <c r="K56" s="5">
        <f t="shared" si="33"/>
        <v>820857</v>
      </c>
      <c r="L56" s="5">
        <f t="shared" ref="L56" si="47">+G56*4%</f>
        <v>29508.68</v>
      </c>
      <c r="M56" s="5">
        <f>+G56*4%</f>
        <v>29508.68</v>
      </c>
      <c r="N56" s="5"/>
      <c r="O56" s="5"/>
      <c r="P56" s="17"/>
      <c r="Q56" s="5"/>
      <c r="R56" s="5"/>
      <c r="S56" s="5"/>
      <c r="T56" s="5">
        <f t="shared" ref="T56:T115" si="48">SUM(L56:S56)</f>
        <v>59017.36</v>
      </c>
      <c r="U56" s="7">
        <f>+K56-T56</f>
        <v>761839.64</v>
      </c>
      <c r="V56" s="7"/>
      <c r="W56" s="44"/>
      <c r="X56" s="7">
        <f t="shared" si="4"/>
        <v>761839.64</v>
      </c>
    </row>
    <row r="57" spans="1:24" x14ac:dyDescent="0.25">
      <c r="A57" s="95"/>
      <c r="B57" s="4">
        <v>7</v>
      </c>
      <c r="C57" s="3" t="s">
        <v>77</v>
      </c>
      <c r="D57" s="4" t="s">
        <v>26</v>
      </c>
      <c r="E57" s="5">
        <v>1200000</v>
      </c>
      <c r="F57" s="5">
        <v>30</v>
      </c>
      <c r="G57" s="5">
        <f t="shared" si="31"/>
        <v>1200000</v>
      </c>
      <c r="H57" s="5">
        <f t="shared" si="46"/>
        <v>83140</v>
      </c>
      <c r="I57" s="5"/>
      <c r="J57" s="5"/>
      <c r="K57" s="5">
        <f t="shared" ref="K57" si="49">SUM(G57:I57)+J57</f>
        <v>1283140</v>
      </c>
      <c r="L57" s="5">
        <f>+G57*4%</f>
        <v>48000</v>
      </c>
      <c r="M57" s="5">
        <v>48000</v>
      </c>
      <c r="N57" s="5"/>
      <c r="O57" s="5"/>
      <c r="P57" s="5"/>
      <c r="Q57" s="5"/>
      <c r="R57" s="5"/>
      <c r="S57" s="5"/>
      <c r="T57" s="5">
        <f t="shared" si="48"/>
        <v>96000</v>
      </c>
      <c r="U57" s="7">
        <f>K57-T57</f>
        <v>1187140</v>
      </c>
      <c r="V57" s="7"/>
      <c r="W57" s="44"/>
      <c r="X57" s="7">
        <f t="shared" si="4"/>
        <v>1187140</v>
      </c>
    </row>
    <row r="58" spans="1:24" x14ac:dyDescent="0.25">
      <c r="A58" s="95"/>
      <c r="B58" s="4">
        <v>8</v>
      </c>
      <c r="C58" s="11" t="s">
        <v>78</v>
      </c>
      <c r="D58" s="6" t="s">
        <v>34</v>
      </c>
      <c r="E58" s="5">
        <v>1100000</v>
      </c>
      <c r="F58" s="5">
        <v>30</v>
      </c>
      <c r="G58" s="5">
        <f>+E58/30*F58</f>
        <v>1100000</v>
      </c>
      <c r="H58" s="5">
        <f t="shared" si="46"/>
        <v>83140</v>
      </c>
      <c r="I58" s="5"/>
      <c r="J58" s="5"/>
      <c r="K58" s="5">
        <f t="shared" si="33"/>
        <v>1183140</v>
      </c>
      <c r="L58" s="5">
        <v>44000</v>
      </c>
      <c r="M58" s="5">
        <v>44000</v>
      </c>
      <c r="N58" s="5"/>
      <c r="O58" s="5"/>
      <c r="P58" s="17"/>
      <c r="Q58" s="5"/>
      <c r="R58" s="5"/>
      <c r="S58" s="5"/>
      <c r="T58" s="5">
        <f>SUM(L58:S58)</f>
        <v>88000</v>
      </c>
      <c r="U58" s="7">
        <f>+K58-T58</f>
        <v>1095140</v>
      </c>
      <c r="V58" s="7"/>
      <c r="W58" s="44"/>
      <c r="X58" s="7">
        <f t="shared" si="4"/>
        <v>1095140</v>
      </c>
    </row>
    <row r="59" spans="1:24" x14ac:dyDescent="0.25">
      <c r="A59" s="95"/>
      <c r="B59" s="4">
        <v>9</v>
      </c>
      <c r="C59" s="11" t="s">
        <v>79</v>
      </c>
      <c r="D59" s="6" t="s">
        <v>26</v>
      </c>
      <c r="E59" s="5">
        <v>737717</v>
      </c>
      <c r="F59" s="5">
        <v>30</v>
      </c>
      <c r="G59" s="5">
        <f t="shared" ref="G59:G64" si="50">+E59/30*F59</f>
        <v>737717</v>
      </c>
      <c r="H59" s="5">
        <f t="shared" si="46"/>
        <v>83140</v>
      </c>
      <c r="I59" s="5"/>
      <c r="J59" s="5"/>
      <c r="K59" s="5">
        <f t="shared" ref="K59:K60" si="51">SUM(G59:I59)+J59</f>
        <v>820857</v>
      </c>
      <c r="L59" s="5">
        <f t="shared" ref="L59:L60" si="52">+G59*4%</f>
        <v>29508.68</v>
      </c>
      <c r="M59" s="5">
        <f t="shared" ref="M59:M60" si="53">+G59*4%</f>
        <v>29508.68</v>
      </c>
      <c r="N59" s="5"/>
      <c r="O59" s="5"/>
      <c r="P59" s="17"/>
      <c r="Q59" s="5"/>
      <c r="R59" s="5"/>
      <c r="S59" s="5"/>
      <c r="T59" s="5">
        <f t="shared" ref="T59:T60" si="54">SUM(L59:S59)</f>
        <v>59017.36</v>
      </c>
      <c r="U59" s="7">
        <f t="shared" ref="U59:U67" si="55">+K59-T59</f>
        <v>761839.64</v>
      </c>
      <c r="V59" s="7"/>
      <c r="W59" s="44"/>
      <c r="X59" s="7">
        <f t="shared" si="4"/>
        <v>761839.64</v>
      </c>
    </row>
    <row r="60" spans="1:24" ht="24" x14ac:dyDescent="0.25">
      <c r="A60" s="95"/>
      <c r="B60" s="4">
        <v>10</v>
      </c>
      <c r="C60" s="11" t="s">
        <v>80</v>
      </c>
      <c r="D60" s="6" t="s">
        <v>26</v>
      </c>
      <c r="E60" s="5">
        <v>1100000</v>
      </c>
      <c r="F60" s="5">
        <v>30</v>
      </c>
      <c r="G60" s="5">
        <f t="shared" si="50"/>
        <v>1100000</v>
      </c>
      <c r="H60" s="5">
        <v>83140</v>
      </c>
      <c r="I60" s="5"/>
      <c r="J60" s="5"/>
      <c r="K60" s="5">
        <f t="shared" si="51"/>
        <v>1183140</v>
      </c>
      <c r="L60" s="5">
        <f t="shared" si="52"/>
        <v>44000</v>
      </c>
      <c r="M60" s="5">
        <f t="shared" si="53"/>
        <v>44000</v>
      </c>
      <c r="N60" s="5"/>
      <c r="O60" s="5"/>
      <c r="P60" s="17"/>
      <c r="Q60" s="5"/>
      <c r="R60" s="5"/>
      <c r="S60" s="5"/>
      <c r="T60" s="5">
        <f t="shared" si="54"/>
        <v>88000</v>
      </c>
      <c r="U60" s="7">
        <f t="shared" si="55"/>
        <v>1095140</v>
      </c>
      <c r="V60" s="7"/>
      <c r="W60" s="44"/>
      <c r="X60" s="7">
        <f t="shared" si="4"/>
        <v>1095140</v>
      </c>
    </row>
    <row r="61" spans="1:24" ht="21.75" customHeight="1" x14ac:dyDescent="0.25">
      <c r="A61" s="95"/>
      <c r="B61" s="4">
        <v>11</v>
      </c>
      <c r="C61" s="11" t="s">
        <v>81</v>
      </c>
      <c r="D61" s="6" t="s">
        <v>26</v>
      </c>
      <c r="E61" s="5">
        <v>1450000</v>
      </c>
      <c r="F61" s="5">
        <v>30</v>
      </c>
      <c r="G61" s="5">
        <f t="shared" si="50"/>
        <v>1450000</v>
      </c>
      <c r="H61" s="5">
        <f>+(83140/30)*F61</f>
        <v>83140</v>
      </c>
      <c r="I61" s="5"/>
      <c r="J61" s="5"/>
      <c r="K61" s="5">
        <f t="shared" si="33"/>
        <v>1533140</v>
      </c>
      <c r="L61" s="5">
        <f>+G61*4%</f>
        <v>58000</v>
      </c>
      <c r="M61" s="5">
        <f>+G61*4%</f>
        <v>58000</v>
      </c>
      <c r="N61" s="5"/>
      <c r="O61" s="5"/>
      <c r="P61" s="5">
        <v>0</v>
      </c>
      <c r="Q61" s="5"/>
      <c r="R61" s="5"/>
      <c r="S61" s="5"/>
      <c r="T61" s="5">
        <f t="shared" si="48"/>
        <v>116000</v>
      </c>
      <c r="U61" s="7">
        <f t="shared" si="55"/>
        <v>1417140</v>
      </c>
      <c r="V61" s="7"/>
      <c r="W61" s="44"/>
      <c r="X61" s="7">
        <f t="shared" si="4"/>
        <v>1417140</v>
      </c>
    </row>
    <row r="62" spans="1:24" x14ac:dyDescent="0.25">
      <c r="A62" s="95"/>
      <c r="B62" s="4">
        <v>12</v>
      </c>
      <c r="C62" s="11" t="s">
        <v>82</v>
      </c>
      <c r="D62" s="6" t="s">
        <v>26</v>
      </c>
      <c r="E62" s="5">
        <v>737717</v>
      </c>
      <c r="F62" s="5">
        <v>30</v>
      </c>
      <c r="G62" s="5">
        <f t="shared" si="50"/>
        <v>737717</v>
      </c>
      <c r="H62" s="5">
        <v>83140</v>
      </c>
      <c r="I62" s="5"/>
      <c r="J62" s="5"/>
      <c r="K62" s="5">
        <f t="shared" ref="K62" si="56">SUM(G62:I62)+J62</f>
        <v>820857</v>
      </c>
      <c r="L62" s="5">
        <f>+G62*4%</f>
        <v>29508.68</v>
      </c>
      <c r="M62" s="5">
        <f t="shared" ref="M62" si="57">+G62*4%</f>
        <v>29508.68</v>
      </c>
      <c r="N62" s="5"/>
      <c r="O62" s="5"/>
      <c r="P62" s="17"/>
      <c r="Q62" s="5"/>
      <c r="R62" s="5"/>
      <c r="S62" s="5"/>
      <c r="T62" s="5">
        <f t="shared" si="48"/>
        <v>59017.36</v>
      </c>
      <c r="U62" s="7">
        <f t="shared" si="55"/>
        <v>761839.64</v>
      </c>
      <c r="V62" s="7"/>
      <c r="W62" s="44"/>
      <c r="X62" s="7">
        <f t="shared" si="4"/>
        <v>761839.64</v>
      </c>
    </row>
    <row r="63" spans="1:24" ht="17.25" customHeight="1" x14ac:dyDescent="0.25">
      <c r="A63" s="95"/>
      <c r="B63" s="4">
        <v>13</v>
      </c>
      <c r="C63" s="11" t="s">
        <v>83</v>
      </c>
      <c r="D63" s="6" t="s">
        <v>26</v>
      </c>
      <c r="E63" s="5">
        <v>3500000</v>
      </c>
      <c r="F63" s="5">
        <v>30</v>
      </c>
      <c r="G63" s="5">
        <f>(E63/30*F63)</f>
        <v>3500000</v>
      </c>
      <c r="H63" s="5"/>
      <c r="I63" s="5">
        <v>1000000</v>
      </c>
      <c r="J63" s="5"/>
      <c r="K63" s="5">
        <f t="shared" ref="K63" si="58">SUM(G63:I63)+J63</f>
        <v>4500000</v>
      </c>
      <c r="L63" s="5">
        <f t="shared" ref="L63" si="59">+G63*4%</f>
        <v>140000</v>
      </c>
      <c r="M63" s="5">
        <f>+G63*5%</f>
        <v>175000</v>
      </c>
      <c r="N63" s="5"/>
      <c r="O63" s="5"/>
      <c r="P63" s="5">
        <v>0</v>
      </c>
      <c r="Q63" s="5"/>
      <c r="R63" s="5"/>
      <c r="S63" s="5"/>
      <c r="T63" s="5">
        <f t="shared" ref="T63" si="60">SUM(L63:S63)</f>
        <v>315000</v>
      </c>
      <c r="U63" s="7">
        <f t="shared" si="55"/>
        <v>4185000</v>
      </c>
      <c r="V63" s="7"/>
      <c r="W63" s="44"/>
      <c r="X63" s="7">
        <f t="shared" si="4"/>
        <v>4185000</v>
      </c>
    </row>
    <row r="64" spans="1:24" ht="17.25" customHeight="1" x14ac:dyDescent="0.25">
      <c r="A64" s="95"/>
      <c r="B64" s="4">
        <v>14</v>
      </c>
      <c r="C64" s="11" t="s">
        <v>84</v>
      </c>
      <c r="D64" s="6" t="s">
        <v>26</v>
      </c>
      <c r="E64" s="5">
        <v>2500000</v>
      </c>
      <c r="F64" s="5">
        <v>30</v>
      </c>
      <c r="G64" s="5">
        <f t="shared" si="50"/>
        <v>2500000</v>
      </c>
      <c r="H64" s="5"/>
      <c r="I64" s="5"/>
      <c r="J64" s="5"/>
      <c r="K64" s="5">
        <f t="shared" si="33"/>
        <v>2500000</v>
      </c>
      <c r="L64" s="5">
        <f>+G64*4%</f>
        <v>100000</v>
      </c>
      <c r="M64" s="5">
        <f>+G64*4%</f>
        <v>100000</v>
      </c>
      <c r="N64" s="5"/>
      <c r="O64" s="5"/>
      <c r="P64" s="5">
        <v>0</v>
      </c>
      <c r="Q64" s="5"/>
      <c r="R64" s="5"/>
      <c r="S64" s="5">
        <v>200210</v>
      </c>
      <c r="T64" s="5">
        <f t="shared" si="48"/>
        <v>400210</v>
      </c>
      <c r="U64" s="7">
        <f t="shared" si="55"/>
        <v>2099790</v>
      </c>
      <c r="V64" s="7"/>
      <c r="W64" s="44"/>
      <c r="X64" s="7">
        <f t="shared" si="4"/>
        <v>2099790</v>
      </c>
    </row>
    <row r="65" spans="1:27" ht="17.25" customHeight="1" x14ac:dyDescent="0.25">
      <c r="A65" s="95"/>
      <c r="B65" s="4">
        <v>15</v>
      </c>
      <c r="C65" s="11" t="s">
        <v>85</v>
      </c>
      <c r="D65" s="6" t="s">
        <v>26</v>
      </c>
      <c r="E65" s="5">
        <v>1200000</v>
      </c>
      <c r="F65" s="5">
        <v>30</v>
      </c>
      <c r="G65" s="5">
        <f>E65/30*F65</f>
        <v>1200000</v>
      </c>
      <c r="H65" s="5">
        <f>+(83140/30)*F65</f>
        <v>83140</v>
      </c>
      <c r="I65" s="5"/>
      <c r="J65" s="5">
        <f>+E65-G65</f>
        <v>0</v>
      </c>
      <c r="K65" s="5">
        <f t="shared" ref="K65" si="61">SUM(G65:I65)+J65</f>
        <v>1283140</v>
      </c>
      <c r="L65" s="5">
        <v>48000</v>
      </c>
      <c r="M65" s="5">
        <v>48000</v>
      </c>
      <c r="N65" s="5"/>
      <c r="O65" s="5"/>
      <c r="P65" s="5">
        <v>0</v>
      </c>
      <c r="Q65" s="5"/>
      <c r="R65" s="5"/>
      <c r="S65" s="5"/>
      <c r="T65" s="5">
        <f t="shared" ref="T65:T66" si="62">SUM(L65:S65)</f>
        <v>96000</v>
      </c>
      <c r="U65" s="7">
        <f t="shared" si="55"/>
        <v>1187140</v>
      </c>
      <c r="V65" s="7"/>
      <c r="W65" s="44"/>
      <c r="X65" s="7">
        <f t="shared" si="4"/>
        <v>1187140</v>
      </c>
    </row>
    <row r="66" spans="1:27" ht="17.25" customHeight="1" x14ac:dyDescent="0.25">
      <c r="A66" s="95"/>
      <c r="B66" s="4">
        <v>16</v>
      </c>
      <c r="C66" s="11" t="s">
        <v>86</v>
      </c>
      <c r="D66" s="6" t="s">
        <v>26</v>
      </c>
      <c r="E66" s="5">
        <v>900000</v>
      </c>
      <c r="F66" s="5">
        <v>16</v>
      </c>
      <c r="G66" s="5">
        <f>E66/30*F66</f>
        <v>480000</v>
      </c>
      <c r="H66" s="5">
        <f>+(83140/30)*F66</f>
        <v>44341.333333333336</v>
      </c>
      <c r="I66" s="5"/>
      <c r="J66" s="5"/>
      <c r="K66" s="5">
        <f t="shared" ref="K66" si="63">SUM(G66:I66)+J66</f>
        <v>524341.33333333337</v>
      </c>
      <c r="L66" s="5">
        <f>+G66*4%</f>
        <v>19200</v>
      </c>
      <c r="M66" s="5">
        <f t="shared" ref="M66" si="64">+G66*4%</f>
        <v>19200</v>
      </c>
      <c r="N66" s="5"/>
      <c r="O66" s="5"/>
      <c r="P66" s="5">
        <v>0</v>
      </c>
      <c r="Q66" s="5"/>
      <c r="R66" s="5"/>
      <c r="S66" s="5"/>
      <c r="T66" s="5">
        <f t="shared" si="62"/>
        <v>38400</v>
      </c>
      <c r="U66" s="7">
        <f t="shared" si="55"/>
        <v>485941.33333333337</v>
      </c>
      <c r="V66" s="7"/>
      <c r="W66" s="44"/>
      <c r="X66" s="7">
        <f t="shared" si="4"/>
        <v>485941.33333333337</v>
      </c>
    </row>
    <row r="67" spans="1:27" ht="24" x14ac:dyDescent="0.25">
      <c r="A67" s="95"/>
      <c r="B67" s="4">
        <v>17</v>
      </c>
      <c r="C67" s="11" t="s">
        <v>87</v>
      </c>
      <c r="D67" s="6" t="s">
        <v>26</v>
      </c>
      <c r="E67" s="5">
        <v>2000000</v>
      </c>
      <c r="F67" s="5">
        <v>30</v>
      </c>
      <c r="G67" s="5">
        <f>E67/30*F67</f>
        <v>2000000.0000000002</v>
      </c>
      <c r="H67" s="5"/>
      <c r="I67" s="5"/>
      <c r="J67" s="5">
        <f>+E67-G67</f>
        <v>0</v>
      </c>
      <c r="K67" s="5">
        <f t="shared" si="33"/>
        <v>2000000.0000000002</v>
      </c>
      <c r="L67" s="5">
        <f>+G67*4%</f>
        <v>80000.000000000015</v>
      </c>
      <c r="M67" s="5">
        <v>80000</v>
      </c>
      <c r="N67" s="5"/>
      <c r="O67" s="5"/>
      <c r="P67" s="5">
        <v>0</v>
      </c>
      <c r="Q67" s="5"/>
      <c r="R67" s="5"/>
      <c r="S67" s="5"/>
      <c r="T67" s="5">
        <f t="shared" si="48"/>
        <v>160000</v>
      </c>
      <c r="U67" s="7">
        <f t="shared" si="55"/>
        <v>1840000.0000000002</v>
      </c>
      <c r="V67" s="7"/>
      <c r="W67" s="44"/>
      <c r="X67" s="7">
        <f t="shared" si="4"/>
        <v>1840000.0000000002</v>
      </c>
    </row>
    <row r="68" spans="1:27" x14ac:dyDescent="0.25">
      <c r="A68" s="95"/>
      <c r="B68" s="4">
        <v>18</v>
      </c>
      <c r="C68" s="3" t="s">
        <v>88</v>
      </c>
      <c r="D68" s="4" t="s">
        <v>26</v>
      </c>
      <c r="E68" s="5">
        <v>3500000</v>
      </c>
      <c r="F68" s="5">
        <v>30</v>
      </c>
      <c r="G68" s="5">
        <f>+E68/30*F68</f>
        <v>3500000</v>
      </c>
      <c r="H68" s="5"/>
      <c r="I68" s="5"/>
      <c r="J68" s="5"/>
      <c r="K68" s="5">
        <f t="shared" si="33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8"/>
        <v>315000</v>
      </c>
      <c r="U68" s="7">
        <f t="shared" ref="U68:U79" si="65">K68-T68</f>
        <v>3185000</v>
      </c>
      <c r="V68" s="7"/>
      <c r="W68" s="44"/>
      <c r="X68" s="7">
        <f t="shared" ref="X68:X115" si="66">U68+V68-W68</f>
        <v>3185000</v>
      </c>
    </row>
    <row r="69" spans="1:27" x14ac:dyDescent="0.25">
      <c r="A69" s="95"/>
      <c r="B69" s="4">
        <v>19</v>
      </c>
      <c r="C69" s="11" t="s">
        <v>89</v>
      </c>
      <c r="D69" s="6" t="s">
        <v>26</v>
      </c>
      <c r="E69" s="5">
        <v>4000000</v>
      </c>
      <c r="F69" s="5">
        <v>30</v>
      </c>
      <c r="G69" s="5">
        <f>+E69/30*F69</f>
        <v>4000000.0000000005</v>
      </c>
      <c r="H69" s="5"/>
      <c r="I69" s="5">
        <v>300000</v>
      </c>
      <c r="J69" s="5">
        <f>+E69-G69</f>
        <v>0</v>
      </c>
      <c r="K69" s="5">
        <f t="shared" si="33"/>
        <v>4300000</v>
      </c>
      <c r="L69" s="5">
        <v>160000</v>
      </c>
      <c r="M69" s="5">
        <v>200000</v>
      </c>
      <c r="N69" s="5"/>
      <c r="O69" s="5"/>
      <c r="P69" s="5">
        <v>3000</v>
      </c>
      <c r="Q69" s="5"/>
      <c r="R69" s="5"/>
      <c r="S69" s="5">
        <v>766228</v>
      </c>
      <c r="T69" s="5">
        <f t="shared" si="48"/>
        <v>1129228</v>
      </c>
      <c r="U69" s="7">
        <f t="shared" si="65"/>
        <v>3170772</v>
      </c>
      <c r="V69" s="7"/>
      <c r="W69" s="44"/>
      <c r="X69" s="7">
        <f t="shared" si="66"/>
        <v>3170772</v>
      </c>
    </row>
    <row r="70" spans="1:27" x14ac:dyDescent="0.25">
      <c r="A70" s="95"/>
      <c r="B70" s="4">
        <v>20</v>
      </c>
      <c r="C70" s="11" t="s">
        <v>90</v>
      </c>
      <c r="D70" s="6" t="s">
        <v>26</v>
      </c>
      <c r="E70" s="5">
        <v>737717</v>
      </c>
      <c r="F70" s="5">
        <v>30</v>
      </c>
      <c r="G70" s="5">
        <f>+E70/30*F70</f>
        <v>737717</v>
      </c>
      <c r="H70" s="5"/>
      <c r="I70" s="5"/>
      <c r="J70" s="5"/>
      <c r="K70" s="5">
        <f t="shared" si="33"/>
        <v>737717</v>
      </c>
      <c r="L70" s="5"/>
      <c r="M70" s="5"/>
      <c r="N70" s="5"/>
      <c r="O70" s="5"/>
      <c r="P70" s="5"/>
      <c r="Q70" s="5"/>
      <c r="R70" s="5"/>
      <c r="S70" s="5"/>
      <c r="T70" s="5">
        <f t="shared" si="48"/>
        <v>0</v>
      </c>
      <c r="U70" s="7">
        <f t="shared" si="65"/>
        <v>737717</v>
      </c>
      <c r="V70" s="7"/>
      <c r="W70" s="44"/>
      <c r="X70" s="7">
        <f t="shared" si="66"/>
        <v>737717</v>
      </c>
    </row>
    <row r="71" spans="1:27" ht="17.25" customHeight="1" x14ac:dyDescent="0.25">
      <c r="A71" s="95"/>
      <c r="B71" s="4">
        <v>21</v>
      </c>
      <c r="C71" s="11" t="s">
        <v>91</v>
      </c>
      <c r="D71" s="6" t="s">
        <v>26</v>
      </c>
      <c r="E71" s="5">
        <v>3500000</v>
      </c>
      <c r="F71" s="5">
        <v>11</v>
      </c>
      <c r="G71" s="5">
        <f>E71/30*F71</f>
        <v>1283333.3333333335</v>
      </c>
      <c r="H71" s="5"/>
      <c r="I71" s="5"/>
      <c r="J71" s="5">
        <f>+E71-G71</f>
        <v>2216666.6666666665</v>
      </c>
      <c r="K71" s="5">
        <f t="shared" si="33"/>
        <v>3500000</v>
      </c>
      <c r="L71" s="5">
        <v>140000</v>
      </c>
      <c r="M71" s="5">
        <v>175000</v>
      </c>
      <c r="N71" s="5"/>
      <c r="O71" s="5"/>
      <c r="P71" s="5">
        <v>0</v>
      </c>
      <c r="Q71" s="5"/>
      <c r="R71" s="5"/>
      <c r="S71" s="5">
        <v>322019</v>
      </c>
      <c r="T71" s="5">
        <f t="shared" si="48"/>
        <v>637019</v>
      </c>
      <c r="U71" s="7">
        <f t="shared" si="65"/>
        <v>2862981</v>
      </c>
      <c r="V71" s="7"/>
      <c r="W71" s="44"/>
      <c r="X71" s="7">
        <f t="shared" si="66"/>
        <v>2862981</v>
      </c>
    </row>
    <row r="72" spans="1:27" ht="17.25" customHeight="1" x14ac:dyDescent="0.25">
      <c r="A72" s="95"/>
      <c r="B72" s="4">
        <v>22</v>
      </c>
      <c r="C72" s="11" t="s">
        <v>92</v>
      </c>
      <c r="D72" s="6" t="s">
        <v>26</v>
      </c>
      <c r="E72" s="5">
        <v>1200000</v>
      </c>
      <c r="F72" s="5">
        <v>30</v>
      </c>
      <c r="G72" s="5">
        <f>+E72/30*F72</f>
        <v>1200000</v>
      </c>
      <c r="H72" s="5">
        <f>+(83140/30)*F72</f>
        <v>83140</v>
      </c>
      <c r="I72" s="5"/>
      <c r="J72" s="5"/>
      <c r="K72" s="5">
        <f t="shared" ref="K72:K76" si="67">SUM(G72:I72)+J72</f>
        <v>1283140</v>
      </c>
      <c r="L72" s="5">
        <f>+G72*4%</f>
        <v>48000</v>
      </c>
      <c r="M72" s="5">
        <f>+G72*4%</f>
        <v>48000</v>
      </c>
      <c r="N72" s="5"/>
      <c r="O72" s="5"/>
      <c r="P72" s="5"/>
      <c r="Q72" s="5"/>
      <c r="R72" s="5"/>
      <c r="S72" s="5"/>
      <c r="T72" s="5">
        <f t="shared" ref="T72:T76" si="68">SUM(L72:S72)</f>
        <v>96000</v>
      </c>
      <c r="U72" s="7">
        <f t="shared" si="65"/>
        <v>1187140</v>
      </c>
      <c r="V72" s="7"/>
      <c r="W72" s="44"/>
      <c r="X72" s="7">
        <f t="shared" si="66"/>
        <v>1187140</v>
      </c>
    </row>
    <row r="73" spans="1:27" ht="17.25" customHeight="1" x14ac:dyDescent="0.25">
      <c r="A73" s="95"/>
      <c r="B73" s="4">
        <v>23</v>
      </c>
      <c r="C73" s="11" t="s">
        <v>93</v>
      </c>
      <c r="D73" s="6"/>
      <c r="E73" s="5">
        <v>1030410</v>
      </c>
      <c r="F73" s="5">
        <v>30</v>
      </c>
      <c r="G73" s="5">
        <f>+E73/30*F73</f>
        <v>1030410</v>
      </c>
      <c r="H73" s="5">
        <f>+(83140/30)*F73</f>
        <v>83140</v>
      </c>
      <c r="I73" s="5"/>
      <c r="J73" s="5"/>
      <c r="K73" s="5">
        <f t="shared" ref="K73" si="69">SUM(G73:I73)+J73</f>
        <v>1113550</v>
      </c>
      <c r="L73" s="5">
        <f>+G73*4%</f>
        <v>41216.400000000001</v>
      </c>
      <c r="M73" s="5">
        <f>+G73*4%</f>
        <v>41216.400000000001</v>
      </c>
      <c r="N73" s="5"/>
      <c r="O73" s="5"/>
      <c r="P73" s="5"/>
      <c r="Q73" s="5"/>
      <c r="R73" s="5"/>
      <c r="S73" s="5"/>
      <c r="T73" s="5">
        <f t="shared" si="68"/>
        <v>82432.800000000003</v>
      </c>
      <c r="U73" s="7">
        <f t="shared" si="65"/>
        <v>1031117.2</v>
      </c>
      <c r="V73" s="7"/>
      <c r="W73" s="44"/>
      <c r="X73" s="7">
        <f t="shared" si="66"/>
        <v>1031117.2</v>
      </c>
    </row>
    <row r="74" spans="1:27" x14ac:dyDescent="0.25">
      <c r="A74" s="95"/>
      <c r="B74" s="4">
        <v>24</v>
      </c>
      <c r="C74" s="3" t="s">
        <v>94</v>
      </c>
      <c r="D74" s="4" t="s">
        <v>26</v>
      </c>
      <c r="E74" s="5">
        <v>3250000</v>
      </c>
      <c r="F74" s="5">
        <v>30</v>
      </c>
      <c r="G74" s="5">
        <f t="shared" ref="G74:G75" si="70">+E74/30*F74</f>
        <v>3250000</v>
      </c>
      <c r="H74" s="5"/>
      <c r="I74" s="5"/>
      <c r="J74" s="5"/>
      <c r="K74" s="5">
        <f t="shared" ref="K74:K75" si="71">SUM(G74:I74)+J74</f>
        <v>3250000</v>
      </c>
      <c r="L74" s="5">
        <f>+G74*4%</f>
        <v>130000</v>
      </c>
      <c r="M74" s="5">
        <f>+G74*5%</f>
        <v>162500</v>
      </c>
      <c r="N74" s="5"/>
      <c r="O74" s="5"/>
      <c r="P74" s="5"/>
      <c r="Q74" s="5"/>
      <c r="R74" s="5"/>
      <c r="S74" s="5"/>
      <c r="T74" s="5">
        <f t="shared" ref="T74:T75" si="72">SUM(L74:S74)</f>
        <v>292500</v>
      </c>
      <c r="U74" s="7">
        <f t="shared" ref="U74:U75" si="73">+K74-T74</f>
        <v>2957500</v>
      </c>
      <c r="V74" s="7"/>
      <c r="W74" s="44"/>
      <c r="X74" s="7">
        <f t="shared" si="66"/>
        <v>2957500</v>
      </c>
    </row>
    <row r="75" spans="1:27" x14ac:dyDescent="0.25">
      <c r="A75" s="95"/>
      <c r="B75" s="4">
        <v>25</v>
      </c>
      <c r="C75" s="3" t="s">
        <v>95</v>
      </c>
      <c r="D75" s="4"/>
      <c r="E75" s="5">
        <v>4000000</v>
      </c>
      <c r="F75" s="5">
        <v>30</v>
      </c>
      <c r="G75" s="5">
        <f t="shared" si="70"/>
        <v>4000000.0000000005</v>
      </c>
      <c r="H75" s="5"/>
      <c r="I75" s="5"/>
      <c r="J75" s="5"/>
      <c r="K75" s="5">
        <f t="shared" si="71"/>
        <v>4000000.0000000005</v>
      </c>
      <c r="L75" s="5">
        <f>+G75*4%</f>
        <v>160000.00000000003</v>
      </c>
      <c r="M75" s="5">
        <f>+G75*5%</f>
        <v>200000.00000000003</v>
      </c>
      <c r="N75" s="5"/>
      <c r="O75" s="5"/>
      <c r="P75" s="5"/>
      <c r="Q75" s="5"/>
      <c r="R75" s="5"/>
      <c r="S75" s="5"/>
      <c r="T75" s="5">
        <f t="shared" si="72"/>
        <v>360000.00000000006</v>
      </c>
      <c r="U75" s="7">
        <f t="shared" si="73"/>
        <v>3640000.0000000005</v>
      </c>
      <c r="V75" s="7"/>
      <c r="W75" s="44"/>
      <c r="X75" s="7">
        <f t="shared" si="66"/>
        <v>3640000.0000000005</v>
      </c>
    </row>
    <row r="76" spans="1:27" ht="17.25" customHeight="1" x14ac:dyDescent="0.25">
      <c r="A76" s="95"/>
      <c r="B76" s="4">
        <v>26</v>
      </c>
      <c r="C76" s="11" t="s">
        <v>96</v>
      </c>
      <c r="D76" s="6" t="s">
        <v>26</v>
      </c>
      <c r="E76" s="5">
        <v>900000</v>
      </c>
      <c r="F76" s="5">
        <v>30</v>
      </c>
      <c r="G76" s="5">
        <f>E76/30*F76</f>
        <v>900000</v>
      </c>
      <c r="H76" s="5"/>
      <c r="I76" s="5"/>
      <c r="J76" s="5"/>
      <c r="K76" s="5">
        <f t="shared" si="67"/>
        <v>900000</v>
      </c>
      <c r="L76" s="5">
        <v>36000</v>
      </c>
      <c r="M76" s="5">
        <v>36000</v>
      </c>
      <c r="N76" s="5"/>
      <c r="O76" s="5"/>
      <c r="P76" s="5"/>
      <c r="Q76" s="5"/>
      <c r="R76" s="5"/>
      <c r="S76" s="5"/>
      <c r="T76" s="5">
        <f t="shared" si="68"/>
        <v>72000</v>
      </c>
      <c r="U76" s="7">
        <f>K76-T76</f>
        <v>828000</v>
      </c>
      <c r="V76" s="7"/>
      <c r="W76" s="44"/>
      <c r="X76" s="7">
        <f t="shared" si="66"/>
        <v>828000</v>
      </c>
    </row>
    <row r="77" spans="1:27" ht="15.75" customHeight="1" x14ac:dyDescent="0.25">
      <c r="A77" s="95"/>
      <c r="B77" s="4">
        <v>27</v>
      </c>
      <c r="C77" s="11" t="s">
        <v>97</v>
      </c>
      <c r="D77" s="6" t="s">
        <v>26</v>
      </c>
      <c r="E77" s="5">
        <v>2000000</v>
      </c>
      <c r="F77" s="5">
        <v>30</v>
      </c>
      <c r="G77" s="5">
        <f>(E77/30*F77)</f>
        <v>2000000.0000000002</v>
      </c>
      <c r="H77" s="5"/>
      <c r="I77" s="5"/>
      <c r="J77" s="5">
        <f>+E77-G77</f>
        <v>0</v>
      </c>
      <c r="K77" s="5">
        <f t="shared" si="33"/>
        <v>2000000.0000000002</v>
      </c>
      <c r="L77" s="5">
        <v>80000</v>
      </c>
      <c r="M77" s="5">
        <v>80000</v>
      </c>
      <c r="N77" s="5"/>
      <c r="O77" s="5"/>
      <c r="P77" s="5">
        <v>0</v>
      </c>
      <c r="Q77" s="5"/>
      <c r="R77" s="5"/>
      <c r="S77" s="5">
        <v>254624</v>
      </c>
      <c r="T77" s="5">
        <f t="shared" si="48"/>
        <v>414624</v>
      </c>
      <c r="U77" s="7">
        <f t="shared" si="65"/>
        <v>1585376.0000000002</v>
      </c>
      <c r="V77" s="7"/>
      <c r="W77" s="44"/>
      <c r="X77" s="7">
        <f t="shared" si="66"/>
        <v>1585376.0000000002</v>
      </c>
      <c r="AA77" s="45">
        <f>1196000+644000</f>
        <v>1840000</v>
      </c>
    </row>
    <row r="78" spans="1:27" ht="15.75" customHeight="1" x14ac:dyDescent="0.25">
      <c r="A78" s="95"/>
      <c r="B78" s="4">
        <v>28</v>
      </c>
      <c r="C78" s="11" t="s">
        <v>98</v>
      </c>
      <c r="D78" s="6" t="s">
        <v>26</v>
      </c>
      <c r="E78" s="5">
        <v>2000000</v>
      </c>
      <c r="F78" s="5">
        <v>30</v>
      </c>
      <c r="G78" s="5">
        <f>(E78/30*F78)</f>
        <v>2000000.0000000002</v>
      </c>
      <c r="H78" s="5"/>
      <c r="I78" s="5"/>
      <c r="J78" s="5"/>
      <c r="K78" s="5">
        <f t="shared" ref="K78" si="74">SUM(G78:I78)+J78</f>
        <v>2000000.0000000002</v>
      </c>
      <c r="L78" s="5">
        <v>80000</v>
      </c>
      <c r="M78" s="5">
        <v>80000</v>
      </c>
      <c r="N78" s="5"/>
      <c r="O78" s="5"/>
      <c r="P78" s="5">
        <v>0</v>
      </c>
      <c r="Q78" s="5"/>
      <c r="R78" s="5"/>
      <c r="S78" s="5"/>
      <c r="T78" s="5">
        <f t="shared" ref="T78" si="75">SUM(L78:S78)</f>
        <v>160000</v>
      </c>
      <c r="U78" s="7">
        <f t="shared" si="65"/>
        <v>1840000.0000000002</v>
      </c>
      <c r="V78" s="7"/>
      <c r="W78" s="44"/>
      <c r="X78" s="7">
        <f t="shared" si="66"/>
        <v>1840000.0000000002</v>
      </c>
    </row>
    <row r="79" spans="1:27" x14ac:dyDescent="0.25">
      <c r="A79" s="95"/>
      <c r="B79" s="4">
        <v>29</v>
      </c>
      <c r="C79" s="3" t="s">
        <v>100</v>
      </c>
      <c r="D79" s="4" t="s">
        <v>26</v>
      </c>
      <c r="E79" s="5">
        <v>737717</v>
      </c>
      <c r="F79" s="5">
        <v>30</v>
      </c>
      <c r="G79" s="5">
        <f>(E79/30*F79)</f>
        <v>737717</v>
      </c>
      <c r="H79" s="5"/>
      <c r="I79" s="5"/>
      <c r="J79" s="5"/>
      <c r="K79" s="5">
        <f t="shared" si="33"/>
        <v>737717</v>
      </c>
      <c r="L79" s="5"/>
      <c r="M79" s="5"/>
      <c r="N79" s="5"/>
      <c r="O79" s="5"/>
      <c r="P79" s="5"/>
      <c r="Q79" s="5"/>
      <c r="R79" s="5"/>
      <c r="S79" s="5"/>
      <c r="T79" s="5">
        <f t="shared" si="48"/>
        <v>0</v>
      </c>
      <c r="U79" s="7">
        <f t="shared" si="65"/>
        <v>737717</v>
      </c>
      <c r="V79" s="7"/>
      <c r="W79" s="44"/>
      <c r="X79" s="7">
        <f t="shared" si="66"/>
        <v>737717</v>
      </c>
      <c r="AA79" s="45">
        <f>1840000-1196000</f>
        <v>644000</v>
      </c>
    </row>
    <row r="80" spans="1:27" x14ac:dyDescent="0.25">
      <c r="A80" s="95"/>
      <c r="B80" s="4">
        <v>30</v>
      </c>
      <c r="C80" s="3" t="s">
        <v>101</v>
      </c>
      <c r="D80" s="4" t="s">
        <v>26</v>
      </c>
      <c r="E80" s="5">
        <v>1800000</v>
      </c>
      <c r="F80" s="5">
        <v>29</v>
      </c>
      <c r="G80" s="5">
        <f>+E80/30*F80</f>
        <v>1740000</v>
      </c>
      <c r="H80" s="5"/>
      <c r="I80" s="5">
        <v>500000</v>
      </c>
      <c r="J80" s="5">
        <f>+E80-G80</f>
        <v>60000</v>
      </c>
      <c r="K80" s="5">
        <f t="shared" si="33"/>
        <v>2300000</v>
      </c>
      <c r="L80" s="5">
        <f>+E80*4%</f>
        <v>72000</v>
      </c>
      <c r="M80" s="5">
        <f>+E80*4%</f>
        <v>72000</v>
      </c>
      <c r="N80" s="5"/>
      <c r="O80" s="5"/>
      <c r="P80" s="5">
        <v>0</v>
      </c>
      <c r="Q80" s="5"/>
      <c r="R80" s="5"/>
      <c r="S80" s="5"/>
      <c r="T80" s="5">
        <f t="shared" si="48"/>
        <v>144000</v>
      </c>
      <c r="U80" s="7">
        <f>K80-T80</f>
        <v>2156000</v>
      </c>
      <c r="V80" s="7"/>
      <c r="W80" s="44"/>
      <c r="X80" s="7">
        <f>U80+V80-W80</f>
        <v>2156000</v>
      </c>
    </row>
    <row r="81" spans="1:25" ht="20.25" customHeight="1" x14ac:dyDescent="0.25">
      <c r="A81" s="95"/>
      <c r="B81" s="4">
        <v>31</v>
      </c>
      <c r="C81" s="11" t="s">
        <v>102</v>
      </c>
      <c r="D81" s="6" t="s">
        <v>26</v>
      </c>
      <c r="E81" s="5">
        <v>3500000</v>
      </c>
      <c r="F81" s="5">
        <v>30</v>
      </c>
      <c r="G81" s="5">
        <f t="shared" ref="G81" si="76">+E81/30*F81</f>
        <v>3500000</v>
      </c>
      <c r="H81" s="5"/>
      <c r="I81" s="5"/>
      <c r="J81" s="5">
        <f>+E81-G81</f>
        <v>0</v>
      </c>
      <c r="K81" s="5">
        <f t="shared" si="33"/>
        <v>3500000</v>
      </c>
      <c r="L81" s="5">
        <v>140000</v>
      </c>
      <c r="M81" s="5">
        <v>175000</v>
      </c>
      <c r="N81" s="5"/>
      <c r="O81" s="5"/>
      <c r="P81" s="5">
        <v>0</v>
      </c>
      <c r="Q81" s="5"/>
      <c r="R81" s="5"/>
      <c r="S81" s="5">
        <v>996534</v>
      </c>
      <c r="T81" s="5">
        <f t="shared" si="48"/>
        <v>1311534</v>
      </c>
      <c r="U81" s="7">
        <f t="shared" ref="U81:U89" si="77">+K81-T81</f>
        <v>2188466</v>
      </c>
      <c r="V81" s="7"/>
      <c r="W81" s="44"/>
      <c r="X81" s="7">
        <f t="shared" ref="X81" si="78">U81+V81-W81</f>
        <v>2188466</v>
      </c>
    </row>
    <row r="82" spans="1:25" ht="18" customHeight="1" x14ac:dyDescent="0.25">
      <c r="A82" s="95"/>
      <c r="B82" s="4">
        <v>32</v>
      </c>
      <c r="C82" s="11" t="s">
        <v>103</v>
      </c>
      <c r="D82" s="6" t="s">
        <v>26</v>
      </c>
      <c r="E82" s="5">
        <v>2000000</v>
      </c>
      <c r="F82" s="5">
        <v>30</v>
      </c>
      <c r="G82" s="5">
        <f>+E82/30*F82</f>
        <v>2000000.0000000002</v>
      </c>
      <c r="H82" s="5"/>
      <c r="I82" s="5"/>
      <c r="J82" s="5">
        <f>+E82-G82</f>
        <v>0</v>
      </c>
      <c r="K82" s="5">
        <f t="shared" si="33"/>
        <v>2000000.0000000002</v>
      </c>
      <c r="L82" s="5">
        <v>80000</v>
      </c>
      <c r="M82" s="5">
        <v>80000</v>
      </c>
      <c r="N82" s="5"/>
      <c r="O82" s="5"/>
      <c r="P82" s="5">
        <v>0</v>
      </c>
      <c r="Q82" s="5"/>
      <c r="R82" s="5"/>
      <c r="S82" s="5"/>
      <c r="T82" s="5">
        <f t="shared" si="48"/>
        <v>160000</v>
      </c>
      <c r="U82" s="7">
        <f t="shared" si="77"/>
        <v>1840000.0000000002</v>
      </c>
      <c r="V82" s="7"/>
      <c r="W82" s="44"/>
      <c r="X82" s="7">
        <f t="shared" si="66"/>
        <v>1840000.0000000002</v>
      </c>
    </row>
    <row r="83" spans="1:25" x14ac:dyDescent="0.25">
      <c r="A83" s="95"/>
      <c r="B83" s="4">
        <v>33</v>
      </c>
      <c r="C83" s="11" t="s">
        <v>104</v>
      </c>
      <c r="D83" s="6" t="s">
        <v>26</v>
      </c>
      <c r="E83" s="5">
        <v>4000000</v>
      </c>
      <c r="F83" s="5">
        <v>30</v>
      </c>
      <c r="G83" s="5">
        <f t="shared" ref="G83:G92" si="79">+E83/30*F83</f>
        <v>4000000.0000000005</v>
      </c>
      <c r="H83" s="5"/>
      <c r="I83" s="5">
        <v>50000</v>
      </c>
      <c r="J83" s="5"/>
      <c r="K83" s="5">
        <f t="shared" si="33"/>
        <v>4050000.0000000005</v>
      </c>
      <c r="L83" s="5">
        <v>160000</v>
      </c>
      <c r="M83" s="5">
        <v>200000</v>
      </c>
      <c r="N83" s="5"/>
      <c r="O83" s="5"/>
      <c r="P83" s="5">
        <v>3000</v>
      </c>
      <c r="Q83" s="5"/>
      <c r="R83" s="5"/>
      <c r="S83" s="5"/>
      <c r="T83" s="5">
        <f t="shared" si="48"/>
        <v>363000</v>
      </c>
      <c r="U83" s="7">
        <f t="shared" si="77"/>
        <v>3687000.0000000005</v>
      </c>
      <c r="V83" s="7"/>
      <c r="W83" s="44"/>
      <c r="X83" s="7">
        <f t="shared" si="66"/>
        <v>3687000.0000000005</v>
      </c>
      <c r="Y83" s="45" t="s">
        <v>105</v>
      </c>
    </row>
    <row r="84" spans="1:25" x14ac:dyDescent="0.25">
      <c r="A84" s="95"/>
      <c r="B84" s="4">
        <v>34</v>
      </c>
      <c r="C84" s="11" t="s">
        <v>106</v>
      </c>
      <c r="D84" s="6" t="s">
        <v>26</v>
      </c>
      <c r="E84" s="5">
        <v>900000</v>
      </c>
      <c r="F84" s="5">
        <v>30</v>
      </c>
      <c r="G84" s="5">
        <f>+E84/30*F84</f>
        <v>900000</v>
      </c>
      <c r="H84" s="5">
        <f>+(83140/30)*F84</f>
        <v>83140</v>
      </c>
      <c r="I84" s="5"/>
      <c r="J84" s="5"/>
      <c r="K84" s="5">
        <f t="shared" ref="K84" si="80">SUM(G84:I84)+J84</f>
        <v>983140</v>
      </c>
      <c r="L84" s="5">
        <f>+G84*4%</f>
        <v>36000</v>
      </c>
      <c r="M84" s="5">
        <f>+G84*4%</f>
        <v>36000</v>
      </c>
      <c r="N84" s="5"/>
      <c r="O84" s="5"/>
      <c r="P84" s="5">
        <v>0</v>
      </c>
      <c r="Q84" s="5"/>
      <c r="R84" s="5"/>
      <c r="S84" s="5"/>
      <c r="T84" s="5">
        <f t="shared" ref="T84" si="81">SUM(L84:S84)</f>
        <v>72000</v>
      </c>
      <c r="U84" s="7">
        <f t="shared" si="77"/>
        <v>911140</v>
      </c>
      <c r="V84" s="7"/>
      <c r="W84" s="44"/>
      <c r="X84" s="7">
        <f t="shared" si="66"/>
        <v>911140</v>
      </c>
      <c r="Y84" s="45" t="s">
        <v>105</v>
      </c>
    </row>
    <row r="85" spans="1:25" x14ac:dyDescent="0.25">
      <c r="A85" s="95"/>
      <c r="B85" s="4">
        <v>35</v>
      </c>
      <c r="C85" s="11" t="s">
        <v>107</v>
      </c>
      <c r="D85" s="6" t="s">
        <v>26</v>
      </c>
      <c r="E85" s="5">
        <v>3000000</v>
      </c>
      <c r="F85" s="5">
        <v>30</v>
      </c>
      <c r="G85" s="5">
        <f t="shared" si="79"/>
        <v>3000000</v>
      </c>
      <c r="H85" s="5"/>
      <c r="I85" s="5"/>
      <c r="J85" s="5"/>
      <c r="K85" s="5">
        <f t="shared" si="33"/>
        <v>3000000</v>
      </c>
      <c r="L85" s="5">
        <f>+E85*4%</f>
        <v>120000</v>
      </c>
      <c r="M85" s="5">
        <f>+E85*5%</f>
        <v>150000</v>
      </c>
      <c r="N85" s="5"/>
      <c r="O85" s="5"/>
      <c r="P85" s="17">
        <v>0</v>
      </c>
      <c r="Q85" s="5"/>
      <c r="R85" s="5"/>
      <c r="S85" s="5">
        <v>586000</v>
      </c>
      <c r="T85" s="5">
        <f t="shared" si="48"/>
        <v>856000</v>
      </c>
      <c r="U85" s="7">
        <f t="shared" si="77"/>
        <v>2144000</v>
      </c>
      <c r="V85" s="7"/>
      <c r="W85" s="44"/>
      <c r="X85" s="7">
        <f t="shared" si="66"/>
        <v>2144000</v>
      </c>
    </row>
    <row r="86" spans="1:25" x14ac:dyDescent="0.25">
      <c r="A86" s="95"/>
      <c r="B86" s="4">
        <v>36</v>
      </c>
      <c r="C86" s="11" t="s">
        <v>108</v>
      </c>
      <c r="D86" s="6"/>
      <c r="E86" s="5">
        <v>4500000</v>
      </c>
      <c r="F86" s="5">
        <v>30</v>
      </c>
      <c r="G86" s="5">
        <f t="shared" si="79"/>
        <v>4500000</v>
      </c>
      <c r="H86" s="5"/>
      <c r="I86" s="5"/>
      <c r="J86" s="5"/>
      <c r="K86" s="5">
        <f t="shared" ref="K86" si="82">SUM(G86:I86)+J86</f>
        <v>4500000</v>
      </c>
      <c r="L86" s="5">
        <f>+G86*4%</f>
        <v>180000</v>
      </c>
      <c r="M86" s="5">
        <f>+G86*5%</f>
        <v>225000</v>
      </c>
      <c r="N86" s="5"/>
      <c r="O86" s="5"/>
      <c r="P86" s="17">
        <v>72000</v>
      </c>
      <c r="Q86" s="5"/>
      <c r="R86" s="5"/>
      <c r="S86" s="5"/>
      <c r="T86" s="5">
        <f t="shared" ref="T86:T87" si="83">SUM(L86:S86)</f>
        <v>477000</v>
      </c>
      <c r="U86" s="7">
        <f t="shared" si="77"/>
        <v>4023000</v>
      </c>
      <c r="V86" s="7"/>
      <c r="W86" s="44"/>
      <c r="X86" s="7">
        <f t="shared" si="66"/>
        <v>4023000</v>
      </c>
    </row>
    <row r="87" spans="1:25" ht="24" x14ac:dyDescent="0.25">
      <c r="A87" s="95"/>
      <c r="B87" s="4">
        <v>37</v>
      </c>
      <c r="C87" s="11" t="s">
        <v>109</v>
      </c>
      <c r="D87" s="6" t="s">
        <v>26</v>
      </c>
      <c r="E87" s="5">
        <v>900000</v>
      </c>
      <c r="F87" s="5">
        <v>30</v>
      </c>
      <c r="G87" s="5">
        <f>+E87/30*F87</f>
        <v>900000</v>
      </c>
      <c r="H87" s="5">
        <f>+(83140/30)*F87</f>
        <v>83140</v>
      </c>
      <c r="I87" s="5"/>
      <c r="J87" s="5"/>
      <c r="K87" s="5">
        <f t="shared" ref="K87" si="84">SUM(G87:I87)+J87</f>
        <v>983140</v>
      </c>
      <c r="L87" s="5">
        <f>+G87*4%</f>
        <v>36000</v>
      </c>
      <c r="M87" s="5">
        <f>+G87*4%</f>
        <v>36000</v>
      </c>
      <c r="N87" s="5"/>
      <c r="O87" s="5"/>
      <c r="P87" s="17">
        <v>0</v>
      </c>
      <c r="Q87" s="5"/>
      <c r="R87" s="5"/>
      <c r="S87" s="5"/>
      <c r="T87" s="5">
        <f t="shared" si="83"/>
        <v>72000</v>
      </c>
      <c r="U87" s="7">
        <f t="shared" si="77"/>
        <v>911140</v>
      </c>
      <c r="V87" s="7"/>
      <c r="W87" s="44"/>
      <c r="X87" s="7">
        <f t="shared" si="66"/>
        <v>911140</v>
      </c>
    </row>
    <row r="88" spans="1:25" x14ac:dyDescent="0.25">
      <c r="A88" s="95"/>
      <c r="B88" s="4">
        <v>38</v>
      </c>
      <c r="C88" s="11" t="s">
        <v>110</v>
      </c>
      <c r="D88" s="6" t="s">
        <v>26</v>
      </c>
      <c r="E88" s="5">
        <v>2500000</v>
      </c>
      <c r="F88" s="5">
        <v>30</v>
      </c>
      <c r="G88" s="5">
        <f>+E88/30*F88</f>
        <v>2500000</v>
      </c>
      <c r="H88" s="5"/>
      <c r="I88" s="5"/>
      <c r="J88" s="5"/>
      <c r="K88" s="5">
        <f t="shared" ref="K88:K115" si="85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8"/>
        <v>457196</v>
      </c>
      <c r="U88" s="7">
        <f t="shared" si="77"/>
        <v>2042804</v>
      </c>
      <c r="V88" s="7"/>
      <c r="W88" s="44"/>
      <c r="X88" s="7">
        <f t="shared" si="66"/>
        <v>2042804</v>
      </c>
    </row>
    <row r="89" spans="1:25" x14ac:dyDescent="0.25">
      <c r="A89" s="95"/>
      <c r="B89" s="4">
        <v>39</v>
      </c>
      <c r="C89" s="11" t="s">
        <v>111</v>
      </c>
      <c r="D89" s="6" t="s">
        <v>26</v>
      </c>
      <c r="E89" s="5">
        <v>4500000</v>
      </c>
      <c r="F89" s="5">
        <v>30</v>
      </c>
      <c r="G89" s="5">
        <f>+E89/30*F89</f>
        <v>4500000</v>
      </c>
      <c r="H89" s="5"/>
      <c r="I89" s="5"/>
      <c r="J89" s="5"/>
      <c r="K89" s="5">
        <f t="shared" si="85"/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6">SUM(L89:S89)</f>
        <v>477000</v>
      </c>
      <c r="U89" s="7">
        <f t="shared" si="77"/>
        <v>4023000</v>
      </c>
      <c r="V89" s="7"/>
      <c r="W89" s="44"/>
      <c r="X89" s="7">
        <f t="shared" si="66"/>
        <v>4023000</v>
      </c>
    </row>
    <row r="90" spans="1:25" x14ac:dyDescent="0.25">
      <c r="A90" s="95"/>
      <c r="B90" s="4">
        <v>40</v>
      </c>
      <c r="C90" s="11" t="s">
        <v>112</v>
      </c>
      <c r="D90" s="6" t="s">
        <v>26</v>
      </c>
      <c r="E90" s="5">
        <v>4500000</v>
      </c>
      <c r="F90" s="5">
        <v>30</v>
      </c>
      <c r="G90" s="5">
        <f>+E90/30*F90</f>
        <v>4500000</v>
      </c>
      <c r="H90" s="5"/>
      <c r="I90" s="5"/>
      <c r="J90" s="5"/>
      <c r="K90" s="5">
        <f t="shared" si="85"/>
        <v>4500000</v>
      </c>
      <c r="L90" s="5">
        <v>180000</v>
      </c>
      <c r="M90" s="5">
        <v>225000</v>
      </c>
      <c r="N90" s="5"/>
      <c r="O90" s="5"/>
      <c r="P90" s="5">
        <v>73073</v>
      </c>
      <c r="Q90" s="5"/>
      <c r="R90" s="5"/>
      <c r="S90" s="5"/>
      <c r="T90" s="5">
        <f>SUM(L90:S90)</f>
        <v>478073</v>
      </c>
      <c r="U90" s="7">
        <f t="shared" ref="U90:U96" si="87">K90-T90</f>
        <v>4021927</v>
      </c>
      <c r="V90" s="7"/>
      <c r="W90" s="44"/>
      <c r="X90" s="7">
        <f t="shared" si="66"/>
        <v>4021927</v>
      </c>
    </row>
    <row r="91" spans="1:25" x14ac:dyDescent="0.25">
      <c r="A91" s="95"/>
      <c r="B91" s="4">
        <v>41</v>
      </c>
      <c r="C91" s="11" t="s">
        <v>113</v>
      </c>
      <c r="D91" s="6" t="s">
        <v>26</v>
      </c>
      <c r="E91" s="5">
        <v>2500000</v>
      </c>
      <c r="F91" s="5">
        <v>30</v>
      </c>
      <c r="G91" s="5">
        <f t="shared" ref="G91" si="88">+E91/30*F91</f>
        <v>2500000</v>
      </c>
      <c r="H91" s="5"/>
      <c r="I91" s="5">
        <v>500000</v>
      </c>
      <c r="J91" s="5">
        <f>+E91-G91</f>
        <v>0</v>
      </c>
      <c r="K91" s="5">
        <f t="shared" si="85"/>
        <v>3000000</v>
      </c>
      <c r="L91" s="5">
        <v>100000</v>
      </c>
      <c r="M91" s="5">
        <v>100000</v>
      </c>
      <c r="N91" s="5"/>
      <c r="O91" s="5"/>
      <c r="P91" s="5">
        <v>0</v>
      </c>
      <c r="Q91" s="5"/>
      <c r="R91" s="5"/>
      <c r="S91" s="5"/>
      <c r="T91" s="5">
        <f t="shared" si="48"/>
        <v>200000</v>
      </c>
      <c r="U91" s="7">
        <f t="shared" si="87"/>
        <v>2800000</v>
      </c>
      <c r="V91" s="7"/>
      <c r="W91" s="44"/>
      <c r="X91" s="7">
        <f t="shared" si="66"/>
        <v>2800000</v>
      </c>
    </row>
    <row r="92" spans="1:25" ht="24" x14ac:dyDescent="0.25">
      <c r="A92" s="95"/>
      <c r="B92" s="4">
        <v>42</v>
      </c>
      <c r="C92" s="11" t="s">
        <v>114</v>
      </c>
      <c r="D92" s="6" t="s">
        <v>26</v>
      </c>
      <c r="E92" s="5">
        <v>2548000</v>
      </c>
      <c r="F92" s="5">
        <v>30</v>
      </c>
      <c r="G92" s="5">
        <f t="shared" si="79"/>
        <v>2548000</v>
      </c>
      <c r="H92" s="5"/>
      <c r="I92" s="5"/>
      <c r="J92" s="5">
        <f>+E92-G92</f>
        <v>0</v>
      </c>
      <c r="K92" s="5">
        <f t="shared" si="85"/>
        <v>2548000</v>
      </c>
      <c r="L92" s="5">
        <v>101920</v>
      </c>
      <c r="M92" s="5">
        <v>101920</v>
      </c>
      <c r="N92" s="5"/>
      <c r="O92" s="5"/>
      <c r="P92" s="5">
        <v>0</v>
      </c>
      <c r="Q92" s="5"/>
      <c r="R92" s="5"/>
      <c r="S92" s="5">
        <v>359047</v>
      </c>
      <c r="T92" s="5">
        <f t="shared" si="48"/>
        <v>562887</v>
      </c>
      <c r="U92" s="7">
        <f t="shared" si="87"/>
        <v>1985113</v>
      </c>
      <c r="V92" s="7"/>
      <c r="W92" s="44"/>
      <c r="X92" s="7">
        <f t="shared" si="66"/>
        <v>1985113</v>
      </c>
    </row>
    <row r="93" spans="1:25" x14ac:dyDescent="0.25">
      <c r="A93" s="95"/>
      <c r="B93" s="4">
        <v>43</v>
      </c>
      <c r="C93" s="11" t="s">
        <v>115</v>
      </c>
      <c r="D93" s="6" t="s">
        <v>26</v>
      </c>
      <c r="E93" s="5">
        <v>900000</v>
      </c>
      <c r="F93" s="5">
        <v>30</v>
      </c>
      <c r="G93" s="5">
        <f>+E93/30*F93</f>
        <v>900000</v>
      </c>
      <c r="H93" s="5">
        <f>+(83140/30)*F93</f>
        <v>83140</v>
      </c>
      <c r="I93" s="5"/>
      <c r="J93" s="5"/>
      <c r="K93" s="5">
        <f t="shared" ref="K93" si="89">SUM(G93:I93)+J93</f>
        <v>983140</v>
      </c>
      <c r="L93" s="5">
        <f>+G93*4%</f>
        <v>36000</v>
      </c>
      <c r="M93" s="5">
        <f>+G93*4%</f>
        <v>36000</v>
      </c>
      <c r="N93" s="5"/>
      <c r="O93" s="5"/>
      <c r="P93" s="5"/>
      <c r="Q93" s="5"/>
      <c r="R93" s="5"/>
      <c r="S93" s="5"/>
      <c r="T93" s="5">
        <f t="shared" ref="T93" si="90">SUM(L93:S93)</f>
        <v>72000</v>
      </c>
      <c r="U93" s="7">
        <f t="shared" si="87"/>
        <v>911140</v>
      </c>
      <c r="V93" s="7"/>
      <c r="W93" s="44"/>
      <c r="X93" s="7">
        <f t="shared" si="66"/>
        <v>911140</v>
      </c>
    </row>
    <row r="94" spans="1:25" ht="23.25" customHeight="1" x14ac:dyDescent="0.25">
      <c r="A94" s="95"/>
      <c r="B94" s="4">
        <v>44</v>
      </c>
      <c r="C94" s="3" t="s">
        <v>116</v>
      </c>
      <c r="D94" s="4" t="s">
        <v>26</v>
      </c>
      <c r="E94" s="5">
        <v>737717</v>
      </c>
      <c r="F94" s="5">
        <v>30</v>
      </c>
      <c r="G94" s="5">
        <f>+E94/30*F94</f>
        <v>737717</v>
      </c>
      <c r="H94" s="5">
        <v>83139</v>
      </c>
      <c r="I94" s="5"/>
      <c r="J94" s="5">
        <v>71715</v>
      </c>
      <c r="K94" s="5">
        <f t="shared" si="85"/>
        <v>892571</v>
      </c>
      <c r="L94" s="5">
        <f>+G94*4%</f>
        <v>29508.68</v>
      </c>
      <c r="M94" s="5">
        <f>+G94*4%</f>
        <v>29508.68</v>
      </c>
      <c r="N94" s="5"/>
      <c r="O94" s="5"/>
      <c r="P94" s="5">
        <v>0</v>
      </c>
      <c r="Q94" s="5"/>
      <c r="R94" s="5"/>
      <c r="S94" s="5"/>
      <c r="T94" s="5">
        <f t="shared" si="48"/>
        <v>59017.36</v>
      </c>
      <c r="U94" s="7">
        <f t="shared" si="87"/>
        <v>833553.64</v>
      </c>
      <c r="V94" s="7"/>
      <c r="W94" s="44"/>
      <c r="X94" s="7">
        <f t="shared" si="66"/>
        <v>833553.64</v>
      </c>
    </row>
    <row r="95" spans="1:25" x14ac:dyDescent="0.25">
      <c r="A95" s="95"/>
      <c r="B95" s="4">
        <v>45</v>
      </c>
      <c r="C95" s="3" t="s">
        <v>117</v>
      </c>
      <c r="D95" s="4"/>
      <c r="E95" s="5">
        <v>5000000</v>
      </c>
      <c r="F95" s="5">
        <v>30</v>
      </c>
      <c r="G95" s="5">
        <f>+E95/30*F95</f>
        <v>5000000</v>
      </c>
      <c r="H95" s="5"/>
      <c r="I95" s="5"/>
      <c r="J95" s="5"/>
      <c r="K95" s="5">
        <f t="shared" si="85"/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ref="T95" si="91">SUM(L95:S95)</f>
        <v>552000</v>
      </c>
      <c r="U95" s="7">
        <f t="shared" si="87"/>
        <v>4448000</v>
      </c>
      <c r="V95" s="7"/>
      <c r="W95" s="44"/>
      <c r="X95" s="7">
        <f t="shared" si="66"/>
        <v>4448000</v>
      </c>
    </row>
    <row r="96" spans="1:25" x14ac:dyDescent="0.25">
      <c r="A96" s="95"/>
      <c r="B96" s="4">
        <v>46</v>
      </c>
      <c r="C96" s="3" t="s">
        <v>118</v>
      </c>
      <c r="D96" s="4" t="s">
        <v>26</v>
      </c>
      <c r="E96" s="5">
        <v>1400000</v>
      </c>
      <c r="F96" s="5">
        <v>30</v>
      </c>
      <c r="G96" s="5">
        <f>+E96/30*F96</f>
        <v>1400000</v>
      </c>
      <c r="H96" s="5">
        <f>+(83140/30)*F96</f>
        <v>83140</v>
      </c>
      <c r="I96" s="5"/>
      <c r="J96" s="5"/>
      <c r="K96" s="5">
        <f t="shared" ref="K96" si="92">SUM(G96:I96)+J96</f>
        <v>1483140</v>
      </c>
      <c r="L96" s="5">
        <f>+G96*4%</f>
        <v>56000</v>
      </c>
      <c r="M96" s="5">
        <f>+G96*4%</f>
        <v>56000</v>
      </c>
      <c r="N96" s="5"/>
      <c r="O96" s="5"/>
      <c r="P96" s="5">
        <v>0</v>
      </c>
      <c r="Q96" s="5"/>
      <c r="R96" s="5"/>
      <c r="S96" s="5"/>
      <c r="T96" s="5">
        <f t="shared" ref="T96" si="93">SUM(L96:S96)</f>
        <v>112000</v>
      </c>
      <c r="U96" s="7">
        <f t="shared" si="87"/>
        <v>1371140</v>
      </c>
      <c r="V96" s="7"/>
      <c r="W96" s="44"/>
      <c r="X96" s="7">
        <f t="shared" si="66"/>
        <v>1371140</v>
      </c>
    </row>
    <row r="97" spans="1:24" x14ac:dyDescent="0.25">
      <c r="A97" s="95"/>
      <c r="B97" s="4">
        <v>47</v>
      </c>
      <c r="C97" s="11" t="s">
        <v>119</v>
      </c>
      <c r="D97" s="6" t="s">
        <v>26</v>
      </c>
      <c r="E97" s="5">
        <v>15400000</v>
      </c>
      <c r="F97" s="5">
        <v>30</v>
      </c>
      <c r="G97" s="5">
        <f t="shared" ref="G97:G107" si="94">+E97/30*F97</f>
        <v>15400000</v>
      </c>
      <c r="H97" s="5"/>
      <c r="I97" s="5">
        <v>600000</v>
      </c>
      <c r="J97" s="5"/>
      <c r="K97" s="5">
        <f t="shared" si="85"/>
        <v>16000000</v>
      </c>
      <c r="L97" s="5">
        <v>616000</v>
      </c>
      <c r="M97" s="5">
        <f>616000+308000</f>
        <v>924000</v>
      </c>
      <c r="N97" s="5">
        <v>102400</v>
      </c>
      <c r="O97" s="5"/>
      <c r="P97" s="5">
        <v>916000</v>
      </c>
      <c r="Q97" s="5">
        <v>5000000</v>
      </c>
      <c r="R97" s="5">
        <v>180180</v>
      </c>
      <c r="S97" s="5">
        <v>2314715</v>
      </c>
      <c r="T97" s="5">
        <f t="shared" si="48"/>
        <v>10053295</v>
      </c>
      <c r="U97" s="7">
        <f>+K97-T97</f>
        <v>5946705</v>
      </c>
      <c r="V97" s="7"/>
      <c r="W97" s="44"/>
      <c r="X97" s="7">
        <f t="shared" si="66"/>
        <v>5946705</v>
      </c>
    </row>
    <row r="98" spans="1:24" x14ac:dyDescent="0.25">
      <c r="A98" s="95"/>
      <c r="B98" s="4">
        <v>48</v>
      </c>
      <c r="C98" s="11" t="s">
        <v>120</v>
      </c>
      <c r="D98" s="6" t="s">
        <v>26</v>
      </c>
      <c r="E98" s="5">
        <v>4500000</v>
      </c>
      <c r="F98" s="5">
        <v>30</v>
      </c>
      <c r="G98" s="5">
        <f t="shared" si="94"/>
        <v>4500000</v>
      </c>
      <c r="H98" s="5"/>
      <c r="I98" s="5"/>
      <c r="J98" s="5"/>
      <c r="K98" s="5">
        <f t="shared" si="85"/>
        <v>4500000</v>
      </c>
      <c r="L98" s="5">
        <f t="shared" ref="L98:L108" si="95">+G98*4%</f>
        <v>180000</v>
      </c>
      <c r="M98" s="5">
        <f>+G98*5%</f>
        <v>225000</v>
      </c>
      <c r="N98" s="5"/>
      <c r="O98" s="5"/>
      <c r="P98" s="5">
        <v>90000</v>
      </c>
      <c r="Q98" s="5"/>
      <c r="R98" s="5"/>
      <c r="S98" s="5"/>
      <c r="T98" s="5">
        <f t="shared" si="48"/>
        <v>495000</v>
      </c>
      <c r="U98" s="7">
        <f>+K98-T98</f>
        <v>4005000</v>
      </c>
      <c r="V98" s="7"/>
      <c r="W98" s="44"/>
      <c r="X98" s="7">
        <f t="shared" si="66"/>
        <v>4005000</v>
      </c>
    </row>
    <row r="99" spans="1:24" x14ac:dyDescent="0.25">
      <c r="A99" s="95"/>
      <c r="B99" s="4">
        <v>49</v>
      </c>
      <c r="C99" s="11" t="s">
        <v>121</v>
      </c>
      <c r="D99" s="6" t="s">
        <v>26</v>
      </c>
      <c r="E99" s="5">
        <v>2000000</v>
      </c>
      <c r="F99" s="5">
        <v>30</v>
      </c>
      <c r="G99" s="5">
        <f t="shared" si="94"/>
        <v>2000000.0000000002</v>
      </c>
      <c r="H99" s="5"/>
      <c r="I99" s="5"/>
      <c r="J99" s="5">
        <f>+E99-G99</f>
        <v>0</v>
      </c>
      <c r="K99" s="5">
        <f t="shared" si="85"/>
        <v>2000000.0000000002</v>
      </c>
      <c r="L99" s="5">
        <f>+G99*4%</f>
        <v>80000.000000000015</v>
      </c>
      <c r="M99" s="5">
        <f>+G99*4%</f>
        <v>80000.000000000015</v>
      </c>
      <c r="N99" s="5"/>
      <c r="O99" s="5"/>
      <c r="P99" s="5">
        <v>0</v>
      </c>
      <c r="Q99" s="5"/>
      <c r="R99" s="5"/>
      <c r="S99" s="5"/>
      <c r="T99" s="5">
        <f t="shared" si="48"/>
        <v>160000.00000000003</v>
      </c>
      <c r="U99" s="7">
        <f>+K99-T99</f>
        <v>1840000.0000000002</v>
      </c>
      <c r="V99" s="7"/>
      <c r="W99" s="44"/>
      <c r="X99" s="7">
        <f t="shared" si="66"/>
        <v>1840000.0000000002</v>
      </c>
    </row>
    <row r="100" spans="1:24" x14ac:dyDescent="0.25">
      <c r="A100" s="95"/>
      <c r="B100" s="4">
        <v>50</v>
      </c>
      <c r="C100" s="3" t="s">
        <v>122</v>
      </c>
      <c r="D100" s="4" t="s">
        <v>26</v>
      </c>
      <c r="E100" s="5">
        <v>2000000</v>
      </c>
      <c r="F100" s="5">
        <v>23</v>
      </c>
      <c r="G100" s="5">
        <f t="shared" si="94"/>
        <v>1533333.3333333335</v>
      </c>
      <c r="H100" s="5"/>
      <c r="I100" s="5">
        <v>160000</v>
      </c>
      <c r="J100" s="5">
        <f>+E100-G100</f>
        <v>466666.66666666651</v>
      </c>
      <c r="K100" s="5">
        <f t="shared" si="85"/>
        <v>2160000</v>
      </c>
      <c r="L100" s="5">
        <f>+E100*4%</f>
        <v>80000</v>
      </c>
      <c r="M100" s="5">
        <v>80000</v>
      </c>
      <c r="N100" s="5"/>
      <c r="O100" s="5"/>
      <c r="P100" s="5">
        <v>0</v>
      </c>
      <c r="Q100" s="5"/>
      <c r="R100" s="5"/>
      <c r="S100" s="5"/>
      <c r="T100" s="5">
        <f t="shared" si="48"/>
        <v>160000</v>
      </c>
      <c r="U100" s="7">
        <f>K100-T100</f>
        <v>2000000</v>
      </c>
      <c r="V100" s="7"/>
      <c r="W100" s="44"/>
      <c r="X100" s="7">
        <f t="shared" si="66"/>
        <v>2000000</v>
      </c>
    </row>
    <row r="101" spans="1:24" x14ac:dyDescent="0.25">
      <c r="A101" s="95"/>
      <c r="B101" s="4">
        <v>51</v>
      </c>
      <c r="C101" s="3" t="s">
        <v>123</v>
      </c>
      <c r="D101" s="4" t="s">
        <v>26</v>
      </c>
      <c r="E101" s="5">
        <v>1600000</v>
      </c>
      <c r="F101" s="5">
        <v>30</v>
      </c>
      <c r="G101" s="5">
        <f t="shared" si="94"/>
        <v>1600000</v>
      </c>
      <c r="H101" s="5"/>
      <c r="I101" s="5"/>
      <c r="J101" s="5">
        <v>200000</v>
      </c>
      <c r="K101" s="5">
        <f t="shared" si="85"/>
        <v>1800000</v>
      </c>
      <c r="L101" s="5">
        <f>+G101*4%</f>
        <v>64000</v>
      </c>
      <c r="M101" s="5">
        <f>+G101*4%</f>
        <v>64000</v>
      </c>
      <c r="N101" s="5"/>
      <c r="O101" s="5"/>
      <c r="P101" s="5"/>
      <c r="Q101" s="5"/>
      <c r="R101" s="5"/>
      <c r="S101" s="5"/>
      <c r="T101" s="5">
        <f>SUM(L101:S101)</f>
        <v>128000</v>
      </c>
      <c r="U101" s="7">
        <f>K101-T101</f>
        <v>1672000</v>
      </c>
      <c r="V101" s="7"/>
      <c r="W101" s="44"/>
      <c r="X101" s="7">
        <f t="shared" si="66"/>
        <v>1672000</v>
      </c>
    </row>
    <row r="102" spans="1:24" x14ac:dyDescent="0.25">
      <c r="A102" s="95"/>
      <c r="B102" s="4">
        <v>52</v>
      </c>
      <c r="C102" s="3" t="s">
        <v>124</v>
      </c>
      <c r="D102" s="4"/>
      <c r="E102" s="5">
        <v>800000</v>
      </c>
      <c r="F102" s="5">
        <v>30</v>
      </c>
      <c r="G102" s="5">
        <f t="shared" si="94"/>
        <v>800000</v>
      </c>
      <c r="H102" s="5"/>
      <c r="I102" s="5"/>
      <c r="J102" s="5"/>
      <c r="K102" s="5">
        <f t="shared" ref="K102:K103" si="96">SUM(G102:I102)+J102</f>
        <v>800000</v>
      </c>
      <c r="L102" s="5">
        <f>+G102*4%</f>
        <v>32000</v>
      </c>
      <c r="M102" s="5">
        <f>+G102*4%</f>
        <v>32000</v>
      </c>
      <c r="N102" s="5"/>
      <c r="O102" s="5"/>
      <c r="P102" s="5"/>
      <c r="Q102" s="5"/>
      <c r="R102" s="5"/>
      <c r="S102" s="5"/>
      <c r="T102" s="5">
        <f>SUM(L102:S102)</f>
        <v>64000</v>
      </c>
      <c r="U102" s="7">
        <f>K102-T102</f>
        <v>736000</v>
      </c>
      <c r="V102" s="7"/>
      <c r="W102" s="44"/>
      <c r="X102" s="7">
        <f t="shared" si="66"/>
        <v>736000</v>
      </c>
    </row>
    <row r="103" spans="1:24" x14ac:dyDescent="0.25">
      <c r="A103" s="95"/>
      <c r="B103" s="4">
        <v>53</v>
      </c>
      <c r="C103" s="3" t="s">
        <v>125</v>
      </c>
      <c r="D103" s="4"/>
      <c r="E103" s="5">
        <v>4500000</v>
      </c>
      <c r="F103" s="5">
        <v>30</v>
      </c>
      <c r="G103" s="5">
        <f t="shared" si="94"/>
        <v>4500000</v>
      </c>
      <c r="H103" s="5"/>
      <c r="I103" s="5"/>
      <c r="J103" s="5"/>
      <c r="K103" s="5">
        <f t="shared" si="96"/>
        <v>4500000</v>
      </c>
      <c r="L103" s="5">
        <f>+G103*4%</f>
        <v>180000</v>
      </c>
      <c r="M103" s="5">
        <f>+G103*5%</f>
        <v>225000</v>
      </c>
      <c r="N103" s="5"/>
      <c r="O103" s="5"/>
      <c r="P103" s="5">
        <v>34000</v>
      </c>
      <c r="Q103" s="5"/>
      <c r="R103" s="5"/>
      <c r="S103" s="5"/>
      <c r="T103" s="5">
        <f>SUM(L103:S103)</f>
        <v>439000</v>
      </c>
      <c r="U103" s="7">
        <f>K103-T103</f>
        <v>4061000</v>
      </c>
      <c r="V103" s="7"/>
      <c r="W103" s="44"/>
      <c r="X103" s="7">
        <f t="shared" si="66"/>
        <v>4061000</v>
      </c>
    </row>
    <row r="104" spans="1:24" ht="24" x14ac:dyDescent="0.25">
      <c r="A104" s="95"/>
      <c r="B104" s="4">
        <v>54</v>
      </c>
      <c r="C104" s="11" t="s">
        <v>127</v>
      </c>
      <c r="D104" s="6" t="s">
        <v>26</v>
      </c>
      <c r="E104" s="5">
        <v>2500000</v>
      </c>
      <c r="F104" s="5">
        <v>30</v>
      </c>
      <c r="G104" s="5">
        <f t="shared" si="94"/>
        <v>2500000</v>
      </c>
      <c r="H104" s="5"/>
      <c r="I104" s="5"/>
      <c r="J104" s="5"/>
      <c r="K104" s="5">
        <f t="shared" si="85"/>
        <v>2500000</v>
      </c>
      <c r="L104" s="5">
        <f t="shared" ref="L104:L106" si="97">+G104*4%</f>
        <v>100000</v>
      </c>
      <c r="M104" s="5">
        <f>+G104*4%</f>
        <v>100000</v>
      </c>
      <c r="N104" s="5"/>
      <c r="O104" s="5"/>
      <c r="P104" s="5"/>
      <c r="Q104" s="5"/>
      <c r="R104" s="5"/>
      <c r="S104" s="5"/>
      <c r="T104" s="5">
        <f t="shared" si="48"/>
        <v>200000</v>
      </c>
      <c r="U104" s="7">
        <f>+K104-T104</f>
        <v>2300000</v>
      </c>
      <c r="V104" s="7"/>
      <c r="W104" s="44"/>
      <c r="X104" s="7">
        <f t="shared" si="66"/>
        <v>2300000</v>
      </c>
    </row>
    <row r="105" spans="1:24" x14ac:dyDescent="0.25">
      <c r="A105" s="95"/>
      <c r="B105" s="4">
        <v>55</v>
      </c>
      <c r="C105" s="11" t="s">
        <v>128</v>
      </c>
      <c r="D105" s="6" t="s">
        <v>26</v>
      </c>
      <c r="E105" s="5">
        <v>3700000</v>
      </c>
      <c r="F105" s="5">
        <v>30</v>
      </c>
      <c r="G105" s="5">
        <f t="shared" si="94"/>
        <v>3700000</v>
      </c>
      <c r="H105" s="5"/>
      <c r="I105" s="5">
        <v>650000</v>
      </c>
      <c r="J105" s="5"/>
      <c r="K105" s="5">
        <f t="shared" ref="K105" si="98">SUM(G105:I105)+J105</f>
        <v>4350000</v>
      </c>
      <c r="L105" s="5">
        <f t="shared" si="97"/>
        <v>148000</v>
      </c>
      <c r="M105" s="5">
        <f>+G105*5%</f>
        <v>185000</v>
      </c>
      <c r="N105" s="5"/>
      <c r="O105" s="5"/>
      <c r="P105" s="5">
        <v>35000</v>
      </c>
      <c r="Q105" s="5"/>
      <c r="R105" s="5"/>
      <c r="S105" s="5"/>
      <c r="T105" s="5">
        <f t="shared" ref="T105" si="99">SUM(L105:S105)</f>
        <v>368000</v>
      </c>
      <c r="U105" s="7">
        <f>+K105-T105</f>
        <v>3982000</v>
      </c>
      <c r="V105" s="7"/>
      <c r="W105" s="44"/>
      <c r="X105" s="7">
        <f t="shared" si="66"/>
        <v>3982000</v>
      </c>
    </row>
    <row r="106" spans="1:24" x14ac:dyDescent="0.25">
      <c r="A106" s="95"/>
      <c r="B106" s="4">
        <v>56</v>
      </c>
      <c r="C106" s="11" t="s">
        <v>129</v>
      </c>
      <c r="D106" s="6" t="s">
        <v>34</v>
      </c>
      <c r="E106" s="5">
        <v>1800000</v>
      </c>
      <c r="F106" s="5">
        <v>30</v>
      </c>
      <c r="G106" s="5">
        <f t="shared" si="94"/>
        <v>1800000</v>
      </c>
      <c r="H106" s="5"/>
      <c r="I106" s="5"/>
      <c r="J106" s="5"/>
      <c r="K106" s="5">
        <f t="shared" si="85"/>
        <v>1800000</v>
      </c>
      <c r="L106" s="5">
        <f t="shared" si="97"/>
        <v>72000</v>
      </c>
      <c r="M106" s="5">
        <f>+G106*4%</f>
        <v>72000</v>
      </c>
      <c r="N106" s="5"/>
      <c r="O106" s="5"/>
      <c r="P106" s="17"/>
      <c r="Q106" s="5"/>
      <c r="R106" s="5"/>
      <c r="S106" s="5"/>
      <c r="T106" s="5">
        <f t="shared" si="48"/>
        <v>144000</v>
      </c>
      <c r="U106" s="7">
        <f>+K106-T106</f>
        <v>1656000</v>
      </c>
      <c r="V106" s="7"/>
      <c r="W106" s="44"/>
      <c r="X106" s="7">
        <f t="shared" si="66"/>
        <v>1656000</v>
      </c>
    </row>
    <row r="107" spans="1:24" x14ac:dyDescent="0.25">
      <c r="A107" s="95"/>
      <c r="B107" s="4">
        <v>57</v>
      </c>
      <c r="C107" s="3" t="s">
        <v>130</v>
      </c>
      <c r="D107" s="4" t="s">
        <v>26</v>
      </c>
      <c r="E107" s="5">
        <v>1600000</v>
      </c>
      <c r="F107" s="5">
        <v>30</v>
      </c>
      <c r="G107" s="5">
        <f t="shared" si="94"/>
        <v>1600000</v>
      </c>
      <c r="H107" s="5"/>
      <c r="I107" s="5"/>
      <c r="J107" s="5">
        <f>+E107-G107</f>
        <v>0</v>
      </c>
      <c r="K107" s="5">
        <f t="shared" si="85"/>
        <v>1600000</v>
      </c>
      <c r="L107" s="5">
        <f>+K107*4%</f>
        <v>64000</v>
      </c>
      <c r="M107" s="5">
        <v>64000</v>
      </c>
      <c r="N107" s="5"/>
      <c r="O107" s="5"/>
      <c r="P107" s="5">
        <v>0</v>
      </c>
      <c r="Q107" s="5"/>
      <c r="R107" s="5"/>
      <c r="S107" s="5">
        <v>249127</v>
      </c>
      <c r="T107" s="5">
        <f t="shared" si="48"/>
        <v>377127</v>
      </c>
      <c r="U107" s="7">
        <f>K107-T107</f>
        <v>1222873</v>
      </c>
      <c r="V107" s="7"/>
      <c r="W107" s="44"/>
      <c r="X107" s="7">
        <f t="shared" si="66"/>
        <v>1222873</v>
      </c>
    </row>
    <row r="108" spans="1:24" ht="12.75" thickBot="1" x14ac:dyDescent="0.3">
      <c r="A108" s="95"/>
      <c r="B108" s="4">
        <v>58</v>
      </c>
      <c r="C108" s="11" t="s">
        <v>131</v>
      </c>
      <c r="D108" s="6" t="s">
        <v>26</v>
      </c>
      <c r="E108" s="5">
        <v>737717</v>
      </c>
      <c r="F108" s="5">
        <v>30</v>
      </c>
      <c r="G108" s="5">
        <f>+E108/30*F108</f>
        <v>737717</v>
      </c>
      <c r="H108" s="5">
        <f t="shared" ref="H108" si="100">+(83140/30)*F108</f>
        <v>83140</v>
      </c>
      <c r="I108" s="5"/>
      <c r="J108" s="22"/>
      <c r="K108" s="5">
        <f t="shared" si="85"/>
        <v>820857</v>
      </c>
      <c r="L108" s="5">
        <f t="shared" si="95"/>
        <v>29508.68</v>
      </c>
      <c r="M108" s="5">
        <v>29509</v>
      </c>
      <c r="N108" s="5"/>
      <c r="O108" s="5"/>
      <c r="P108" s="5">
        <v>0</v>
      </c>
      <c r="Q108" s="5"/>
      <c r="R108" s="5"/>
      <c r="S108" s="5"/>
      <c r="T108" s="5">
        <f t="shared" si="48"/>
        <v>59017.68</v>
      </c>
      <c r="U108" s="7">
        <f t="shared" ref="U108:U114" si="101">+K108-T108</f>
        <v>761839.32</v>
      </c>
      <c r="V108" s="7"/>
      <c r="W108" s="44"/>
      <c r="X108" s="7">
        <f t="shared" si="66"/>
        <v>761839.32</v>
      </c>
    </row>
    <row r="109" spans="1:24" ht="24.75" thickBot="1" x14ac:dyDescent="0.3">
      <c r="A109" s="95"/>
      <c r="B109" s="4">
        <v>59</v>
      </c>
      <c r="C109" s="11" t="s">
        <v>132</v>
      </c>
      <c r="D109" s="6" t="s">
        <v>26</v>
      </c>
      <c r="E109" s="5">
        <v>1200000</v>
      </c>
      <c r="F109" s="5">
        <v>30</v>
      </c>
      <c r="G109" s="5">
        <f>+E109/30*F109</f>
        <v>1200000</v>
      </c>
      <c r="H109" s="5">
        <v>83140</v>
      </c>
      <c r="I109" s="48"/>
      <c r="J109" s="49">
        <f>+E109-G109</f>
        <v>0</v>
      </c>
      <c r="K109" s="50">
        <f t="shared" si="85"/>
        <v>1283140</v>
      </c>
      <c r="L109" s="5">
        <f>+G109*4%</f>
        <v>48000</v>
      </c>
      <c r="M109" s="5">
        <f>+G109*4%</f>
        <v>48000</v>
      </c>
      <c r="N109" s="5"/>
      <c r="O109" s="5"/>
      <c r="P109" s="5">
        <v>0</v>
      </c>
      <c r="Q109" s="5"/>
      <c r="R109" s="5"/>
      <c r="S109" s="5"/>
      <c r="T109" s="5">
        <f t="shared" si="48"/>
        <v>96000</v>
      </c>
      <c r="U109" s="7">
        <f t="shared" si="101"/>
        <v>1187140</v>
      </c>
      <c r="V109" s="7"/>
      <c r="W109" s="44"/>
      <c r="X109" s="7">
        <f t="shared" si="66"/>
        <v>1187140</v>
      </c>
    </row>
    <row r="110" spans="1:24" ht="24" x14ac:dyDescent="0.25">
      <c r="A110" s="95"/>
      <c r="B110" s="4">
        <v>60</v>
      </c>
      <c r="C110" s="11" t="s">
        <v>133</v>
      </c>
      <c r="D110" s="6" t="s">
        <v>26</v>
      </c>
      <c r="E110" s="5">
        <v>1800000</v>
      </c>
      <c r="F110" s="5">
        <v>30</v>
      </c>
      <c r="G110" s="5">
        <f>+E110/30*F110</f>
        <v>1800000</v>
      </c>
      <c r="H110" s="5"/>
      <c r="I110" s="5"/>
      <c r="J110" s="21"/>
      <c r="K110" s="5">
        <f t="shared" si="85"/>
        <v>1800000</v>
      </c>
      <c r="L110" s="5">
        <f t="shared" ref="L110" si="102">+G110*4%</f>
        <v>72000</v>
      </c>
      <c r="M110" s="5">
        <f t="shared" ref="M110" si="103">+G110*4%</f>
        <v>72000</v>
      </c>
      <c r="N110" s="5"/>
      <c r="O110" s="5"/>
      <c r="P110" s="5">
        <v>0</v>
      </c>
      <c r="Q110" s="5"/>
      <c r="R110" s="5"/>
      <c r="S110" s="5"/>
      <c r="T110" s="5">
        <f t="shared" ref="T110" si="104">SUM(L110:S110)</f>
        <v>144000</v>
      </c>
      <c r="U110" s="7">
        <f t="shared" si="101"/>
        <v>1656000</v>
      </c>
      <c r="V110" s="7"/>
      <c r="W110" s="44"/>
      <c r="X110" s="7">
        <f t="shared" si="66"/>
        <v>1656000</v>
      </c>
    </row>
    <row r="111" spans="1:24" ht="18.75" customHeight="1" x14ac:dyDescent="0.25">
      <c r="A111" s="95"/>
      <c r="B111" s="4">
        <v>61</v>
      </c>
      <c r="C111" s="11" t="s">
        <v>134</v>
      </c>
      <c r="D111" s="6" t="s">
        <v>26</v>
      </c>
      <c r="E111" s="5">
        <v>2000000</v>
      </c>
      <c r="F111" s="5">
        <v>30</v>
      </c>
      <c r="G111" s="5">
        <f t="shared" ref="G111:G115" si="105">+E111/30*F111</f>
        <v>2000000.0000000002</v>
      </c>
      <c r="H111" s="5"/>
      <c r="I111" s="5"/>
      <c r="J111" s="5">
        <f>+E111-G111</f>
        <v>0</v>
      </c>
      <c r="K111" s="5">
        <f t="shared" si="85"/>
        <v>2000000.0000000002</v>
      </c>
      <c r="L111" s="5">
        <v>80000</v>
      </c>
      <c r="M111" s="5">
        <v>80000</v>
      </c>
      <c r="N111" s="5"/>
      <c r="O111" s="5"/>
      <c r="P111" s="5"/>
      <c r="Q111" s="5"/>
      <c r="R111" s="5"/>
      <c r="S111" s="5"/>
      <c r="T111" s="5">
        <f t="shared" si="48"/>
        <v>160000</v>
      </c>
      <c r="U111" s="7">
        <f t="shared" si="101"/>
        <v>1840000.0000000002</v>
      </c>
      <c r="V111" s="7"/>
      <c r="W111" s="44"/>
      <c r="X111" s="7">
        <f t="shared" si="66"/>
        <v>1840000.0000000002</v>
      </c>
    </row>
    <row r="112" spans="1:24" ht="18.75" customHeight="1" x14ac:dyDescent="0.25">
      <c r="A112" s="95"/>
      <c r="B112" s="4">
        <v>62</v>
      </c>
      <c r="C112" s="11" t="s">
        <v>135</v>
      </c>
      <c r="D112" s="6"/>
      <c r="E112" s="5">
        <v>737717</v>
      </c>
      <c r="F112" s="5">
        <v>30</v>
      </c>
      <c r="G112" s="5">
        <f>+E112/30*F112</f>
        <v>737717</v>
      </c>
      <c r="H112" s="5">
        <f t="shared" ref="H112:H113" si="106">+(83140/30)*F112</f>
        <v>83140</v>
      </c>
      <c r="I112" s="5"/>
      <c r="J112" s="22"/>
      <c r="K112" s="5">
        <f t="shared" ref="K112:K113" si="107">SUM(G112:I112)+J112</f>
        <v>820857</v>
      </c>
      <c r="L112" s="5">
        <f t="shared" ref="L112:L113" si="108">+G112*4%</f>
        <v>29508.68</v>
      </c>
      <c r="M112" s="5">
        <f t="shared" ref="M112:M113" si="109">+G112*4%</f>
        <v>29508.68</v>
      </c>
      <c r="N112" s="5"/>
      <c r="O112" s="5"/>
      <c r="P112" s="5">
        <v>0</v>
      </c>
      <c r="Q112" s="5"/>
      <c r="R112" s="5"/>
      <c r="S112" s="5"/>
      <c r="T112" s="5">
        <f t="shared" ref="T112" si="110">SUM(L112:S112)</f>
        <v>59017.36</v>
      </c>
      <c r="U112" s="7">
        <f t="shared" si="101"/>
        <v>761839.64</v>
      </c>
      <c r="V112" s="7"/>
      <c r="W112" s="44"/>
      <c r="X112" s="7">
        <f t="shared" si="66"/>
        <v>761839.64</v>
      </c>
    </row>
    <row r="113" spans="1:28" ht="18.75" customHeight="1" x14ac:dyDescent="0.25">
      <c r="A113" s="95"/>
      <c r="B113" s="4">
        <v>63</v>
      </c>
      <c r="C113" s="11" t="s">
        <v>136</v>
      </c>
      <c r="D113" s="6"/>
      <c r="E113" s="5">
        <v>1070000</v>
      </c>
      <c r="F113" s="5">
        <v>30</v>
      </c>
      <c r="G113" s="5">
        <f>+E113/30*F113</f>
        <v>1070000</v>
      </c>
      <c r="H113" s="5">
        <f t="shared" si="106"/>
        <v>83140</v>
      </c>
      <c r="I113" s="5"/>
      <c r="J113" s="22"/>
      <c r="K113" s="5">
        <f t="shared" si="107"/>
        <v>1153140</v>
      </c>
      <c r="L113" s="5">
        <f t="shared" si="108"/>
        <v>42800</v>
      </c>
      <c r="M113" s="5">
        <f t="shared" si="109"/>
        <v>42800</v>
      </c>
      <c r="N113" s="5"/>
      <c r="O113" s="5"/>
      <c r="P113" s="5">
        <v>0</v>
      </c>
      <c r="Q113" s="5"/>
      <c r="R113" s="5"/>
      <c r="S113" s="5"/>
      <c r="T113" s="5">
        <f t="shared" ref="T113" si="111">SUM(L113:S113)</f>
        <v>85600</v>
      </c>
      <c r="U113" s="7">
        <f t="shared" si="101"/>
        <v>1067540</v>
      </c>
      <c r="V113" s="7"/>
      <c r="W113" s="44"/>
      <c r="X113" s="7">
        <f t="shared" si="66"/>
        <v>1067540</v>
      </c>
    </row>
    <row r="114" spans="1:28" x14ac:dyDescent="0.25">
      <c r="A114" s="95"/>
      <c r="B114" s="4">
        <v>64</v>
      </c>
      <c r="C114" s="11" t="s">
        <v>137</v>
      </c>
      <c r="D114" s="6" t="s">
        <v>26</v>
      </c>
      <c r="E114" s="5">
        <v>4400000</v>
      </c>
      <c r="F114" s="5">
        <v>30</v>
      </c>
      <c r="G114" s="5">
        <f>+E114/30*F114</f>
        <v>4400000</v>
      </c>
      <c r="H114" s="5"/>
      <c r="I114" s="5"/>
      <c r="J114" s="5"/>
      <c r="K114" s="5">
        <f t="shared" ref="K114" si="112">SUM(G114:I114)+J114</f>
        <v>4400000</v>
      </c>
      <c r="L114" s="5">
        <f>+G114*4%</f>
        <v>176000</v>
      </c>
      <c r="M114" s="5">
        <f>+G114*5%</f>
        <v>220000</v>
      </c>
      <c r="N114" s="5"/>
      <c r="O114" s="5"/>
      <c r="P114" s="5">
        <v>44000</v>
      </c>
      <c r="Q114" s="5"/>
      <c r="R114" s="5"/>
      <c r="S114" s="5">
        <v>522840</v>
      </c>
      <c r="T114" s="5">
        <f t="shared" si="48"/>
        <v>962840</v>
      </c>
      <c r="U114" s="7">
        <f t="shared" si="101"/>
        <v>3437160</v>
      </c>
      <c r="V114" s="7"/>
      <c r="W114" s="44"/>
      <c r="X114" s="7">
        <f t="shared" si="66"/>
        <v>3437160</v>
      </c>
    </row>
    <row r="115" spans="1:28" ht="24.75" customHeight="1" x14ac:dyDescent="0.25">
      <c r="A115" s="96"/>
      <c r="B115" s="4">
        <v>65</v>
      </c>
      <c r="C115" s="11" t="s">
        <v>138</v>
      </c>
      <c r="D115" s="6" t="s">
        <v>26</v>
      </c>
      <c r="E115" s="5">
        <v>2500000</v>
      </c>
      <c r="F115" s="5">
        <v>30</v>
      </c>
      <c r="G115" s="5">
        <f t="shared" si="105"/>
        <v>2500000</v>
      </c>
      <c r="H115" s="5"/>
      <c r="I115" s="5">
        <v>500000</v>
      </c>
      <c r="J115" s="5">
        <f>+E115-G115</f>
        <v>0</v>
      </c>
      <c r="K115" s="5">
        <f t="shared" si="85"/>
        <v>3000000</v>
      </c>
      <c r="L115" s="5">
        <v>100000</v>
      </c>
      <c r="M115" s="5">
        <v>100000</v>
      </c>
      <c r="N115" s="5"/>
      <c r="O115" s="5"/>
      <c r="P115" s="5">
        <v>0</v>
      </c>
      <c r="Q115" s="5"/>
      <c r="R115" s="5"/>
      <c r="S115" s="5"/>
      <c r="T115" s="5">
        <f t="shared" si="48"/>
        <v>200000</v>
      </c>
      <c r="U115" s="7">
        <f>K115-T115</f>
        <v>2800000</v>
      </c>
      <c r="V115" s="7"/>
      <c r="W115" s="44"/>
      <c r="X115" s="7">
        <f t="shared" si="66"/>
        <v>2800000</v>
      </c>
    </row>
    <row r="116" spans="1:28" x14ac:dyDescent="0.25">
      <c r="A116" s="4"/>
      <c r="B116" s="4"/>
      <c r="C116" s="11" t="s">
        <v>139</v>
      </c>
      <c r="D116" s="4"/>
      <c r="E116" s="5">
        <f>SUM(E4:E115)</f>
        <v>385111090</v>
      </c>
      <c r="F116" s="5" t="s">
        <v>1</v>
      </c>
      <c r="G116" s="5">
        <f>SUM(G4:G115)</f>
        <v>378345117.73333335</v>
      </c>
      <c r="H116" s="5">
        <f>SUM(H5:H109)</f>
        <v>1540860.3333333335</v>
      </c>
      <c r="I116" s="5">
        <f>SUM(I5:I109)</f>
        <v>14983987</v>
      </c>
      <c r="J116" s="5">
        <f>SUM(J4:J115)</f>
        <v>3165048.333333333</v>
      </c>
      <c r="K116" s="5">
        <f>SUM(K5:K109)</f>
        <v>380712296.40000004</v>
      </c>
      <c r="L116" s="5">
        <f>SUM(L5:L109)</f>
        <v>14495629.906666664</v>
      </c>
      <c r="M116" s="5">
        <f>SUM(M5:M109)</f>
        <v>17492189.903333332</v>
      </c>
      <c r="N116" s="5">
        <f>SUM(N5:N109)</f>
        <v>102400</v>
      </c>
      <c r="O116" s="5">
        <f>SUM(O4:O115)</f>
        <v>0</v>
      </c>
      <c r="P116" s="5">
        <f>SUM(P4:P115)</f>
        <v>5237415</v>
      </c>
      <c r="Q116" s="5">
        <f>SUM(Q5:Q109)</f>
        <v>9500000</v>
      </c>
      <c r="R116" s="5">
        <f>SUM(R5:R109)</f>
        <v>1078779</v>
      </c>
      <c r="S116" s="5">
        <f>SUM(S5:S109)</f>
        <v>10165074</v>
      </c>
      <c r="T116" s="5">
        <f>SUM(T5:T109)</f>
        <v>58008487.809999995</v>
      </c>
      <c r="U116" s="7">
        <f>SUM(U4:U115)</f>
        <v>338628998.2299999</v>
      </c>
      <c r="V116" s="7">
        <f>SUM(V5:V109)</f>
        <v>0</v>
      </c>
      <c r="W116" s="44">
        <f>SUM(W5:W109)</f>
        <v>0</v>
      </c>
      <c r="X116" s="7">
        <f>SUM(X4:X115)</f>
        <v>329736498.2299999</v>
      </c>
    </row>
    <row r="117" spans="1:28" x14ac:dyDescent="0.25">
      <c r="E117" s="54"/>
      <c r="F117" s="54"/>
      <c r="G117" s="54"/>
      <c r="U117" s="55"/>
      <c r="V117" s="55"/>
      <c r="X117" s="55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>
        <v>1656000</v>
      </c>
      <c r="P118" s="54"/>
      <c r="Q118" s="54"/>
      <c r="R118" s="54"/>
      <c r="S118" s="54"/>
      <c r="T118" s="54"/>
      <c r="U118" s="57"/>
      <c r="V118" s="53"/>
      <c r="W118" s="58"/>
      <c r="X118" s="57"/>
    </row>
    <row r="119" spans="1:28" x14ac:dyDescent="0.25"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>
        <v>1095140</v>
      </c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>
        <f>+O118-O119</f>
        <v>560860</v>
      </c>
      <c r="P120" s="54"/>
      <c r="Q120" s="54"/>
      <c r="R120" s="54"/>
      <c r="S120" s="54"/>
      <c r="T120" s="54"/>
      <c r="U120" s="53"/>
      <c r="V120" s="53"/>
      <c r="W120" s="58"/>
      <c r="X120" s="57"/>
    </row>
    <row r="121" spans="1:28" x14ac:dyDescent="0.25"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54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4"/>
      <c r="C127" s="59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59"/>
      <c r="D128" s="53"/>
      <c r="E128" s="54"/>
      <c r="F128" s="54"/>
      <c r="G128" s="66"/>
      <c r="H128" s="54"/>
      <c r="I128" s="54"/>
      <c r="J128" s="54"/>
      <c r="K128" s="54"/>
      <c r="L128" s="54"/>
      <c r="M128" s="54"/>
      <c r="N128" s="67"/>
      <c r="O128" s="67"/>
      <c r="P128" s="67"/>
      <c r="Q128" s="67"/>
      <c r="R128" s="67"/>
      <c r="S128" s="54"/>
      <c r="T128" s="54"/>
      <c r="U128" s="53"/>
      <c r="V128" s="53"/>
      <c r="W128" s="58"/>
      <c r="X128" s="53"/>
      <c r="Y128" s="53"/>
      <c r="Z128" s="53"/>
      <c r="AA128" s="53"/>
      <c r="AB128" s="53"/>
    </row>
    <row r="129" spans="2:28" x14ac:dyDescent="0.25">
      <c r="B129" s="53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62"/>
      <c r="C130" s="68"/>
      <c r="D130" s="62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2"/>
      <c r="V130" s="62"/>
      <c r="W130" s="63"/>
      <c r="X130" s="62"/>
      <c r="Y130" s="53"/>
      <c r="Z130" s="53"/>
      <c r="AA130" s="53"/>
      <c r="AB130" s="53"/>
    </row>
    <row r="131" spans="2:28" x14ac:dyDescent="0.25">
      <c r="B131" s="53"/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62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59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  <c r="Y148" s="53"/>
      <c r="Z148" s="53"/>
      <c r="AA148" s="53"/>
      <c r="AB148" s="53"/>
    </row>
    <row r="149" spans="2:28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C150" s="59"/>
      <c r="D150" s="53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53"/>
      <c r="S150" s="54"/>
      <c r="T150" s="54"/>
      <c r="U150" s="53"/>
      <c r="V150" s="53"/>
      <c r="W150" s="58"/>
      <c r="X150" s="53"/>
      <c r="Y150" s="53"/>
      <c r="Z150" s="53"/>
      <c r="AA150" s="53"/>
      <c r="AB150" s="53"/>
    </row>
    <row r="151" spans="2:28" x14ac:dyDescent="0.25">
      <c r="B151" s="53"/>
      <c r="C151" s="59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53"/>
      <c r="Z151" s="53"/>
      <c r="AA151" s="53"/>
      <c r="AB151" s="53"/>
    </row>
    <row r="152" spans="2:28" x14ac:dyDescent="0.25">
      <c r="B152" s="53"/>
      <c r="C152" s="59"/>
      <c r="D152" s="53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  <c r="Y152" s="53"/>
      <c r="Z152" s="53"/>
      <c r="AA152" s="53"/>
      <c r="AB152" s="53"/>
    </row>
    <row r="153" spans="2:28" x14ac:dyDescent="0.25">
      <c r="B153" s="53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B154" s="69"/>
      <c r="C154" s="68"/>
      <c r="D154" s="62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2"/>
      <c r="V154" s="62"/>
      <c r="W154" s="63"/>
      <c r="X154" s="62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68"/>
      <c r="D157" s="62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68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7"/>
      <c r="V159" s="57"/>
      <c r="W159" s="58"/>
      <c r="X159" s="57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7"/>
      <c r="V161" s="57"/>
      <c r="W161" s="58"/>
      <c r="X161" s="57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0"/>
      <c r="V164" s="70"/>
      <c r="W164" s="58"/>
      <c r="X164" s="70"/>
    </row>
    <row r="165" spans="2:24" x14ac:dyDescent="0.25">
      <c r="B165" s="53"/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71"/>
      <c r="V165" s="71"/>
      <c r="W165" s="58"/>
      <c r="X165" s="71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59"/>
      <c r="D173" s="53"/>
      <c r="E173" s="54"/>
      <c r="F173" s="54"/>
      <c r="G173" s="54"/>
      <c r="H173" s="54"/>
      <c r="I173" s="54"/>
      <c r="J173" s="54"/>
      <c r="K173" s="54"/>
      <c r="L173" s="54">
        <v>3003000</v>
      </c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68"/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v>42614840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412608</v>
      </c>
      <c r="U178" s="53"/>
      <c r="V178" s="53"/>
      <c r="W178" s="58"/>
      <c r="X178" s="53"/>
    </row>
    <row r="179" spans="3:24" x14ac:dyDescent="0.25">
      <c r="C179" s="59">
        <v>9675182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>
        <v>1880000</v>
      </c>
      <c r="U179" s="53"/>
      <c r="V179" s="53"/>
      <c r="W179" s="58"/>
      <c r="X179" s="53"/>
    </row>
    <row r="180" spans="3:24" x14ac:dyDescent="0.25">
      <c r="C180" s="59">
        <v>17903600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f>SUM(C178:C180)</f>
        <v>70193622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v>400000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3" spans="3:24" x14ac:dyDescent="0.25">
      <c r="C183" s="59">
        <f>+C181+C182</f>
        <v>70593622</v>
      </c>
      <c r="D183" s="53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3"/>
      <c r="V183" s="53"/>
      <c r="W183" s="58"/>
      <c r="X183" s="53"/>
    </row>
    <row r="186" spans="3:24" x14ac:dyDescent="0.25">
      <c r="C186" s="52">
        <v>64000000</v>
      </c>
    </row>
    <row r="187" spans="3:24" x14ac:dyDescent="0.25">
      <c r="C187" s="52">
        <v>11000000</v>
      </c>
    </row>
    <row r="188" spans="3:24" x14ac:dyDescent="0.25">
      <c r="C188" s="52">
        <f>+C186+C187</f>
        <v>75000000</v>
      </c>
    </row>
    <row r="192" spans="3:24" x14ac:dyDescent="0.25">
      <c r="C192" s="52">
        <v>2745000</v>
      </c>
    </row>
    <row r="193" spans="3:3" x14ac:dyDescent="0.25">
      <c r="C193" s="52">
        <v>3185000</v>
      </c>
    </row>
    <row r="194" spans="3:3" x14ac:dyDescent="0.25">
      <c r="C194" s="52">
        <v>1080000</v>
      </c>
    </row>
    <row r="195" spans="3:3" x14ac:dyDescent="0.25">
      <c r="C195" s="52">
        <v>4850100</v>
      </c>
    </row>
    <row r="196" spans="3:3" x14ac:dyDescent="0.25">
      <c r="C196" s="52">
        <v>5027500</v>
      </c>
    </row>
    <row r="197" spans="3:3" x14ac:dyDescent="0.25">
      <c r="C197" s="52">
        <v>4566000</v>
      </c>
    </row>
    <row r="198" spans="3:3" x14ac:dyDescent="0.25">
      <c r="C198" s="52">
        <v>1050000</v>
      </c>
    </row>
    <row r="199" spans="3:3" x14ac:dyDescent="0.25">
      <c r="C199" s="52">
        <v>3877333</v>
      </c>
    </row>
    <row r="200" spans="3:3" x14ac:dyDescent="0.25">
      <c r="C200" s="52">
        <v>6732440</v>
      </c>
    </row>
    <row r="201" spans="3:3" x14ac:dyDescent="0.25">
      <c r="C201" s="52">
        <v>3460000</v>
      </c>
    </row>
    <row r="202" spans="3:3" x14ac:dyDescent="0.25">
      <c r="C202" s="52">
        <v>588800</v>
      </c>
    </row>
    <row r="203" spans="3:3" x14ac:dyDescent="0.25">
      <c r="C203" s="52">
        <v>1868000</v>
      </c>
    </row>
    <row r="204" spans="3:3" x14ac:dyDescent="0.25">
      <c r="C204" s="52">
        <v>10313000</v>
      </c>
    </row>
    <row r="205" spans="3:3" x14ac:dyDescent="0.25">
      <c r="C205" s="52">
        <v>3443800</v>
      </c>
    </row>
    <row r="206" spans="3:3" x14ac:dyDescent="0.25">
      <c r="C206" s="52">
        <v>8136400</v>
      </c>
    </row>
    <row r="207" spans="3:3" x14ac:dyDescent="0.25">
      <c r="C207" s="52">
        <v>9675183</v>
      </c>
    </row>
    <row r="208" spans="3:3" x14ac:dyDescent="0.25">
      <c r="C208" s="52">
        <f>SUM(C192:C207)</f>
        <v>70598556</v>
      </c>
    </row>
  </sheetData>
  <mergeCells count="7">
    <mergeCell ref="D151:X151"/>
    <mergeCell ref="C1:U1"/>
    <mergeCell ref="E2:K2"/>
    <mergeCell ref="L2:T2"/>
    <mergeCell ref="A3:A50"/>
    <mergeCell ref="A51:A115"/>
    <mergeCell ref="E150:Q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B202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8" t="s">
        <v>145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  <c r="V1" s="4"/>
      <c r="W1" s="44"/>
      <c r="X1" s="4"/>
    </row>
    <row r="2" spans="1:24" x14ac:dyDescent="0.25">
      <c r="C2" s="3" t="s">
        <v>1</v>
      </c>
      <c r="D2" s="4"/>
      <c r="E2" s="101" t="s">
        <v>2</v>
      </c>
      <c r="F2" s="102"/>
      <c r="G2" s="102"/>
      <c r="H2" s="102"/>
      <c r="I2" s="102"/>
      <c r="J2" s="102"/>
      <c r="K2" s="103"/>
      <c r="L2" s="101" t="s">
        <v>3</v>
      </c>
      <c r="M2" s="102"/>
      <c r="N2" s="102"/>
      <c r="O2" s="102"/>
      <c r="P2" s="102"/>
      <c r="Q2" s="102"/>
      <c r="R2" s="102"/>
      <c r="S2" s="102"/>
      <c r="T2" s="103"/>
      <c r="U2" s="4"/>
      <c r="V2" s="4"/>
      <c r="W2" s="44"/>
      <c r="X2" s="4"/>
    </row>
    <row r="3" spans="1:24" ht="48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95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5" si="0">SUM(G4:I4)+J4</f>
        <v>4815000</v>
      </c>
      <c r="L4" s="5">
        <f t="shared" ref="L4:L36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4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5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5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5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5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5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4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5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v>945750</v>
      </c>
      <c r="T10" s="5">
        <f t="shared" si="2"/>
        <v>1453295</v>
      </c>
      <c r="U10" s="7">
        <f>K10-T10</f>
        <v>3046705</v>
      </c>
      <c r="V10" s="7"/>
      <c r="W10" s="44"/>
      <c r="X10" s="7">
        <f t="shared" si="4"/>
        <v>3046705</v>
      </c>
    </row>
    <row r="11" spans="1:24" x14ac:dyDescent="0.25">
      <c r="A11" s="95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95"/>
      <c r="B12" s="4">
        <v>9</v>
      </c>
      <c r="C12" s="11" t="s">
        <v>33</v>
      </c>
      <c r="D12" s="6" t="s">
        <v>34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9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0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95"/>
      <c r="B13" s="4">
        <v>10</v>
      </c>
      <c r="C13" s="11" t="s">
        <v>35</v>
      </c>
      <c r="D13" s="6" t="s">
        <v>26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1">+K13-T13</f>
        <v>4907752</v>
      </c>
      <c r="V13" s="7"/>
      <c r="W13" s="44"/>
      <c r="X13" s="7">
        <f t="shared" si="4"/>
        <v>4907752</v>
      </c>
    </row>
    <row r="14" spans="1:24" x14ac:dyDescent="0.25">
      <c r="A14" s="95"/>
      <c r="B14" s="4">
        <v>11</v>
      </c>
      <c r="C14" s="3" t="s">
        <v>36</v>
      </c>
      <c r="D14" s="4" t="s">
        <v>26</v>
      </c>
      <c r="E14" s="5">
        <v>4500000</v>
      </c>
      <c r="F14" s="5">
        <v>30</v>
      </c>
      <c r="G14" s="5">
        <f t="shared" ref="G14:G20" si="12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1"/>
        <v>4092000</v>
      </c>
      <c r="V14" s="7"/>
      <c r="W14" s="44"/>
      <c r="X14" s="7">
        <f t="shared" si="4"/>
        <v>4092000</v>
      </c>
    </row>
    <row r="15" spans="1:24" x14ac:dyDescent="0.25">
      <c r="A15" s="95"/>
      <c r="B15" s="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2"/>
        <v>4200000</v>
      </c>
      <c r="H15" s="5"/>
      <c r="I15" s="5"/>
      <c r="J15" s="5"/>
      <c r="K15" s="5">
        <f t="shared" ref="K15:K17" si="13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4">SUM(L15:S15)</f>
        <v>410000</v>
      </c>
      <c r="U15" s="7">
        <f t="shared" si="11"/>
        <v>3790000</v>
      </c>
      <c r="V15" s="7"/>
      <c r="W15" s="44"/>
      <c r="X15" s="7">
        <f t="shared" si="4"/>
        <v>3790000</v>
      </c>
    </row>
    <row r="16" spans="1:24" x14ac:dyDescent="0.25">
      <c r="A16" s="95"/>
      <c r="B16" s="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2"/>
        <v>4000000.0000000005</v>
      </c>
      <c r="H16" s="5"/>
      <c r="I16" s="5"/>
      <c r="J16" s="5"/>
      <c r="K16" s="5">
        <f t="shared" si="13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4"/>
        <v>364500</v>
      </c>
      <c r="U16" s="7">
        <f t="shared" si="11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95"/>
      <c r="B17" s="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2"/>
        <v>4500000</v>
      </c>
      <c r="H17" s="5"/>
      <c r="I17" s="5"/>
      <c r="J17" s="5"/>
      <c r="K17" s="5">
        <f t="shared" si="13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4"/>
        <v>477000</v>
      </c>
      <c r="U17" s="7">
        <f t="shared" si="11"/>
        <v>4023000</v>
      </c>
      <c r="V17" s="7"/>
      <c r="W17" s="44"/>
      <c r="X17" s="7">
        <f t="shared" si="4"/>
        <v>4023000</v>
      </c>
    </row>
    <row r="18" spans="1:24" x14ac:dyDescent="0.25">
      <c r="A18" s="95"/>
      <c r="B18" s="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2"/>
        <v>5500000</v>
      </c>
      <c r="H18" s="5"/>
      <c r="I18" s="5">
        <v>450000</v>
      </c>
      <c r="J18" s="5">
        <v>150521</v>
      </c>
      <c r="K18" s="5">
        <f t="shared" si="0"/>
        <v>6100521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400000</v>
      </c>
      <c r="R18" s="5"/>
      <c r="S18" s="5"/>
      <c r="T18" s="5">
        <f t="shared" si="2"/>
        <v>1045521</v>
      </c>
      <c r="U18" s="7">
        <f t="shared" si="11"/>
        <v>5055000</v>
      </c>
      <c r="V18" s="7"/>
      <c r="W18" s="44"/>
      <c r="X18" s="7">
        <f t="shared" si="4"/>
        <v>5055000</v>
      </c>
    </row>
    <row r="19" spans="1:24" x14ac:dyDescent="0.25">
      <c r="A19" s="95"/>
      <c r="B19" s="4">
        <v>16</v>
      </c>
      <c r="C19" s="11" t="s">
        <v>142</v>
      </c>
      <c r="D19" s="6" t="s">
        <v>26</v>
      </c>
      <c r="E19" s="5">
        <v>5000000</v>
      </c>
      <c r="F19" s="5">
        <v>30</v>
      </c>
      <c r="G19" s="5">
        <f t="shared" si="12"/>
        <v>5000000</v>
      </c>
      <c r="H19" s="5"/>
      <c r="I19" s="5"/>
      <c r="J19" s="5"/>
      <c r="K19" s="5">
        <f t="shared" ref="K19:K20" si="15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:T20" si="16">SUM(L19:S19)</f>
        <v>552000</v>
      </c>
      <c r="U19" s="7">
        <f t="shared" si="11"/>
        <v>4448000</v>
      </c>
      <c r="V19" s="7"/>
      <c r="W19" s="44"/>
      <c r="X19" s="7">
        <f t="shared" si="4"/>
        <v>4448000</v>
      </c>
    </row>
    <row r="20" spans="1:24" x14ac:dyDescent="0.25">
      <c r="A20" s="95"/>
      <c r="B20" s="4">
        <v>17</v>
      </c>
      <c r="C20" s="11" t="s">
        <v>41</v>
      </c>
      <c r="D20" s="6" t="s">
        <v>26</v>
      </c>
      <c r="E20" s="5">
        <v>3500000</v>
      </c>
      <c r="F20" s="5">
        <v>30</v>
      </c>
      <c r="G20" s="5">
        <f t="shared" si="12"/>
        <v>3500000</v>
      </c>
      <c r="H20" s="5"/>
      <c r="I20" s="5"/>
      <c r="J20" s="5"/>
      <c r="K20" s="5">
        <f t="shared" si="15"/>
        <v>3500000</v>
      </c>
      <c r="L20" s="5">
        <f t="shared" ref="L20" si="17">+G20*4%</f>
        <v>140000</v>
      </c>
      <c r="M20" s="5">
        <f t="shared" ref="M20" si="18">+G20*5%</f>
        <v>175000</v>
      </c>
      <c r="N20" s="5"/>
      <c r="O20" s="5"/>
      <c r="P20" s="17"/>
      <c r="Q20" s="5"/>
      <c r="R20" s="5"/>
      <c r="S20" s="5"/>
      <c r="T20" s="5">
        <f t="shared" si="16"/>
        <v>315000</v>
      </c>
      <c r="U20" s="7">
        <f t="shared" si="11"/>
        <v>3185000</v>
      </c>
      <c r="V20" s="7"/>
      <c r="W20" s="44"/>
      <c r="X20" s="7">
        <f t="shared" si="4"/>
        <v>3185000</v>
      </c>
    </row>
    <row r="21" spans="1:24" ht="24" x14ac:dyDescent="0.25">
      <c r="A21" s="95"/>
      <c r="B21" s="4">
        <v>18</v>
      </c>
      <c r="C21" s="11" t="s">
        <v>42</v>
      </c>
      <c r="D21" s="6" t="s">
        <v>26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95"/>
      <c r="B22" s="4">
        <v>19</v>
      </c>
      <c r="C22" s="11" t="s">
        <v>43</v>
      </c>
      <c r="D22" s="6" t="s">
        <v>26</v>
      </c>
      <c r="E22" s="5">
        <v>6600000</v>
      </c>
      <c r="F22" s="5">
        <v>30</v>
      </c>
      <c r="G22" s="5">
        <f t="shared" ref="G22:G30" si="19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95"/>
      <c r="B23" s="4">
        <v>20</v>
      </c>
      <c r="C23" s="11" t="s">
        <v>44</v>
      </c>
      <c r="D23" s="6" t="s">
        <v>26</v>
      </c>
      <c r="E23" s="5">
        <v>6900000</v>
      </c>
      <c r="F23" s="5">
        <v>30</v>
      </c>
      <c r="G23" s="5">
        <f t="shared" si="19"/>
        <v>6900000</v>
      </c>
      <c r="H23" s="5"/>
      <c r="I23" s="5">
        <v>1400000</v>
      </c>
      <c r="J23" s="5"/>
      <c r="K23" s="5">
        <f t="shared" ref="K23" si="20">SUM(G23:I23)+J23</f>
        <v>8300000</v>
      </c>
      <c r="L23" s="5">
        <f t="shared" ref="L23" si="21">+G23*4%</f>
        <v>276000</v>
      </c>
      <c r="M23" s="5">
        <f t="shared" ref="M23" si="22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3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95"/>
      <c r="B24" s="4">
        <v>21</v>
      </c>
      <c r="C24" s="11" t="s">
        <v>45</v>
      </c>
      <c r="D24" s="6" t="s">
        <v>26</v>
      </c>
      <c r="E24" s="5">
        <v>3500000</v>
      </c>
      <c r="F24" s="5">
        <v>30</v>
      </c>
      <c r="G24" s="5">
        <f t="shared" ref="G24" si="24">+E24/30*F24</f>
        <v>3500000</v>
      </c>
      <c r="H24" s="5"/>
      <c r="I24" s="5"/>
      <c r="J24" s="5"/>
      <c r="K24" s="5">
        <f t="shared" ref="K24" si="25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3"/>
        <v>315000</v>
      </c>
      <c r="U24" s="7">
        <f t="shared" ref="U24" si="26">+K24-T24</f>
        <v>3185000</v>
      </c>
      <c r="V24" s="7"/>
      <c r="W24" s="44"/>
      <c r="X24" s="7">
        <f t="shared" si="4"/>
        <v>3185000</v>
      </c>
    </row>
    <row r="25" spans="1:24" x14ac:dyDescent="0.25">
      <c r="A25" s="95"/>
      <c r="B25" s="4">
        <v>22</v>
      </c>
      <c r="C25" s="11" t="s">
        <v>46</v>
      </c>
      <c r="D25" s="6" t="s">
        <v>26</v>
      </c>
      <c r="E25" s="5">
        <v>5000000</v>
      </c>
      <c r="F25" s="5">
        <v>30</v>
      </c>
      <c r="G25" s="5">
        <f t="shared" si="19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8"/>
        <v>250000</v>
      </c>
      <c r="N25" s="5"/>
      <c r="O25" s="5"/>
      <c r="P25" s="17">
        <v>50000</v>
      </c>
      <c r="Q25" s="5">
        <v>1000000</v>
      </c>
      <c r="R25" s="5"/>
      <c r="S25" s="5">
        <f>884747</f>
        <v>884747</v>
      </c>
      <c r="T25" s="5">
        <f t="shared" si="2"/>
        <v>2384747</v>
      </c>
      <c r="U25" s="7">
        <f>+K25-T25</f>
        <v>4236570</v>
      </c>
      <c r="V25" s="7"/>
      <c r="W25" s="44"/>
      <c r="X25" s="7">
        <f t="shared" si="4"/>
        <v>4236570</v>
      </c>
    </row>
    <row r="26" spans="1:24" x14ac:dyDescent="0.25">
      <c r="A26" s="95"/>
      <c r="B26" s="4">
        <v>23</v>
      </c>
      <c r="C26" s="11" t="s">
        <v>47</v>
      </c>
      <c r="D26" s="6" t="s">
        <v>26</v>
      </c>
      <c r="E26" s="5">
        <v>4500000</v>
      </c>
      <c r="F26" s="5">
        <v>30</v>
      </c>
      <c r="G26" s="5">
        <f>+E26-J26</f>
        <v>3450000</v>
      </c>
      <c r="H26" s="5"/>
      <c r="I26" s="5"/>
      <c r="J26" s="5">
        <v>1050000</v>
      </c>
      <c r="K26" s="5">
        <f t="shared" si="0"/>
        <v>4500000</v>
      </c>
      <c r="L26" s="5">
        <v>180000</v>
      </c>
      <c r="M26" s="5">
        <v>225000</v>
      </c>
      <c r="N26" s="5"/>
      <c r="O26" s="5">
        <v>100000</v>
      </c>
      <c r="P26" s="17">
        <v>31000</v>
      </c>
      <c r="Q26" s="5"/>
      <c r="R26" s="5"/>
      <c r="S26" s="5"/>
      <c r="T26" s="5">
        <f t="shared" si="2"/>
        <v>536000</v>
      </c>
      <c r="U26" s="7">
        <f>+K26-T26</f>
        <v>3964000</v>
      </c>
      <c r="V26" s="7"/>
      <c r="W26" s="44"/>
      <c r="X26" s="7">
        <f t="shared" si="4"/>
        <v>3964000</v>
      </c>
    </row>
    <row r="27" spans="1:24" x14ac:dyDescent="0.25">
      <c r="A27" s="95"/>
      <c r="B27" s="4">
        <v>24</v>
      </c>
      <c r="C27" s="11" t="s">
        <v>48</v>
      </c>
      <c r="D27" s="6" t="s">
        <v>26</v>
      </c>
      <c r="E27" s="5">
        <v>5000000</v>
      </c>
      <c r="F27" s="5">
        <v>30</v>
      </c>
      <c r="G27" s="5">
        <f t="shared" ref="G27:G28" si="27">E27/30*F27</f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ref="L27" si="29">+G27*4%</f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30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95"/>
      <c r="B28" s="4">
        <v>25</v>
      </c>
      <c r="C28" s="11" t="s">
        <v>49</v>
      </c>
      <c r="D28" s="6" t="s">
        <v>26</v>
      </c>
      <c r="E28" s="5">
        <v>4500000</v>
      </c>
      <c r="F28" s="5">
        <v>30</v>
      </c>
      <c r="G28" s="5">
        <f t="shared" si="27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30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95"/>
      <c r="B29" s="4">
        <v>26</v>
      </c>
      <c r="C29" s="11" t="s">
        <v>50</v>
      </c>
      <c r="D29" s="6" t="s">
        <v>26</v>
      </c>
      <c r="E29" s="5">
        <v>6000000</v>
      </c>
      <c r="F29" s="5">
        <v>30</v>
      </c>
      <c r="G29" s="5">
        <f t="shared" si="19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95"/>
      <c r="B30" s="4">
        <v>27</v>
      </c>
      <c r="C30" s="11" t="s">
        <v>52</v>
      </c>
      <c r="D30" s="6" t="s">
        <v>26</v>
      </c>
      <c r="E30" s="5">
        <v>3500000</v>
      </c>
      <c r="F30" s="5">
        <v>30</v>
      </c>
      <c r="G30" s="5">
        <f t="shared" si="19"/>
        <v>3500000</v>
      </c>
      <c r="H30" s="5">
        <v>328125</v>
      </c>
      <c r="I30" s="5"/>
      <c r="J30" s="5"/>
      <c r="K30" s="5">
        <f>SUM(G30:I30)+J30</f>
        <v>3828125</v>
      </c>
      <c r="L30" s="5">
        <v>140000</v>
      </c>
      <c r="M30" s="5">
        <v>175000</v>
      </c>
      <c r="N30" s="5"/>
      <c r="O30" s="5">
        <v>100000</v>
      </c>
      <c r="P30" s="17">
        <v>0</v>
      </c>
      <c r="Q30" s="5"/>
      <c r="R30" s="5"/>
      <c r="S30" s="5"/>
      <c r="T30" s="5">
        <f t="shared" ref="T30" si="31">SUM(L30:S30)</f>
        <v>415000</v>
      </c>
      <c r="U30" s="7">
        <f>K30-T30</f>
        <v>3413125</v>
      </c>
      <c r="V30" s="7"/>
      <c r="W30" s="44"/>
      <c r="X30" s="7">
        <f t="shared" si="4"/>
        <v>3413125</v>
      </c>
    </row>
    <row r="31" spans="1:24" x14ac:dyDescent="0.25">
      <c r="A31" s="95"/>
      <c r="B31" s="4">
        <v>28</v>
      </c>
      <c r="C31" s="11" t="s">
        <v>53</v>
      </c>
      <c r="D31" s="6" t="s">
        <v>26</v>
      </c>
      <c r="E31" s="5">
        <v>4800000</v>
      </c>
      <c r="F31" s="5">
        <v>30</v>
      </c>
      <c r="G31" s="5">
        <f t="shared" ref="G31:G62" si="32">+E31/30*F31</f>
        <v>4800000</v>
      </c>
      <c r="H31" s="5"/>
      <c r="I31" s="5"/>
      <c r="J31" s="5"/>
      <c r="K31" s="5">
        <f t="shared" si="0"/>
        <v>4800000</v>
      </c>
      <c r="L31" s="5">
        <f>+G31*4%</f>
        <v>192000</v>
      </c>
      <c r="M31" s="5">
        <f>+G31*5%</f>
        <v>240000</v>
      </c>
      <c r="N31" s="5"/>
      <c r="O31" s="5"/>
      <c r="P31" s="5">
        <v>0</v>
      </c>
      <c r="Q31" s="5">
        <v>1300000</v>
      </c>
      <c r="R31" s="5"/>
      <c r="S31" s="5">
        <v>209579</v>
      </c>
      <c r="T31" s="5">
        <f t="shared" si="2"/>
        <v>1941579</v>
      </c>
      <c r="U31" s="7">
        <f>K31-T31</f>
        <v>2858421</v>
      </c>
      <c r="V31" s="7"/>
      <c r="W31" s="44"/>
      <c r="X31" s="7">
        <f t="shared" si="4"/>
        <v>2858421</v>
      </c>
    </row>
    <row r="32" spans="1:24" x14ac:dyDescent="0.25">
      <c r="A32" s="95"/>
      <c r="B32" s="4">
        <v>29</v>
      </c>
      <c r="C32" s="11" t="s">
        <v>54</v>
      </c>
      <c r="D32" s="6" t="s">
        <v>26</v>
      </c>
      <c r="E32" s="5">
        <v>4280000</v>
      </c>
      <c r="F32" s="5">
        <v>30</v>
      </c>
      <c r="G32" s="5">
        <f>E32/30*F32</f>
        <v>4280000</v>
      </c>
      <c r="H32" s="5"/>
      <c r="I32" s="5"/>
      <c r="J32" s="5"/>
      <c r="K32" s="5">
        <f t="shared" si="0"/>
        <v>4280000</v>
      </c>
      <c r="L32" s="5">
        <f>+G32*4%</f>
        <v>171200</v>
      </c>
      <c r="M32" s="5">
        <f>+G32*5%</f>
        <v>214000</v>
      </c>
      <c r="N32" s="5"/>
      <c r="O32" s="5"/>
      <c r="P32" s="17">
        <v>31064</v>
      </c>
      <c r="Q32" s="5"/>
      <c r="R32" s="5"/>
      <c r="S32" s="5"/>
      <c r="T32" s="5">
        <f t="shared" si="2"/>
        <v>416264</v>
      </c>
      <c r="U32" s="7">
        <f>K32-T32</f>
        <v>3863736</v>
      </c>
      <c r="V32" s="7"/>
      <c r="W32" s="44"/>
      <c r="X32" s="7">
        <f t="shared" si="4"/>
        <v>3863736</v>
      </c>
    </row>
    <row r="33" spans="1:26" x14ac:dyDescent="0.25">
      <c r="A33" s="95"/>
      <c r="B33" s="4">
        <v>30</v>
      </c>
      <c r="C33" s="11" t="s">
        <v>55</v>
      </c>
      <c r="D33" s="6" t="s">
        <v>26</v>
      </c>
      <c r="E33" s="5">
        <v>6000000</v>
      </c>
      <c r="F33" s="5">
        <v>30</v>
      </c>
      <c r="G33" s="5">
        <f t="shared" si="32"/>
        <v>6000000</v>
      </c>
      <c r="H33" s="5"/>
      <c r="I33" s="5"/>
      <c r="J33" s="5"/>
      <c r="K33" s="5">
        <f t="shared" si="0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33">+K33-T33</f>
        <v>5129386</v>
      </c>
      <c r="V33" s="7"/>
      <c r="W33" s="44"/>
      <c r="X33" s="7">
        <f t="shared" si="4"/>
        <v>5129386</v>
      </c>
    </row>
    <row r="34" spans="1:26" x14ac:dyDescent="0.25">
      <c r="A34" s="95"/>
      <c r="B34" s="4">
        <v>31</v>
      </c>
      <c r="C34" s="11" t="s">
        <v>56</v>
      </c>
      <c r="D34" s="6" t="s">
        <v>26</v>
      </c>
      <c r="E34" s="5">
        <v>4500000</v>
      </c>
      <c r="F34" s="5">
        <v>30</v>
      </c>
      <c r="G34" s="5">
        <f t="shared" si="32"/>
        <v>4500000</v>
      </c>
      <c r="H34" s="5">
        <v>1582031</v>
      </c>
      <c r="I34" s="5">
        <v>500000</v>
      </c>
      <c r="J34" s="5"/>
      <c r="K34" s="5">
        <f t="shared" si="0"/>
        <v>6582031</v>
      </c>
      <c r="L34" s="5">
        <f t="shared" si="1"/>
        <v>180000</v>
      </c>
      <c r="M34" s="5">
        <f t="shared" si="8"/>
        <v>225000</v>
      </c>
      <c r="N34" s="5"/>
      <c r="O34" s="5"/>
      <c r="P34" s="5">
        <v>11000</v>
      </c>
      <c r="Q34" s="5"/>
      <c r="R34" s="5">
        <v>606666</v>
      </c>
      <c r="S34" s="5">
        <v>551399</v>
      </c>
      <c r="T34" s="5">
        <f t="shared" si="2"/>
        <v>1574065</v>
      </c>
      <c r="U34" s="7">
        <f t="shared" si="33"/>
        <v>5007966</v>
      </c>
      <c r="V34" s="7"/>
      <c r="W34" s="44"/>
      <c r="X34" s="7">
        <f t="shared" si="4"/>
        <v>5007966</v>
      </c>
    </row>
    <row r="35" spans="1:26" x14ac:dyDescent="0.25">
      <c r="A35" s="95"/>
      <c r="B35" s="4">
        <v>32</v>
      </c>
      <c r="C35" s="3" t="s">
        <v>57</v>
      </c>
      <c r="D35" s="4" t="s">
        <v>26</v>
      </c>
      <c r="E35" s="5">
        <v>4815000</v>
      </c>
      <c r="F35" s="5">
        <v>30</v>
      </c>
      <c r="G35" s="5">
        <f>+E35-J35</f>
        <v>4815000</v>
      </c>
      <c r="H35" s="5"/>
      <c r="I35" s="5"/>
      <c r="J35" s="5"/>
      <c r="K35" s="5">
        <f t="shared" si="0"/>
        <v>4815000</v>
      </c>
      <c r="L35" s="5">
        <f>+E35*4%</f>
        <v>192600</v>
      </c>
      <c r="M35" s="5">
        <f>+E35*5%</f>
        <v>240750</v>
      </c>
      <c r="N35" s="5"/>
      <c r="O35" s="5"/>
      <c r="P35" s="5">
        <v>34627</v>
      </c>
      <c r="Q35" s="5"/>
      <c r="R35" s="5"/>
      <c r="S35" s="5">
        <v>541379</v>
      </c>
      <c r="T35" s="5">
        <f t="shared" si="2"/>
        <v>1009356</v>
      </c>
      <c r="U35" s="7">
        <f>K35-T35</f>
        <v>3805644</v>
      </c>
      <c r="V35" s="7"/>
      <c r="W35" s="44"/>
      <c r="X35" s="7">
        <f t="shared" si="4"/>
        <v>3805644</v>
      </c>
    </row>
    <row r="36" spans="1:26" ht="24" x14ac:dyDescent="0.25">
      <c r="A36" s="95"/>
      <c r="B36" s="4">
        <v>33</v>
      </c>
      <c r="C36" s="11" t="s">
        <v>58</v>
      </c>
      <c r="D36" s="6" t="s">
        <v>26</v>
      </c>
      <c r="E36" s="5">
        <v>6000000</v>
      </c>
      <c r="F36" s="5">
        <v>30</v>
      </c>
      <c r="G36" s="5">
        <f>+E36/30*F36</f>
        <v>6000000</v>
      </c>
      <c r="H36" s="5"/>
      <c r="I36" s="5"/>
      <c r="J36" s="5"/>
      <c r="K36" s="5">
        <f t="shared" ref="K36:K80" si="34">SUM(G36:I36)+J36</f>
        <v>6000000</v>
      </c>
      <c r="L36" s="5">
        <f t="shared" si="1"/>
        <v>240000</v>
      </c>
      <c r="M36" s="5">
        <f>+G36*5%</f>
        <v>300000</v>
      </c>
      <c r="N36" s="5"/>
      <c r="O36" s="5"/>
      <c r="P36" s="5">
        <v>156000</v>
      </c>
      <c r="Q36" s="5"/>
      <c r="R36" s="5"/>
      <c r="S36" s="5"/>
      <c r="T36" s="5">
        <f t="shared" si="2"/>
        <v>696000</v>
      </c>
      <c r="U36" s="7">
        <f>+K36-T36</f>
        <v>5304000</v>
      </c>
      <c r="V36" s="7"/>
      <c r="W36" s="44"/>
      <c r="X36" s="7">
        <f t="shared" si="4"/>
        <v>5304000</v>
      </c>
    </row>
    <row r="37" spans="1:26" x14ac:dyDescent="0.25">
      <c r="A37" s="95"/>
      <c r="B37" s="4">
        <v>34</v>
      </c>
      <c r="C37" s="3" t="s">
        <v>59</v>
      </c>
      <c r="D37" s="4" t="s">
        <v>26</v>
      </c>
      <c r="E37" s="5">
        <v>6900000</v>
      </c>
      <c r="F37" s="5">
        <v>30</v>
      </c>
      <c r="G37" s="5">
        <f t="shared" si="32"/>
        <v>6900000</v>
      </c>
      <c r="H37" s="5"/>
      <c r="I37" s="5">
        <v>1500000</v>
      </c>
      <c r="J37" s="5">
        <v>231973</v>
      </c>
      <c r="K37" s="5">
        <f t="shared" si="34"/>
        <v>8631973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7665973</v>
      </c>
      <c r="V37" s="7"/>
      <c r="W37" s="44"/>
      <c r="X37" s="7">
        <f t="shared" si="4"/>
        <v>7665973</v>
      </c>
    </row>
    <row r="38" spans="1:26" x14ac:dyDescent="0.25">
      <c r="A38" s="95"/>
      <c r="B38" s="4">
        <v>35</v>
      </c>
      <c r="C38" s="3" t="s">
        <v>61</v>
      </c>
      <c r="D38" s="4" t="s">
        <v>26</v>
      </c>
      <c r="E38" s="5">
        <v>5500000</v>
      </c>
      <c r="F38" s="5">
        <v>30</v>
      </c>
      <c r="G38" s="5">
        <f t="shared" si="32"/>
        <v>5500000</v>
      </c>
      <c r="H38" s="5"/>
      <c r="I38" s="5">
        <v>500000</v>
      </c>
      <c r="J38" s="5"/>
      <c r="K38" s="5">
        <f t="shared" ref="K38" si="35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ref="T38" si="36">SUM(L38:S38)</f>
        <v>639000</v>
      </c>
      <c r="U38" s="7">
        <f t="shared" ref="U38" si="37">K38-T38</f>
        <v>5361000</v>
      </c>
      <c r="V38" s="7"/>
      <c r="W38" s="44"/>
      <c r="X38" s="7">
        <f t="shared" si="4"/>
        <v>5361000</v>
      </c>
    </row>
    <row r="39" spans="1:26" x14ac:dyDescent="0.25">
      <c r="A39" s="95"/>
      <c r="B39" s="4">
        <v>36</v>
      </c>
      <c r="C39" s="11" t="s">
        <v>62</v>
      </c>
      <c r="D39" s="6" t="s">
        <v>26</v>
      </c>
      <c r="E39" s="5">
        <v>5350000</v>
      </c>
      <c r="F39" s="5">
        <v>30</v>
      </c>
      <c r="G39" s="5">
        <f t="shared" si="32"/>
        <v>5350000</v>
      </c>
      <c r="H39" s="5"/>
      <c r="I39" s="5"/>
      <c r="J39" s="5"/>
      <c r="K39" s="5">
        <f t="shared" si="34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6" si="38">+K39-T39</f>
        <v>4747500</v>
      </c>
      <c r="V39" s="7"/>
      <c r="W39" s="44"/>
      <c r="X39" s="7">
        <f t="shared" si="4"/>
        <v>4747500</v>
      </c>
    </row>
    <row r="40" spans="1:26" x14ac:dyDescent="0.25">
      <c r="A40" s="95"/>
      <c r="B40" s="4">
        <v>37</v>
      </c>
      <c r="C40" s="11" t="s">
        <v>148</v>
      </c>
      <c r="D40" s="6"/>
      <c r="E40" s="5">
        <v>4000000</v>
      </c>
      <c r="F40" s="5">
        <v>18</v>
      </c>
      <c r="G40" s="5">
        <f t="shared" si="32"/>
        <v>2400000</v>
      </c>
      <c r="H40" s="5"/>
      <c r="I40" s="5"/>
      <c r="J40" s="5"/>
      <c r="K40" s="5">
        <f t="shared" ref="K40" si="39">SUM(G40:I40)+J40</f>
        <v>2400000</v>
      </c>
      <c r="L40" s="5">
        <f>+G40*4%</f>
        <v>96000</v>
      </c>
      <c r="M40" s="5">
        <v>96000</v>
      </c>
      <c r="N40" s="5"/>
      <c r="O40" s="5"/>
      <c r="P40" s="5">
        <v>0</v>
      </c>
      <c r="Q40" s="5"/>
      <c r="R40" s="5"/>
      <c r="S40" s="5"/>
      <c r="T40" s="5">
        <f>SUM(L40:S40)</f>
        <v>192000</v>
      </c>
      <c r="U40" s="7">
        <f t="shared" si="38"/>
        <v>2208000</v>
      </c>
      <c r="V40" s="7"/>
      <c r="W40" s="44"/>
      <c r="X40" s="7">
        <f t="shared" si="4"/>
        <v>2208000</v>
      </c>
    </row>
    <row r="41" spans="1:26" x14ac:dyDescent="0.25">
      <c r="A41" s="95"/>
      <c r="B41" s="4">
        <v>38</v>
      </c>
      <c r="C41" s="11" t="s">
        <v>63</v>
      </c>
      <c r="D41" s="6" t="s">
        <v>26</v>
      </c>
      <c r="E41" s="5">
        <v>4500000</v>
      </c>
      <c r="F41" s="5">
        <v>30</v>
      </c>
      <c r="G41" s="5">
        <f t="shared" si="32"/>
        <v>4500000</v>
      </c>
      <c r="H41" s="5"/>
      <c r="I41" s="5"/>
      <c r="J41" s="5">
        <f>+E41-G41</f>
        <v>0</v>
      </c>
      <c r="K41" s="5">
        <f t="shared" si="34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/>
      <c r="T41" s="5">
        <f>SUM(L41:S41)</f>
        <v>415000</v>
      </c>
      <c r="U41" s="7">
        <f t="shared" si="38"/>
        <v>4085000</v>
      </c>
      <c r="V41" s="7"/>
      <c r="W41" s="44"/>
      <c r="X41" s="7">
        <f t="shared" si="4"/>
        <v>4085000</v>
      </c>
    </row>
    <row r="42" spans="1:26" ht="24" x14ac:dyDescent="0.25">
      <c r="A42" s="95"/>
      <c r="B42" s="4">
        <v>39</v>
      </c>
      <c r="C42" s="11" t="s">
        <v>64</v>
      </c>
      <c r="D42" s="6"/>
      <c r="E42" s="5">
        <v>6000000</v>
      </c>
      <c r="F42" s="5">
        <v>30</v>
      </c>
      <c r="G42" s="5">
        <f t="shared" si="32"/>
        <v>6000000</v>
      </c>
      <c r="H42" s="5"/>
      <c r="I42" s="5"/>
      <c r="J42" s="5"/>
      <c r="K42" s="5">
        <f t="shared" ref="K42" si="40">SUM(G42:I42)+J42</f>
        <v>6000000</v>
      </c>
      <c r="L42" s="5">
        <f>+G42*4%</f>
        <v>240000</v>
      </c>
      <c r="M42" s="5">
        <f>+G42*5%</f>
        <v>300000</v>
      </c>
      <c r="N42" s="5"/>
      <c r="O42" s="5"/>
      <c r="P42" s="5">
        <v>203000</v>
      </c>
      <c r="Q42" s="5"/>
      <c r="R42" s="5"/>
      <c r="T42" s="5">
        <f>SUM(L42:S42)</f>
        <v>743000</v>
      </c>
      <c r="U42" s="7">
        <f t="shared" si="38"/>
        <v>5257000</v>
      </c>
      <c r="V42" s="7"/>
      <c r="W42" s="44"/>
      <c r="X42" s="7">
        <f t="shared" si="4"/>
        <v>5257000</v>
      </c>
    </row>
    <row r="43" spans="1:26" ht="26.25" customHeight="1" x14ac:dyDescent="0.25">
      <c r="A43" s="95"/>
      <c r="B43" s="4">
        <v>40</v>
      </c>
      <c r="C43" s="11" t="s">
        <v>65</v>
      </c>
      <c r="D43" s="6" t="s">
        <v>26</v>
      </c>
      <c r="E43" s="5">
        <v>4250000</v>
      </c>
      <c r="F43" s="5">
        <v>30</v>
      </c>
      <c r="G43" s="5">
        <f t="shared" si="32"/>
        <v>4250000</v>
      </c>
      <c r="H43" s="5"/>
      <c r="I43" s="5"/>
      <c r="J43" s="5"/>
      <c r="K43" s="5">
        <f t="shared" ref="K43" si="41">SUM(G43:I43)+J43</f>
        <v>4250000</v>
      </c>
      <c r="L43" s="5">
        <f>+G43*4%</f>
        <v>170000</v>
      </c>
      <c r="M43" s="5">
        <f>+G43*5%</f>
        <v>212500</v>
      </c>
      <c r="N43" s="5"/>
      <c r="O43" s="5"/>
      <c r="P43" s="5">
        <v>38000</v>
      </c>
      <c r="Q43" s="5"/>
      <c r="R43" s="5"/>
      <c r="S43" s="5"/>
      <c r="T43" s="5">
        <f t="shared" ref="T43" si="42">SUM(L43:S43)</f>
        <v>420500</v>
      </c>
      <c r="U43" s="7">
        <f t="shared" si="38"/>
        <v>3829500</v>
      </c>
      <c r="V43" s="7"/>
      <c r="W43" s="44"/>
      <c r="X43" s="7">
        <f t="shared" si="4"/>
        <v>3829500</v>
      </c>
    </row>
    <row r="44" spans="1:26" ht="26.25" customHeight="1" x14ac:dyDescent="0.25">
      <c r="A44" s="95"/>
      <c r="B44" s="4">
        <v>41</v>
      </c>
      <c r="C44" s="11" t="s">
        <v>66</v>
      </c>
      <c r="D44" s="6"/>
      <c r="E44" s="5">
        <v>4000000</v>
      </c>
      <c r="F44" s="5">
        <v>30</v>
      </c>
      <c r="G44" s="5">
        <f t="shared" si="32"/>
        <v>4000000.0000000005</v>
      </c>
      <c r="H44" s="5"/>
      <c r="I44" s="5"/>
      <c r="J44" s="5"/>
      <c r="K44" s="5">
        <f t="shared" ref="K44" si="43">SUM(G44:I44)+J44</f>
        <v>4000000.0000000005</v>
      </c>
      <c r="L44" s="5">
        <f>+G44*4%</f>
        <v>160000.00000000003</v>
      </c>
      <c r="M44" s="5">
        <f>+G44*5%</f>
        <v>200000.00000000003</v>
      </c>
      <c r="N44" s="5"/>
      <c r="O44" s="5"/>
      <c r="P44" s="5">
        <v>4500</v>
      </c>
      <c r="Q44" s="5"/>
      <c r="R44" s="5"/>
      <c r="S44" s="5"/>
      <c r="T44" s="5">
        <f t="shared" ref="T44" si="44">SUM(L44:S44)</f>
        <v>364500.00000000006</v>
      </c>
      <c r="U44" s="7">
        <f t="shared" si="38"/>
        <v>3635500.0000000005</v>
      </c>
      <c r="V44" s="7"/>
      <c r="W44" s="44"/>
      <c r="X44" s="7">
        <f t="shared" si="4"/>
        <v>3635500.0000000005</v>
      </c>
    </row>
    <row r="45" spans="1:26" ht="24" x14ac:dyDescent="0.25">
      <c r="A45" s="95"/>
      <c r="B45" s="4">
        <v>42</v>
      </c>
      <c r="C45" s="11" t="s">
        <v>67</v>
      </c>
      <c r="D45" s="6" t="s">
        <v>26</v>
      </c>
      <c r="E45" s="5">
        <v>3000000</v>
      </c>
      <c r="F45" s="5">
        <v>30</v>
      </c>
      <c r="G45" s="5">
        <f t="shared" si="32"/>
        <v>3000000</v>
      </c>
      <c r="H45" s="5"/>
      <c r="I45" s="5" t="s">
        <v>1</v>
      </c>
      <c r="J45" s="5"/>
      <c r="K45" s="5">
        <f t="shared" si="34"/>
        <v>3000000</v>
      </c>
      <c r="L45" s="5">
        <f>+K45*4%</f>
        <v>120000</v>
      </c>
      <c r="M45" s="5">
        <f>+K45*5%</f>
        <v>150000</v>
      </c>
      <c r="N45" s="5"/>
      <c r="O45" s="5">
        <v>100000</v>
      </c>
      <c r="P45" s="5"/>
      <c r="Q45" s="5"/>
      <c r="R45" s="5"/>
      <c r="S45" s="5"/>
      <c r="T45" s="5">
        <f t="shared" si="2"/>
        <v>370000</v>
      </c>
      <c r="U45" s="7">
        <f t="shared" si="38"/>
        <v>2630000</v>
      </c>
      <c r="V45" s="7"/>
      <c r="W45" s="44"/>
      <c r="X45" s="7">
        <f t="shared" si="4"/>
        <v>2630000</v>
      </c>
    </row>
    <row r="46" spans="1:26" x14ac:dyDescent="0.25">
      <c r="A46" s="95"/>
      <c r="B46" s="4">
        <v>43</v>
      </c>
      <c r="C46" s="11" t="s">
        <v>68</v>
      </c>
      <c r="D46" s="6" t="s">
        <v>26</v>
      </c>
      <c r="E46" s="5">
        <v>5000000</v>
      </c>
      <c r="F46" s="5">
        <v>30</v>
      </c>
      <c r="G46" s="5">
        <f t="shared" si="32"/>
        <v>5000000</v>
      </c>
      <c r="H46" s="5"/>
      <c r="I46" s="5">
        <v>800000</v>
      </c>
      <c r="J46" s="5"/>
      <c r="K46" s="5">
        <f t="shared" si="34"/>
        <v>5800000</v>
      </c>
      <c r="L46" s="5">
        <f>+G46*4%</f>
        <v>200000</v>
      </c>
      <c r="M46" s="5">
        <f>+G46*5%</f>
        <v>250000</v>
      </c>
      <c r="N46" s="5"/>
      <c r="O46" s="5"/>
      <c r="P46" s="5">
        <v>50000</v>
      </c>
      <c r="Q46" s="5"/>
      <c r="R46" s="5"/>
      <c r="S46" s="5"/>
      <c r="T46" s="5">
        <f t="shared" si="2"/>
        <v>500000</v>
      </c>
      <c r="U46" s="7">
        <f t="shared" si="38"/>
        <v>5300000</v>
      </c>
      <c r="V46" s="7"/>
      <c r="W46" s="44"/>
      <c r="X46" s="7">
        <f t="shared" si="4"/>
        <v>5300000</v>
      </c>
      <c r="Y46" s="7">
        <v>4886979</v>
      </c>
      <c r="Z46" s="55">
        <f>+X46-Y46</f>
        <v>413021</v>
      </c>
    </row>
    <row r="47" spans="1:26" ht="30.75" customHeight="1" x14ac:dyDescent="0.25">
      <c r="A47" s="95"/>
      <c r="B47" s="4">
        <v>44</v>
      </c>
      <c r="C47" s="11" t="s">
        <v>69</v>
      </c>
      <c r="D47" s="6" t="s">
        <v>26</v>
      </c>
      <c r="E47" s="5">
        <v>5152050</v>
      </c>
      <c r="F47" s="5">
        <v>30</v>
      </c>
      <c r="G47" s="5">
        <f>+E47-J47</f>
        <v>5152050</v>
      </c>
      <c r="H47" s="5"/>
      <c r="I47" s="5">
        <v>350000</v>
      </c>
      <c r="J47" s="5"/>
      <c r="K47" s="5">
        <f t="shared" si="34"/>
        <v>5502050</v>
      </c>
      <c r="L47" s="5">
        <f>+G47*4%</f>
        <v>206082</v>
      </c>
      <c r="M47" s="5">
        <f>+G47*5%</f>
        <v>257602.5</v>
      </c>
      <c r="N47" s="5"/>
      <c r="O47" s="5"/>
      <c r="P47" s="5">
        <v>93000</v>
      </c>
      <c r="Q47" s="5"/>
      <c r="R47" s="5"/>
      <c r="S47" s="5"/>
      <c r="T47" s="5">
        <f t="shared" si="2"/>
        <v>556684.5</v>
      </c>
      <c r="U47" s="7">
        <f>K47-T47</f>
        <v>4945365.5</v>
      </c>
      <c r="V47" s="7"/>
      <c r="W47" s="44"/>
      <c r="X47" s="7">
        <f t="shared" si="4"/>
        <v>4945365.5</v>
      </c>
    </row>
    <row r="48" spans="1:26" x14ac:dyDescent="0.25">
      <c r="A48" s="95"/>
      <c r="B48" s="4">
        <v>45</v>
      </c>
      <c r="C48" s="11" t="s">
        <v>70</v>
      </c>
      <c r="D48" s="6" t="s">
        <v>26</v>
      </c>
      <c r="E48" s="5">
        <v>9590321</v>
      </c>
      <c r="F48" s="5">
        <v>30</v>
      </c>
      <c r="G48" s="5">
        <f t="shared" si="32"/>
        <v>9590321</v>
      </c>
      <c r="H48" s="5"/>
      <c r="I48" s="5"/>
      <c r="J48" s="5"/>
      <c r="K48" s="5">
        <f t="shared" si="34"/>
        <v>9590321</v>
      </c>
      <c r="L48" s="5">
        <v>268529</v>
      </c>
      <c r="M48" s="5">
        <v>335661</v>
      </c>
      <c r="N48" s="5"/>
      <c r="O48" s="5"/>
      <c r="P48" s="5">
        <v>634000</v>
      </c>
      <c r="Q48" s="5"/>
      <c r="R48" s="5"/>
      <c r="S48" s="5"/>
      <c r="T48" s="5">
        <f t="shared" si="2"/>
        <v>1238190</v>
      </c>
      <c r="U48" s="7">
        <f>K48-T48</f>
        <v>8352131</v>
      </c>
      <c r="V48" s="7"/>
      <c r="W48" s="44"/>
      <c r="X48" s="7">
        <f t="shared" si="4"/>
        <v>8352131</v>
      </c>
    </row>
    <row r="49" spans="1:24" x14ac:dyDescent="0.25">
      <c r="A49" s="96"/>
      <c r="B49" s="4">
        <v>46</v>
      </c>
      <c r="C49" s="11" t="s">
        <v>71</v>
      </c>
      <c r="D49" s="6" t="s">
        <v>26</v>
      </c>
      <c r="E49" s="5">
        <v>4500000</v>
      </c>
      <c r="F49" s="5">
        <v>30</v>
      </c>
      <c r="G49" s="5">
        <f>+E49-J49</f>
        <v>3450000</v>
      </c>
      <c r="H49" s="5"/>
      <c r="I49" s="5"/>
      <c r="J49" s="5">
        <v>1050000</v>
      </c>
      <c r="K49" s="5">
        <f t="shared" si="34"/>
        <v>4500000</v>
      </c>
      <c r="L49" s="5">
        <v>180000</v>
      </c>
      <c r="M49" s="5">
        <v>225000</v>
      </c>
      <c r="N49" s="5"/>
      <c r="O49" s="5">
        <v>100000</v>
      </c>
      <c r="P49" s="5">
        <v>31000</v>
      </c>
      <c r="Q49" s="5"/>
      <c r="R49" s="5"/>
      <c r="S49" s="5"/>
      <c r="T49" s="5">
        <f t="shared" si="2"/>
        <v>536000</v>
      </c>
      <c r="U49" s="7">
        <f>K49-T49</f>
        <v>3964000</v>
      </c>
      <c r="V49" s="7"/>
      <c r="W49" s="44"/>
      <c r="X49" s="7">
        <f t="shared" si="4"/>
        <v>3964000</v>
      </c>
    </row>
    <row r="50" spans="1:24" ht="15" customHeight="1" x14ac:dyDescent="0.25">
      <c r="A50" s="94" t="s">
        <v>143</v>
      </c>
      <c r="B50" s="4">
        <v>1</v>
      </c>
      <c r="C50" s="11" t="s">
        <v>144</v>
      </c>
      <c r="D50" s="6"/>
      <c r="E50" s="5">
        <v>368858</v>
      </c>
      <c r="F50" s="5">
        <v>30</v>
      </c>
      <c r="G50" s="5">
        <f t="shared" si="32"/>
        <v>368858</v>
      </c>
      <c r="H50" s="5"/>
      <c r="I50" s="5"/>
      <c r="J50" s="5"/>
      <c r="K50" s="5">
        <f t="shared" si="34"/>
        <v>368858</v>
      </c>
      <c r="L50" s="5"/>
      <c r="M50" s="5"/>
      <c r="N50" s="5"/>
      <c r="O50" s="5"/>
      <c r="P50" s="5"/>
      <c r="Q50" s="5"/>
      <c r="R50" s="5"/>
      <c r="S50" s="5"/>
      <c r="T50" s="5"/>
      <c r="U50" s="7">
        <f>K50-T50</f>
        <v>368858</v>
      </c>
      <c r="V50" s="7"/>
      <c r="W50" s="44"/>
      <c r="X50" s="7">
        <f t="shared" si="4"/>
        <v>368858</v>
      </c>
    </row>
    <row r="51" spans="1:24" x14ac:dyDescent="0.25">
      <c r="A51" s="95"/>
      <c r="B51" s="4">
        <v>2</v>
      </c>
      <c r="C51" s="11" t="s">
        <v>72</v>
      </c>
      <c r="D51" s="6" t="s">
        <v>26</v>
      </c>
      <c r="E51" s="5">
        <v>3000000</v>
      </c>
      <c r="F51" s="5">
        <v>30</v>
      </c>
      <c r="G51" s="5">
        <f t="shared" si="32"/>
        <v>3000000</v>
      </c>
      <c r="H51" s="5"/>
      <c r="I51" s="5"/>
      <c r="J51" s="5"/>
      <c r="K51" s="5">
        <f t="shared" si="34"/>
        <v>3000000</v>
      </c>
      <c r="L51" s="5">
        <v>120000</v>
      </c>
      <c r="M51" s="5">
        <v>150000</v>
      </c>
      <c r="N51" s="5"/>
      <c r="O51" s="5">
        <v>100000</v>
      </c>
      <c r="P51" s="5"/>
      <c r="Q51" s="5"/>
      <c r="R51" s="5"/>
      <c r="S51" s="5"/>
      <c r="T51" s="5">
        <f t="shared" si="2"/>
        <v>370000</v>
      </c>
      <c r="U51" s="7">
        <f>K51-T51</f>
        <v>2630000</v>
      </c>
      <c r="V51" s="7"/>
      <c r="W51" s="44"/>
      <c r="X51" s="7">
        <f t="shared" si="4"/>
        <v>2630000</v>
      </c>
    </row>
    <row r="52" spans="1:24" ht="24" customHeight="1" x14ac:dyDescent="0.25">
      <c r="A52" s="95"/>
      <c r="B52" s="4">
        <v>3</v>
      </c>
      <c r="C52" s="11" t="s">
        <v>73</v>
      </c>
      <c r="D52" s="6" t="s">
        <v>26</v>
      </c>
      <c r="E52" s="5">
        <v>4000000</v>
      </c>
      <c r="F52" s="5">
        <v>30</v>
      </c>
      <c r="G52" s="5">
        <f t="shared" si="32"/>
        <v>4000000.0000000005</v>
      </c>
      <c r="H52" s="5"/>
      <c r="I52" s="5"/>
      <c r="J52" s="5"/>
      <c r="K52" s="5">
        <f t="shared" si="34"/>
        <v>4000000.0000000005</v>
      </c>
      <c r="L52" s="5">
        <f>+G52*4%</f>
        <v>160000.00000000003</v>
      </c>
      <c r="M52" s="5">
        <f>+G52*5%</f>
        <v>200000.00000000003</v>
      </c>
      <c r="N52" s="5"/>
      <c r="O52" s="5"/>
      <c r="P52" s="17">
        <v>3000</v>
      </c>
      <c r="Q52" s="5"/>
      <c r="R52" s="5">
        <v>163485</v>
      </c>
      <c r="S52" s="5"/>
      <c r="T52" s="5">
        <f t="shared" si="2"/>
        <v>526485</v>
      </c>
      <c r="U52" s="7">
        <f>+K52-T52</f>
        <v>3473515.0000000005</v>
      </c>
      <c r="V52" s="7"/>
      <c r="W52" s="44"/>
      <c r="X52" s="7">
        <f t="shared" si="4"/>
        <v>3473515.0000000005</v>
      </c>
    </row>
    <row r="53" spans="1:24" ht="25.5" customHeight="1" x14ac:dyDescent="0.25">
      <c r="A53" s="95"/>
      <c r="B53" s="4">
        <v>4</v>
      </c>
      <c r="C53" s="11" t="s">
        <v>74</v>
      </c>
      <c r="D53" s="6" t="s">
        <v>26</v>
      </c>
      <c r="E53" s="5">
        <v>737717</v>
      </c>
      <c r="F53" s="5">
        <v>30</v>
      </c>
      <c r="G53" s="5">
        <f t="shared" si="32"/>
        <v>737717</v>
      </c>
      <c r="H53" s="5">
        <v>83140</v>
      </c>
      <c r="I53" s="5"/>
      <c r="J53" s="5"/>
      <c r="K53" s="5">
        <f t="shared" si="34"/>
        <v>820857</v>
      </c>
      <c r="L53" s="5">
        <f>+G53*4%</f>
        <v>29508.68</v>
      </c>
      <c r="M53" s="5">
        <v>29508</v>
      </c>
      <c r="N53" s="5"/>
      <c r="O53" s="5">
        <v>100000</v>
      </c>
      <c r="P53" s="17"/>
      <c r="Q53" s="5"/>
      <c r="R53" s="5"/>
      <c r="S53" s="5"/>
      <c r="T53" s="5">
        <f t="shared" ref="T53" si="45">SUM(L53:S53)</f>
        <v>159016.68</v>
      </c>
      <c r="U53" s="7">
        <f>+K53-T53</f>
        <v>661840.32000000007</v>
      </c>
      <c r="V53" s="7"/>
      <c r="W53" s="44"/>
      <c r="X53" s="7">
        <f t="shared" si="4"/>
        <v>661840.32000000007</v>
      </c>
    </row>
    <row r="54" spans="1:24" x14ac:dyDescent="0.25">
      <c r="A54" s="95"/>
      <c r="B54" s="4">
        <v>5</v>
      </c>
      <c r="C54" s="3" t="s">
        <v>75</v>
      </c>
      <c r="D54" s="4" t="s">
        <v>26</v>
      </c>
      <c r="E54" s="5">
        <v>1600000</v>
      </c>
      <c r="F54" s="5">
        <v>30</v>
      </c>
      <c r="G54" s="5">
        <f t="shared" si="32"/>
        <v>1600000</v>
      </c>
      <c r="H54" s="5"/>
      <c r="I54" s="5"/>
      <c r="J54" s="5"/>
      <c r="K54" s="5">
        <f t="shared" ref="K54" si="46">SUM(G54:I54)+J54</f>
        <v>1600000</v>
      </c>
      <c r="L54" s="5">
        <f>+G54*4%</f>
        <v>64000</v>
      </c>
      <c r="M54" s="5">
        <f>+G54*4%</f>
        <v>64000</v>
      </c>
      <c r="N54" s="5"/>
      <c r="O54" s="5"/>
      <c r="P54" s="5"/>
      <c r="Q54" s="5"/>
      <c r="R54" s="5"/>
      <c r="S54" s="5"/>
      <c r="T54" s="5">
        <f t="shared" si="2"/>
        <v>128000</v>
      </c>
      <c r="U54" s="7">
        <f>K54-T54</f>
        <v>1472000</v>
      </c>
      <c r="V54" s="7"/>
      <c r="W54" s="44"/>
      <c r="X54" s="7">
        <f t="shared" si="4"/>
        <v>1472000</v>
      </c>
    </row>
    <row r="55" spans="1:24" ht="18" customHeight="1" x14ac:dyDescent="0.25">
      <c r="A55" s="95"/>
      <c r="B55" s="4">
        <v>6</v>
      </c>
      <c r="C55" s="11" t="s">
        <v>76</v>
      </c>
      <c r="D55" s="6" t="s">
        <v>26</v>
      </c>
      <c r="E55" s="5">
        <v>737717</v>
      </c>
      <c r="F55" s="5">
        <v>30</v>
      </c>
      <c r="G55" s="5">
        <f t="shared" si="32"/>
        <v>737717</v>
      </c>
      <c r="H55" s="5">
        <f t="shared" ref="H55:H57" si="47">+(83140/30)*F55</f>
        <v>83140</v>
      </c>
      <c r="I55" s="5"/>
      <c r="J55" s="5"/>
      <c r="K55" s="5">
        <f t="shared" si="34"/>
        <v>820857</v>
      </c>
      <c r="L55" s="5">
        <f t="shared" ref="L55" si="48">+G55*4%</f>
        <v>29508.68</v>
      </c>
      <c r="M55" s="5">
        <f>+G55*4%</f>
        <v>29508.68</v>
      </c>
      <c r="N55" s="5"/>
      <c r="O55" s="5"/>
      <c r="P55" s="17"/>
      <c r="Q55" s="5"/>
      <c r="R55" s="5"/>
      <c r="S55" s="5"/>
      <c r="T55" s="5">
        <f t="shared" ref="T55:T109" si="49">SUM(L55:S55)</f>
        <v>59017.36</v>
      </c>
      <c r="U55" s="7">
        <f>+K55-T55</f>
        <v>761839.64</v>
      </c>
      <c r="V55" s="7"/>
      <c r="W55" s="44"/>
      <c r="X55" s="7">
        <f t="shared" si="4"/>
        <v>761839.64</v>
      </c>
    </row>
    <row r="56" spans="1:24" x14ac:dyDescent="0.25">
      <c r="A56" s="95"/>
      <c r="B56" s="4">
        <v>7</v>
      </c>
      <c r="C56" s="3" t="s">
        <v>77</v>
      </c>
      <c r="D56" s="4" t="s">
        <v>26</v>
      </c>
      <c r="E56" s="5">
        <v>1200000</v>
      </c>
      <c r="F56" s="5">
        <v>30</v>
      </c>
      <c r="G56" s="5">
        <f t="shared" si="32"/>
        <v>1200000</v>
      </c>
      <c r="H56" s="5">
        <f t="shared" si="47"/>
        <v>83140</v>
      </c>
      <c r="I56" s="5"/>
      <c r="J56" s="5"/>
      <c r="K56" s="5">
        <f t="shared" ref="K56" si="50">SUM(G56:I56)+J56</f>
        <v>1283140</v>
      </c>
      <c r="L56" s="5">
        <f>+G56*4%</f>
        <v>48000</v>
      </c>
      <c r="M56" s="5">
        <v>48000</v>
      </c>
      <c r="N56" s="5"/>
      <c r="O56" s="5"/>
      <c r="P56" s="5"/>
      <c r="Q56" s="5"/>
      <c r="R56" s="5"/>
      <c r="S56" s="5"/>
      <c r="T56" s="5">
        <f t="shared" si="49"/>
        <v>96000</v>
      </c>
      <c r="U56" s="7">
        <f>K56-T56</f>
        <v>1187140</v>
      </c>
      <c r="V56" s="7"/>
      <c r="W56" s="44"/>
      <c r="X56" s="7">
        <f t="shared" si="4"/>
        <v>1187140</v>
      </c>
    </row>
    <row r="57" spans="1:24" x14ac:dyDescent="0.25">
      <c r="A57" s="95"/>
      <c r="B57" s="4">
        <v>8</v>
      </c>
      <c r="C57" s="11" t="s">
        <v>79</v>
      </c>
      <c r="D57" s="6" t="s">
        <v>26</v>
      </c>
      <c r="E57" s="5">
        <v>737717</v>
      </c>
      <c r="F57" s="5">
        <v>30</v>
      </c>
      <c r="G57" s="5">
        <f t="shared" si="32"/>
        <v>737717</v>
      </c>
      <c r="H57" s="5">
        <f t="shared" si="47"/>
        <v>83140</v>
      </c>
      <c r="I57" s="5"/>
      <c r="J57" s="5"/>
      <c r="K57" s="5">
        <f t="shared" ref="K57:K58" si="51">SUM(G57:I57)+J57</f>
        <v>820857</v>
      </c>
      <c r="L57" s="5">
        <f t="shared" ref="L57:L58" si="52">+G57*4%</f>
        <v>29508.68</v>
      </c>
      <c r="M57" s="5">
        <f t="shared" ref="M57:M58" si="53">+G57*4%</f>
        <v>29508.68</v>
      </c>
      <c r="N57" s="5"/>
      <c r="O57" s="5">
        <v>100000</v>
      </c>
      <c r="P57" s="17"/>
      <c r="Q57" s="5"/>
      <c r="R57" s="5"/>
      <c r="S57" s="5"/>
      <c r="T57" s="5">
        <f t="shared" ref="T57:T58" si="54">SUM(L57:S57)</f>
        <v>159017.35999999999</v>
      </c>
      <c r="U57" s="7">
        <f t="shared" ref="U57:U65" si="55">+K57-T57</f>
        <v>661839.64</v>
      </c>
      <c r="V57" s="7"/>
      <c r="W57" s="44"/>
      <c r="X57" s="7">
        <f t="shared" si="4"/>
        <v>661839.64</v>
      </c>
    </row>
    <row r="58" spans="1:24" ht="24" x14ac:dyDescent="0.25">
      <c r="A58" s="95"/>
      <c r="B58" s="4">
        <v>9</v>
      </c>
      <c r="C58" s="11" t="s">
        <v>80</v>
      </c>
      <c r="D58" s="6" t="s">
        <v>26</v>
      </c>
      <c r="E58" s="5">
        <v>1100000</v>
      </c>
      <c r="F58" s="5">
        <v>30</v>
      </c>
      <c r="G58" s="5">
        <f t="shared" si="32"/>
        <v>1100000</v>
      </c>
      <c r="H58" s="5">
        <v>83140</v>
      </c>
      <c r="I58" s="5"/>
      <c r="J58" s="5"/>
      <c r="K58" s="5">
        <f t="shared" si="51"/>
        <v>1183140</v>
      </c>
      <c r="L58" s="5">
        <f t="shared" si="52"/>
        <v>44000</v>
      </c>
      <c r="M58" s="5">
        <f t="shared" si="53"/>
        <v>44000</v>
      </c>
      <c r="N58" s="5"/>
      <c r="O58" s="5">
        <v>100000</v>
      </c>
      <c r="P58" s="17"/>
      <c r="Q58" s="5"/>
      <c r="R58" s="5"/>
      <c r="S58" s="5"/>
      <c r="T58" s="5">
        <f t="shared" si="54"/>
        <v>188000</v>
      </c>
      <c r="U58" s="7">
        <f t="shared" si="55"/>
        <v>995140</v>
      </c>
      <c r="V58" s="7"/>
      <c r="W58" s="44"/>
      <c r="X58" s="7">
        <f t="shared" si="4"/>
        <v>995140</v>
      </c>
    </row>
    <row r="59" spans="1:24" ht="21.75" customHeight="1" x14ac:dyDescent="0.25">
      <c r="A59" s="95"/>
      <c r="B59" s="4">
        <v>10</v>
      </c>
      <c r="C59" s="11" t="s">
        <v>81</v>
      </c>
      <c r="D59" s="6" t="s">
        <v>26</v>
      </c>
      <c r="E59" s="5">
        <v>1450000</v>
      </c>
      <c r="F59" s="5">
        <v>30</v>
      </c>
      <c r="G59" s="5">
        <f t="shared" si="32"/>
        <v>1450000</v>
      </c>
      <c r="H59" s="5">
        <f>+(83140/30)*F59</f>
        <v>83140</v>
      </c>
      <c r="I59" s="5"/>
      <c r="J59" s="5"/>
      <c r="K59" s="5">
        <f t="shared" si="34"/>
        <v>1533140</v>
      </c>
      <c r="L59" s="5">
        <f>+G59*4%</f>
        <v>58000</v>
      </c>
      <c r="M59" s="5">
        <f>+G59*4%</f>
        <v>58000</v>
      </c>
      <c r="N59" s="5"/>
      <c r="O59" s="5">
        <v>100000</v>
      </c>
      <c r="P59" s="5">
        <v>0</v>
      </c>
      <c r="Q59" s="5"/>
      <c r="R59" s="5"/>
      <c r="S59" s="5"/>
      <c r="T59" s="5">
        <f t="shared" si="49"/>
        <v>216000</v>
      </c>
      <c r="U59" s="7">
        <f t="shared" si="55"/>
        <v>1317140</v>
      </c>
      <c r="V59" s="7"/>
      <c r="W59" s="44"/>
      <c r="X59" s="7">
        <f t="shared" si="4"/>
        <v>1317140</v>
      </c>
    </row>
    <row r="60" spans="1:24" x14ac:dyDescent="0.25">
      <c r="A60" s="95"/>
      <c r="B60" s="4">
        <v>11</v>
      </c>
      <c r="C60" s="11" t="s">
        <v>82</v>
      </c>
      <c r="D60" s="6" t="s">
        <v>26</v>
      </c>
      <c r="E60" s="5">
        <v>737717</v>
      </c>
      <c r="F60" s="5">
        <v>30</v>
      </c>
      <c r="G60" s="5">
        <f t="shared" si="32"/>
        <v>737717</v>
      </c>
      <c r="H60" s="5">
        <v>83140</v>
      </c>
      <c r="I60" s="5"/>
      <c r="J60" s="5"/>
      <c r="K60" s="5">
        <f t="shared" ref="K60" si="56">SUM(G60:I60)+J60</f>
        <v>820857</v>
      </c>
      <c r="L60" s="5">
        <f>+G60*4%</f>
        <v>29508.68</v>
      </c>
      <c r="M60" s="5">
        <f t="shared" ref="M60" si="57">+G60*4%</f>
        <v>29508.68</v>
      </c>
      <c r="N60" s="5"/>
      <c r="O60" s="5"/>
      <c r="P60" s="17"/>
      <c r="Q60" s="5"/>
      <c r="R60" s="5"/>
      <c r="S60" s="5"/>
      <c r="T60" s="5">
        <f t="shared" si="49"/>
        <v>59017.36</v>
      </c>
      <c r="U60" s="7">
        <f t="shared" si="55"/>
        <v>761839.64</v>
      </c>
      <c r="V60" s="7"/>
      <c r="W60" s="44"/>
      <c r="X60" s="7">
        <f t="shared" si="4"/>
        <v>761839.64</v>
      </c>
    </row>
    <row r="61" spans="1:24" ht="17.25" customHeight="1" x14ac:dyDescent="0.25">
      <c r="A61" s="95"/>
      <c r="B61" s="4">
        <v>12</v>
      </c>
      <c r="C61" s="11" t="s">
        <v>83</v>
      </c>
      <c r="D61" s="6" t="s">
        <v>26</v>
      </c>
      <c r="E61" s="5">
        <v>3500000</v>
      </c>
      <c r="F61" s="5">
        <v>30</v>
      </c>
      <c r="G61" s="5">
        <f>(E61/30*F61)</f>
        <v>3500000</v>
      </c>
      <c r="H61" s="5"/>
      <c r="I61" s="5">
        <v>500000</v>
      </c>
      <c r="J61" s="5"/>
      <c r="K61" s="5">
        <f t="shared" ref="K61" si="58">SUM(G61:I61)+J61</f>
        <v>4000000</v>
      </c>
      <c r="L61" s="5">
        <f t="shared" ref="L61" si="59">+G61*4%</f>
        <v>140000</v>
      </c>
      <c r="M61" s="5">
        <f>+G61*5%</f>
        <v>175000</v>
      </c>
      <c r="N61" s="5"/>
      <c r="O61" s="5"/>
      <c r="P61" s="5">
        <v>0</v>
      </c>
      <c r="Q61" s="5"/>
      <c r="R61" s="5"/>
      <c r="S61" s="5"/>
      <c r="T61" s="5">
        <f t="shared" ref="T61" si="60">SUM(L61:S61)</f>
        <v>315000</v>
      </c>
      <c r="U61" s="7">
        <f t="shared" si="55"/>
        <v>3685000</v>
      </c>
      <c r="V61" s="7"/>
      <c r="W61" s="44"/>
      <c r="X61" s="7">
        <f t="shared" si="4"/>
        <v>3685000</v>
      </c>
    </row>
    <row r="62" spans="1:24" ht="17.25" customHeight="1" x14ac:dyDescent="0.25">
      <c r="A62" s="95"/>
      <c r="B62" s="4">
        <v>13</v>
      </c>
      <c r="C62" s="11" t="s">
        <v>84</v>
      </c>
      <c r="D62" s="6" t="s">
        <v>26</v>
      </c>
      <c r="E62" s="5">
        <v>2500000</v>
      </c>
      <c r="F62" s="5">
        <v>30</v>
      </c>
      <c r="G62" s="5">
        <f t="shared" si="32"/>
        <v>2500000</v>
      </c>
      <c r="H62" s="5">
        <v>234375</v>
      </c>
      <c r="I62" s="5"/>
      <c r="J62" s="5"/>
      <c r="K62" s="5">
        <f t="shared" si="34"/>
        <v>2734375</v>
      </c>
      <c r="L62" s="5">
        <f>+G62*4%</f>
        <v>100000</v>
      </c>
      <c r="M62" s="5">
        <f>+G62*4%</f>
        <v>100000</v>
      </c>
      <c r="N62" s="5"/>
      <c r="O62" s="5"/>
      <c r="P62" s="5">
        <v>0</v>
      </c>
      <c r="Q62" s="5"/>
      <c r="R62" s="5"/>
      <c r="S62" s="5">
        <v>200210</v>
      </c>
      <c r="T62" s="5">
        <f t="shared" si="49"/>
        <v>400210</v>
      </c>
      <c r="U62" s="7">
        <f t="shared" si="55"/>
        <v>2334165</v>
      </c>
      <c r="V62" s="7"/>
      <c r="W62" s="44"/>
      <c r="X62" s="7">
        <f t="shared" si="4"/>
        <v>2334165</v>
      </c>
    </row>
    <row r="63" spans="1:24" ht="17.25" customHeight="1" x14ac:dyDescent="0.25">
      <c r="A63" s="95"/>
      <c r="B63" s="4">
        <v>14</v>
      </c>
      <c r="C63" s="11" t="s">
        <v>85</v>
      </c>
      <c r="D63" s="6" t="s">
        <v>26</v>
      </c>
      <c r="E63" s="5">
        <v>1200000</v>
      </c>
      <c r="F63" s="5">
        <v>30</v>
      </c>
      <c r="G63" s="5">
        <f>E63/30*F63</f>
        <v>1200000</v>
      </c>
      <c r="H63" s="5">
        <f>+(83140/30)*F63</f>
        <v>83140</v>
      </c>
      <c r="I63" s="5"/>
      <c r="J63" s="5">
        <f>+E63-G63</f>
        <v>0</v>
      </c>
      <c r="K63" s="5">
        <f t="shared" ref="K63" si="61">SUM(G63:I63)+J63</f>
        <v>1283140</v>
      </c>
      <c r="L63" s="5">
        <v>48000</v>
      </c>
      <c r="M63" s="5">
        <v>48000</v>
      </c>
      <c r="N63" s="5"/>
      <c r="O63" s="5"/>
      <c r="P63" s="5">
        <v>0</v>
      </c>
      <c r="Q63" s="5"/>
      <c r="R63" s="5"/>
      <c r="S63" s="5"/>
      <c r="T63" s="5">
        <f t="shared" ref="T63:T64" si="62">SUM(L63:S63)</f>
        <v>96000</v>
      </c>
      <c r="U63" s="7">
        <f t="shared" si="55"/>
        <v>1187140</v>
      </c>
      <c r="V63" s="7"/>
      <c r="W63" s="44"/>
      <c r="X63" s="7">
        <f t="shared" si="4"/>
        <v>1187140</v>
      </c>
    </row>
    <row r="64" spans="1:24" ht="17.25" customHeight="1" x14ac:dyDescent="0.25">
      <c r="A64" s="95"/>
      <c r="B64" s="4">
        <v>15</v>
      </c>
      <c r="C64" s="11" t="s">
        <v>86</v>
      </c>
      <c r="D64" s="6" t="s">
        <v>26</v>
      </c>
      <c r="E64" s="5">
        <v>900000</v>
      </c>
      <c r="F64" s="5">
        <v>30</v>
      </c>
      <c r="G64" s="5">
        <f>E64/30*F64</f>
        <v>900000</v>
      </c>
      <c r="H64" s="5">
        <f>+(83140/30)*F64</f>
        <v>83140</v>
      </c>
      <c r="I64" s="5"/>
      <c r="J64" s="5"/>
      <c r="K64" s="5">
        <f t="shared" ref="K64" si="63">SUM(G64:I64)+J64</f>
        <v>983140</v>
      </c>
      <c r="L64" s="5">
        <f>+G64*4%</f>
        <v>36000</v>
      </c>
      <c r="M64" s="5">
        <f t="shared" ref="M64" si="64">+G64*4%</f>
        <v>36000</v>
      </c>
      <c r="N64" s="5"/>
      <c r="O64" s="5"/>
      <c r="P64" s="5">
        <v>0</v>
      </c>
      <c r="Q64" s="5"/>
      <c r="R64" s="5"/>
      <c r="S64" s="5"/>
      <c r="T64" s="5">
        <f t="shared" si="62"/>
        <v>72000</v>
      </c>
      <c r="U64" s="7">
        <f t="shared" si="55"/>
        <v>911140</v>
      </c>
      <c r="V64" s="7"/>
      <c r="W64" s="44"/>
      <c r="X64" s="7">
        <f t="shared" si="4"/>
        <v>911140</v>
      </c>
    </row>
    <row r="65" spans="1:27" ht="24" x14ac:dyDescent="0.25">
      <c r="A65" s="95"/>
      <c r="B65" s="4">
        <v>16</v>
      </c>
      <c r="C65" s="11" t="s">
        <v>87</v>
      </c>
      <c r="D65" s="6" t="s">
        <v>26</v>
      </c>
      <c r="E65" s="5">
        <v>2000000</v>
      </c>
      <c r="F65" s="5">
        <v>30</v>
      </c>
      <c r="G65" s="5">
        <f>E65/30*F65</f>
        <v>2000000.0000000002</v>
      </c>
      <c r="H65" s="5"/>
      <c r="I65" s="5"/>
      <c r="J65" s="5">
        <f>+E65-G65</f>
        <v>0</v>
      </c>
      <c r="K65" s="5">
        <f t="shared" si="34"/>
        <v>2000000.0000000002</v>
      </c>
      <c r="L65" s="5">
        <f>+G65*4%</f>
        <v>80000.000000000015</v>
      </c>
      <c r="M65" s="5">
        <v>80000</v>
      </c>
      <c r="N65" s="5"/>
      <c r="O65" s="5"/>
      <c r="P65" s="5">
        <v>0</v>
      </c>
      <c r="Q65" s="5"/>
      <c r="R65" s="5"/>
      <c r="S65" s="5"/>
      <c r="T65" s="5">
        <f t="shared" si="49"/>
        <v>160000</v>
      </c>
      <c r="U65" s="7">
        <f t="shared" si="55"/>
        <v>1840000.0000000002</v>
      </c>
      <c r="V65" s="7"/>
      <c r="W65" s="44"/>
      <c r="X65" s="7">
        <f t="shared" si="4"/>
        <v>1840000.0000000002</v>
      </c>
    </row>
    <row r="66" spans="1:27" x14ac:dyDescent="0.25">
      <c r="A66" s="95"/>
      <c r="B66" s="4">
        <v>17</v>
      </c>
      <c r="C66" s="3" t="s">
        <v>88</v>
      </c>
      <c r="D66" s="4" t="s">
        <v>26</v>
      </c>
      <c r="E66" s="5">
        <v>3500000</v>
      </c>
      <c r="F66" s="5">
        <v>30</v>
      </c>
      <c r="G66" s="5">
        <f>+E66/30*F66</f>
        <v>3500000</v>
      </c>
      <c r="H66" s="5">
        <v>82031</v>
      </c>
      <c r="I66" s="5"/>
      <c r="J66" s="5"/>
      <c r="K66" s="5">
        <f t="shared" si="34"/>
        <v>3582031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9"/>
        <v>415000</v>
      </c>
      <c r="U66" s="7">
        <f t="shared" ref="U66:U76" si="65">K66-T66</f>
        <v>3167031</v>
      </c>
      <c r="V66" s="7"/>
      <c r="W66" s="44"/>
      <c r="X66" s="7">
        <f t="shared" si="4"/>
        <v>3167031</v>
      </c>
    </row>
    <row r="67" spans="1:27" x14ac:dyDescent="0.25">
      <c r="A67" s="95"/>
      <c r="B67" s="4">
        <v>18</v>
      </c>
      <c r="C67" s="11" t="s">
        <v>89</v>
      </c>
      <c r="D67" s="6" t="s">
        <v>26</v>
      </c>
      <c r="E67" s="5">
        <v>4000000</v>
      </c>
      <c r="F67" s="5">
        <v>30</v>
      </c>
      <c r="G67" s="5">
        <f>+E67/30*F67</f>
        <v>4000000.0000000005</v>
      </c>
      <c r="H67" s="5">
        <v>281250</v>
      </c>
      <c r="I67" s="5">
        <v>300000</v>
      </c>
      <c r="J67" s="5">
        <f>+E67-G67</f>
        <v>0</v>
      </c>
      <c r="K67" s="5">
        <f t="shared" si="34"/>
        <v>4581250</v>
      </c>
      <c r="L67" s="5">
        <v>160000</v>
      </c>
      <c r="M67" s="5">
        <v>200000</v>
      </c>
      <c r="N67" s="5"/>
      <c r="O67" s="5">
        <v>100000</v>
      </c>
      <c r="P67" s="5">
        <v>3000</v>
      </c>
      <c r="Q67" s="5"/>
      <c r="R67" s="5"/>
      <c r="S67" s="5">
        <v>766228</v>
      </c>
      <c r="T67" s="5">
        <f t="shared" si="49"/>
        <v>1229228</v>
      </c>
      <c r="U67" s="7">
        <f t="shared" si="65"/>
        <v>3352022</v>
      </c>
      <c r="V67" s="7"/>
      <c r="W67" s="44"/>
      <c r="X67" s="7">
        <f t="shared" si="4"/>
        <v>3352022</v>
      </c>
    </row>
    <row r="68" spans="1:27" x14ac:dyDescent="0.25">
      <c r="A68" s="95"/>
      <c r="B68" s="4">
        <v>19</v>
      </c>
      <c r="C68" s="11" t="s">
        <v>90</v>
      </c>
      <c r="D68" s="6" t="s">
        <v>26</v>
      </c>
      <c r="E68" s="5">
        <v>737717</v>
      </c>
      <c r="F68" s="5">
        <v>30</v>
      </c>
      <c r="G68" s="5">
        <f>+E68/30*F68</f>
        <v>737717</v>
      </c>
      <c r="H68" s="5"/>
      <c r="I68" s="5"/>
      <c r="J68" s="5"/>
      <c r="K68" s="5">
        <f t="shared" si="34"/>
        <v>737717</v>
      </c>
      <c r="L68" s="5"/>
      <c r="M68" s="5"/>
      <c r="N68" s="5"/>
      <c r="O68" s="5"/>
      <c r="P68" s="5"/>
      <c r="Q68" s="5"/>
      <c r="R68" s="5"/>
      <c r="S68" s="5"/>
      <c r="T68" s="5">
        <f t="shared" si="49"/>
        <v>0</v>
      </c>
      <c r="U68" s="7">
        <f t="shared" si="65"/>
        <v>737717</v>
      </c>
      <c r="V68" s="7"/>
      <c r="W68" s="44"/>
      <c r="X68" s="7">
        <f t="shared" ref="X68:X109" si="66">U68+V68-W68</f>
        <v>737717</v>
      </c>
    </row>
    <row r="69" spans="1:27" ht="17.25" customHeight="1" x14ac:dyDescent="0.25">
      <c r="A69" s="95"/>
      <c r="B69" s="4">
        <v>20</v>
      </c>
      <c r="C69" s="11" t="s">
        <v>91</v>
      </c>
      <c r="D69" s="6" t="s">
        <v>26</v>
      </c>
      <c r="E69" s="5">
        <v>3500000</v>
      </c>
      <c r="F69" s="5">
        <v>30</v>
      </c>
      <c r="G69" s="5">
        <f>E69/30*F69</f>
        <v>3500000</v>
      </c>
      <c r="H69" s="5"/>
      <c r="I69" s="5"/>
      <c r="J69" s="5">
        <f>+E69-G69</f>
        <v>0</v>
      </c>
      <c r="K69" s="5">
        <f t="shared" si="34"/>
        <v>3500000</v>
      </c>
      <c r="L69" s="5">
        <v>140000</v>
      </c>
      <c r="M69" s="5">
        <v>175000</v>
      </c>
      <c r="N69" s="5"/>
      <c r="O69" s="5">
        <v>100000</v>
      </c>
      <c r="P69" s="5">
        <v>0</v>
      </c>
      <c r="Q69" s="5"/>
      <c r="R69" s="5"/>
      <c r="S69" s="5">
        <v>322019</v>
      </c>
      <c r="T69" s="5">
        <f t="shared" si="49"/>
        <v>737019</v>
      </c>
      <c r="U69" s="7">
        <f t="shared" si="65"/>
        <v>2762981</v>
      </c>
      <c r="V69" s="7"/>
      <c r="W69" s="44"/>
      <c r="X69" s="7">
        <f t="shared" si="66"/>
        <v>2762981</v>
      </c>
    </row>
    <row r="70" spans="1:27" ht="17.25" customHeight="1" x14ac:dyDescent="0.25">
      <c r="A70" s="95"/>
      <c r="B70" s="4">
        <v>21</v>
      </c>
      <c r="C70" s="11" t="s">
        <v>92</v>
      </c>
      <c r="D70" s="6" t="s">
        <v>26</v>
      </c>
      <c r="E70" s="5">
        <v>1200000</v>
      </c>
      <c r="F70" s="5">
        <v>30</v>
      </c>
      <c r="G70" s="5">
        <f>+E70/30*F70</f>
        <v>1200000</v>
      </c>
      <c r="H70" s="5">
        <f>+(83140/30)*F70</f>
        <v>83140</v>
      </c>
      <c r="I70" s="5"/>
      <c r="J70" s="5"/>
      <c r="K70" s="5">
        <f t="shared" ref="K70:K73" si="67">SUM(G70:I70)+J70</f>
        <v>1283140</v>
      </c>
      <c r="L70" s="5">
        <f>+G70*4%</f>
        <v>48000</v>
      </c>
      <c r="M70" s="5">
        <f>+G70*4%</f>
        <v>48000</v>
      </c>
      <c r="N70" s="5"/>
      <c r="O70" s="5"/>
      <c r="P70" s="5"/>
      <c r="Q70" s="5"/>
      <c r="R70" s="5"/>
      <c r="S70" s="5"/>
      <c r="T70" s="5">
        <f t="shared" ref="T70:T73" si="68">SUM(L70:S70)</f>
        <v>96000</v>
      </c>
      <c r="U70" s="7">
        <f t="shared" si="65"/>
        <v>1187140</v>
      </c>
      <c r="V70" s="7"/>
      <c r="W70" s="44"/>
      <c r="X70" s="7">
        <f t="shared" si="66"/>
        <v>1187140</v>
      </c>
    </row>
    <row r="71" spans="1:27" ht="17.25" customHeight="1" x14ac:dyDescent="0.25">
      <c r="A71" s="95"/>
      <c r="B71" s="4">
        <v>22</v>
      </c>
      <c r="C71" s="11" t="s">
        <v>93</v>
      </c>
      <c r="D71" s="6"/>
      <c r="E71" s="5">
        <v>1030410</v>
      </c>
      <c r="F71" s="5">
        <v>30</v>
      </c>
      <c r="G71" s="5">
        <f>+E71/30*F71</f>
        <v>1030410</v>
      </c>
      <c r="H71" s="5">
        <f>+(83140/30)*F71</f>
        <v>83140</v>
      </c>
      <c r="I71" s="5"/>
      <c r="J71" s="5"/>
      <c r="K71" s="5">
        <f t="shared" ref="K71" si="69">SUM(G71:I71)+J71</f>
        <v>1113550</v>
      </c>
      <c r="L71" s="5">
        <f>+G71*4%</f>
        <v>41216.400000000001</v>
      </c>
      <c r="M71" s="5">
        <f>+G71*4%</f>
        <v>41216.400000000001</v>
      </c>
      <c r="N71" s="5"/>
      <c r="O71" s="5">
        <v>100000</v>
      </c>
      <c r="P71" s="5"/>
      <c r="Q71" s="5"/>
      <c r="R71" s="5"/>
      <c r="S71" s="5"/>
      <c r="T71" s="5">
        <f t="shared" si="68"/>
        <v>182432.8</v>
      </c>
      <c r="U71" s="7">
        <f t="shared" si="65"/>
        <v>931117.2</v>
      </c>
      <c r="V71" s="7"/>
      <c r="W71" s="44"/>
      <c r="X71" s="7">
        <f t="shared" si="66"/>
        <v>931117.2</v>
      </c>
    </row>
    <row r="72" spans="1:27" x14ac:dyDescent="0.25">
      <c r="A72" s="95"/>
      <c r="B72" s="4">
        <v>23</v>
      </c>
      <c r="C72" s="3" t="s">
        <v>95</v>
      </c>
      <c r="D72" s="4"/>
      <c r="E72" s="5">
        <v>4000000</v>
      </c>
      <c r="F72" s="5">
        <v>30</v>
      </c>
      <c r="G72" s="5">
        <f t="shared" ref="G72" si="70">+E72/30*F72</f>
        <v>4000000.0000000005</v>
      </c>
      <c r="H72" s="5"/>
      <c r="I72" s="5"/>
      <c r="J72" s="5"/>
      <c r="K72" s="5">
        <f t="shared" ref="K72" si="71">SUM(G72:I72)+J72</f>
        <v>4000000.0000000005</v>
      </c>
      <c r="L72" s="5">
        <f>+G72*4%</f>
        <v>160000.00000000003</v>
      </c>
      <c r="M72" s="5">
        <f>+G72*5%</f>
        <v>200000.00000000003</v>
      </c>
      <c r="N72" s="5"/>
      <c r="O72" s="5"/>
      <c r="P72" s="5"/>
      <c r="Q72" s="5"/>
      <c r="R72" s="5"/>
      <c r="S72" s="5"/>
      <c r="T72" s="5">
        <f t="shared" ref="T72" si="72">SUM(L72:S72)</f>
        <v>360000.00000000006</v>
      </c>
      <c r="U72" s="7">
        <f t="shared" ref="U72" si="73">+K72-T72</f>
        <v>3640000.0000000005</v>
      </c>
      <c r="V72" s="7"/>
      <c r="W72" s="44"/>
      <c r="X72" s="7">
        <f t="shared" si="66"/>
        <v>3640000.0000000005</v>
      </c>
    </row>
    <row r="73" spans="1:27" ht="17.25" customHeight="1" x14ac:dyDescent="0.25">
      <c r="A73" s="95"/>
      <c r="B73" s="4">
        <v>24</v>
      </c>
      <c r="C73" s="11" t="s">
        <v>96</v>
      </c>
      <c r="D73" s="6" t="s">
        <v>26</v>
      </c>
      <c r="E73" s="5">
        <v>900000</v>
      </c>
      <c r="F73" s="5">
        <v>16</v>
      </c>
      <c r="G73" s="5">
        <f>E73/30*F73</f>
        <v>480000</v>
      </c>
      <c r="H73" s="5">
        <f>+(83140/30)*F73</f>
        <v>44341.333333333336</v>
      </c>
      <c r="I73" s="5"/>
      <c r="J73" s="5"/>
      <c r="K73" s="5">
        <f t="shared" si="67"/>
        <v>524341.33333333337</v>
      </c>
      <c r="L73" s="5">
        <f>+G73*4%</f>
        <v>19200</v>
      </c>
      <c r="M73" s="5">
        <f>+G73*4%</f>
        <v>19200</v>
      </c>
      <c r="N73" s="5"/>
      <c r="O73" s="5"/>
      <c r="P73" s="5"/>
      <c r="Q73" s="5"/>
      <c r="R73" s="5"/>
      <c r="S73" s="5"/>
      <c r="T73" s="5">
        <f t="shared" si="68"/>
        <v>38400</v>
      </c>
      <c r="U73" s="7">
        <f>K73-T73</f>
        <v>485941.33333333337</v>
      </c>
      <c r="V73" s="7"/>
      <c r="W73" s="44"/>
      <c r="X73" s="7">
        <f t="shared" si="66"/>
        <v>485941.33333333337</v>
      </c>
    </row>
    <row r="74" spans="1:27" ht="15.75" customHeight="1" x14ac:dyDescent="0.25">
      <c r="A74" s="95"/>
      <c r="B74" s="4">
        <v>25</v>
      </c>
      <c r="C74" s="11" t="s">
        <v>97</v>
      </c>
      <c r="D74" s="6" t="s">
        <v>26</v>
      </c>
      <c r="E74" s="5">
        <v>2000000</v>
      </c>
      <c r="F74" s="5">
        <v>30</v>
      </c>
      <c r="G74" s="5">
        <f>(E74/30*F74)</f>
        <v>2000000.0000000002</v>
      </c>
      <c r="H74" s="5">
        <v>140625</v>
      </c>
      <c r="I74" s="5"/>
      <c r="J74" s="5">
        <f>+E74-G74</f>
        <v>0</v>
      </c>
      <c r="K74" s="5">
        <f t="shared" si="34"/>
        <v>2140625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49"/>
        <v>414624</v>
      </c>
      <c r="U74" s="7">
        <f t="shared" si="65"/>
        <v>1726001</v>
      </c>
      <c r="V74" s="7"/>
      <c r="W74" s="44"/>
      <c r="X74" s="7">
        <f t="shared" si="66"/>
        <v>1726001</v>
      </c>
      <c r="AA74" s="45">
        <f>1196000+644000</f>
        <v>1840000</v>
      </c>
    </row>
    <row r="75" spans="1:27" ht="15.75" customHeight="1" x14ac:dyDescent="0.25">
      <c r="A75" s="95"/>
      <c r="B75" s="4">
        <v>26</v>
      </c>
      <c r="C75" s="11" t="s">
        <v>98</v>
      </c>
      <c r="D75" s="6" t="s">
        <v>26</v>
      </c>
      <c r="E75" s="5">
        <v>2000000</v>
      </c>
      <c r="F75" s="5">
        <v>27</v>
      </c>
      <c r="G75" s="5">
        <f>(E75/30*F75)</f>
        <v>1800000.0000000002</v>
      </c>
      <c r="H75" s="5">
        <v>133341</v>
      </c>
      <c r="I75" s="5"/>
      <c r="J75" s="5">
        <v>349200</v>
      </c>
      <c r="K75" s="5">
        <f t="shared" ref="K75" si="74">SUM(G75:I75)+J75</f>
        <v>2282541</v>
      </c>
      <c r="L75" s="5">
        <v>80000</v>
      </c>
      <c r="M75" s="5">
        <v>80000</v>
      </c>
      <c r="N75" s="5"/>
      <c r="O75" s="5"/>
      <c r="P75" s="5">
        <v>34920</v>
      </c>
      <c r="Q75" s="5"/>
      <c r="R75" s="5"/>
      <c r="S75" s="5"/>
      <c r="T75" s="5">
        <f t="shared" ref="T75" si="75">SUM(L75:S75)</f>
        <v>194920</v>
      </c>
      <c r="U75" s="7">
        <f t="shared" si="65"/>
        <v>2087621</v>
      </c>
      <c r="V75" s="7"/>
      <c r="W75" s="44"/>
      <c r="X75" s="7">
        <f t="shared" si="66"/>
        <v>2087621</v>
      </c>
    </row>
    <row r="76" spans="1:27" x14ac:dyDescent="0.25">
      <c r="A76" s="95"/>
      <c r="B76" s="4">
        <v>27</v>
      </c>
      <c r="C76" s="3" t="s">
        <v>100</v>
      </c>
      <c r="D76" s="4" t="s">
        <v>26</v>
      </c>
      <c r="E76" s="5">
        <v>737717</v>
      </c>
      <c r="F76" s="5">
        <v>30</v>
      </c>
      <c r="G76" s="5">
        <f>(E76/30*F76)</f>
        <v>737717</v>
      </c>
      <c r="H76" s="5"/>
      <c r="I76" s="5"/>
      <c r="J76" s="5"/>
      <c r="K76" s="5">
        <f t="shared" si="34"/>
        <v>737717</v>
      </c>
      <c r="L76" s="5"/>
      <c r="M76" s="5"/>
      <c r="N76" s="5"/>
      <c r="O76" s="5"/>
      <c r="P76" s="5"/>
      <c r="Q76" s="5"/>
      <c r="R76" s="5"/>
      <c r="S76" s="5"/>
      <c r="T76" s="5">
        <f t="shared" si="49"/>
        <v>0</v>
      </c>
      <c r="U76" s="7">
        <f t="shared" si="65"/>
        <v>737717</v>
      </c>
      <c r="V76" s="7"/>
      <c r="W76" s="44"/>
      <c r="X76" s="7">
        <f t="shared" si="66"/>
        <v>737717</v>
      </c>
      <c r="AA76" s="45">
        <f>1840000-1196000</f>
        <v>644000</v>
      </c>
    </row>
    <row r="77" spans="1:27" ht="20.25" customHeight="1" x14ac:dyDescent="0.25">
      <c r="A77" s="95"/>
      <c r="B77" s="4">
        <v>28</v>
      </c>
      <c r="C77" s="11" t="s">
        <v>102</v>
      </c>
      <c r="D77" s="6" t="s">
        <v>26</v>
      </c>
      <c r="E77" s="5">
        <v>3500000</v>
      </c>
      <c r="F77" s="5">
        <v>30</v>
      </c>
      <c r="G77" s="5">
        <f t="shared" ref="G77:G81" si="76">+E77/30*F77</f>
        <v>3500000</v>
      </c>
      <c r="H77" s="5"/>
      <c r="I77" s="5"/>
      <c r="J77" s="5">
        <f>+E77-G77</f>
        <v>0</v>
      </c>
      <c r="K77" s="5">
        <f t="shared" si="34"/>
        <v>3500000</v>
      </c>
      <c r="L77" s="5">
        <v>140000</v>
      </c>
      <c r="M77" s="5">
        <v>175000</v>
      </c>
      <c r="N77" s="5"/>
      <c r="O77" s="5"/>
      <c r="P77" s="5">
        <v>0</v>
      </c>
      <c r="Q77" s="5"/>
      <c r="R77" s="5"/>
      <c r="S77" s="5">
        <v>996534</v>
      </c>
      <c r="T77" s="5">
        <f t="shared" si="49"/>
        <v>1311534</v>
      </c>
      <c r="U77" s="7">
        <f t="shared" ref="U77:U85" si="77">+K77-T77</f>
        <v>2188466</v>
      </c>
      <c r="V77" s="7"/>
      <c r="W77" s="44"/>
      <c r="X77" s="7">
        <f t="shared" si="66"/>
        <v>2188466</v>
      </c>
    </row>
    <row r="78" spans="1:27" x14ac:dyDescent="0.25">
      <c r="A78" s="95"/>
      <c r="B78" s="4">
        <v>29</v>
      </c>
      <c r="C78" s="11" t="s">
        <v>104</v>
      </c>
      <c r="D78" s="6" t="s">
        <v>26</v>
      </c>
      <c r="E78" s="5">
        <v>4000000</v>
      </c>
      <c r="F78" s="5">
        <v>30</v>
      </c>
      <c r="G78" s="5">
        <f t="shared" si="76"/>
        <v>4000000.0000000005</v>
      </c>
      <c r="H78" s="5"/>
      <c r="I78" s="5"/>
      <c r="J78" s="5"/>
      <c r="K78" s="5">
        <f t="shared" si="34"/>
        <v>4000000.0000000005</v>
      </c>
      <c r="L78" s="5">
        <v>160000</v>
      </c>
      <c r="M78" s="5">
        <v>200000</v>
      </c>
      <c r="N78" s="5"/>
      <c r="O78" s="5"/>
      <c r="P78" s="5">
        <v>3000</v>
      </c>
      <c r="Q78" s="5"/>
      <c r="R78" s="5"/>
      <c r="S78" s="5"/>
      <c r="T78" s="5">
        <f t="shared" si="49"/>
        <v>363000</v>
      </c>
      <c r="U78" s="7">
        <f t="shared" si="77"/>
        <v>3637000.0000000005</v>
      </c>
      <c r="V78" s="7"/>
      <c r="W78" s="44"/>
      <c r="X78" s="7">
        <f t="shared" si="66"/>
        <v>3637000.0000000005</v>
      </c>
      <c r="Y78" s="45" t="s">
        <v>105</v>
      </c>
    </row>
    <row r="79" spans="1:27" x14ac:dyDescent="0.25">
      <c r="A79" s="95"/>
      <c r="B79" s="4">
        <v>30</v>
      </c>
      <c r="C79" s="11" t="s">
        <v>106</v>
      </c>
      <c r="D79" s="6" t="s">
        <v>26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5">
        <v>0</v>
      </c>
      <c r="Q79" s="5"/>
      <c r="R79" s="5"/>
      <c r="S79" s="5"/>
      <c r="T79" s="5">
        <f t="shared" ref="T79" si="79">SUM(L79:S79)</f>
        <v>172000</v>
      </c>
      <c r="U79" s="7">
        <f t="shared" si="77"/>
        <v>811140</v>
      </c>
      <c r="V79" s="7"/>
      <c r="W79" s="44"/>
      <c r="X79" s="7">
        <f t="shared" si="66"/>
        <v>811140</v>
      </c>
      <c r="Y79" s="45" t="s">
        <v>105</v>
      </c>
    </row>
    <row r="80" spans="1:27" x14ac:dyDescent="0.25">
      <c r="A80" s="95"/>
      <c r="B80" s="4">
        <v>31</v>
      </c>
      <c r="C80" s="11" t="s">
        <v>107</v>
      </c>
      <c r="D80" s="6" t="s">
        <v>26</v>
      </c>
      <c r="E80" s="5">
        <v>3000000</v>
      </c>
      <c r="F80" s="5">
        <v>30</v>
      </c>
      <c r="G80" s="5">
        <f t="shared" si="76"/>
        <v>3000000</v>
      </c>
      <c r="H80" s="5"/>
      <c r="I80" s="5"/>
      <c r="J80" s="5"/>
      <c r="K80" s="5">
        <f t="shared" si="34"/>
        <v>3000000</v>
      </c>
      <c r="L80" s="5">
        <f>+E80*4%</f>
        <v>120000</v>
      </c>
      <c r="M80" s="5">
        <f>+E80*5%</f>
        <v>150000</v>
      </c>
      <c r="N80" s="5"/>
      <c r="O80" s="5"/>
      <c r="P80" s="17">
        <v>0</v>
      </c>
      <c r="Q80" s="5"/>
      <c r="R80" s="5"/>
      <c r="S80" s="5">
        <v>586000</v>
      </c>
      <c r="T80" s="5">
        <f t="shared" si="49"/>
        <v>856000</v>
      </c>
      <c r="U80" s="7">
        <f t="shared" si="77"/>
        <v>2144000</v>
      </c>
      <c r="V80" s="7"/>
      <c r="W80" s="44"/>
      <c r="X80" s="7">
        <f t="shared" si="66"/>
        <v>2144000</v>
      </c>
    </row>
    <row r="81" spans="1:24" x14ac:dyDescent="0.25">
      <c r="A81" s="95"/>
      <c r="B81" s="4">
        <v>32</v>
      </c>
      <c r="C81" s="11" t="s">
        <v>108</v>
      </c>
      <c r="D81" s="6"/>
      <c r="E81" s="5">
        <v>4500000</v>
      </c>
      <c r="F81" s="5">
        <v>30</v>
      </c>
      <c r="G81" s="5">
        <f t="shared" si="76"/>
        <v>4500000</v>
      </c>
      <c r="H81" s="5"/>
      <c r="I81" s="5"/>
      <c r="J81" s="5"/>
      <c r="K81" s="5">
        <f t="shared" ref="K81" si="80">SUM(G81:I81)+J81</f>
        <v>4500000</v>
      </c>
      <c r="L81" s="5">
        <f>+G81*4%</f>
        <v>180000</v>
      </c>
      <c r="M81" s="5">
        <f>+G81*5%</f>
        <v>225000</v>
      </c>
      <c r="N81" s="5"/>
      <c r="O81" s="5">
        <v>100000</v>
      </c>
      <c r="P81" s="17">
        <v>72000</v>
      </c>
      <c r="Q81" s="5"/>
      <c r="R81" s="5"/>
      <c r="S81" s="5"/>
      <c r="T81" s="5">
        <f t="shared" ref="T81:T82" si="81">SUM(L81:S81)</f>
        <v>577000</v>
      </c>
      <c r="U81" s="7">
        <f t="shared" si="77"/>
        <v>3923000</v>
      </c>
      <c r="V81" s="7"/>
      <c r="W81" s="44"/>
      <c r="X81" s="7">
        <f t="shared" si="66"/>
        <v>3923000</v>
      </c>
    </row>
    <row r="82" spans="1:24" ht="24" x14ac:dyDescent="0.25">
      <c r="A82" s="95"/>
      <c r="B82" s="4">
        <v>33</v>
      </c>
      <c r="C82" s="11" t="s">
        <v>109</v>
      </c>
      <c r="D82" s="6" t="s">
        <v>26</v>
      </c>
      <c r="E82" s="5">
        <v>900000</v>
      </c>
      <c r="F82" s="5">
        <v>30</v>
      </c>
      <c r="G82" s="5">
        <f>+E82/30*F82</f>
        <v>900000</v>
      </c>
      <c r="H82" s="5">
        <f>+(83140/30)*F82</f>
        <v>83140</v>
      </c>
      <c r="I82" s="5"/>
      <c r="J82" s="5"/>
      <c r="K82" s="5">
        <f t="shared" ref="K82" si="82">SUM(G82:I82)+J82</f>
        <v>983140</v>
      </c>
      <c r="L82" s="5">
        <f>+G82*4%</f>
        <v>36000</v>
      </c>
      <c r="M82" s="5">
        <f>+G82*4%</f>
        <v>36000</v>
      </c>
      <c r="N82" s="5"/>
      <c r="O82" s="5">
        <v>100000</v>
      </c>
      <c r="P82" s="17">
        <v>0</v>
      </c>
      <c r="Q82" s="5"/>
      <c r="R82" s="5"/>
      <c r="S82" s="5"/>
      <c r="T82" s="5">
        <f t="shared" si="81"/>
        <v>172000</v>
      </c>
      <c r="U82" s="7">
        <f t="shared" si="77"/>
        <v>811140</v>
      </c>
      <c r="V82" s="7"/>
      <c r="W82" s="44"/>
      <c r="X82" s="7">
        <f t="shared" si="66"/>
        <v>811140</v>
      </c>
    </row>
    <row r="83" spans="1:24" x14ac:dyDescent="0.25">
      <c r="A83" s="95"/>
      <c r="B83" s="4">
        <v>34</v>
      </c>
      <c r="C83" s="11" t="s">
        <v>149</v>
      </c>
      <c r="D83" s="6"/>
      <c r="E83" s="5">
        <v>2000000</v>
      </c>
      <c r="F83" s="5">
        <v>24</v>
      </c>
      <c r="G83" s="5">
        <f>+E83/30*F83</f>
        <v>1600000</v>
      </c>
      <c r="H83" s="5"/>
      <c r="I83" s="5"/>
      <c r="J83" s="5"/>
      <c r="K83" s="5">
        <f t="shared" ref="K83:K106" si="83">SUM(G83:I83)+J83</f>
        <v>1600000</v>
      </c>
      <c r="L83" s="5">
        <f>+G83*4%</f>
        <v>64000</v>
      </c>
      <c r="M83" s="5">
        <v>64000</v>
      </c>
      <c r="N83" s="5"/>
      <c r="O83" s="5"/>
      <c r="P83" s="5">
        <v>0</v>
      </c>
      <c r="Q83" s="5"/>
      <c r="R83" s="5"/>
      <c r="S83" s="5"/>
      <c r="T83" s="5">
        <f t="shared" ref="T83" si="84">SUM(L83:S83)</f>
        <v>128000</v>
      </c>
      <c r="U83" s="7">
        <f t="shared" si="77"/>
        <v>1472000</v>
      </c>
      <c r="V83" s="7"/>
      <c r="W83" s="44"/>
      <c r="X83" s="7">
        <f t="shared" si="66"/>
        <v>1472000</v>
      </c>
    </row>
    <row r="84" spans="1:24" x14ac:dyDescent="0.25">
      <c r="A84" s="95"/>
      <c r="B84" s="4">
        <v>35</v>
      </c>
      <c r="C84" s="11" t="s">
        <v>110</v>
      </c>
      <c r="D84" s="6" t="s">
        <v>26</v>
      </c>
      <c r="E84" s="5">
        <v>2500000</v>
      </c>
      <c r="F84" s="5">
        <v>30</v>
      </c>
      <c r="G84" s="5">
        <f>+E84/30*F84</f>
        <v>2500000</v>
      </c>
      <c r="H84" s="5"/>
      <c r="I84" s="5"/>
      <c r="J84" s="5"/>
      <c r="K84" s="5">
        <f t="shared" si="83"/>
        <v>2500000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>
        <v>257196</v>
      </c>
      <c r="T84" s="5">
        <f t="shared" si="49"/>
        <v>557196</v>
      </c>
      <c r="U84" s="7">
        <f t="shared" si="77"/>
        <v>1942804</v>
      </c>
      <c r="V84" s="7"/>
      <c r="W84" s="44"/>
      <c r="X84" s="7">
        <f t="shared" si="66"/>
        <v>1942804</v>
      </c>
    </row>
    <row r="85" spans="1:24" x14ac:dyDescent="0.25">
      <c r="A85" s="95"/>
      <c r="B85" s="4">
        <v>36</v>
      </c>
      <c r="C85" s="11" t="s">
        <v>111</v>
      </c>
      <c r="D85" s="6" t="s">
        <v>26</v>
      </c>
      <c r="E85" s="5">
        <v>4500000</v>
      </c>
      <c r="F85" s="5">
        <v>30</v>
      </c>
      <c r="G85" s="5">
        <f>+E85/30*F85</f>
        <v>4500000</v>
      </c>
      <c r="H85" s="5"/>
      <c r="I85" s="5"/>
      <c r="J85" s="5"/>
      <c r="K85" s="5">
        <f t="shared" si="83"/>
        <v>4500000</v>
      </c>
      <c r="L85" s="5">
        <v>180000</v>
      </c>
      <c r="M85" s="5">
        <v>225000</v>
      </c>
      <c r="N85" s="5"/>
      <c r="O85" s="5">
        <v>100000</v>
      </c>
      <c r="P85" s="5">
        <v>72000</v>
      </c>
      <c r="Q85" s="5"/>
      <c r="R85" s="5"/>
      <c r="S85" s="5"/>
      <c r="T85" s="5">
        <f t="shared" ref="T85" si="85">SUM(L85:S85)</f>
        <v>577000</v>
      </c>
      <c r="U85" s="7">
        <f t="shared" si="77"/>
        <v>3923000</v>
      </c>
      <c r="V85" s="7"/>
      <c r="W85" s="44"/>
      <c r="X85" s="7">
        <f t="shared" si="66"/>
        <v>3923000</v>
      </c>
    </row>
    <row r="86" spans="1:24" x14ac:dyDescent="0.25">
      <c r="A86" s="95"/>
      <c r="B86" s="4">
        <v>37</v>
      </c>
      <c r="C86" s="11" t="s">
        <v>150</v>
      </c>
      <c r="D86" s="6"/>
      <c r="E86" s="5">
        <v>3200000</v>
      </c>
      <c r="F86" s="5">
        <v>24</v>
      </c>
      <c r="G86" s="5">
        <f t="shared" ref="G86" si="86">+E86/30*F86</f>
        <v>2560000</v>
      </c>
      <c r="H86" s="5"/>
      <c r="I86" s="5"/>
      <c r="J86" s="5"/>
      <c r="K86" s="5">
        <f t="shared" si="83"/>
        <v>2560000</v>
      </c>
      <c r="L86" s="5">
        <f t="shared" ref="L86" si="87">+G86*4%</f>
        <v>102400</v>
      </c>
      <c r="M86" s="5">
        <f>+G86*4%</f>
        <v>102400</v>
      </c>
      <c r="N86" s="5"/>
      <c r="O86" s="5">
        <v>100000</v>
      </c>
      <c r="P86" s="5"/>
      <c r="Q86" s="5"/>
      <c r="R86" s="5"/>
      <c r="S86" s="5"/>
      <c r="T86" s="5">
        <f t="shared" ref="T86" si="88">SUM(L86:S86)</f>
        <v>304800</v>
      </c>
      <c r="U86" s="7">
        <f>+K86-T86</f>
        <v>2255200</v>
      </c>
      <c r="V86" s="7"/>
      <c r="W86" s="44"/>
      <c r="X86" s="7">
        <f t="shared" si="66"/>
        <v>2255200</v>
      </c>
    </row>
    <row r="87" spans="1:24" x14ac:dyDescent="0.25">
      <c r="A87" s="95"/>
      <c r="B87" s="4">
        <v>38</v>
      </c>
      <c r="C87" s="11" t="s">
        <v>112</v>
      </c>
      <c r="D87" s="6" t="s">
        <v>26</v>
      </c>
      <c r="E87" s="5">
        <v>4500000</v>
      </c>
      <c r="F87" s="5">
        <v>30</v>
      </c>
      <c r="G87" s="5">
        <f>+E87/30*F87</f>
        <v>4500000</v>
      </c>
      <c r="H87" s="5"/>
      <c r="I87" s="5"/>
      <c r="J87" s="5"/>
      <c r="K87" s="5">
        <f t="shared" si="83"/>
        <v>4500000</v>
      </c>
      <c r="L87" s="5">
        <v>180000</v>
      </c>
      <c r="M87" s="5">
        <v>225000</v>
      </c>
      <c r="N87" s="5"/>
      <c r="O87" s="5">
        <v>100000</v>
      </c>
      <c r="P87" s="5">
        <v>73073</v>
      </c>
      <c r="Q87" s="5"/>
      <c r="R87" s="5"/>
      <c r="S87" s="5"/>
      <c r="T87" s="5">
        <f>SUM(L87:S87)</f>
        <v>578073</v>
      </c>
      <c r="U87" s="7">
        <f t="shared" ref="U87:U92" si="89">K87-T87</f>
        <v>3921927</v>
      </c>
      <c r="V87" s="7"/>
      <c r="W87" s="44"/>
      <c r="X87" s="7">
        <f t="shared" si="66"/>
        <v>3921927</v>
      </c>
    </row>
    <row r="88" spans="1:24" x14ac:dyDescent="0.25">
      <c r="A88" s="95"/>
      <c r="B88" s="4">
        <v>39</v>
      </c>
      <c r="C88" s="11" t="s">
        <v>113</v>
      </c>
      <c r="D88" s="6" t="s">
        <v>26</v>
      </c>
      <c r="E88" s="5">
        <v>2500000</v>
      </c>
      <c r="F88" s="5">
        <v>30</v>
      </c>
      <c r="G88" s="5">
        <f t="shared" ref="G88" si="90">+E88/30*F88</f>
        <v>2500000</v>
      </c>
      <c r="H88" s="5"/>
      <c r="I88" s="5">
        <v>500000</v>
      </c>
      <c r="J88" s="5">
        <f>+E88-G88</f>
        <v>0</v>
      </c>
      <c r="K88" s="5">
        <f t="shared" si="83"/>
        <v>3000000</v>
      </c>
      <c r="L88" s="5">
        <v>100000</v>
      </c>
      <c r="M88" s="5">
        <v>100000</v>
      </c>
      <c r="N88" s="5"/>
      <c r="O88" s="5">
        <v>100000</v>
      </c>
      <c r="P88" s="5">
        <v>0</v>
      </c>
      <c r="Q88" s="5"/>
      <c r="R88" s="5"/>
      <c r="S88" s="5"/>
      <c r="T88" s="5">
        <f t="shared" si="49"/>
        <v>300000</v>
      </c>
      <c r="U88" s="7">
        <f t="shared" si="89"/>
        <v>2700000</v>
      </c>
      <c r="V88" s="7"/>
      <c r="W88" s="44"/>
      <c r="X88" s="7">
        <f t="shared" si="66"/>
        <v>2700000</v>
      </c>
    </row>
    <row r="89" spans="1:24" x14ac:dyDescent="0.25">
      <c r="A89" s="95"/>
      <c r="B89" s="4">
        <v>40</v>
      </c>
      <c r="C89" s="11" t="s">
        <v>115</v>
      </c>
      <c r="D89" s="6" t="s">
        <v>26</v>
      </c>
      <c r="E89" s="5">
        <v>900000</v>
      </c>
      <c r="F89" s="5">
        <v>30</v>
      </c>
      <c r="G89" s="5">
        <f>+E89/30*F89</f>
        <v>900000</v>
      </c>
      <c r="H89" s="5">
        <f>+(83140/30)*F89</f>
        <v>83140</v>
      </c>
      <c r="I89" s="5"/>
      <c r="J89" s="5"/>
      <c r="K89" s="5">
        <f t="shared" ref="K89" si="91">SUM(G89:I89)+J89</f>
        <v>983140</v>
      </c>
      <c r="L89" s="5">
        <f>+G89*4%</f>
        <v>36000</v>
      </c>
      <c r="M89" s="5">
        <f>+G89*4%</f>
        <v>36000</v>
      </c>
      <c r="N89" s="5"/>
      <c r="O89" s="5">
        <v>100000</v>
      </c>
      <c r="P89" s="5"/>
      <c r="Q89" s="5"/>
      <c r="R89" s="5"/>
      <c r="S89" s="5"/>
      <c r="T89" s="5">
        <f t="shared" ref="T89" si="92">SUM(L89:S89)</f>
        <v>172000</v>
      </c>
      <c r="U89" s="7">
        <f t="shared" si="89"/>
        <v>811140</v>
      </c>
      <c r="V89" s="7"/>
      <c r="W89" s="44"/>
      <c r="X89" s="7">
        <f t="shared" si="66"/>
        <v>811140</v>
      </c>
    </row>
    <row r="90" spans="1:24" ht="23.25" customHeight="1" x14ac:dyDescent="0.25">
      <c r="A90" s="95"/>
      <c r="B90" s="4">
        <v>41</v>
      </c>
      <c r="C90" s="3" t="s">
        <v>116</v>
      </c>
      <c r="D90" s="4" t="s">
        <v>26</v>
      </c>
      <c r="E90" s="5">
        <v>737717</v>
      </c>
      <c r="F90" s="5">
        <v>30</v>
      </c>
      <c r="G90" s="5">
        <f>+E90/30*F90</f>
        <v>737717</v>
      </c>
      <c r="H90" s="5">
        <v>83139</v>
      </c>
      <c r="I90" s="5"/>
      <c r="J90" s="5">
        <v>48992</v>
      </c>
      <c r="K90" s="5">
        <f t="shared" si="83"/>
        <v>869848</v>
      </c>
      <c r="L90" s="5">
        <f>+G90*4%</f>
        <v>29508.68</v>
      </c>
      <c r="M90" s="5">
        <f>+G90*4%</f>
        <v>29508.68</v>
      </c>
      <c r="N90" s="5"/>
      <c r="O90" s="5"/>
      <c r="P90" s="5">
        <v>0</v>
      </c>
      <c r="Q90" s="5"/>
      <c r="R90" s="5"/>
      <c r="S90" s="5"/>
      <c r="T90" s="5">
        <f t="shared" si="49"/>
        <v>59017.36</v>
      </c>
      <c r="U90" s="7">
        <f t="shared" si="89"/>
        <v>810830.64</v>
      </c>
      <c r="V90" s="7"/>
      <c r="W90" s="44"/>
      <c r="X90" s="7">
        <f t="shared" si="66"/>
        <v>810830.64</v>
      </c>
    </row>
    <row r="91" spans="1:24" x14ac:dyDescent="0.25">
      <c r="A91" s="95"/>
      <c r="B91" s="4">
        <v>42</v>
      </c>
      <c r="C91" s="3" t="s">
        <v>117</v>
      </c>
      <c r="D91" s="4"/>
      <c r="E91" s="5">
        <v>5000000</v>
      </c>
      <c r="F91" s="5">
        <v>30</v>
      </c>
      <c r="G91" s="5">
        <f>+E91/30*F91</f>
        <v>5000000</v>
      </c>
      <c r="H91" s="5"/>
      <c r="I91" s="5"/>
      <c r="J91" s="5"/>
      <c r="K91" s="5">
        <f t="shared" si="83"/>
        <v>5000000</v>
      </c>
      <c r="L91" s="5">
        <f>+G91*4%</f>
        <v>200000</v>
      </c>
      <c r="M91" s="5">
        <f>+G91*5%</f>
        <v>250000</v>
      </c>
      <c r="N91" s="5"/>
      <c r="O91" s="5"/>
      <c r="P91" s="5">
        <v>102000</v>
      </c>
      <c r="Q91" s="5"/>
      <c r="R91" s="5"/>
      <c r="S91" s="5"/>
      <c r="T91" s="5">
        <f t="shared" ref="T91" si="93">SUM(L91:S91)</f>
        <v>552000</v>
      </c>
      <c r="U91" s="7">
        <f t="shared" si="89"/>
        <v>4448000</v>
      </c>
      <c r="V91" s="7"/>
      <c r="W91" s="44"/>
      <c r="X91" s="7">
        <f t="shared" si="66"/>
        <v>4448000</v>
      </c>
    </row>
    <row r="92" spans="1:24" x14ac:dyDescent="0.25">
      <c r="A92" s="95"/>
      <c r="B92" s="4">
        <v>43</v>
      </c>
      <c r="C92" s="3" t="s">
        <v>118</v>
      </c>
      <c r="D92" s="4" t="s">
        <v>26</v>
      </c>
      <c r="E92" s="5">
        <v>1400000</v>
      </c>
      <c r="F92" s="5">
        <v>30</v>
      </c>
      <c r="G92" s="5">
        <f>+E92/30*F92</f>
        <v>1400000</v>
      </c>
      <c r="H92" s="5">
        <f>+(83140/30)*F92</f>
        <v>83140</v>
      </c>
      <c r="I92" s="5"/>
      <c r="J92" s="5"/>
      <c r="K92" s="5">
        <f t="shared" ref="K92" si="94">SUM(G92:I92)+J92</f>
        <v>1483140</v>
      </c>
      <c r="L92" s="5">
        <f>+G92*4%</f>
        <v>56000</v>
      </c>
      <c r="M92" s="5">
        <f>+G92*4%</f>
        <v>56000</v>
      </c>
      <c r="N92" s="5"/>
      <c r="O92" s="5">
        <v>100000</v>
      </c>
      <c r="P92" s="5">
        <v>0</v>
      </c>
      <c r="Q92" s="5"/>
      <c r="R92" s="5"/>
      <c r="S92" s="5"/>
      <c r="T92" s="5">
        <f t="shared" ref="T92" si="95">SUM(L92:S92)</f>
        <v>212000</v>
      </c>
      <c r="U92" s="7">
        <f t="shared" si="89"/>
        <v>1271140</v>
      </c>
      <c r="V92" s="7"/>
      <c r="W92" s="44"/>
      <c r="X92" s="7">
        <f t="shared" si="66"/>
        <v>1271140</v>
      </c>
    </row>
    <row r="93" spans="1:24" x14ac:dyDescent="0.25">
      <c r="A93" s="95"/>
      <c r="B93" s="4">
        <v>44</v>
      </c>
      <c r="C93" s="11" t="s">
        <v>119</v>
      </c>
      <c r="D93" s="6" t="s">
        <v>26</v>
      </c>
      <c r="E93" s="5">
        <v>15400000</v>
      </c>
      <c r="F93" s="5">
        <v>30</v>
      </c>
      <c r="G93" s="5">
        <f t="shared" ref="G93:G103" si="96">+E93/30*F93</f>
        <v>15400000</v>
      </c>
      <c r="H93" s="5"/>
      <c r="I93" s="5">
        <v>600000</v>
      </c>
      <c r="J93" s="5"/>
      <c r="K93" s="5">
        <f t="shared" si="83"/>
        <v>16000000</v>
      </c>
      <c r="L93" s="5">
        <v>616000</v>
      </c>
      <c r="M93" s="5">
        <f>616000+308000</f>
        <v>924000</v>
      </c>
      <c r="N93" s="5">
        <v>102400</v>
      </c>
      <c r="O93" s="5"/>
      <c r="P93" s="5">
        <v>916000</v>
      </c>
      <c r="Q93" s="5">
        <v>5000000</v>
      </c>
      <c r="R93" s="5">
        <v>180180</v>
      </c>
      <c r="S93" s="5">
        <v>2314715</v>
      </c>
      <c r="T93" s="5">
        <f t="shared" si="49"/>
        <v>10053295</v>
      </c>
      <c r="U93" s="7">
        <f>+K93-T93</f>
        <v>5946705</v>
      </c>
      <c r="V93" s="7"/>
      <c r="W93" s="44"/>
      <c r="X93" s="7">
        <f t="shared" si="66"/>
        <v>5946705</v>
      </c>
    </row>
    <row r="94" spans="1:24" x14ac:dyDescent="0.25">
      <c r="A94" s="95"/>
      <c r="B94" s="4">
        <v>45</v>
      </c>
      <c r="C94" s="11" t="s">
        <v>120</v>
      </c>
      <c r="D94" s="6" t="s">
        <v>26</v>
      </c>
      <c r="E94" s="5">
        <v>4500000</v>
      </c>
      <c r="F94" s="5">
        <v>30</v>
      </c>
      <c r="G94" s="5">
        <f t="shared" si="96"/>
        <v>4500000</v>
      </c>
      <c r="H94" s="5"/>
      <c r="I94" s="5"/>
      <c r="J94" s="5"/>
      <c r="K94" s="5">
        <f t="shared" si="83"/>
        <v>4500000</v>
      </c>
      <c r="L94" s="5">
        <f t="shared" ref="L94:L105" si="97">+G94*4%</f>
        <v>180000</v>
      </c>
      <c r="M94" s="5">
        <f>+G94*5%</f>
        <v>225000</v>
      </c>
      <c r="N94" s="5"/>
      <c r="O94" s="5"/>
      <c r="P94" s="5">
        <v>90000</v>
      </c>
      <c r="Q94" s="5"/>
      <c r="R94" s="5"/>
      <c r="S94" s="5"/>
      <c r="T94" s="5">
        <f t="shared" si="49"/>
        <v>495000</v>
      </c>
      <c r="U94" s="7">
        <f>+K94-T94</f>
        <v>4005000</v>
      </c>
      <c r="V94" s="7"/>
      <c r="W94" s="44"/>
      <c r="X94" s="7">
        <f t="shared" si="66"/>
        <v>4005000</v>
      </c>
    </row>
    <row r="95" spans="1:24" x14ac:dyDescent="0.25">
      <c r="A95" s="95"/>
      <c r="B95" s="4">
        <v>46</v>
      </c>
      <c r="C95" s="11" t="s">
        <v>121</v>
      </c>
      <c r="D95" s="6" t="s">
        <v>26</v>
      </c>
      <c r="E95" s="5">
        <v>2000000</v>
      </c>
      <c r="F95" s="5">
        <v>30</v>
      </c>
      <c r="G95" s="5">
        <f t="shared" si="96"/>
        <v>2000000.0000000002</v>
      </c>
      <c r="H95" s="5"/>
      <c r="I95" s="5"/>
      <c r="J95" s="5">
        <f>+E95-G95</f>
        <v>0</v>
      </c>
      <c r="K95" s="5">
        <f t="shared" si="83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9"/>
        <v>160000.00000000003</v>
      </c>
      <c r="U95" s="7">
        <f>+K95-T95</f>
        <v>1840000.0000000002</v>
      </c>
      <c r="V95" s="7"/>
      <c r="W95" s="44"/>
      <c r="X95" s="7">
        <f t="shared" si="66"/>
        <v>1840000.0000000002</v>
      </c>
    </row>
    <row r="96" spans="1:24" x14ac:dyDescent="0.25">
      <c r="A96" s="95"/>
      <c r="B96" s="4">
        <v>47</v>
      </c>
      <c r="C96" s="3" t="s">
        <v>122</v>
      </c>
      <c r="D96" s="4" t="s">
        <v>26</v>
      </c>
      <c r="E96" s="5">
        <v>2000000</v>
      </c>
      <c r="F96" s="5">
        <v>30</v>
      </c>
      <c r="G96" s="5">
        <f t="shared" si="96"/>
        <v>2000000.0000000002</v>
      </c>
      <c r="H96" s="5"/>
      <c r="I96" s="5">
        <v>160000</v>
      </c>
      <c r="J96" s="5">
        <f>+E96-G96</f>
        <v>0</v>
      </c>
      <c r="K96" s="5">
        <f t="shared" si="83"/>
        <v>2160000</v>
      </c>
      <c r="L96" s="5">
        <f>+E96*4%</f>
        <v>80000</v>
      </c>
      <c r="M96" s="5">
        <v>80000</v>
      </c>
      <c r="N96" s="5"/>
      <c r="O96" s="5"/>
      <c r="P96" s="5">
        <v>0</v>
      </c>
      <c r="Q96" s="5"/>
      <c r="R96" s="5"/>
      <c r="S96" s="5"/>
      <c r="T96" s="5">
        <f t="shared" si="49"/>
        <v>160000</v>
      </c>
      <c r="U96" s="7">
        <f>K96-T96</f>
        <v>2000000</v>
      </c>
      <c r="V96" s="7"/>
      <c r="W96" s="44"/>
      <c r="X96" s="7">
        <f t="shared" si="66"/>
        <v>2000000</v>
      </c>
    </row>
    <row r="97" spans="1:24" x14ac:dyDescent="0.25">
      <c r="A97" s="95"/>
      <c r="B97" s="4">
        <v>48</v>
      </c>
      <c r="C97" s="3" t="s">
        <v>123</v>
      </c>
      <c r="D97" s="4" t="s">
        <v>26</v>
      </c>
      <c r="E97" s="5">
        <v>1600000</v>
      </c>
      <c r="F97" s="5">
        <v>30</v>
      </c>
      <c r="G97" s="5">
        <f t="shared" si="96"/>
        <v>1600000</v>
      </c>
      <c r="H97" s="5"/>
      <c r="I97" s="5"/>
      <c r="J97" s="5">
        <v>200000</v>
      </c>
      <c r="K97" s="5">
        <f t="shared" si="83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6"/>
        <v>1672000</v>
      </c>
    </row>
    <row r="98" spans="1:24" x14ac:dyDescent="0.25">
      <c r="A98" s="95"/>
      <c r="B98" s="4">
        <v>49</v>
      </c>
      <c r="C98" s="3" t="s">
        <v>124</v>
      </c>
      <c r="D98" s="4"/>
      <c r="E98" s="5">
        <v>800000</v>
      </c>
      <c r="F98" s="5">
        <v>30</v>
      </c>
      <c r="G98" s="5">
        <f t="shared" si="96"/>
        <v>800000</v>
      </c>
      <c r="H98" s="5"/>
      <c r="I98" s="5"/>
      <c r="J98" s="5"/>
      <c r="K98" s="5">
        <f t="shared" ref="K98:K99" si="98">SUM(G98:I98)+J98</f>
        <v>800000</v>
      </c>
      <c r="L98" s="5">
        <f>+G98*4%</f>
        <v>32000</v>
      </c>
      <c r="M98" s="5">
        <f>+G98*4%</f>
        <v>32000</v>
      </c>
      <c r="N98" s="5"/>
      <c r="O98" s="5"/>
      <c r="P98" s="5"/>
      <c r="Q98" s="5"/>
      <c r="R98" s="5"/>
      <c r="S98" s="5"/>
      <c r="T98" s="5">
        <f>SUM(L98:S98)</f>
        <v>64000</v>
      </c>
      <c r="U98" s="7">
        <f>K98-T98</f>
        <v>736000</v>
      </c>
      <c r="V98" s="7"/>
      <c r="W98" s="44"/>
      <c r="X98" s="7">
        <f t="shared" si="66"/>
        <v>736000</v>
      </c>
    </row>
    <row r="99" spans="1:24" x14ac:dyDescent="0.25">
      <c r="A99" s="95"/>
      <c r="B99" s="4">
        <v>50</v>
      </c>
      <c r="C99" s="3" t="s">
        <v>125</v>
      </c>
      <c r="D99" s="4"/>
      <c r="E99" s="5">
        <v>4500000</v>
      </c>
      <c r="F99" s="5">
        <v>30</v>
      </c>
      <c r="G99" s="5">
        <f t="shared" si="96"/>
        <v>4500000</v>
      </c>
      <c r="H99" s="5"/>
      <c r="I99" s="5"/>
      <c r="J99" s="5"/>
      <c r="K99" s="5">
        <f t="shared" si="98"/>
        <v>4500000</v>
      </c>
      <c r="L99" s="5">
        <f>+G99*4%</f>
        <v>180000</v>
      </c>
      <c r="M99" s="5">
        <f>+G99*5%</f>
        <v>225000</v>
      </c>
      <c r="N99" s="5"/>
      <c r="O99" s="5"/>
      <c r="P99" s="5">
        <v>34000</v>
      </c>
      <c r="Q99" s="5"/>
      <c r="R99" s="5"/>
      <c r="S99" s="5"/>
      <c r="T99" s="5">
        <f>SUM(L99:S99)</f>
        <v>439000</v>
      </c>
      <c r="U99" s="7">
        <f>K99-T99</f>
        <v>4061000</v>
      </c>
      <c r="V99" s="7"/>
      <c r="W99" s="44"/>
      <c r="X99" s="7">
        <f t="shared" si="66"/>
        <v>4061000</v>
      </c>
    </row>
    <row r="100" spans="1:24" ht="24" x14ac:dyDescent="0.25">
      <c r="A100" s="95"/>
      <c r="B100" s="4">
        <v>51</v>
      </c>
      <c r="C100" s="11" t="s">
        <v>127</v>
      </c>
      <c r="D100" s="6" t="s">
        <v>26</v>
      </c>
      <c r="E100" s="5">
        <v>2500000</v>
      </c>
      <c r="F100" s="5">
        <v>30</v>
      </c>
      <c r="G100" s="5">
        <f t="shared" si="96"/>
        <v>2500000</v>
      </c>
      <c r="H100" s="5">
        <v>421875</v>
      </c>
      <c r="I100" s="5"/>
      <c r="J100" s="5"/>
      <c r="K100" s="5">
        <f t="shared" si="83"/>
        <v>2921875</v>
      </c>
      <c r="L100" s="5">
        <f t="shared" ref="L100:L102" si="99">+G100*4%</f>
        <v>100000</v>
      </c>
      <c r="M100" s="5">
        <f>+G100*4%</f>
        <v>100000</v>
      </c>
      <c r="N100" s="5"/>
      <c r="O100" s="5"/>
      <c r="P100" s="5"/>
      <c r="Q100" s="5"/>
      <c r="R100" s="5"/>
      <c r="S100" s="5"/>
      <c r="T100" s="5">
        <f t="shared" si="49"/>
        <v>200000</v>
      </c>
      <c r="U100" s="7">
        <f>+K100-T100</f>
        <v>2721875</v>
      </c>
      <c r="V100" s="7"/>
      <c r="W100" s="44"/>
      <c r="X100" s="7">
        <f t="shared" si="66"/>
        <v>2721875</v>
      </c>
    </row>
    <row r="101" spans="1:24" x14ac:dyDescent="0.25">
      <c r="A101" s="95"/>
      <c r="B101" s="4">
        <v>52</v>
      </c>
      <c r="C101" s="11" t="s">
        <v>128</v>
      </c>
      <c r="D101" s="6" t="s">
        <v>26</v>
      </c>
      <c r="E101" s="5">
        <v>3700000</v>
      </c>
      <c r="F101" s="5">
        <v>30</v>
      </c>
      <c r="G101" s="5">
        <f t="shared" si="96"/>
        <v>3700000</v>
      </c>
      <c r="H101" s="5"/>
      <c r="I101" s="5">
        <v>650000</v>
      </c>
      <c r="J101" s="5"/>
      <c r="K101" s="5">
        <f t="shared" ref="K101" si="100">SUM(G101:I101)+J101</f>
        <v>4350000</v>
      </c>
      <c r="L101" s="5">
        <f t="shared" si="99"/>
        <v>148000</v>
      </c>
      <c r="M101" s="5">
        <f>+G101*5%</f>
        <v>185000</v>
      </c>
      <c r="N101" s="5"/>
      <c r="O101" s="5"/>
      <c r="P101" s="5">
        <v>35000</v>
      </c>
      <c r="Q101" s="5"/>
      <c r="R101" s="5"/>
      <c r="S101" s="5"/>
      <c r="T101" s="5">
        <f t="shared" ref="T101" si="101">SUM(L101:S101)</f>
        <v>368000</v>
      </c>
      <c r="U101" s="7">
        <f>+K101-T101</f>
        <v>3982000</v>
      </c>
      <c r="V101" s="7"/>
      <c r="W101" s="44"/>
      <c r="X101" s="7">
        <f t="shared" si="66"/>
        <v>3982000</v>
      </c>
    </row>
    <row r="102" spans="1:24" x14ac:dyDescent="0.25">
      <c r="A102" s="95"/>
      <c r="B102" s="4">
        <v>53</v>
      </c>
      <c r="C102" s="11" t="s">
        <v>129</v>
      </c>
      <c r="D102" s="6" t="s">
        <v>34</v>
      </c>
      <c r="E102" s="5">
        <v>1800000</v>
      </c>
      <c r="F102" s="5">
        <v>30</v>
      </c>
      <c r="G102" s="5">
        <f t="shared" si="96"/>
        <v>1800000</v>
      </c>
      <c r="H102" s="5"/>
      <c r="I102" s="5"/>
      <c r="J102" s="5"/>
      <c r="K102" s="5">
        <f t="shared" si="83"/>
        <v>1800000</v>
      </c>
      <c r="L102" s="5">
        <f t="shared" si="99"/>
        <v>72000</v>
      </c>
      <c r="M102" s="5">
        <f>+G102*4%</f>
        <v>72000</v>
      </c>
      <c r="N102" s="5"/>
      <c r="O102" s="5"/>
      <c r="P102" s="17"/>
      <c r="Q102" s="5"/>
      <c r="R102" s="5"/>
      <c r="S102" s="5">
        <v>136805</v>
      </c>
      <c r="T102" s="5">
        <f t="shared" si="49"/>
        <v>280805</v>
      </c>
      <c r="U102" s="7">
        <f>+K102-T102</f>
        <v>1519195</v>
      </c>
      <c r="V102" s="7"/>
      <c r="W102" s="44"/>
      <c r="X102" s="7">
        <f t="shared" si="66"/>
        <v>1519195</v>
      </c>
    </row>
    <row r="103" spans="1:24" x14ac:dyDescent="0.25">
      <c r="A103" s="95"/>
      <c r="B103" s="4">
        <v>54</v>
      </c>
      <c r="C103" s="3" t="s">
        <v>130</v>
      </c>
      <c r="D103" s="4" t="s">
        <v>26</v>
      </c>
      <c r="E103" s="5">
        <v>1600000</v>
      </c>
      <c r="F103" s="5">
        <v>30</v>
      </c>
      <c r="G103" s="5">
        <f t="shared" si="96"/>
        <v>1600000</v>
      </c>
      <c r="H103" s="5"/>
      <c r="I103" s="5"/>
      <c r="J103" s="5">
        <f>+E103-G103</f>
        <v>0</v>
      </c>
      <c r="K103" s="5">
        <f t="shared" si="83"/>
        <v>1600000</v>
      </c>
      <c r="L103" s="5">
        <f>+K103*4%</f>
        <v>64000</v>
      </c>
      <c r="M103" s="5">
        <v>64000</v>
      </c>
      <c r="N103" s="5"/>
      <c r="O103" s="5"/>
      <c r="P103" s="5">
        <v>0</v>
      </c>
      <c r="Q103" s="5"/>
      <c r="R103" s="5"/>
      <c r="S103" s="5">
        <v>249127</v>
      </c>
      <c r="T103" s="5">
        <f t="shared" si="49"/>
        <v>377127</v>
      </c>
      <c r="U103" s="7">
        <f>K103-T103</f>
        <v>1222873</v>
      </c>
      <c r="V103" s="7"/>
      <c r="W103" s="44"/>
      <c r="X103" s="7">
        <f t="shared" si="66"/>
        <v>1222873</v>
      </c>
    </row>
    <row r="104" spans="1:24" x14ac:dyDescent="0.25">
      <c r="A104" s="95"/>
      <c r="B104" s="4">
        <v>55</v>
      </c>
      <c r="C104" s="11" t="s">
        <v>131</v>
      </c>
      <c r="D104" s="6" t="s">
        <v>26</v>
      </c>
      <c r="E104" s="5">
        <v>737717</v>
      </c>
      <c r="F104" s="5">
        <v>30</v>
      </c>
      <c r="G104" s="5">
        <f>+E104/30*F104</f>
        <v>737717</v>
      </c>
      <c r="H104" s="5">
        <f t="shared" ref="H104" si="102">+(83140/30)*F104</f>
        <v>83140</v>
      </c>
      <c r="I104" s="5"/>
      <c r="J104" s="5"/>
      <c r="K104" s="5">
        <f t="shared" si="83"/>
        <v>820857</v>
      </c>
      <c r="L104" s="5">
        <f t="shared" si="97"/>
        <v>29508.68</v>
      </c>
      <c r="M104" s="5">
        <v>29509</v>
      </c>
      <c r="N104" s="5"/>
      <c r="O104" s="5"/>
      <c r="P104" s="5">
        <v>0</v>
      </c>
      <c r="Q104" s="5"/>
      <c r="R104" s="5"/>
      <c r="S104" s="5"/>
      <c r="T104" s="5">
        <f t="shared" si="49"/>
        <v>59017.68</v>
      </c>
      <c r="U104" s="7">
        <f t="shared" ref="U104:U109" si="103">+K104-T104</f>
        <v>761839.32</v>
      </c>
      <c r="V104" s="7"/>
      <c r="W104" s="44"/>
      <c r="X104" s="7">
        <f t="shared" si="66"/>
        <v>761839.32</v>
      </c>
    </row>
    <row r="105" spans="1:24" ht="24" x14ac:dyDescent="0.25">
      <c r="A105" s="95"/>
      <c r="B105" s="4">
        <v>56</v>
      </c>
      <c r="C105" s="11" t="s">
        <v>133</v>
      </c>
      <c r="D105" s="6" t="s">
        <v>26</v>
      </c>
      <c r="E105" s="5">
        <v>1800000</v>
      </c>
      <c r="F105" s="5">
        <v>30</v>
      </c>
      <c r="G105" s="5">
        <f>+E105/30*F105</f>
        <v>1800000</v>
      </c>
      <c r="H105" s="5"/>
      <c r="I105" s="5"/>
      <c r="J105" s="21">
        <v>560860</v>
      </c>
      <c r="K105" s="5">
        <f t="shared" si="83"/>
        <v>2360860</v>
      </c>
      <c r="L105" s="5">
        <f t="shared" si="97"/>
        <v>72000</v>
      </c>
      <c r="M105" s="5">
        <f t="shared" ref="M105" si="104">+G105*4%</f>
        <v>72000</v>
      </c>
      <c r="N105" s="5"/>
      <c r="O105" s="5"/>
      <c r="P105" s="5">
        <v>0</v>
      </c>
      <c r="Q105" s="5"/>
      <c r="R105" s="5"/>
      <c r="S105" s="5"/>
      <c r="T105" s="5">
        <f t="shared" ref="T105" si="105">SUM(L105:S105)</f>
        <v>144000</v>
      </c>
      <c r="U105" s="7">
        <f t="shared" si="103"/>
        <v>2216860</v>
      </c>
      <c r="V105" s="7"/>
      <c r="W105" s="44"/>
      <c r="X105" s="7">
        <f t="shared" si="66"/>
        <v>2216860</v>
      </c>
    </row>
    <row r="106" spans="1:24" ht="18.75" customHeight="1" x14ac:dyDescent="0.25">
      <c r="A106" s="95"/>
      <c r="B106" s="4">
        <v>57</v>
      </c>
      <c r="C106" s="11" t="s">
        <v>134</v>
      </c>
      <c r="D106" s="6" t="s">
        <v>26</v>
      </c>
      <c r="E106" s="5">
        <v>2000000</v>
      </c>
      <c r="F106" s="5">
        <v>30</v>
      </c>
      <c r="G106" s="5">
        <f t="shared" ref="G106" si="106">+E106/30*F106</f>
        <v>2000000.0000000002</v>
      </c>
      <c r="H106" s="5"/>
      <c r="I106" s="5"/>
      <c r="J106" s="5">
        <f>+E106-G106</f>
        <v>0</v>
      </c>
      <c r="K106" s="5">
        <f t="shared" si="83"/>
        <v>2000000.0000000002</v>
      </c>
      <c r="L106" s="5">
        <v>80000</v>
      </c>
      <c r="M106" s="5">
        <v>80000</v>
      </c>
      <c r="N106" s="5"/>
      <c r="O106" s="5"/>
      <c r="P106" s="5"/>
      <c r="Q106" s="5"/>
      <c r="R106" s="5"/>
      <c r="S106" s="5"/>
      <c r="T106" s="5">
        <f t="shared" si="49"/>
        <v>160000</v>
      </c>
      <c r="U106" s="7">
        <f t="shared" si="103"/>
        <v>1840000.0000000002</v>
      </c>
      <c r="V106" s="7"/>
      <c r="W106" s="44"/>
      <c r="X106" s="7">
        <f t="shared" si="66"/>
        <v>1840000.0000000002</v>
      </c>
    </row>
    <row r="107" spans="1:24" ht="18.75" customHeight="1" x14ac:dyDescent="0.25">
      <c r="A107" s="95"/>
      <c r="B107" s="4">
        <v>58</v>
      </c>
      <c r="C107" s="11" t="s">
        <v>135</v>
      </c>
      <c r="D107" s="6"/>
      <c r="E107" s="5">
        <v>737717</v>
      </c>
      <c r="F107" s="5">
        <v>28</v>
      </c>
      <c r="G107" s="5">
        <f>+E107/30*F107</f>
        <v>688535.8666666667</v>
      </c>
      <c r="H107" s="5">
        <f t="shared" ref="H107:H108" si="107">+(83140/30)*F107</f>
        <v>77597.333333333343</v>
      </c>
      <c r="I107" s="5"/>
      <c r="J107" s="22">
        <f>+E107-G107</f>
        <v>49181.133333333302</v>
      </c>
      <c r="K107" s="5">
        <f t="shared" ref="K107:K108" si="108">SUM(G107:I107)+J107</f>
        <v>815314.33333333337</v>
      </c>
      <c r="L107" s="5">
        <v>29509</v>
      </c>
      <c r="M107" s="5">
        <v>29509</v>
      </c>
      <c r="N107" s="5"/>
      <c r="O107" s="5"/>
      <c r="P107" s="5">
        <v>0</v>
      </c>
      <c r="Q107" s="5"/>
      <c r="R107" s="5"/>
      <c r="S107" s="5"/>
      <c r="T107" s="5">
        <f t="shared" ref="T107" si="109">SUM(L107:S107)</f>
        <v>59018</v>
      </c>
      <c r="U107" s="7">
        <f t="shared" si="103"/>
        <v>756296.33333333337</v>
      </c>
      <c r="V107" s="7"/>
      <c r="W107" s="44"/>
      <c r="X107" s="7">
        <f t="shared" si="66"/>
        <v>756296.33333333337</v>
      </c>
    </row>
    <row r="108" spans="1:24" ht="18.75" customHeight="1" x14ac:dyDescent="0.25">
      <c r="A108" s="95"/>
      <c r="B108" s="4">
        <v>59</v>
      </c>
      <c r="C108" s="11" t="s">
        <v>136</v>
      </c>
      <c r="D108" s="6"/>
      <c r="E108" s="5">
        <v>1070000</v>
      </c>
      <c r="F108" s="5">
        <v>30</v>
      </c>
      <c r="G108" s="5">
        <f>+E108/30*F108</f>
        <v>1070000</v>
      </c>
      <c r="H108" s="5">
        <f t="shared" si="107"/>
        <v>83140</v>
      </c>
      <c r="I108" s="5"/>
      <c r="J108" s="22"/>
      <c r="K108" s="5">
        <f t="shared" si="108"/>
        <v>1153140</v>
      </c>
      <c r="L108" s="5">
        <f t="shared" ref="L108" si="110">+G108*4%</f>
        <v>42800</v>
      </c>
      <c r="M108" s="5">
        <f t="shared" ref="M108" si="111">+G108*4%</f>
        <v>42800</v>
      </c>
      <c r="N108" s="5"/>
      <c r="O108" s="5">
        <v>100000</v>
      </c>
      <c r="P108" s="5">
        <v>0</v>
      </c>
      <c r="Q108" s="5"/>
      <c r="R108" s="5"/>
      <c r="S108" s="5"/>
      <c r="T108" s="5">
        <f t="shared" ref="T108" si="112">SUM(L108:S108)</f>
        <v>185600</v>
      </c>
      <c r="U108" s="7">
        <f t="shared" si="103"/>
        <v>967540</v>
      </c>
      <c r="V108" s="7"/>
      <c r="W108" s="44"/>
      <c r="X108" s="7">
        <f t="shared" si="66"/>
        <v>967540</v>
      </c>
    </row>
    <row r="109" spans="1:24" x14ac:dyDescent="0.25">
      <c r="A109" s="96"/>
      <c r="B109" s="4">
        <v>60</v>
      </c>
      <c r="C109" s="11" t="s">
        <v>137</v>
      </c>
      <c r="D109" s="6" t="s">
        <v>26</v>
      </c>
      <c r="E109" s="5">
        <v>4400000</v>
      </c>
      <c r="F109" s="5">
        <v>30</v>
      </c>
      <c r="G109" s="5">
        <f>+E109/30*F109</f>
        <v>4400000</v>
      </c>
      <c r="H109" s="5"/>
      <c r="I109" s="5"/>
      <c r="J109" s="5"/>
      <c r="K109" s="5">
        <f t="shared" ref="K109" si="113">SUM(G109:I109)+J109</f>
        <v>4400000</v>
      </c>
      <c r="L109" s="5">
        <f>+G109*4%</f>
        <v>176000</v>
      </c>
      <c r="M109" s="5">
        <f>+G109*5%</f>
        <v>220000</v>
      </c>
      <c r="N109" s="5"/>
      <c r="O109" s="5"/>
      <c r="P109" s="5">
        <v>44000</v>
      </c>
      <c r="Q109" s="5"/>
      <c r="R109" s="5"/>
      <c r="S109" s="5">
        <v>517840</v>
      </c>
      <c r="T109" s="5">
        <f t="shared" si="49"/>
        <v>957840</v>
      </c>
      <c r="U109" s="7">
        <f t="shared" si="103"/>
        <v>3442160</v>
      </c>
      <c r="V109" s="7"/>
      <c r="W109" s="44"/>
      <c r="X109" s="7">
        <f t="shared" si="66"/>
        <v>3442160</v>
      </c>
    </row>
    <row r="110" spans="1:24" x14ac:dyDescent="0.25">
      <c r="A110" s="4"/>
      <c r="B110" s="4"/>
      <c r="C110" s="11" t="s">
        <v>139</v>
      </c>
      <c r="D110" s="4"/>
      <c r="E110" s="5">
        <f>SUM(E4:E109)</f>
        <v>373103411</v>
      </c>
      <c r="F110" s="5" t="s">
        <v>1</v>
      </c>
      <c r="G110" s="5">
        <f>SUM(G4:G109)</f>
        <v>367694229.86666667</v>
      </c>
      <c r="H110" s="5">
        <f>SUM(H5:H104)</f>
        <v>4661373.333333334</v>
      </c>
      <c r="I110" s="5">
        <f>SUM(I5:I104)</f>
        <v>13633987</v>
      </c>
      <c r="J110" s="5">
        <f>SUM(J4:J109)</f>
        <v>3690727.1333333333</v>
      </c>
      <c r="K110" s="5">
        <f>SUM(K5:K104)</f>
        <v>374296740.33333331</v>
      </c>
      <c r="L110" s="5">
        <f>SUM(L5:L104)</f>
        <v>14019972.239999998</v>
      </c>
      <c r="M110" s="5">
        <f>SUM(M5:M104)</f>
        <v>17168497.57</v>
      </c>
      <c r="N110" s="5">
        <f>SUM(N5:N104)</f>
        <v>102400</v>
      </c>
      <c r="O110" s="5">
        <f>SUM(O4:O109)</f>
        <v>2500000</v>
      </c>
      <c r="P110" s="5">
        <f>SUM(P4:P109)</f>
        <v>5324814</v>
      </c>
      <c r="Q110" s="5">
        <f>SUM(Q5:Q104)</f>
        <v>9700000</v>
      </c>
      <c r="R110" s="5">
        <f>SUM(R5:R104)</f>
        <v>1072945</v>
      </c>
      <c r="S110" s="5">
        <f>SUM(S5:S104)</f>
        <v>9942832</v>
      </c>
      <c r="T110" s="5">
        <f>SUM(T5:T104)</f>
        <v>59668460.809999995</v>
      </c>
      <c r="U110" s="7">
        <f>SUM(U4:U109)</f>
        <v>328213785.85666656</v>
      </c>
      <c r="V110" s="7">
        <f>SUM(V5:V104)</f>
        <v>0</v>
      </c>
      <c r="W110" s="44">
        <f>SUM(W5:W104)</f>
        <v>0</v>
      </c>
      <c r="X110" s="7">
        <f>SUM(X4:X109)</f>
        <v>328213785.85666656</v>
      </c>
    </row>
    <row r="111" spans="1:24" x14ac:dyDescent="0.25">
      <c r="E111" s="54"/>
      <c r="F111" s="54"/>
      <c r="G111" s="54"/>
      <c r="U111" s="55"/>
      <c r="V111" s="55"/>
      <c r="X111" s="55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7"/>
      <c r="V112" s="53"/>
      <c r="W112" s="58"/>
      <c r="X112" s="57"/>
    </row>
    <row r="113" spans="2:28" x14ac:dyDescent="0.25"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7"/>
    </row>
    <row r="115" spans="2:28" x14ac:dyDescent="0.25">
      <c r="C115" s="59"/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3"/>
      <c r="V115" s="53"/>
      <c r="W115" s="58"/>
      <c r="X115" s="53"/>
      <c r="Y115" s="53"/>
      <c r="Z115" s="53"/>
      <c r="AA115" s="53"/>
      <c r="AB115" s="53"/>
    </row>
    <row r="116" spans="2:28" x14ac:dyDescent="0.25">
      <c r="B116" s="53"/>
      <c r="C116" s="59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54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3"/>
      <c r="Y119" s="53"/>
      <c r="Z119" s="53"/>
      <c r="AA119" s="53"/>
      <c r="AB119" s="53"/>
    </row>
    <row r="120" spans="2:28" x14ac:dyDescent="0.25">
      <c r="B120" s="53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64"/>
      <c r="C121" s="59"/>
      <c r="D121" s="62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2"/>
      <c r="V121" s="62"/>
      <c r="W121" s="63"/>
      <c r="X121" s="62"/>
      <c r="Y121" s="53"/>
      <c r="Z121" s="53"/>
      <c r="AA121" s="53"/>
      <c r="AB121" s="53"/>
    </row>
    <row r="122" spans="2:28" x14ac:dyDescent="0.25">
      <c r="B122" s="53"/>
      <c r="C122" s="59"/>
      <c r="D122" s="53"/>
      <c r="E122" s="54"/>
      <c r="F122" s="54"/>
      <c r="G122" s="66"/>
      <c r="H122" s="54"/>
      <c r="I122" s="54"/>
      <c r="J122" s="54"/>
      <c r="K122" s="54"/>
      <c r="L122" s="54"/>
      <c r="M122" s="54"/>
      <c r="N122" s="67"/>
      <c r="O122" s="67"/>
      <c r="P122" s="67"/>
      <c r="Q122" s="67"/>
      <c r="R122" s="67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2:28" x14ac:dyDescent="0.25">
      <c r="B123" s="53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62"/>
      <c r="C124" s="68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2:28" x14ac:dyDescent="0.25">
      <c r="B125" s="53"/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59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59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3:28" x14ac:dyDescent="0.25">
      <c r="C144" s="59"/>
      <c r="D144" s="53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53"/>
      <c r="S144" s="54"/>
      <c r="T144" s="54"/>
      <c r="U144" s="53"/>
      <c r="V144" s="53"/>
      <c r="W144" s="58"/>
      <c r="X144" s="53"/>
      <c r="Y144" s="53"/>
      <c r="Z144" s="53"/>
      <c r="AA144" s="53"/>
      <c r="AB144" s="53"/>
    </row>
    <row r="145" spans="2:28" x14ac:dyDescent="0.25">
      <c r="B145" s="53"/>
      <c r="C145" s="59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53"/>
      <c r="Z145" s="53"/>
      <c r="AA145" s="53"/>
      <c r="AB145" s="53"/>
    </row>
    <row r="146" spans="2:28" x14ac:dyDescent="0.25">
      <c r="B146" s="53"/>
      <c r="C146" s="59"/>
      <c r="D146" s="53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  <c r="Y146" s="53"/>
      <c r="Z146" s="53"/>
      <c r="AA146" s="53"/>
      <c r="AB146" s="53"/>
    </row>
    <row r="147" spans="2:28" x14ac:dyDescent="0.25">
      <c r="B147" s="53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B148" s="69"/>
      <c r="C148" s="68"/>
      <c r="D148" s="62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2"/>
      <c r="V148" s="62"/>
      <c r="W148" s="63"/>
      <c r="X148" s="62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68"/>
      <c r="D151" s="62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3"/>
      <c r="V154" s="53"/>
      <c r="W154" s="58"/>
      <c r="X154" s="53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0"/>
      <c r="V158" s="70"/>
      <c r="W158" s="58"/>
      <c r="X158" s="70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71"/>
      <c r="V159" s="71"/>
      <c r="W159" s="58"/>
      <c r="X159" s="71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>
        <v>3003000</v>
      </c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v>42614840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412608</v>
      </c>
      <c r="U172" s="53"/>
      <c r="V172" s="53"/>
      <c r="W172" s="58"/>
      <c r="X172" s="53"/>
    </row>
    <row r="173" spans="3:24" x14ac:dyDescent="0.25">
      <c r="C173" s="59">
        <v>9675182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>
        <v>1880000</v>
      </c>
      <c r="U173" s="53"/>
      <c r="V173" s="53"/>
      <c r="W173" s="58"/>
      <c r="X173" s="53"/>
    </row>
    <row r="174" spans="3:24" x14ac:dyDescent="0.25">
      <c r="C174" s="59">
        <v>17903600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f>SUM(C172:C174)</f>
        <v>70193622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v>400000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f>+C175+C176</f>
        <v>70593622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80" spans="3:24" x14ac:dyDescent="0.25">
      <c r="C180" s="52">
        <v>64000000</v>
      </c>
    </row>
    <row r="181" spans="3:24" x14ac:dyDescent="0.25">
      <c r="C181" s="52">
        <v>11000000</v>
      </c>
    </row>
    <row r="182" spans="3:24" x14ac:dyDescent="0.25">
      <c r="C182" s="52">
        <f>+C180+C181</f>
        <v>75000000</v>
      </c>
    </row>
    <row r="186" spans="3:24" x14ac:dyDescent="0.25">
      <c r="C186" s="52">
        <v>2745000</v>
      </c>
    </row>
    <row r="187" spans="3:24" x14ac:dyDescent="0.25">
      <c r="C187" s="52">
        <v>3185000</v>
      </c>
    </row>
    <row r="188" spans="3:24" x14ac:dyDescent="0.25">
      <c r="C188" s="52">
        <v>1080000</v>
      </c>
    </row>
    <row r="189" spans="3:24" x14ac:dyDescent="0.25">
      <c r="C189" s="52">
        <v>4850100</v>
      </c>
    </row>
    <row r="190" spans="3:24" x14ac:dyDescent="0.25">
      <c r="C190" s="52">
        <v>5027500</v>
      </c>
    </row>
    <row r="191" spans="3:24" x14ac:dyDescent="0.25">
      <c r="C191" s="52">
        <v>4566000</v>
      </c>
    </row>
    <row r="192" spans="3:24" x14ac:dyDescent="0.25">
      <c r="C192" s="52">
        <v>1050000</v>
      </c>
    </row>
    <row r="193" spans="3:3" x14ac:dyDescent="0.25">
      <c r="C193" s="52">
        <v>3877333</v>
      </c>
    </row>
    <row r="194" spans="3:3" x14ac:dyDescent="0.25">
      <c r="C194" s="52">
        <v>6732440</v>
      </c>
    </row>
    <row r="195" spans="3:3" x14ac:dyDescent="0.25">
      <c r="C195" s="52">
        <v>3460000</v>
      </c>
    </row>
    <row r="196" spans="3:3" x14ac:dyDescent="0.25">
      <c r="C196" s="52">
        <v>588800</v>
      </c>
    </row>
    <row r="197" spans="3:3" x14ac:dyDescent="0.25">
      <c r="C197" s="52">
        <v>1868000</v>
      </c>
    </row>
    <row r="198" spans="3:3" x14ac:dyDescent="0.25">
      <c r="C198" s="52">
        <v>10313000</v>
      </c>
    </row>
    <row r="199" spans="3:3" x14ac:dyDescent="0.25">
      <c r="C199" s="52">
        <v>3443800</v>
      </c>
    </row>
    <row r="200" spans="3:3" x14ac:dyDescent="0.25">
      <c r="C200" s="52">
        <v>8136400</v>
      </c>
    </row>
    <row r="201" spans="3:3" x14ac:dyDescent="0.25">
      <c r="C201" s="52">
        <v>9675183</v>
      </c>
    </row>
    <row r="202" spans="3:3" x14ac:dyDescent="0.25">
      <c r="C202" s="52">
        <f>SUM(C186:C201)</f>
        <v>70598556</v>
      </c>
    </row>
  </sheetData>
  <mergeCells count="7">
    <mergeCell ref="D145:X145"/>
    <mergeCell ref="C1:U1"/>
    <mergeCell ref="E2:K2"/>
    <mergeCell ref="L2:T2"/>
    <mergeCell ref="A3:A49"/>
    <mergeCell ref="A50:A109"/>
    <mergeCell ref="E144:Q1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B197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2" t="s">
        <v>151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4"/>
      <c r="W1" s="44"/>
      <c r="X1" s="4"/>
    </row>
    <row r="2" spans="1:24" x14ac:dyDescent="0.25">
      <c r="C2" s="3" t="s">
        <v>1</v>
      </c>
      <c r="D2" s="4"/>
      <c r="E2" s="93" t="s">
        <v>2</v>
      </c>
      <c r="F2" s="93"/>
      <c r="G2" s="93"/>
      <c r="H2" s="93"/>
      <c r="I2" s="93"/>
      <c r="J2" s="93"/>
      <c r="K2" s="93"/>
      <c r="L2" s="93" t="s">
        <v>3</v>
      </c>
      <c r="M2" s="93"/>
      <c r="N2" s="93"/>
      <c r="O2" s="93"/>
      <c r="P2" s="93"/>
      <c r="Q2" s="93"/>
      <c r="R2" s="93"/>
      <c r="S2" s="93"/>
      <c r="T2" s="93"/>
      <c r="U2" s="4"/>
      <c r="V2" s="4"/>
      <c r="W2" s="44"/>
      <c r="X2" s="4"/>
    </row>
    <row r="3" spans="1:24" ht="48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95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5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5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5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5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5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5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f>945750+420786</f>
        <v>1366536</v>
      </c>
      <c r="T10" s="5">
        <f t="shared" si="2"/>
        <v>1874081</v>
      </c>
      <c r="U10" s="7">
        <f>K10-T10</f>
        <v>2625919</v>
      </c>
      <c r="V10" s="7"/>
      <c r="W10" s="44"/>
      <c r="X10" s="7">
        <f t="shared" si="4"/>
        <v>2625919</v>
      </c>
    </row>
    <row r="11" spans="1:24" x14ac:dyDescent="0.25">
      <c r="A11" s="95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95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11">+K12-T12</f>
        <v>4907752</v>
      </c>
      <c r="V12" s="7"/>
      <c r="W12" s="44"/>
      <c r="X12" s="7">
        <f t="shared" si="4"/>
        <v>4907752</v>
      </c>
    </row>
    <row r="13" spans="1:24" x14ac:dyDescent="0.25">
      <c r="A13" s="95"/>
      <c r="B13" s="4">
        <v>10</v>
      </c>
      <c r="C13" s="3" t="s">
        <v>36</v>
      </c>
      <c r="D13" s="4" t="s">
        <v>26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8500</v>
      </c>
      <c r="Q13" s="5"/>
      <c r="R13" s="5"/>
      <c r="S13" s="5"/>
      <c r="T13" s="5">
        <f t="shared" si="2"/>
        <v>413500</v>
      </c>
      <c r="U13" s="7">
        <f t="shared" si="11"/>
        <v>4086500</v>
      </c>
      <c r="V13" s="7"/>
      <c r="W13" s="44"/>
      <c r="X13" s="7">
        <f t="shared" si="4"/>
        <v>4086500</v>
      </c>
    </row>
    <row r="14" spans="1:24" x14ac:dyDescent="0.25">
      <c r="A14" s="95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f>+E14-J14</f>
        <v>3360000</v>
      </c>
      <c r="H14" s="5"/>
      <c r="I14" s="5"/>
      <c r="J14" s="5">
        <v>840000</v>
      </c>
      <c r="K14" s="5">
        <f t="shared" ref="K14:K16" si="13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ref="T14:T16" si="14">SUM(L14:S14)</f>
        <v>1248529</v>
      </c>
      <c r="U14" s="7">
        <f t="shared" si="11"/>
        <v>2951471</v>
      </c>
      <c r="V14" s="7"/>
      <c r="W14" s="44"/>
      <c r="X14" s="7">
        <f t="shared" si="4"/>
        <v>2951471</v>
      </c>
    </row>
    <row r="15" spans="1:24" x14ac:dyDescent="0.25">
      <c r="A15" s="95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5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95"/>
      <c r="B17" s="4">
        <v>14</v>
      </c>
      <c r="C17" s="11" t="s">
        <v>40</v>
      </c>
      <c r="D17" s="6" t="s">
        <v>26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>
        <v>400000</v>
      </c>
      <c r="R17" s="5"/>
      <c r="S17" s="5"/>
      <c r="T17" s="5">
        <f t="shared" si="2"/>
        <v>1045521</v>
      </c>
      <c r="U17" s="7">
        <f t="shared" si="11"/>
        <v>4904479</v>
      </c>
      <c r="V17" s="7"/>
      <c r="W17" s="44"/>
      <c r="X17" s="7">
        <f t="shared" si="4"/>
        <v>4904479</v>
      </c>
    </row>
    <row r="18" spans="1:24" x14ac:dyDescent="0.25">
      <c r="A18" s="95"/>
      <c r="B18" s="4">
        <v>15</v>
      </c>
      <c r="C18" s="11" t="s">
        <v>142</v>
      </c>
      <c r="D18" s="6" t="s">
        <v>26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95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5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5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5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95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95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>
        <v>100000</v>
      </c>
      <c r="P24" s="17">
        <v>31000</v>
      </c>
      <c r="Q24" s="5"/>
      <c r="R24" s="5"/>
      <c r="S24" s="5"/>
      <c r="T24" s="5">
        <f t="shared" si="2"/>
        <v>536000</v>
      </c>
      <c r="U24" s="7">
        <f>+K24-T24</f>
        <v>3964000</v>
      </c>
      <c r="V24" s="7"/>
      <c r="W24" s="44"/>
      <c r="X24" s="7">
        <f t="shared" si="4"/>
        <v>3964000</v>
      </c>
    </row>
    <row r="25" spans="1:24" x14ac:dyDescent="0.25">
      <c r="A25" s="95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>+E25-J25</f>
        <v>4333333</v>
      </c>
      <c r="H25" s="5"/>
      <c r="I25" s="5"/>
      <c r="J25" s="5">
        <v>666667</v>
      </c>
      <c r="K25" s="5">
        <f t="shared" ref="K25" si="26">SUM(G25:I25)+J25</f>
        <v>5000000</v>
      </c>
      <c r="L25" s="5">
        <f>+E25*4%</f>
        <v>200000</v>
      </c>
      <c r="M25" s="5">
        <f>+E25*5%</f>
        <v>250000</v>
      </c>
      <c r="N25" s="5"/>
      <c r="O25" s="5">
        <v>73900</v>
      </c>
      <c r="P25" s="17">
        <v>140000</v>
      </c>
      <c r="Q25" s="5"/>
      <c r="R25" s="5"/>
      <c r="S25" s="5"/>
      <c r="T25" s="5">
        <f t="shared" ref="T25" si="27">SUM(L25:S25)</f>
        <v>663900</v>
      </c>
      <c r="U25" s="7">
        <f>+K25-T25</f>
        <v>4336100</v>
      </c>
      <c r="V25" s="7"/>
      <c r="W25" s="44"/>
      <c r="X25" s="7">
        <f t="shared" si="4"/>
        <v>4336100</v>
      </c>
    </row>
    <row r="26" spans="1:24" x14ac:dyDescent="0.25">
      <c r="A26" s="95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ref="G26" si="28">E26/30*F26</f>
        <v>4500000</v>
      </c>
      <c r="H26" s="5"/>
      <c r="I26" s="5"/>
      <c r="J26" s="5"/>
      <c r="K26" s="5">
        <f t="shared" ref="K26" si="29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30">SUM(L26:S26)</f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95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8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95"/>
      <c r="B28" s="4">
        <v>25</v>
      </c>
      <c r="C28" s="11" t="s">
        <v>52</v>
      </c>
      <c r="D28" s="6" t="s">
        <v>26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100000</v>
      </c>
      <c r="P28" s="17">
        <v>0</v>
      </c>
      <c r="Q28" s="5"/>
      <c r="R28" s="5"/>
      <c r="S28" s="5"/>
      <c r="T28" s="5">
        <f t="shared" ref="T28" si="31">SUM(L28:S28)</f>
        <v>415000</v>
      </c>
      <c r="U28" s="7">
        <f>K28-T28</f>
        <v>3085000</v>
      </c>
      <c r="V28" s="7"/>
      <c r="W28" s="44"/>
      <c r="X28" s="7">
        <f t="shared" si="4"/>
        <v>3085000</v>
      </c>
    </row>
    <row r="29" spans="1:24" x14ac:dyDescent="0.25">
      <c r="A29" s="95"/>
      <c r="B29" s="4">
        <v>26</v>
      </c>
      <c r="C29" s="11" t="s">
        <v>53</v>
      </c>
      <c r="D29" s="6" t="s">
        <v>26</v>
      </c>
      <c r="E29" s="5">
        <v>4800000</v>
      </c>
      <c r="F29" s="5">
        <v>30</v>
      </c>
      <c r="G29" s="5">
        <f t="shared" ref="G29:G59" si="32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95"/>
      <c r="B30" s="4">
        <v>27</v>
      </c>
      <c r="C30" s="11" t="s">
        <v>54</v>
      </c>
      <c r="D30" s="6" t="s">
        <v>26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95"/>
      <c r="B31" s="4">
        <v>28</v>
      </c>
      <c r="C31" s="11" t="s">
        <v>55</v>
      </c>
      <c r="D31" s="6" t="s">
        <v>26</v>
      </c>
      <c r="E31" s="5">
        <v>6000000</v>
      </c>
      <c r="F31" s="5">
        <v>30</v>
      </c>
      <c r="G31" s="5">
        <f t="shared" si="32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3">+K31-T31</f>
        <v>5129386</v>
      </c>
      <c r="V31" s="7"/>
      <c r="W31" s="44"/>
      <c r="X31" s="7">
        <f t="shared" si="4"/>
        <v>5129386</v>
      </c>
    </row>
    <row r="32" spans="1:24" x14ac:dyDescent="0.25">
      <c r="A32" s="95"/>
      <c r="B32" s="4">
        <v>29</v>
      </c>
      <c r="C32" s="11" t="s">
        <v>56</v>
      </c>
      <c r="D32" s="6" t="s">
        <v>26</v>
      </c>
      <c r="E32" s="5">
        <v>4500000</v>
      </c>
      <c r="F32" s="5">
        <v>30</v>
      </c>
      <c r="G32" s="5">
        <f t="shared" si="32"/>
        <v>4500000</v>
      </c>
      <c r="H32" s="5">
        <v>3023437</v>
      </c>
      <c r="I32" s="5">
        <v>500000</v>
      </c>
      <c r="J32" s="5"/>
      <c r="K32" s="5">
        <f t="shared" si="0"/>
        <v>8023437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583333</v>
      </c>
      <c r="S32" s="5">
        <v>551399</v>
      </c>
      <c r="T32" s="5">
        <f t="shared" si="2"/>
        <v>1550732</v>
      </c>
      <c r="U32" s="7">
        <f t="shared" si="33"/>
        <v>6472705</v>
      </c>
      <c r="V32" s="7"/>
      <c r="W32" s="44"/>
      <c r="X32" s="7">
        <f t="shared" si="4"/>
        <v>6472705</v>
      </c>
    </row>
    <row r="33" spans="1:26" x14ac:dyDescent="0.25">
      <c r="A33" s="95"/>
      <c r="B33" s="4">
        <v>30</v>
      </c>
      <c r="C33" s="3" t="s">
        <v>57</v>
      </c>
      <c r="D33" s="4" t="s">
        <v>26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95"/>
      <c r="B34" s="4">
        <v>31</v>
      </c>
      <c r="C34" s="11" t="s">
        <v>58</v>
      </c>
      <c r="D34" s="6" t="s">
        <v>26</v>
      </c>
      <c r="E34" s="5">
        <v>6420000</v>
      </c>
      <c r="F34" s="5">
        <v>30</v>
      </c>
      <c r="G34" s="5">
        <f>+E34-J34</f>
        <v>5220000</v>
      </c>
      <c r="H34" s="5"/>
      <c r="I34" s="5"/>
      <c r="J34" s="5">
        <v>1200000</v>
      </c>
      <c r="K34" s="5">
        <f t="shared" ref="K34:K77" si="34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95"/>
      <c r="B35" s="4">
        <v>32</v>
      </c>
      <c r="C35" s="3" t="s">
        <v>59</v>
      </c>
      <c r="D35" s="4" t="s">
        <v>26</v>
      </c>
      <c r="E35" s="5">
        <v>6900000</v>
      </c>
      <c r="F35" s="5">
        <v>30</v>
      </c>
      <c r="G35" s="5">
        <f t="shared" si="32"/>
        <v>6900000</v>
      </c>
      <c r="H35" s="5"/>
      <c r="I35" s="5">
        <v>1500000</v>
      </c>
      <c r="J35" s="5"/>
      <c r="K35" s="5">
        <f t="shared" si="34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4"/>
      <c r="X35" s="7">
        <f t="shared" si="4"/>
        <v>7434000</v>
      </c>
    </row>
    <row r="36" spans="1:26" x14ac:dyDescent="0.25">
      <c r="A36" s="95"/>
      <c r="B36" s="4">
        <v>33</v>
      </c>
      <c r="C36" s="3" t="s">
        <v>61</v>
      </c>
      <c r="D36" s="4" t="s">
        <v>26</v>
      </c>
      <c r="E36" s="5">
        <v>5500000</v>
      </c>
      <c r="F36" s="5">
        <v>30</v>
      </c>
      <c r="G36" s="5">
        <f t="shared" si="32"/>
        <v>5500000</v>
      </c>
      <c r="H36" s="5"/>
      <c r="I36" s="5">
        <v>500000</v>
      </c>
      <c r="J36" s="5"/>
      <c r="K36" s="5">
        <f t="shared" ref="K36" si="35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6">SUM(L36:S36)</f>
        <v>639000</v>
      </c>
      <c r="U36" s="7">
        <f t="shared" ref="U36" si="37">K36-T36</f>
        <v>5361000</v>
      </c>
      <c r="V36" s="7"/>
      <c r="W36" s="44"/>
      <c r="X36" s="7">
        <f t="shared" si="4"/>
        <v>5361000</v>
      </c>
    </row>
    <row r="37" spans="1:26" x14ac:dyDescent="0.25">
      <c r="A37" s="95"/>
      <c r="B37" s="4">
        <v>34</v>
      </c>
      <c r="C37" s="11" t="s">
        <v>62</v>
      </c>
      <c r="D37" s="6" t="s">
        <v>26</v>
      </c>
      <c r="E37" s="5">
        <v>5350000</v>
      </c>
      <c r="F37" s="5">
        <v>30</v>
      </c>
      <c r="G37" s="5">
        <f t="shared" si="32"/>
        <v>5350000</v>
      </c>
      <c r="H37" s="5"/>
      <c r="I37" s="5"/>
      <c r="J37" s="5"/>
      <c r="K37" s="5">
        <f t="shared" si="34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8">+K37-T37</f>
        <v>4747500</v>
      </c>
      <c r="V37" s="7"/>
      <c r="W37" s="44"/>
      <c r="X37" s="7">
        <f t="shared" si="4"/>
        <v>4747500</v>
      </c>
    </row>
    <row r="38" spans="1:26" x14ac:dyDescent="0.25">
      <c r="A38" s="95"/>
      <c r="B38" s="4">
        <v>35</v>
      </c>
      <c r="C38" s="11" t="s">
        <v>148</v>
      </c>
      <c r="D38" s="6"/>
      <c r="E38" s="5">
        <v>4000000</v>
      </c>
      <c r="F38" s="5">
        <v>30</v>
      </c>
      <c r="G38" s="5">
        <f t="shared" si="32"/>
        <v>4000000.0000000005</v>
      </c>
      <c r="H38" s="5"/>
      <c r="I38" s="5"/>
      <c r="J38" s="5"/>
      <c r="K38" s="5">
        <f t="shared" ref="K38" si="39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8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95"/>
      <c r="B39" s="4">
        <v>36</v>
      </c>
      <c r="C39" s="11" t="s">
        <v>63</v>
      </c>
      <c r="D39" s="6" t="s">
        <v>26</v>
      </c>
      <c r="E39" s="5">
        <v>4500000</v>
      </c>
      <c r="F39" s="5">
        <v>30</v>
      </c>
      <c r="G39" s="5">
        <f t="shared" si="32"/>
        <v>4500000</v>
      </c>
      <c r="H39" s="5"/>
      <c r="I39" s="5"/>
      <c r="J39" s="5">
        <f>+E39-G39</f>
        <v>0</v>
      </c>
      <c r="K39" s="5">
        <f t="shared" si="34"/>
        <v>4500000</v>
      </c>
      <c r="L39" s="5">
        <f>+E39*4%</f>
        <v>180000</v>
      </c>
      <c r="M39" s="5">
        <f>+E39*5%</f>
        <v>225000</v>
      </c>
      <c r="N39" s="5"/>
      <c r="O39" s="5">
        <v>35000</v>
      </c>
      <c r="P39" s="5">
        <v>10000</v>
      </c>
      <c r="Q39" s="5"/>
      <c r="R39" s="5"/>
      <c r="S39" s="5"/>
      <c r="T39" s="5">
        <f>SUM(L39:S39)</f>
        <v>450000</v>
      </c>
      <c r="U39" s="7">
        <f t="shared" si="38"/>
        <v>4050000</v>
      </c>
      <c r="V39" s="7"/>
      <c r="W39" s="44"/>
      <c r="X39" s="7">
        <f t="shared" si="4"/>
        <v>4050000</v>
      </c>
    </row>
    <row r="40" spans="1:26" ht="26.25" customHeight="1" x14ac:dyDescent="0.25">
      <c r="A40" s="95"/>
      <c r="B40" s="4">
        <v>37</v>
      </c>
      <c r="C40" s="11" t="s">
        <v>65</v>
      </c>
      <c r="D40" s="6" t="s">
        <v>26</v>
      </c>
      <c r="E40" s="5">
        <v>4250000</v>
      </c>
      <c r="F40" s="5">
        <v>30</v>
      </c>
      <c r="G40" s="5">
        <f t="shared" si="32"/>
        <v>4250000</v>
      </c>
      <c r="H40" s="5"/>
      <c r="I40" s="5"/>
      <c r="J40" s="5"/>
      <c r="K40" s="5">
        <f t="shared" ref="K40" si="40">SUM(G40:I40)+J40</f>
        <v>4250000</v>
      </c>
      <c r="L40" s="5">
        <f>+G40*4%</f>
        <v>170000</v>
      </c>
      <c r="M40" s="5">
        <f>+G40*5%</f>
        <v>212500</v>
      </c>
      <c r="N40" s="5"/>
      <c r="O40" s="5"/>
      <c r="P40" s="5">
        <v>38000</v>
      </c>
      <c r="Q40" s="5"/>
      <c r="R40" s="5"/>
      <c r="S40" s="5"/>
      <c r="T40" s="5">
        <f t="shared" ref="T40" si="41">SUM(L40:S40)</f>
        <v>420500</v>
      </c>
      <c r="U40" s="7">
        <f t="shared" si="38"/>
        <v>3829500</v>
      </c>
      <c r="V40" s="7"/>
      <c r="W40" s="44"/>
      <c r="X40" s="7">
        <f t="shared" si="4"/>
        <v>3829500</v>
      </c>
    </row>
    <row r="41" spans="1:26" ht="26.25" customHeight="1" x14ac:dyDescent="0.25">
      <c r="A41" s="95"/>
      <c r="B41" s="4">
        <v>38</v>
      </c>
      <c r="C41" s="11" t="s">
        <v>66</v>
      </c>
      <c r="D41" s="6"/>
      <c r="E41" s="5">
        <v>4000000</v>
      </c>
      <c r="F41" s="5">
        <v>30</v>
      </c>
      <c r="G41" s="5">
        <f t="shared" si="32"/>
        <v>4000000.0000000005</v>
      </c>
      <c r="H41" s="5"/>
      <c r="I41" s="5"/>
      <c r="J41" s="5"/>
      <c r="K41" s="5">
        <f t="shared" ref="K41" si="42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3">SUM(L41:S41)</f>
        <v>364500.00000000006</v>
      </c>
      <c r="U41" s="7">
        <f t="shared" si="38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95"/>
      <c r="B42" s="4">
        <v>39</v>
      </c>
      <c r="C42" s="11" t="s">
        <v>67</v>
      </c>
      <c r="D42" s="6" t="s">
        <v>26</v>
      </c>
      <c r="E42" s="5">
        <v>3000000</v>
      </c>
      <c r="F42" s="5">
        <v>30</v>
      </c>
      <c r="G42" s="5">
        <f t="shared" si="32"/>
        <v>3000000</v>
      </c>
      <c r="H42" s="5"/>
      <c r="I42" s="5" t="s">
        <v>1</v>
      </c>
      <c r="J42" s="5"/>
      <c r="K42" s="5">
        <f t="shared" si="34"/>
        <v>3000000</v>
      </c>
      <c r="L42" s="5">
        <f>+K42*4%</f>
        <v>120000</v>
      </c>
      <c r="M42" s="5">
        <f>+K42*5%</f>
        <v>150000</v>
      </c>
      <c r="N42" s="5">
        <v>15400</v>
      </c>
      <c r="O42" s="5">
        <v>100000</v>
      </c>
      <c r="P42" s="5"/>
      <c r="Q42" s="5"/>
      <c r="R42" s="5"/>
      <c r="S42" s="5"/>
      <c r="T42" s="5">
        <f t="shared" si="2"/>
        <v>385400</v>
      </c>
      <c r="U42" s="7">
        <f t="shared" si="38"/>
        <v>2614600</v>
      </c>
      <c r="V42" s="7"/>
      <c r="W42" s="44"/>
      <c r="X42" s="7">
        <f t="shared" si="4"/>
        <v>2614600</v>
      </c>
    </row>
    <row r="43" spans="1:26" x14ac:dyDescent="0.25">
      <c r="A43" s="95"/>
      <c r="B43" s="4">
        <v>40</v>
      </c>
      <c r="C43" s="11" t="s">
        <v>68</v>
      </c>
      <c r="D43" s="6" t="s">
        <v>26</v>
      </c>
      <c r="E43" s="5">
        <v>5000000</v>
      </c>
      <c r="F43" s="5">
        <v>30</v>
      </c>
      <c r="G43" s="5">
        <f t="shared" si="32"/>
        <v>5000000</v>
      </c>
      <c r="H43" s="5"/>
      <c r="I43" s="5">
        <v>800000</v>
      </c>
      <c r="J43" s="5"/>
      <c r="K43" s="5">
        <f t="shared" si="34"/>
        <v>5800000</v>
      </c>
      <c r="L43" s="5">
        <f>+G43*4%</f>
        <v>200000</v>
      </c>
      <c r="M43" s="5">
        <f>+G43*5%</f>
        <v>250000</v>
      </c>
      <c r="N43" s="5"/>
      <c r="O43" s="5">
        <v>68300</v>
      </c>
      <c r="P43" s="5">
        <v>50000</v>
      </c>
      <c r="Q43" s="5"/>
      <c r="R43" s="5"/>
      <c r="S43" s="5"/>
      <c r="T43" s="5">
        <f t="shared" si="2"/>
        <v>568300</v>
      </c>
      <c r="U43" s="7">
        <f t="shared" si="38"/>
        <v>5231700</v>
      </c>
      <c r="V43" s="7"/>
      <c r="W43" s="44"/>
      <c r="X43" s="7">
        <f t="shared" si="4"/>
        <v>5231700</v>
      </c>
      <c r="Y43" s="7">
        <v>4886979</v>
      </c>
      <c r="Z43" s="55">
        <f>+X43-Y43</f>
        <v>344721</v>
      </c>
    </row>
    <row r="44" spans="1:26" ht="30.75" customHeight="1" x14ac:dyDescent="0.25">
      <c r="A44" s="95"/>
      <c r="B44" s="4">
        <v>41</v>
      </c>
      <c r="C44" s="11" t="s">
        <v>69</v>
      </c>
      <c r="D44" s="6" t="s">
        <v>26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4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95"/>
      <c r="B45" s="4">
        <v>42</v>
      </c>
      <c r="C45" s="11" t="s">
        <v>70</v>
      </c>
      <c r="D45" s="6" t="s">
        <v>26</v>
      </c>
      <c r="E45" s="5">
        <v>9590321</v>
      </c>
      <c r="F45" s="5">
        <v>30</v>
      </c>
      <c r="G45" s="5">
        <f t="shared" si="32"/>
        <v>9590321</v>
      </c>
      <c r="H45" s="5"/>
      <c r="I45" s="5"/>
      <c r="J45" s="5"/>
      <c r="K45" s="5">
        <f t="shared" si="34"/>
        <v>9590321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6281131</v>
      </c>
      <c r="V45" s="7"/>
      <c r="W45" s="44"/>
      <c r="X45" s="7">
        <f t="shared" si="4"/>
        <v>6281131</v>
      </c>
    </row>
    <row r="46" spans="1:26" x14ac:dyDescent="0.25">
      <c r="A46" s="96"/>
      <c r="B46" s="4">
        <v>43</v>
      </c>
      <c r="C46" s="11" t="s">
        <v>71</v>
      </c>
      <c r="D46" s="6" t="s">
        <v>26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4"/>
        <v>4500000</v>
      </c>
      <c r="L46" s="5">
        <v>180000</v>
      </c>
      <c r="M46" s="5">
        <v>225000</v>
      </c>
      <c r="N46" s="5"/>
      <c r="O46" s="5">
        <v>100000</v>
      </c>
      <c r="P46" s="5">
        <v>31000</v>
      </c>
      <c r="Q46" s="5"/>
      <c r="R46" s="5"/>
      <c r="S46" s="5"/>
      <c r="T46" s="5">
        <f t="shared" si="2"/>
        <v>536000</v>
      </c>
      <c r="U46" s="7">
        <f>K46-T46</f>
        <v>3964000</v>
      </c>
      <c r="V46" s="7"/>
      <c r="W46" s="44"/>
      <c r="X46" s="7">
        <f t="shared" si="4"/>
        <v>3964000</v>
      </c>
    </row>
    <row r="47" spans="1:26" x14ac:dyDescent="0.25">
      <c r="A47" s="94" t="s">
        <v>143</v>
      </c>
      <c r="B47" s="4">
        <v>1</v>
      </c>
      <c r="C47" s="11" t="s">
        <v>144</v>
      </c>
      <c r="D47" s="6"/>
      <c r="E47" s="5">
        <v>368858</v>
      </c>
      <c r="F47" s="5">
        <v>30</v>
      </c>
      <c r="G47" s="5">
        <f t="shared" si="32"/>
        <v>368858</v>
      </c>
      <c r="H47" s="5"/>
      <c r="I47" s="5"/>
      <c r="J47" s="5"/>
      <c r="K47" s="5">
        <f t="shared" si="34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95"/>
      <c r="B48" s="4">
        <v>2</v>
      </c>
      <c r="C48" s="11" t="s">
        <v>72</v>
      </c>
      <c r="D48" s="6" t="s">
        <v>26</v>
      </c>
      <c r="E48" s="5">
        <v>3000000</v>
      </c>
      <c r="F48" s="5">
        <v>30</v>
      </c>
      <c r="G48" s="5">
        <f t="shared" si="32"/>
        <v>3000000</v>
      </c>
      <c r="H48" s="5"/>
      <c r="I48" s="5"/>
      <c r="J48" s="5"/>
      <c r="K48" s="5">
        <f t="shared" si="34"/>
        <v>3000000</v>
      </c>
      <c r="L48" s="5">
        <v>120000</v>
      </c>
      <c r="M48" s="5">
        <v>150000</v>
      </c>
      <c r="N48" s="5"/>
      <c r="O48" s="5">
        <v>100000</v>
      </c>
      <c r="P48" s="5"/>
      <c r="Q48" s="5"/>
      <c r="R48" s="5"/>
      <c r="S48" s="5"/>
      <c r="T48" s="5">
        <f t="shared" si="2"/>
        <v>370000</v>
      </c>
      <c r="U48" s="7">
        <f>K48-T48</f>
        <v>2630000</v>
      </c>
      <c r="V48" s="7"/>
      <c r="W48" s="44"/>
      <c r="X48" s="7">
        <f t="shared" si="4"/>
        <v>2630000</v>
      </c>
    </row>
    <row r="49" spans="1:24" ht="24" customHeight="1" x14ac:dyDescent="0.25">
      <c r="A49" s="95"/>
      <c r="B49" s="4">
        <v>3</v>
      </c>
      <c r="C49" s="11" t="s">
        <v>73</v>
      </c>
      <c r="D49" s="6" t="s">
        <v>26</v>
      </c>
      <c r="E49" s="5">
        <v>4000000</v>
      </c>
      <c r="F49" s="5">
        <v>30</v>
      </c>
      <c r="G49" s="5">
        <f>+E49-J49</f>
        <v>3066667</v>
      </c>
      <c r="H49" s="5"/>
      <c r="I49" s="5"/>
      <c r="J49" s="5">
        <v>933333</v>
      </c>
      <c r="K49" s="5">
        <f t="shared" si="34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95"/>
      <c r="B50" s="4">
        <v>4</v>
      </c>
      <c r="C50" s="11" t="s">
        <v>74</v>
      </c>
      <c r="D50" s="6" t="s">
        <v>26</v>
      </c>
      <c r="E50" s="5">
        <f>614764+133333</f>
        <v>748097</v>
      </c>
      <c r="F50" s="5">
        <v>30</v>
      </c>
      <c r="G50" s="5">
        <f t="shared" si="32"/>
        <v>748097</v>
      </c>
      <c r="H50" s="5">
        <v>83140</v>
      </c>
      <c r="I50" s="5"/>
      <c r="J50" s="5"/>
      <c r="K50" s="5">
        <f t="shared" si="34"/>
        <v>831237</v>
      </c>
      <c r="L50" s="5">
        <f>+G50*4%</f>
        <v>29923.88</v>
      </c>
      <c r="M50" s="5">
        <f>+G50*4%</f>
        <v>29923.88</v>
      </c>
      <c r="N50" s="5"/>
      <c r="O50" s="5">
        <v>100000</v>
      </c>
      <c r="P50" s="17"/>
      <c r="Q50" s="5"/>
      <c r="R50" s="5"/>
      <c r="S50" s="5"/>
      <c r="T50" s="5">
        <f t="shared" ref="T50" si="44">SUM(L50:S50)</f>
        <v>159847.76</v>
      </c>
      <c r="U50" s="7">
        <f>+K50-T50</f>
        <v>671389.24</v>
      </c>
      <c r="V50" s="7"/>
      <c r="W50" s="44"/>
      <c r="X50" s="7">
        <f t="shared" si="4"/>
        <v>671389.24</v>
      </c>
    </row>
    <row r="51" spans="1:24" x14ac:dyDescent="0.25">
      <c r="A51" s="95"/>
      <c r="B51" s="4">
        <v>5</v>
      </c>
      <c r="C51" s="3" t="s">
        <v>75</v>
      </c>
      <c r="D51" s="4" t="s">
        <v>26</v>
      </c>
      <c r="E51" s="5">
        <v>1600000</v>
      </c>
      <c r="F51" s="5">
        <v>30</v>
      </c>
      <c r="G51" s="5">
        <f t="shared" si="32"/>
        <v>1600000</v>
      </c>
      <c r="H51" s="5"/>
      <c r="I51" s="5"/>
      <c r="J51" s="5"/>
      <c r="K51" s="5">
        <f t="shared" ref="K51" si="45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95"/>
      <c r="B52" s="4">
        <v>6</v>
      </c>
      <c r="C52" s="11" t="s">
        <v>76</v>
      </c>
      <c r="D52" s="6" t="s">
        <v>26</v>
      </c>
      <c r="E52" s="5">
        <v>737717</v>
      </c>
      <c r="F52" s="5">
        <v>30</v>
      </c>
      <c r="G52" s="5">
        <f t="shared" si="32"/>
        <v>737717</v>
      </c>
      <c r="H52" s="5">
        <f t="shared" ref="H52:H54" si="46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95"/>
      <c r="B53" s="4">
        <v>7</v>
      </c>
      <c r="C53" s="3" t="s">
        <v>77</v>
      </c>
      <c r="D53" s="4" t="s">
        <v>26</v>
      </c>
      <c r="E53" s="5">
        <v>1200000</v>
      </c>
      <c r="F53" s="5">
        <v>30</v>
      </c>
      <c r="G53" s="5">
        <f t="shared" si="32"/>
        <v>1200000</v>
      </c>
      <c r="H53" s="5">
        <f t="shared" si="46"/>
        <v>83140</v>
      </c>
      <c r="I53" s="5"/>
      <c r="J53" s="5"/>
      <c r="K53" s="5">
        <f t="shared" ref="K53" si="47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4" si="48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95"/>
      <c r="B54" s="4">
        <v>8</v>
      </c>
      <c r="C54" s="11" t="s">
        <v>79</v>
      </c>
      <c r="D54" s="6" t="s">
        <v>26</v>
      </c>
      <c r="E54" s="5">
        <v>737717</v>
      </c>
      <c r="F54" s="5">
        <v>30</v>
      </c>
      <c r="G54" s="5">
        <f t="shared" si="32"/>
        <v>737717</v>
      </c>
      <c r="H54" s="5">
        <f t="shared" si="46"/>
        <v>83140</v>
      </c>
      <c r="I54" s="5"/>
      <c r="J54" s="5"/>
      <c r="K54" s="5">
        <f t="shared" ref="K54:K55" si="49">SUM(G54:I54)+J54</f>
        <v>820857</v>
      </c>
      <c r="L54" s="5">
        <v>29509</v>
      </c>
      <c r="M54" s="5">
        <v>29509</v>
      </c>
      <c r="N54" s="5">
        <v>55600</v>
      </c>
      <c r="O54" s="5">
        <v>100000</v>
      </c>
      <c r="P54" s="17"/>
      <c r="Q54" s="5"/>
      <c r="R54" s="5"/>
      <c r="S54" s="5"/>
      <c r="T54" s="5">
        <f t="shared" ref="T54:T55" si="50">SUM(L54:S54)</f>
        <v>214618</v>
      </c>
      <c r="U54" s="7">
        <f t="shared" ref="U54:U62" si="51">+K54-T54</f>
        <v>606239</v>
      </c>
      <c r="V54" s="7"/>
      <c r="W54" s="44"/>
      <c r="X54" s="7">
        <f t="shared" si="4"/>
        <v>606239</v>
      </c>
    </row>
    <row r="55" spans="1:24" ht="24" x14ac:dyDescent="0.25">
      <c r="A55" s="95"/>
      <c r="B55" s="4">
        <v>9</v>
      </c>
      <c r="C55" s="11" t="s">
        <v>80</v>
      </c>
      <c r="D55" s="6" t="s">
        <v>26</v>
      </c>
      <c r="E55" s="5">
        <v>1100000</v>
      </c>
      <c r="F55" s="5">
        <v>30</v>
      </c>
      <c r="G55" s="5">
        <f t="shared" si="32"/>
        <v>1100000</v>
      </c>
      <c r="H55" s="5">
        <v>83140</v>
      </c>
      <c r="I55" s="5"/>
      <c r="J55" s="5"/>
      <c r="K55" s="5">
        <f t="shared" si="49"/>
        <v>1183140</v>
      </c>
      <c r="L55" s="5">
        <f t="shared" ref="L55" si="52">+G55*4%</f>
        <v>44000</v>
      </c>
      <c r="M55" s="5">
        <f t="shared" ref="M55" si="53">+G55*4%</f>
        <v>44000</v>
      </c>
      <c r="N55" s="5"/>
      <c r="O55" s="5">
        <v>100000</v>
      </c>
      <c r="P55" s="17"/>
      <c r="Q55" s="5"/>
      <c r="R55" s="5"/>
      <c r="S55" s="5"/>
      <c r="T55" s="5">
        <f t="shared" si="50"/>
        <v>188000</v>
      </c>
      <c r="U55" s="7">
        <f t="shared" si="51"/>
        <v>995140</v>
      </c>
      <c r="V55" s="7"/>
      <c r="W55" s="44"/>
      <c r="X55" s="7">
        <f t="shared" si="4"/>
        <v>995140</v>
      </c>
    </row>
    <row r="56" spans="1:24" ht="21.75" customHeight="1" x14ac:dyDescent="0.25">
      <c r="A56" s="95"/>
      <c r="B56" s="4">
        <v>10</v>
      </c>
      <c r="C56" s="11" t="s">
        <v>81</v>
      </c>
      <c r="D56" s="6" t="s">
        <v>26</v>
      </c>
      <c r="E56" s="5">
        <v>1450000</v>
      </c>
      <c r="F56" s="5">
        <v>30</v>
      </c>
      <c r="G56" s="5">
        <f t="shared" si="32"/>
        <v>1450000</v>
      </c>
      <c r="H56" s="5">
        <f>+(83140/30)*F56</f>
        <v>83140</v>
      </c>
      <c r="I56" s="5"/>
      <c r="J56" s="5"/>
      <c r="K56" s="5">
        <f t="shared" si="34"/>
        <v>1533140</v>
      </c>
      <c r="L56" s="5">
        <f>+G56*4%</f>
        <v>58000</v>
      </c>
      <c r="M56" s="5">
        <f>+G56*4%</f>
        <v>58000</v>
      </c>
      <c r="N56" s="5"/>
      <c r="O56" s="5">
        <v>100000</v>
      </c>
      <c r="P56" s="5">
        <v>0</v>
      </c>
      <c r="Q56" s="5"/>
      <c r="R56" s="5"/>
      <c r="S56" s="5"/>
      <c r="T56" s="5">
        <f t="shared" si="48"/>
        <v>216000</v>
      </c>
      <c r="U56" s="7">
        <f t="shared" si="51"/>
        <v>1317140</v>
      </c>
      <c r="V56" s="7"/>
      <c r="W56" s="44"/>
      <c r="X56" s="7">
        <f t="shared" si="4"/>
        <v>1317140</v>
      </c>
    </row>
    <row r="57" spans="1:24" x14ac:dyDescent="0.25">
      <c r="A57" s="95"/>
      <c r="B57" s="4">
        <v>11</v>
      </c>
      <c r="C57" s="11" t="s">
        <v>82</v>
      </c>
      <c r="D57" s="6" t="s">
        <v>26</v>
      </c>
      <c r="E57" s="5">
        <v>737717</v>
      </c>
      <c r="F57" s="5">
        <v>30</v>
      </c>
      <c r="G57" s="5">
        <f t="shared" si="32"/>
        <v>737717</v>
      </c>
      <c r="H57" s="5">
        <v>83140</v>
      </c>
      <c r="I57" s="5"/>
      <c r="J57" s="5"/>
      <c r="K57" s="5">
        <f t="shared" ref="K57" si="54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8"/>
        <v>59018</v>
      </c>
      <c r="U57" s="7">
        <f t="shared" si="51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95"/>
      <c r="B58" s="4">
        <v>12</v>
      </c>
      <c r="C58" s="11" t="s">
        <v>83</v>
      </c>
      <c r="D58" s="6" t="s">
        <v>26</v>
      </c>
      <c r="E58" s="5">
        <v>3500000</v>
      </c>
      <c r="F58" s="5">
        <v>30</v>
      </c>
      <c r="G58" s="5">
        <f>+E58-J58</f>
        <v>2683333</v>
      </c>
      <c r="H58" s="5"/>
      <c r="I58" s="5"/>
      <c r="J58" s="5">
        <v>816667</v>
      </c>
      <c r="K58" s="5">
        <f t="shared" ref="K58" si="55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6">SUM(L58:S58)</f>
        <v>315000</v>
      </c>
      <c r="U58" s="7">
        <f t="shared" si="51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95"/>
      <c r="B59" s="4">
        <v>13</v>
      </c>
      <c r="C59" s="11" t="s">
        <v>84</v>
      </c>
      <c r="D59" s="6" t="s">
        <v>26</v>
      </c>
      <c r="E59" s="5">
        <v>2500000</v>
      </c>
      <c r="F59" s="5">
        <v>30</v>
      </c>
      <c r="G59" s="5">
        <f t="shared" si="32"/>
        <v>2500000</v>
      </c>
      <c r="H59" s="5">
        <v>39063</v>
      </c>
      <c r="I59" s="5"/>
      <c r="J59" s="5"/>
      <c r="K59" s="5">
        <f t="shared" si="34"/>
        <v>2539063</v>
      </c>
      <c r="L59" s="5">
        <f>+G59*4%</f>
        <v>100000</v>
      </c>
      <c r="M59" s="5">
        <f>+G59*4%</f>
        <v>100000</v>
      </c>
      <c r="N59" s="5"/>
      <c r="O59" s="5"/>
      <c r="P59" s="5">
        <v>0</v>
      </c>
      <c r="Q59" s="5"/>
      <c r="R59" s="5"/>
      <c r="S59" s="5">
        <v>200210</v>
      </c>
      <c r="T59" s="5">
        <f t="shared" si="48"/>
        <v>400210</v>
      </c>
      <c r="U59" s="7">
        <f t="shared" si="51"/>
        <v>2138853</v>
      </c>
      <c r="V59" s="7"/>
      <c r="W59" s="44"/>
      <c r="X59" s="7">
        <f t="shared" si="4"/>
        <v>2138853</v>
      </c>
    </row>
    <row r="60" spans="1:24" ht="17.25" customHeight="1" x14ac:dyDescent="0.25">
      <c r="A60" s="95"/>
      <c r="B60" s="4">
        <v>14</v>
      </c>
      <c r="C60" s="11" t="s">
        <v>85</v>
      </c>
      <c r="D60" s="6" t="s">
        <v>26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7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8">SUM(L60:S60)</f>
        <v>96000</v>
      </c>
      <c r="U60" s="7">
        <f t="shared" si="51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95"/>
      <c r="B61" s="4">
        <v>15</v>
      </c>
      <c r="C61" s="11" t="s">
        <v>86</v>
      </c>
      <c r="D61" s="6" t="s">
        <v>26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9">SUM(G61:I61)+J61</f>
        <v>983140</v>
      </c>
      <c r="L61" s="5">
        <f>+G61*4%</f>
        <v>36000</v>
      </c>
      <c r="M61" s="5">
        <f t="shared" ref="M61" si="60">+G61*4%</f>
        <v>36000</v>
      </c>
      <c r="N61" s="5"/>
      <c r="O61" s="5"/>
      <c r="P61" s="5">
        <v>0</v>
      </c>
      <c r="Q61" s="5"/>
      <c r="R61" s="5"/>
      <c r="S61" s="5"/>
      <c r="T61" s="5">
        <f t="shared" si="58"/>
        <v>72000</v>
      </c>
      <c r="U61" s="7">
        <f t="shared" si="51"/>
        <v>911140</v>
      </c>
      <c r="V61" s="7"/>
      <c r="W61" s="44"/>
      <c r="X61" s="7">
        <f t="shared" si="4"/>
        <v>911140</v>
      </c>
    </row>
    <row r="62" spans="1:24" ht="24" x14ac:dyDescent="0.25">
      <c r="A62" s="95"/>
      <c r="B62" s="4">
        <v>16</v>
      </c>
      <c r="C62" s="11" t="s">
        <v>87</v>
      </c>
      <c r="D62" s="6" t="s">
        <v>26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4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/>
      <c r="T62" s="5">
        <f t="shared" si="48"/>
        <v>160000</v>
      </c>
      <c r="U62" s="7">
        <f t="shared" si="51"/>
        <v>1840000.0000000002</v>
      </c>
      <c r="V62" s="7"/>
      <c r="W62" s="44"/>
      <c r="X62" s="7">
        <f t="shared" si="4"/>
        <v>1840000.0000000002</v>
      </c>
    </row>
    <row r="63" spans="1:24" x14ac:dyDescent="0.25">
      <c r="A63" s="95"/>
      <c r="B63" s="4">
        <v>17</v>
      </c>
      <c r="C63" s="3" t="s">
        <v>88</v>
      </c>
      <c r="D63" s="4" t="s">
        <v>26</v>
      </c>
      <c r="E63" s="5">
        <v>3500000</v>
      </c>
      <c r="F63" s="5">
        <v>30</v>
      </c>
      <c r="G63" s="5">
        <f>+E63/30*F63</f>
        <v>3500000</v>
      </c>
      <c r="H63" s="5">
        <v>546875</v>
      </c>
      <c r="I63" s="5"/>
      <c r="J63" s="5"/>
      <c r="K63" s="5">
        <f t="shared" si="34"/>
        <v>4046875</v>
      </c>
      <c r="L63" s="5">
        <v>140000</v>
      </c>
      <c r="M63" s="5">
        <v>175000</v>
      </c>
      <c r="N63" s="5"/>
      <c r="O63" s="5">
        <v>100000</v>
      </c>
      <c r="P63" s="5">
        <v>0</v>
      </c>
      <c r="Q63" s="5"/>
      <c r="R63" s="5"/>
      <c r="S63" s="5"/>
      <c r="T63" s="5">
        <f t="shared" si="48"/>
        <v>415000</v>
      </c>
      <c r="U63" s="7">
        <f t="shared" ref="U63:U73" si="61">K63-T63</f>
        <v>3631875</v>
      </c>
      <c r="V63" s="7"/>
      <c r="W63" s="44"/>
      <c r="X63" s="7">
        <f t="shared" si="4"/>
        <v>3631875</v>
      </c>
    </row>
    <row r="64" spans="1:24" x14ac:dyDescent="0.25">
      <c r="A64" s="95"/>
      <c r="B64" s="4">
        <v>18</v>
      </c>
      <c r="C64" s="11" t="s">
        <v>89</v>
      </c>
      <c r="D64" s="6" t="s">
        <v>26</v>
      </c>
      <c r="E64" s="5">
        <v>4000000</v>
      </c>
      <c r="F64" s="5">
        <v>30</v>
      </c>
      <c r="G64" s="5">
        <f>+E64-J64</f>
        <v>3200000</v>
      </c>
      <c r="H64" s="5">
        <v>1335937</v>
      </c>
      <c r="I64" s="5">
        <v>300000</v>
      </c>
      <c r="J64" s="5">
        <v>800000</v>
      </c>
      <c r="K64" s="5">
        <f t="shared" si="34"/>
        <v>5635937</v>
      </c>
      <c r="L64" s="5">
        <v>160000</v>
      </c>
      <c r="M64" s="5">
        <v>200000</v>
      </c>
      <c r="N64" s="5"/>
      <c r="O64" s="5">
        <v>100000</v>
      </c>
      <c r="P64" s="5">
        <v>3000</v>
      </c>
      <c r="Q64" s="5"/>
      <c r="R64" s="5"/>
      <c r="S64" s="5">
        <v>766228</v>
      </c>
      <c r="T64" s="5">
        <f t="shared" si="48"/>
        <v>1229228</v>
      </c>
      <c r="U64" s="7">
        <f t="shared" si="61"/>
        <v>4406709</v>
      </c>
      <c r="V64" s="7"/>
      <c r="W64" s="44"/>
      <c r="X64" s="7">
        <f t="shared" si="4"/>
        <v>4406709</v>
      </c>
    </row>
    <row r="65" spans="1:27" x14ac:dyDescent="0.25">
      <c r="A65" s="95"/>
      <c r="B65" s="4">
        <v>19</v>
      </c>
      <c r="C65" s="11" t="s">
        <v>90</v>
      </c>
      <c r="D65" s="6" t="s">
        <v>26</v>
      </c>
      <c r="E65" s="5">
        <v>800000</v>
      </c>
      <c r="F65" s="5">
        <v>21</v>
      </c>
      <c r="G65" s="5">
        <f>+E65/30*F65</f>
        <v>560000</v>
      </c>
      <c r="H65" s="5">
        <f>+(83140/30)*F65</f>
        <v>58198</v>
      </c>
      <c r="I65" s="5"/>
      <c r="J65" s="5"/>
      <c r="K65" s="5">
        <f t="shared" si="34"/>
        <v>618198</v>
      </c>
      <c r="L65" s="5">
        <f>+G65*4%</f>
        <v>22400</v>
      </c>
      <c r="M65" s="5">
        <f>+G65*4%</f>
        <v>22400</v>
      </c>
      <c r="N65" s="5"/>
      <c r="O65" s="5">
        <v>12700</v>
      </c>
      <c r="P65" s="5"/>
      <c r="Q65" s="5"/>
      <c r="R65" s="5"/>
      <c r="S65" s="5"/>
      <c r="T65" s="5">
        <f t="shared" si="48"/>
        <v>57500</v>
      </c>
      <c r="U65" s="7">
        <f t="shared" si="61"/>
        <v>560698</v>
      </c>
      <c r="V65" s="7"/>
      <c r="W65" s="44"/>
      <c r="X65" s="7">
        <f t="shared" si="4"/>
        <v>560698</v>
      </c>
    </row>
    <row r="66" spans="1:27" ht="17.25" customHeight="1" x14ac:dyDescent="0.25">
      <c r="A66" s="95"/>
      <c r="B66" s="4">
        <v>20</v>
      </c>
      <c r="C66" s="11" t="s">
        <v>91</v>
      </c>
      <c r="D66" s="6" t="s">
        <v>26</v>
      </c>
      <c r="E66" s="5">
        <v>3500000</v>
      </c>
      <c r="F66" s="5">
        <v>30</v>
      </c>
      <c r="G66" s="5">
        <f>E66/30*F66</f>
        <v>3500000</v>
      </c>
      <c r="H66" s="5">
        <v>679687</v>
      </c>
      <c r="I66" s="5"/>
      <c r="J66" s="5">
        <v>1666670</v>
      </c>
      <c r="K66" s="5">
        <f t="shared" si="34"/>
        <v>5846357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8"/>
        <v>415000</v>
      </c>
      <c r="U66" s="7">
        <f t="shared" si="61"/>
        <v>5431357</v>
      </c>
      <c r="V66" s="7"/>
      <c r="W66" s="44"/>
      <c r="X66" s="7">
        <f t="shared" si="4"/>
        <v>5431357</v>
      </c>
    </row>
    <row r="67" spans="1:27" ht="17.25" customHeight="1" x14ac:dyDescent="0.25">
      <c r="A67" s="95"/>
      <c r="B67" s="4">
        <v>21</v>
      </c>
      <c r="C67" s="11" t="s">
        <v>92</v>
      </c>
      <c r="D67" s="6" t="s">
        <v>26</v>
      </c>
      <c r="E67" s="5">
        <v>1200000</v>
      </c>
      <c r="F67" s="5">
        <v>30</v>
      </c>
      <c r="G67" s="5">
        <f>+E67-J67</f>
        <v>920000</v>
      </c>
      <c r="H67" s="5">
        <f>+(83140/30)*F67</f>
        <v>83140</v>
      </c>
      <c r="I67" s="5"/>
      <c r="J67" s="5">
        <v>280000</v>
      </c>
      <c r="K67" s="5">
        <f t="shared" ref="K67:K70" si="62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0" si="63">SUM(L67:S67)</f>
        <v>96000</v>
      </c>
      <c r="U67" s="7">
        <f t="shared" si="61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95"/>
      <c r="B68" s="4">
        <v>22</v>
      </c>
      <c r="C68" s="11" t="s">
        <v>93</v>
      </c>
      <c r="D68" s="6"/>
      <c r="E68" s="5">
        <v>1030410</v>
      </c>
      <c r="F68" s="5">
        <v>30</v>
      </c>
      <c r="G68" s="5">
        <f>+E68/30*F68</f>
        <v>1030410</v>
      </c>
      <c r="H68" s="5">
        <f>+(83140/30)*F68</f>
        <v>83140</v>
      </c>
      <c r="I68" s="5"/>
      <c r="J68" s="5"/>
      <c r="K68" s="5">
        <f t="shared" ref="K68" si="64">SUM(G68:I68)+J68</f>
        <v>1113550</v>
      </c>
      <c r="L68" s="5">
        <f>+G68*4%</f>
        <v>41216.400000000001</v>
      </c>
      <c r="M68" s="5">
        <f>+G68*4%</f>
        <v>41216.400000000001</v>
      </c>
      <c r="N68" s="5"/>
      <c r="O68" s="5">
        <v>100000</v>
      </c>
      <c r="P68" s="5"/>
      <c r="Q68" s="5"/>
      <c r="R68" s="5"/>
      <c r="S68" s="5"/>
      <c r="T68" s="5">
        <f t="shared" si="63"/>
        <v>182432.8</v>
      </c>
      <c r="U68" s="7">
        <f t="shared" si="61"/>
        <v>931117.2</v>
      </c>
      <c r="V68" s="7"/>
      <c r="W68" s="44"/>
      <c r="X68" s="7">
        <f t="shared" ref="X68:X104" si="65">U68+V68-W68</f>
        <v>931117.2</v>
      </c>
    </row>
    <row r="69" spans="1:27" x14ac:dyDescent="0.25">
      <c r="A69" s="95"/>
      <c r="B69" s="4">
        <v>23</v>
      </c>
      <c r="C69" s="3" t="s">
        <v>95</v>
      </c>
      <c r="D69" s="4"/>
      <c r="E69" s="5">
        <v>4000000</v>
      </c>
      <c r="F69" s="5">
        <v>30</v>
      </c>
      <c r="G69" s="5">
        <f t="shared" ref="G69" si="66">+E69/30*F69</f>
        <v>4000000.0000000005</v>
      </c>
      <c r="H69" s="5"/>
      <c r="I69" s="5"/>
      <c r="J69" s="5"/>
      <c r="K69" s="5">
        <f t="shared" ref="K69" si="67">SUM(G69:I69)+J69</f>
        <v>4000000.0000000005</v>
      </c>
      <c r="L69" s="5">
        <f>+G69*4%</f>
        <v>160000.00000000003</v>
      </c>
      <c r="M69" s="5">
        <f>+G69*5%</f>
        <v>200000.00000000003</v>
      </c>
      <c r="N69" s="5"/>
      <c r="O69" s="5"/>
      <c r="P69" s="5"/>
      <c r="Q69" s="5"/>
      <c r="R69" s="5"/>
      <c r="S69" s="5"/>
      <c r="T69" s="5">
        <f t="shared" ref="T69" si="68">SUM(L69:S69)</f>
        <v>360000.00000000006</v>
      </c>
      <c r="U69" s="7">
        <f t="shared" ref="U69" si="69">+K69-T69</f>
        <v>3640000.0000000005</v>
      </c>
      <c r="V69" s="7"/>
      <c r="W69" s="44"/>
      <c r="X69" s="7">
        <f t="shared" si="65"/>
        <v>3640000.0000000005</v>
      </c>
    </row>
    <row r="70" spans="1:27" ht="17.25" customHeight="1" x14ac:dyDescent="0.25">
      <c r="A70" s="95"/>
      <c r="B70" s="4">
        <v>24</v>
      </c>
      <c r="C70" s="11" t="s">
        <v>96</v>
      </c>
      <c r="D70" s="6" t="s">
        <v>26</v>
      </c>
      <c r="E70" s="5">
        <v>900000</v>
      </c>
      <c r="F70" s="5">
        <v>30</v>
      </c>
      <c r="G70" s="5">
        <f>E70/30*F70</f>
        <v>900000</v>
      </c>
      <c r="H70" s="5">
        <v>83140</v>
      </c>
      <c r="I70" s="5"/>
      <c r="J70" s="5"/>
      <c r="K70" s="5">
        <f t="shared" si="62"/>
        <v>983140</v>
      </c>
      <c r="L70" s="5">
        <f>+G70*4%</f>
        <v>36000</v>
      </c>
      <c r="M70" s="5">
        <f>+G70*4%</f>
        <v>36000</v>
      </c>
      <c r="N70" s="5"/>
      <c r="O70" s="5">
        <v>21900</v>
      </c>
      <c r="P70" s="5"/>
      <c r="Q70" s="5"/>
      <c r="R70" s="5"/>
      <c r="S70" s="5"/>
      <c r="T70" s="5">
        <f t="shared" si="63"/>
        <v>93900</v>
      </c>
      <c r="U70" s="7">
        <f>K70-T70</f>
        <v>889240</v>
      </c>
      <c r="V70" s="7"/>
      <c r="W70" s="44"/>
      <c r="X70" s="7">
        <f t="shared" si="65"/>
        <v>889240</v>
      </c>
    </row>
    <row r="71" spans="1:27" ht="15.75" customHeight="1" x14ac:dyDescent="0.25">
      <c r="A71" s="95"/>
      <c r="B71" s="4">
        <v>25</v>
      </c>
      <c r="C71" s="11" t="s">
        <v>97</v>
      </c>
      <c r="D71" s="6" t="s">
        <v>26</v>
      </c>
      <c r="E71" s="5">
        <v>2000000</v>
      </c>
      <c r="F71" s="5">
        <v>30</v>
      </c>
      <c r="G71" s="5">
        <f>(E71/30*F71)</f>
        <v>2000000.0000000002</v>
      </c>
      <c r="H71" s="5"/>
      <c r="I71" s="5"/>
      <c r="J71" s="5">
        <f>+E71-G71</f>
        <v>0</v>
      </c>
      <c r="K71" s="5">
        <f t="shared" si="34"/>
        <v>2000000.0000000002</v>
      </c>
      <c r="L71" s="5">
        <v>80000</v>
      </c>
      <c r="M71" s="5">
        <v>80000</v>
      </c>
      <c r="N71" s="5"/>
      <c r="O71" s="5"/>
      <c r="P71" s="5">
        <v>0</v>
      </c>
      <c r="Q71" s="5"/>
      <c r="R71" s="5"/>
      <c r="S71" s="5">
        <v>254624</v>
      </c>
      <c r="T71" s="5">
        <f t="shared" si="48"/>
        <v>414624</v>
      </c>
      <c r="U71" s="7">
        <f t="shared" si="61"/>
        <v>1585376.0000000002</v>
      </c>
      <c r="V71" s="7"/>
      <c r="W71" s="44"/>
      <c r="X71" s="7">
        <f t="shared" si="65"/>
        <v>1585376.0000000002</v>
      </c>
      <c r="AA71" s="45">
        <f>1196000+644000</f>
        <v>1840000</v>
      </c>
    </row>
    <row r="72" spans="1:27" ht="15.75" customHeight="1" x14ac:dyDescent="0.25">
      <c r="A72" s="95"/>
      <c r="B72" s="4">
        <v>26</v>
      </c>
      <c r="C72" s="11" t="s">
        <v>98</v>
      </c>
      <c r="D72" s="6" t="s">
        <v>26</v>
      </c>
      <c r="E72" s="5">
        <v>2000000</v>
      </c>
      <c r="F72" s="5">
        <v>30</v>
      </c>
      <c r="G72" s="5">
        <f>+E72-J72</f>
        <v>1455357</v>
      </c>
      <c r="H72" s="5"/>
      <c r="I72" s="5"/>
      <c r="J72" s="5">
        <v>544643</v>
      </c>
      <c r="K72" s="5">
        <f t="shared" ref="K72" si="70">SUM(G72:I72)+J72</f>
        <v>2000000</v>
      </c>
      <c r="L72" s="5">
        <v>80000</v>
      </c>
      <c r="M72" s="5">
        <v>80000</v>
      </c>
      <c r="N72" s="5"/>
      <c r="O72" s="5"/>
      <c r="P72" s="5"/>
      <c r="Q72" s="5"/>
      <c r="R72" s="5"/>
      <c r="S72" s="5"/>
      <c r="T72" s="5">
        <f t="shared" ref="T72" si="71">SUM(L72:S72)</f>
        <v>160000</v>
      </c>
      <c r="U72" s="7">
        <f t="shared" si="61"/>
        <v>1840000</v>
      </c>
      <c r="V72" s="7"/>
      <c r="W72" s="44"/>
      <c r="X72" s="7">
        <f t="shared" si="65"/>
        <v>1840000</v>
      </c>
    </row>
    <row r="73" spans="1:27" x14ac:dyDescent="0.25">
      <c r="A73" s="95"/>
      <c r="B73" s="4">
        <v>27</v>
      </c>
      <c r="C73" s="3" t="s">
        <v>100</v>
      </c>
      <c r="D73" s="4" t="s">
        <v>26</v>
      </c>
      <c r="E73" s="5">
        <v>800000</v>
      </c>
      <c r="F73" s="5">
        <v>21</v>
      </c>
      <c r="G73" s="5">
        <f>(E73/30*F73)</f>
        <v>560000</v>
      </c>
      <c r="H73" s="5">
        <f>+(83140/30)*F73</f>
        <v>58198</v>
      </c>
      <c r="I73" s="5"/>
      <c r="J73" s="5"/>
      <c r="K73" s="5">
        <f t="shared" si="34"/>
        <v>618198</v>
      </c>
      <c r="L73" s="5">
        <f>+G73*4%</f>
        <v>22400</v>
      </c>
      <c r="M73" s="5">
        <f>+G73*4%</f>
        <v>22400</v>
      </c>
      <c r="N73" s="5"/>
      <c r="O73" s="5">
        <v>13600</v>
      </c>
      <c r="P73" s="5"/>
      <c r="Q73" s="5"/>
      <c r="R73" s="5"/>
      <c r="S73" s="5"/>
      <c r="T73" s="5">
        <f t="shared" si="48"/>
        <v>58400</v>
      </c>
      <c r="U73" s="7">
        <f t="shared" si="61"/>
        <v>559798</v>
      </c>
      <c r="V73" s="7"/>
      <c r="W73" s="44"/>
      <c r="X73" s="7">
        <f t="shared" si="65"/>
        <v>559798</v>
      </c>
      <c r="AA73" s="45">
        <f>1840000-1196000</f>
        <v>644000</v>
      </c>
    </row>
    <row r="74" spans="1:27" ht="20.25" customHeight="1" x14ac:dyDescent="0.25">
      <c r="A74" s="95"/>
      <c r="B74" s="4">
        <v>28</v>
      </c>
      <c r="C74" s="11" t="s">
        <v>102</v>
      </c>
      <c r="D74" s="6" t="s">
        <v>26</v>
      </c>
      <c r="E74" s="5">
        <v>3500000</v>
      </c>
      <c r="F74" s="5">
        <v>30</v>
      </c>
      <c r="G74" s="5">
        <f t="shared" ref="G74:G78" si="72">+E74/30*F74</f>
        <v>3500000</v>
      </c>
      <c r="H74" s="5"/>
      <c r="I74" s="5"/>
      <c r="J74" s="5">
        <f>+E74-G74</f>
        <v>0</v>
      </c>
      <c r="K74" s="5">
        <f t="shared" si="34"/>
        <v>3500000</v>
      </c>
      <c r="L74" s="5">
        <v>140000</v>
      </c>
      <c r="M74" s="5">
        <v>175000</v>
      </c>
      <c r="N74" s="5"/>
      <c r="O74" s="5"/>
      <c r="P74" s="5">
        <v>0</v>
      </c>
      <c r="Q74" s="5"/>
      <c r="R74" s="5"/>
      <c r="S74" s="5">
        <v>996534</v>
      </c>
      <c r="T74" s="5">
        <f t="shared" si="48"/>
        <v>1311534</v>
      </c>
      <c r="U74" s="7">
        <f t="shared" ref="U74:U82" si="73">+K74-T74</f>
        <v>2188466</v>
      </c>
      <c r="V74" s="7"/>
      <c r="W74" s="44"/>
      <c r="X74" s="7">
        <f t="shared" si="65"/>
        <v>2188466</v>
      </c>
    </row>
    <row r="75" spans="1:27" x14ac:dyDescent="0.25">
      <c r="A75" s="95"/>
      <c r="B75" s="4">
        <v>29</v>
      </c>
      <c r="C75" s="11" t="s">
        <v>104</v>
      </c>
      <c r="D75" s="6" t="s">
        <v>26</v>
      </c>
      <c r="E75" s="5">
        <v>4000000</v>
      </c>
      <c r="F75" s="5">
        <v>30</v>
      </c>
      <c r="G75" s="5">
        <f t="shared" si="72"/>
        <v>4000000.0000000005</v>
      </c>
      <c r="H75" s="5"/>
      <c r="I75" s="5"/>
      <c r="J75" s="5"/>
      <c r="K75" s="5">
        <f t="shared" si="34"/>
        <v>4000000.0000000005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si="48"/>
        <v>363000</v>
      </c>
      <c r="U75" s="7">
        <f t="shared" si="73"/>
        <v>3637000.0000000005</v>
      </c>
      <c r="V75" s="7"/>
      <c r="W75" s="44"/>
      <c r="X75" s="7">
        <f t="shared" si="65"/>
        <v>3637000.0000000005</v>
      </c>
      <c r="Y75" s="45" t="s">
        <v>105</v>
      </c>
    </row>
    <row r="76" spans="1:27" x14ac:dyDescent="0.25">
      <c r="A76" s="95"/>
      <c r="B76" s="4">
        <v>30</v>
      </c>
      <c r="C76" s="11" t="s">
        <v>106</v>
      </c>
      <c r="D76" s="6" t="s">
        <v>26</v>
      </c>
      <c r="E76" s="5">
        <v>900000</v>
      </c>
      <c r="F76" s="5">
        <v>30</v>
      </c>
      <c r="G76" s="5">
        <f>+E76/30*F76</f>
        <v>900000</v>
      </c>
      <c r="H76" s="5">
        <f>+(83140/30)*F76</f>
        <v>83140</v>
      </c>
      <c r="I76" s="5"/>
      <c r="J76" s="5"/>
      <c r="K76" s="5">
        <f t="shared" ref="K76" si="74">SUM(G76:I76)+J76</f>
        <v>983140</v>
      </c>
      <c r="L76" s="5">
        <f>+G76*4%</f>
        <v>36000</v>
      </c>
      <c r="M76" s="5">
        <f>+G76*4%</f>
        <v>36000</v>
      </c>
      <c r="N76" s="5"/>
      <c r="O76" s="5">
        <v>100000</v>
      </c>
      <c r="P76" s="5">
        <v>0</v>
      </c>
      <c r="Q76" s="5"/>
      <c r="R76" s="5"/>
      <c r="S76" s="5"/>
      <c r="T76" s="5">
        <f t="shared" ref="T76" si="75">SUM(L76:S76)</f>
        <v>172000</v>
      </c>
      <c r="U76" s="7">
        <f t="shared" si="73"/>
        <v>811140</v>
      </c>
      <c r="V76" s="7"/>
      <c r="W76" s="44"/>
      <c r="X76" s="7">
        <f t="shared" si="65"/>
        <v>811140</v>
      </c>
      <c r="Y76" s="45" t="s">
        <v>105</v>
      </c>
    </row>
    <row r="77" spans="1:27" x14ac:dyDescent="0.25">
      <c r="A77" s="95"/>
      <c r="B77" s="4">
        <v>31</v>
      </c>
      <c r="C77" s="11" t="s">
        <v>107</v>
      </c>
      <c r="D77" s="6" t="s">
        <v>26</v>
      </c>
      <c r="E77" s="5">
        <v>3000000</v>
      </c>
      <c r="F77" s="5">
        <v>30</v>
      </c>
      <c r="G77" s="5">
        <f t="shared" si="72"/>
        <v>3000000</v>
      </c>
      <c r="H77" s="5"/>
      <c r="I77" s="5"/>
      <c r="J77" s="5"/>
      <c r="K77" s="5">
        <f t="shared" si="34"/>
        <v>3000000</v>
      </c>
      <c r="L77" s="5">
        <f>+E77*4%</f>
        <v>120000</v>
      </c>
      <c r="M77" s="5">
        <f>+E77*5%</f>
        <v>150000</v>
      </c>
      <c r="N77" s="5"/>
      <c r="O77" s="5"/>
      <c r="P77" s="17">
        <v>0</v>
      </c>
      <c r="Q77" s="5"/>
      <c r="R77" s="5"/>
      <c r="S77" s="5">
        <v>586000</v>
      </c>
      <c r="T77" s="5">
        <f t="shared" si="48"/>
        <v>856000</v>
      </c>
      <c r="U77" s="7">
        <f t="shared" si="73"/>
        <v>2144000</v>
      </c>
      <c r="V77" s="7"/>
      <c r="W77" s="44"/>
      <c r="X77" s="7">
        <f t="shared" si="65"/>
        <v>2144000</v>
      </c>
    </row>
    <row r="78" spans="1:27" x14ac:dyDescent="0.25">
      <c r="A78" s="95"/>
      <c r="B78" s="4">
        <v>32</v>
      </c>
      <c r="C78" s="11" t="s">
        <v>108</v>
      </c>
      <c r="D78" s="6"/>
      <c r="E78" s="5">
        <v>4500000</v>
      </c>
      <c r="F78" s="5">
        <v>30</v>
      </c>
      <c r="G78" s="5">
        <f t="shared" si="72"/>
        <v>4500000</v>
      </c>
      <c r="H78" s="5"/>
      <c r="I78" s="5"/>
      <c r="J78" s="5"/>
      <c r="K78" s="5">
        <f t="shared" ref="K78" si="76">SUM(G78:I78)+J78</f>
        <v>4500000</v>
      </c>
      <c r="L78" s="5">
        <f>+G78*4%</f>
        <v>180000</v>
      </c>
      <c r="M78" s="5">
        <f>+G78*5%</f>
        <v>225000</v>
      </c>
      <c r="N78" s="5"/>
      <c r="O78" s="5">
        <v>100000</v>
      </c>
      <c r="P78" s="17">
        <v>72000</v>
      </c>
      <c r="Q78" s="5"/>
      <c r="R78" s="5"/>
      <c r="S78" s="5"/>
      <c r="T78" s="5">
        <f t="shared" ref="T78:T79" si="77">SUM(L78:S78)</f>
        <v>577000</v>
      </c>
      <c r="U78" s="7">
        <f t="shared" si="73"/>
        <v>3923000</v>
      </c>
      <c r="V78" s="7"/>
      <c r="W78" s="44"/>
      <c r="X78" s="7">
        <f t="shared" si="65"/>
        <v>3923000</v>
      </c>
    </row>
    <row r="79" spans="1:27" ht="24" x14ac:dyDescent="0.25">
      <c r="A79" s="95"/>
      <c r="B79" s="4">
        <v>33</v>
      </c>
      <c r="C79" s="11" t="s">
        <v>109</v>
      </c>
      <c r="D79" s="6" t="s">
        <v>26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17">
        <v>0</v>
      </c>
      <c r="Q79" s="5"/>
      <c r="R79" s="5"/>
      <c r="S79" s="5"/>
      <c r="T79" s="5">
        <f t="shared" si="77"/>
        <v>172000</v>
      </c>
      <c r="U79" s="7">
        <f t="shared" si="73"/>
        <v>811140</v>
      </c>
      <c r="V79" s="7"/>
      <c r="W79" s="44"/>
      <c r="X79" s="7">
        <f t="shared" si="65"/>
        <v>811140</v>
      </c>
    </row>
    <row r="80" spans="1:27" x14ac:dyDescent="0.25">
      <c r="A80" s="95"/>
      <c r="B80" s="4">
        <v>34</v>
      </c>
      <c r="C80" s="11" t="s">
        <v>149</v>
      </c>
      <c r="D80" s="6"/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/>
      <c r="K80" s="5">
        <f t="shared" ref="K80" si="79">SUM(G80:I80)+J80</f>
        <v>2000000.0000000002</v>
      </c>
      <c r="L80" s="5">
        <f>+G80*4%</f>
        <v>80000.000000000015</v>
      </c>
      <c r="M80" s="5">
        <f>+G80*4%</f>
        <v>80000.000000000015</v>
      </c>
      <c r="N80" s="5"/>
      <c r="O80" s="5">
        <v>19600</v>
      </c>
      <c r="P80" s="5">
        <v>0</v>
      </c>
      <c r="Q80" s="5"/>
      <c r="R80" s="5"/>
      <c r="S80" s="5"/>
      <c r="T80" s="5">
        <f t="shared" ref="T80" si="80">SUM(L80:S80)</f>
        <v>179600.00000000003</v>
      </c>
      <c r="U80" s="7">
        <f t="shared" si="73"/>
        <v>1820400.0000000002</v>
      </c>
      <c r="V80" s="7"/>
      <c r="W80" s="44"/>
      <c r="X80" s="7">
        <f t="shared" si="65"/>
        <v>1820400.0000000002</v>
      </c>
    </row>
    <row r="81" spans="1:24" x14ac:dyDescent="0.25">
      <c r="A81" s="95"/>
      <c r="B81" s="4">
        <v>35</v>
      </c>
      <c r="C81" s="11" t="s">
        <v>110</v>
      </c>
      <c r="D81" s="6" t="s">
        <v>26</v>
      </c>
      <c r="E81" s="5">
        <v>2500000</v>
      </c>
      <c r="F81" s="5">
        <v>30</v>
      </c>
      <c r="G81" s="5">
        <f>+E81-J81</f>
        <v>2000000</v>
      </c>
      <c r="H81" s="5"/>
      <c r="I81" s="5"/>
      <c r="J81" s="5">
        <v>500000</v>
      </c>
      <c r="K81" s="5">
        <f t="shared" ref="K81:K102" si="81">SUM(G81:I81)+J81</f>
        <v>2500000</v>
      </c>
      <c r="L81" s="5">
        <v>100000</v>
      </c>
      <c r="M81" s="5">
        <v>100000</v>
      </c>
      <c r="N81" s="5">
        <v>41300</v>
      </c>
      <c r="O81" s="5">
        <v>100000</v>
      </c>
      <c r="P81" s="5">
        <v>0</v>
      </c>
      <c r="Q81" s="5"/>
      <c r="R81" s="5"/>
      <c r="S81" s="5">
        <v>257196</v>
      </c>
      <c r="T81" s="5">
        <f t="shared" si="48"/>
        <v>598496</v>
      </c>
      <c r="U81" s="7">
        <f t="shared" si="73"/>
        <v>1901504</v>
      </c>
      <c r="V81" s="7"/>
      <c r="W81" s="44"/>
      <c r="X81" s="7">
        <f t="shared" si="65"/>
        <v>1901504</v>
      </c>
    </row>
    <row r="82" spans="1:24" x14ac:dyDescent="0.25">
      <c r="A82" s="95"/>
      <c r="B82" s="4">
        <v>36</v>
      </c>
      <c r="C82" s="11" t="s">
        <v>111</v>
      </c>
      <c r="D82" s="6" t="s">
        <v>26</v>
      </c>
      <c r="E82" s="5">
        <v>4500000</v>
      </c>
      <c r="F82" s="5">
        <v>30</v>
      </c>
      <c r="G82" s="5">
        <f>+E82/30*F82</f>
        <v>4500000</v>
      </c>
      <c r="H82" s="5"/>
      <c r="I82" s="5"/>
      <c r="J82" s="5"/>
      <c r="K82" s="5">
        <f t="shared" ref="K82" si="82">SUM(G82:I82)+J82</f>
        <v>4500000</v>
      </c>
      <c r="L82" s="5">
        <v>180000</v>
      </c>
      <c r="M82" s="5">
        <v>225000</v>
      </c>
      <c r="N82" s="5"/>
      <c r="O82" s="5">
        <v>100000</v>
      </c>
      <c r="P82" s="5">
        <v>72000</v>
      </c>
      <c r="Q82" s="5"/>
      <c r="R82" s="5"/>
      <c r="S82" s="5"/>
      <c r="T82" s="5">
        <f t="shared" ref="T82" si="83">SUM(L82:S82)</f>
        <v>577000</v>
      </c>
      <c r="U82" s="7">
        <f t="shared" si="73"/>
        <v>3923000</v>
      </c>
      <c r="V82" s="7"/>
      <c r="W82" s="44"/>
      <c r="X82" s="7">
        <f t="shared" si="65"/>
        <v>3923000</v>
      </c>
    </row>
    <row r="83" spans="1:24" x14ac:dyDescent="0.25">
      <c r="A83" s="95"/>
      <c r="B83" s="4">
        <v>37</v>
      </c>
      <c r="C83" s="11" t="s">
        <v>112</v>
      </c>
      <c r="D83" s="6" t="s">
        <v>26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si="81"/>
        <v>4500000</v>
      </c>
      <c r="L83" s="5">
        <v>180000</v>
      </c>
      <c r="M83" s="5">
        <v>225000</v>
      </c>
      <c r="N83" s="5"/>
      <c r="O83" s="5">
        <v>100000</v>
      </c>
      <c r="P83" s="5">
        <v>73073</v>
      </c>
      <c r="Q83" s="5"/>
      <c r="R83" s="5"/>
      <c r="S83" s="5"/>
      <c r="T83" s="5">
        <f>SUM(L83:S83)</f>
        <v>578073</v>
      </c>
      <c r="U83" s="7">
        <f t="shared" ref="U83:U88" si="84">K83-T83</f>
        <v>3921927</v>
      </c>
      <c r="V83" s="7"/>
      <c r="W83" s="44"/>
      <c r="X83" s="7">
        <f t="shared" si="65"/>
        <v>3921927</v>
      </c>
    </row>
    <row r="84" spans="1:24" x14ac:dyDescent="0.25">
      <c r="A84" s="95"/>
      <c r="B84" s="4">
        <v>38</v>
      </c>
      <c r="C84" s="11" t="s">
        <v>113</v>
      </c>
      <c r="D84" s="6" t="s">
        <v>26</v>
      </c>
      <c r="E84" s="5">
        <v>2500000</v>
      </c>
      <c r="F84" s="5">
        <v>30</v>
      </c>
      <c r="G84" s="5">
        <f t="shared" ref="G84" si="85">+E84/30*F84</f>
        <v>2500000</v>
      </c>
      <c r="H84" s="5"/>
      <c r="I84" s="5">
        <v>500000</v>
      </c>
      <c r="J84" s="5">
        <f>+E84-G84</f>
        <v>0</v>
      </c>
      <c r="K84" s="5">
        <f t="shared" si="81"/>
        <v>3000000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/>
      <c r="T84" s="5">
        <f t="shared" si="48"/>
        <v>300000</v>
      </c>
      <c r="U84" s="7">
        <f t="shared" si="84"/>
        <v>2700000</v>
      </c>
      <c r="V84" s="7"/>
      <c r="W84" s="44"/>
      <c r="X84" s="7">
        <f t="shared" si="65"/>
        <v>2700000</v>
      </c>
    </row>
    <row r="85" spans="1:24" x14ac:dyDescent="0.25">
      <c r="A85" s="95"/>
      <c r="B85" s="4">
        <v>39</v>
      </c>
      <c r="C85" s="11" t="s">
        <v>115</v>
      </c>
      <c r="D85" s="6" t="s">
        <v>26</v>
      </c>
      <c r="E85" s="5">
        <v>900000</v>
      </c>
      <c r="F85" s="5">
        <v>30</v>
      </c>
      <c r="G85" s="5">
        <f>+E85/30*F85</f>
        <v>900000</v>
      </c>
      <c r="H85" s="5">
        <f>+(83140/30)*F85</f>
        <v>83140</v>
      </c>
      <c r="I85" s="5"/>
      <c r="J85" s="5"/>
      <c r="K85" s="5">
        <f t="shared" ref="K85" si="86">SUM(G85:I85)+J85</f>
        <v>983140</v>
      </c>
      <c r="L85" s="5">
        <f>+G85*4%</f>
        <v>36000</v>
      </c>
      <c r="M85" s="5">
        <f>+G85*4%</f>
        <v>36000</v>
      </c>
      <c r="N85" s="5"/>
      <c r="O85" s="5">
        <v>100000</v>
      </c>
      <c r="P85" s="5"/>
      <c r="Q85" s="5"/>
      <c r="R85" s="5"/>
      <c r="S85" s="5"/>
      <c r="T85" s="5">
        <f t="shared" ref="T85" si="87">SUM(L85:S85)</f>
        <v>172000</v>
      </c>
      <c r="U85" s="7">
        <f t="shared" si="84"/>
        <v>811140</v>
      </c>
      <c r="V85" s="7"/>
      <c r="W85" s="44"/>
      <c r="X85" s="7">
        <f t="shared" si="65"/>
        <v>811140</v>
      </c>
    </row>
    <row r="86" spans="1:24" ht="23.25" customHeight="1" x14ac:dyDescent="0.25">
      <c r="A86" s="95"/>
      <c r="B86" s="4">
        <v>40</v>
      </c>
      <c r="C86" s="3" t="s">
        <v>116</v>
      </c>
      <c r="D86" s="4" t="s">
        <v>26</v>
      </c>
      <c r="E86" s="5">
        <v>737717</v>
      </c>
      <c r="F86" s="5">
        <v>30</v>
      </c>
      <c r="G86" s="5">
        <f>+E86/30*F86</f>
        <v>737717</v>
      </c>
      <c r="H86" s="5">
        <v>83139</v>
      </c>
      <c r="I86" s="5">
        <v>48992</v>
      </c>
      <c r="J86" s="5"/>
      <c r="K86" s="5">
        <f t="shared" si="81"/>
        <v>869848</v>
      </c>
      <c r="L86" s="5">
        <v>29509</v>
      </c>
      <c r="M86" s="5">
        <v>29509</v>
      </c>
      <c r="N86" s="5"/>
      <c r="O86" s="5"/>
      <c r="P86" s="5">
        <v>0</v>
      </c>
      <c r="Q86" s="5"/>
      <c r="R86" s="5"/>
      <c r="S86" s="5"/>
      <c r="T86" s="5">
        <f t="shared" si="48"/>
        <v>59018</v>
      </c>
      <c r="U86" s="7">
        <f t="shared" si="84"/>
        <v>810830</v>
      </c>
      <c r="V86" s="7"/>
      <c r="W86" s="44"/>
      <c r="X86" s="7">
        <f t="shared" si="65"/>
        <v>810830</v>
      </c>
    </row>
    <row r="87" spans="1:24" x14ac:dyDescent="0.25">
      <c r="A87" s="95"/>
      <c r="B87" s="4">
        <v>41</v>
      </c>
      <c r="C87" s="3" t="s">
        <v>117</v>
      </c>
      <c r="D87" s="4"/>
      <c r="E87" s="5">
        <v>5000000</v>
      </c>
      <c r="F87" s="5">
        <v>30</v>
      </c>
      <c r="G87" s="5">
        <f>+E87/30*F87</f>
        <v>5000000</v>
      </c>
      <c r="H87" s="5"/>
      <c r="I87" s="5"/>
      <c r="J87" s="5"/>
      <c r="K87" s="5">
        <f t="shared" ref="K87" si="88">SUM(G87:I87)+J87</f>
        <v>5000000</v>
      </c>
      <c r="L87" s="5">
        <f>+G87*4%</f>
        <v>200000</v>
      </c>
      <c r="M87" s="5">
        <f>+G87*5%</f>
        <v>250000</v>
      </c>
      <c r="N87" s="5"/>
      <c r="O87" s="5"/>
      <c r="P87" s="5">
        <v>102000</v>
      </c>
      <c r="Q87" s="5"/>
      <c r="R87" s="5"/>
      <c r="S87" s="5"/>
      <c r="T87" s="5">
        <f t="shared" ref="T87" si="89">SUM(L87:S87)</f>
        <v>552000</v>
      </c>
      <c r="U87" s="7">
        <f t="shared" si="84"/>
        <v>4448000</v>
      </c>
      <c r="V87" s="7"/>
      <c r="W87" s="44"/>
      <c r="X87" s="7">
        <f t="shared" si="65"/>
        <v>4448000</v>
      </c>
    </row>
    <row r="88" spans="1:24" x14ac:dyDescent="0.25">
      <c r="A88" s="95"/>
      <c r="B88" s="4">
        <v>42</v>
      </c>
      <c r="C88" s="3" t="s">
        <v>118</v>
      </c>
      <c r="D88" s="4" t="s">
        <v>26</v>
      </c>
      <c r="E88" s="5">
        <v>1400000</v>
      </c>
      <c r="F88" s="5">
        <v>30</v>
      </c>
      <c r="G88" s="5">
        <f>+E88-J88</f>
        <v>1073333</v>
      </c>
      <c r="H88" s="5">
        <f>+(83140/30)*F88</f>
        <v>83140</v>
      </c>
      <c r="I88" s="5"/>
      <c r="J88" s="5">
        <v>326667</v>
      </c>
      <c r="K88" s="5">
        <f t="shared" ref="K88" si="90">SUM(G88:I88)+J88</f>
        <v>1483140</v>
      </c>
      <c r="L88" s="5">
        <f>+E88*4%</f>
        <v>56000</v>
      </c>
      <c r="M88" s="5">
        <f>+E88*4%</f>
        <v>56000</v>
      </c>
      <c r="N88" s="5"/>
      <c r="O88" s="5">
        <v>100000</v>
      </c>
      <c r="P88" s="5">
        <v>0</v>
      </c>
      <c r="Q88" s="5"/>
      <c r="R88" s="5"/>
      <c r="S88" s="5"/>
      <c r="T88" s="5">
        <f t="shared" ref="T88" si="91">SUM(L88:S88)</f>
        <v>212000</v>
      </c>
      <c r="U88" s="7">
        <f t="shared" si="84"/>
        <v>1271140</v>
      </c>
      <c r="V88" s="7"/>
      <c r="W88" s="44"/>
      <c r="X88" s="7">
        <f t="shared" si="65"/>
        <v>1271140</v>
      </c>
    </row>
    <row r="89" spans="1:24" x14ac:dyDescent="0.25">
      <c r="A89" s="95"/>
      <c r="B89" s="4">
        <v>43</v>
      </c>
      <c r="C89" s="11" t="s">
        <v>119</v>
      </c>
      <c r="D89" s="6" t="s">
        <v>26</v>
      </c>
      <c r="E89" s="5">
        <v>15400000</v>
      </c>
      <c r="F89" s="5">
        <v>30</v>
      </c>
      <c r="G89" s="5">
        <f t="shared" ref="G89:G95" si="92">+E89/30*F89</f>
        <v>15400000</v>
      </c>
      <c r="H89" s="5"/>
      <c r="I89" s="5">
        <v>600000</v>
      </c>
      <c r="J89" s="5"/>
      <c r="K89" s="5">
        <f t="shared" si="81"/>
        <v>16000000</v>
      </c>
      <c r="L89" s="5">
        <v>616000</v>
      </c>
      <c r="M89" s="5">
        <f>616000+308000</f>
        <v>924000</v>
      </c>
      <c r="N89" s="5">
        <v>102400</v>
      </c>
      <c r="O89" s="5"/>
      <c r="P89" s="5">
        <v>916000</v>
      </c>
      <c r="Q89" s="5">
        <v>5000000</v>
      </c>
      <c r="R89" s="5">
        <v>180180</v>
      </c>
      <c r="S89" s="5">
        <v>2314715</v>
      </c>
      <c r="T89" s="5">
        <f t="shared" si="48"/>
        <v>10053295</v>
      </c>
      <c r="U89" s="7">
        <f>+K89-T89</f>
        <v>5946705</v>
      </c>
      <c r="V89" s="7"/>
      <c r="W89" s="44"/>
      <c r="X89" s="7">
        <f t="shared" si="65"/>
        <v>5946705</v>
      </c>
    </row>
    <row r="90" spans="1:24" x14ac:dyDescent="0.25">
      <c r="A90" s="95"/>
      <c r="B90" s="4">
        <v>44</v>
      </c>
      <c r="C90" s="11" t="s">
        <v>120</v>
      </c>
      <c r="D90" s="6" t="s">
        <v>26</v>
      </c>
      <c r="E90" s="5">
        <v>4500000</v>
      </c>
      <c r="F90" s="5">
        <v>30</v>
      </c>
      <c r="G90" s="5">
        <f t="shared" si="92"/>
        <v>4500000</v>
      </c>
      <c r="H90" s="5"/>
      <c r="I90" s="5">
        <v>2000000</v>
      </c>
      <c r="J90" s="5"/>
      <c r="K90" s="5">
        <f t="shared" si="81"/>
        <v>6500000</v>
      </c>
      <c r="L90" s="5">
        <f t="shared" ref="L90" si="93">+G90*4%</f>
        <v>180000</v>
      </c>
      <c r="M90" s="5">
        <f>+G90*5%</f>
        <v>225000</v>
      </c>
      <c r="N90" s="5"/>
      <c r="O90" s="5"/>
      <c r="P90" s="5">
        <v>90000</v>
      </c>
      <c r="Q90" s="5"/>
      <c r="R90" s="5"/>
      <c r="S90" s="5"/>
      <c r="T90" s="5">
        <f t="shared" si="48"/>
        <v>495000</v>
      </c>
      <c r="U90" s="7">
        <f>+K90-T90</f>
        <v>6005000</v>
      </c>
      <c r="V90" s="7"/>
      <c r="W90" s="44"/>
      <c r="X90" s="7">
        <f t="shared" si="65"/>
        <v>6005000</v>
      </c>
    </row>
    <row r="91" spans="1:24" x14ac:dyDescent="0.25">
      <c r="A91" s="95"/>
      <c r="B91" s="4">
        <v>45</v>
      </c>
      <c r="C91" s="11" t="s">
        <v>121</v>
      </c>
      <c r="D91" s="6" t="s">
        <v>26</v>
      </c>
      <c r="E91" s="5">
        <v>2000000</v>
      </c>
      <c r="F91" s="5">
        <v>30</v>
      </c>
      <c r="G91" s="5">
        <f t="shared" si="92"/>
        <v>2000000.0000000002</v>
      </c>
      <c r="H91" s="5"/>
      <c r="I91" s="5"/>
      <c r="J91" s="5">
        <f>+E91-G91</f>
        <v>0</v>
      </c>
      <c r="K91" s="5">
        <f t="shared" si="81"/>
        <v>2000000.0000000002</v>
      </c>
      <c r="L91" s="5">
        <f>+G91*4%</f>
        <v>80000.000000000015</v>
      </c>
      <c r="M91" s="5">
        <f>+G91*4%</f>
        <v>80000.000000000015</v>
      </c>
      <c r="N91" s="5"/>
      <c r="O91" s="5"/>
      <c r="P91" s="5">
        <v>0</v>
      </c>
      <c r="Q91" s="5"/>
      <c r="R91" s="5"/>
      <c r="S91" s="5"/>
      <c r="T91" s="5">
        <f t="shared" si="48"/>
        <v>160000.00000000003</v>
      </c>
      <c r="U91" s="7">
        <f>+K91-T91</f>
        <v>1840000.0000000002</v>
      </c>
      <c r="V91" s="7"/>
      <c r="W91" s="44"/>
      <c r="X91" s="7">
        <f t="shared" si="65"/>
        <v>1840000.0000000002</v>
      </c>
    </row>
    <row r="92" spans="1:24" x14ac:dyDescent="0.25">
      <c r="A92" s="95"/>
      <c r="B92" s="4">
        <v>46</v>
      </c>
      <c r="C92" s="3" t="s">
        <v>122</v>
      </c>
      <c r="D92" s="4" t="s">
        <v>26</v>
      </c>
      <c r="E92" s="5">
        <v>3000000</v>
      </c>
      <c r="F92" s="5">
        <v>30</v>
      </c>
      <c r="G92" s="5">
        <f t="shared" si="92"/>
        <v>3000000</v>
      </c>
      <c r="H92" s="5"/>
      <c r="I92" s="5">
        <v>270000</v>
      </c>
      <c r="J92" s="5">
        <f>+E92-G92</f>
        <v>0</v>
      </c>
      <c r="K92" s="5">
        <f t="shared" si="81"/>
        <v>3270000</v>
      </c>
      <c r="L92" s="5">
        <f>+E92*4%</f>
        <v>120000</v>
      </c>
      <c r="M92" s="5">
        <f>+G92*5%</f>
        <v>150000</v>
      </c>
      <c r="N92" s="5"/>
      <c r="O92" s="5"/>
      <c r="P92" s="5">
        <v>0</v>
      </c>
      <c r="Q92" s="5"/>
      <c r="R92" s="5"/>
      <c r="S92" s="5"/>
      <c r="T92" s="5">
        <f t="shared" si="48"/>
        <v>270000</v>
      </c>
      <c r="U92" s="7">
        <f>K92-T92</f>
        <v>3000000</v>
      </c>
      <c r="V92" s="7"/>
      <c r="W92" s="44"/>
      <c r="X92" s="7">
        <f t="shared" si="65"/>
        <v>3000000</v>
      </c>
    </row>
    <row r="93" spans="1:24" x14ac:dyDescent="0.25">
      <c r="A93" s="95"/>
      <c r="B93" s="4">
        <v>47</v>
      </c>
      <c r="C93" s="3" t="s">
        <v>123</v>
      </c>
      <c r="D93" s="4" t="s">
        <v>26</v>
      </c>
      <c r="E93" s="5">
        <v>1600000</v>
      </c>
      <c r="F93" s="5">
        <v>30</v>
      </c>
      <c r="G93" s="5">
        <f t="shared" si="92"/>
        <v>1600000</v>
      </c>
      <c r="H93" s="5"/>
      <c r="I93" s="5">
        <v>200000</v>
      </c>
      <c r="J93" s="5"/>
      <c r="K93" s="5">
        <f t="shared" si="81"/>
        <v>1800000</v>
      </c>
      <c r="L93" s="5">
        <f>+G93*4%</f>
        <v>64000</v>
      </c>
      <c r="M93" s="5">
        <f>+G93*4%</f>
        <v>64000</v>
      </c>
      <c r="N93" s="5"/>
      <c r="O93" s="5"/>
      <c r="P93" s="5"/>
      <c r="Q93" s="5"/>
      <c r="R93" s="5"/>
      <c r="S93" s="5"/>
      <c r="T93" s="5">
        <f>SUM(L93:S93)</f>
        <v>128000</v>
      </c>
      <c r="U93" s="7">
        <f>K93-T93</f>
        <v>1672000</v>
      </c>
      <c r="V93" s="7"/>
      <c r="W93" s="44"/>
      <c r="X93" s="7">
        <f t="shared" si="65"/>
        <v>1672000</v>
      </c>
    </row>
    <row r="94" spans="1:24" x14ac:dyDescent="0.25">
      <c r="A94" s="95"/>
      <c r="B94" s="4">
        <v>48</v>
      </c>
      <c r="C94" s="3" t="s">
        <v>124</v>
      </c>
      <c r="D94" s="4"/>
      <c r="E94" s="5">
        <v>800000</v>
      </c>
      <c r="F94" s="5">
        <v>30</v>
      </c>
      <c r="G94" s="5">
        <f t="shared" si="92"/>
        <v>800000</v>
      </c>
      <c r="H94" s="5"/>
      <c r="I94" s="5"/>
      <c r="J94" s="5"/>
      <c r="K94" s="5">
        <f t="shared" ref="K94:K95" si="94">SUM(G94:I94)+J94</f>
        <v>800000</v>
      </c>
      <c r="L94" s="5">
        <f>+G94*4%</f>
        <v>32000</v>
      </c>
      <c r="M94" s="5">
        <f>+G94*4%</f>
        <v>32000</v>
      </c>
      <c r="N94" s="5"/>
      <c r="O94" s="5"/>
      <c r="P94" s="5"/>
      <c r="Q94" s="5"/>
      <c r="R94" s="5"/>
      <c r="S94" s="5"/>
      <c r="T94" s="5">
        <f>SUM(L94:S94)</f>
        <v>64000</v>
      </c>
      <c r="U94" s="7">
        <f>K94-T94</f>
        <v>736000</v>
      </c>
      <c r="V94" s="7"/>
      <c r="W94" s="44"/>
      <c r="X94" s="7">
        <f t="shared" si="65"/>
        <v>736000</v>
      </c>
    </row>
    <row r="95" spans="1:24" x14ac:dyDescent="0.25">
      <c r="A95" s="95"/>
      <c r="B95" s="4">
        <v>49</v>
      </c>
      <c r="C95" s="3" t="s">
        <v>125</v>
      </c>
      <c r="D95" s="4"/>
      <c r="E95" s="5">
        <v>4500000</v>
      </c>
      <c r="F95" s="5">
        <v>30</v>
      </c>
      <c r="G95" s="5">
        <f t="shared" si="92"/>
        <v>4500000</v>
      </c>
      <c r="H95" s="5"/>
      <c r="I95" s="5"/>
      <c r="J95" s="5"/>
      <c r="K95" s="5">
        <f t="shared" si="94"/>
        <v>4500000</v>
      </c>
      <c r="L95" s="5">
        <f>+G95*4%</f>
        <v>180000</v>
      </c>
      <c r="M95" s="5">
        <f>+G95*5%</f>
        <v>225000</v>
      </c>
      <c r="N95" s="5"/>
      <c r="O95" s="5"/>
      <c r="P95" s="5">
        <v>34000</v>
      </c>
      <c r="Q95" s="5"/>
      <c r="R95" s="5"/>
      <c r="S95" s="5"/>
      <c r="T95" s="5">
        <f>SUM(L95:S95)</f>
        <v>439000</v>
      </c>
      <c r="U95" s="7">
        <f>K95-T95</f>
        <v>4061000</v>
      </c>
      <c r="V95" s="7"/>
      <c r="W95" s="44"/>
      <c r="X95" s="7">
        <f t="shared" si="65"/>
        <v>4061000</v>
      </c>
    </row>
    <row r="96" spans="1:24" ht="24" x14ac:dyDescent="0.25">
      <c r="A96" s="95"/>
      <c r="B96" s="4">
        <v>50</v>
      </c>
      <c r="C96" s="11" t="s">
        <v>127</v>
      </c>
      <c r="D96" s="6" t="s">
        <v>26</v>
      </c>
      <c r="E96" s="5">
        <v>3000000</v>
      </c>
      <c r="F96" s="5">
        <v>30</v>
      </c>
      <c r="G96" s="5">
        <f>+E96-J96</f>
        <v>2416667</v>
      </c>
      <c r="H96" s="5"/>
      <c r="I96" s="5"/>
      <c r="J96" s="5">
        <v>583333</v>
      </c>
      <c r="K96" s="5">
        <f t="shared" si="81"/>
        <v>3000000</v>
      </c>
      <c r="L96" s="5">
        <f>+E96*4%</f>
        <v>120000</v>
      </c>
      <c r="M96" s="5">
        <f>+E96*5%</f>
        <v>150000</v>
      </c>
      <c r="N96" s="5"/>
      <c r="O96" s="5">
        <v>27900</v>
      </c>
      <c r="P96" s="5"/>
      <c r="Q96" s="5"/>
      <c r="R96" s="5"/>
      <c r="S96" s="5"/>
      <c r="T96" s="5">
        <f t="shared" si="48"/>
        <v>297900</v>
      </c>
      <c r="U96" s="7">
        <f>+K96-T96</f>
        <v>2702100</v>
      </c>
      <c r="V96" s="7"/>
      <c r="W96" s="44"/>
      <c r="X96" s="7">
        <f t="shared" si="65"/>
        <v>2702100</v>
      </c>
    </row>
    <row r="97" spans="1:28" x14ac:dyDescent="0.25">
      <c r="A97" s="95"/>
      <c r="B97" s="4">
        <v>51</v>
      </c>
      <c r="C97" s="11" t="s">
        <v>128</v>
      </c>
      <c r="D97" s="6" t="s">
        <v>26</v>
      </c>
      <c r="E97" s="5">
        <v>3700000</v>
      </c>
      <c r="F97" s="5">
        <v>30</v>
      </c>
      <c r="G97" s="5">
        <f t="shared" ref="G97" si="95">+E97/30*F97</f>
        <v>3700000</v>
      </c>
      <c r="H97" s="5"/>
      <c r="I97" s="5">
        <v>650000</v>
      </c>
      <c r="J97" s="5"/>
      <c r="K97" s="5">
        <f t="shared" ref="K97" si="96">SUM(G97:I97)+J97</f>
        <v>4350000</v>
      </c>
      <c r="L97" s="5">
        <f t="shared" ref="L97" si="97">+G97*4%</f>
        <v>148000</v>
      </c>
      <c r="M97" s="5">
        <f>+G97*5%</f>
        <v>185000</v>
      </c>
      <c r="N97" s="5"/>
      <c r="O97" s="5"/>
      <c r="P97" s="5">
        <v>35000</v>
      </c>
      <c r="Q97" s="5"/>
      <c r="R97" s="5"/>
      <c r="S97" s="5"/>
      <c r="T97" s="5">
        <f t="shared" ref="T97" si="98">SUM(L97:S97)</f>
        <v>368000</v>
      </c>
      <c r="U97" s="7">
        <f>+K97-T97</f>
        <v>3982000</v>
      </c>
      <c r="V97" s="7"/>
      <c r="W97" s="44"/>
      <c r="X97" s="7">
        <f t="shared" si="65"/>
        <v>3982000</v>
      </c>
    </row>
    <row r="98" spans="1:28" x14ac:dyDescent="0.25">
      <c r="A98" s="95"/>
      <c r="B98" s="4">
        <v>52</v>
      </c>
      <c r="C98" s="11" t="s">
        <v>129</v>
      </c>
      <c r="D98" s="6" t="s">
        <v>34</v>
      </c>
      <c r="E98" s="5">
        <v>1800000</v>
      </c>
      <c r="F98" s="5">
        <v>30</v>
      </c>
      <c r="G98" s="5">
        <f>+E98-J98</f>
        <v>960000</v>
      </c>
      <c r="H98" s="5"/>
      <c r="I98" s="5"/>
      <c r="J98" s="5">
        <v>840000</v>
      </c>
      <c r="K98" s="5">
        <f t="shared" si="81"/>
        <v>1800000</v>
      </c>
      <c r="L98" s="5">
        <f>+E98*4%</f>
        <v>72000</v>
      </c>
      <c r="M98" s="5">
        <f>+E98*4%</f>
        <v>72000</v>
      </c>
      <c r="N98" s="5"/>
      <c r="O98" s="5"/>
      <c r="P98" s="17"/>
      <c r="Q98" s="5"/>
      <c r="R98" s="5"/>
      <c r="S98" s="5">
        <v>136805</v>
      </c>
      <c r="T98" s="5">
        <f t="shared" si="48"/>
        <v>280805</v>
      </c>
      <c r="U98" s="7">
        <f>+K98-T98</f>
        <v>1519195</v>
      </c>
      <c r="V98" s="7"/>
      <c r="W98" s="44"/>
      <c r="X98" s="7">
        <f t="shared" si="65"/>
        <v>1519195</v>
      </c>
    </row>
    <row r="99" spans="1:28" x14ac:dyDescent="0.25">
      <c r="A99" s="95"/>
      <c r="B99" s="4">
        <v>53</v>
      </c>
      <c r="C99" s="3" t="s">
        <v>130</v>
      </c>
      <c r="D99" s="4" t="s">
        <v>26</v>
      </c>
      <c r="E99" s="5">
        <v>1600000</v>
      </c>
      <c r="F99" s="5">
        <v>30</v>
      </c>
      <c r="G99" s="5">
        <f>+E99-J99</f>
        <v>1226667</v>
      </c>
      <c r="H99" s="5"/>
      <c r="I99" s="5"/>
      <c r="J99" s="5">
        <v>373333</v>
      </c>
      <c r="K99" s="5">
        <f t="shared" si="81"/>
        <v>1600000</v>
      </c>
      <c r="L99" s="5">
        <f>+K99*4%</f>
        <v>64000</v>
      </c>
      <c r="M99" s="5">
        <v>64000</v>
      </c>
      <c r="N99" s="5"/>
      <c r="O99" s="5"/>
      <c r="P99" s="5">
        <v>0</v>
      </c>
      <c r="Q99" s="5"/>
      <c r="R99" s="5"/>
      <c r="S99" s="5">
        <v>249127</v>
      </c>
      <c r="T99" s="5">
        <f t="shared" si="48"/>
        <v>377127</v>
      </c>
      <c r="U99" s="7">
        <f>K99-T99</f>
        <v>1222873</v>
      </c>
      <c r="V99" s="7"/>
      <c r="W99" s="44"/>
      <c r="X99" s="7">
        <f t="shared" si="65"/>
        <v>1222873</v>
      </c>
    </row>
    <row r="100" spans="1:28" x14ac:dyDescent="0.25">
      <c r="A100" s="95"/>
      <c r="B100" s="4">
        <v>54</v>
      </c>
      <c r="C100" s="11" t="s">
        <v>131</v>
      </c>
      <c r="D100" s="6" t="s">
        <v>26</v>
      </c>
      <c r="E100" s="5">
        <v>737717</v>
      </c>
      <c r="F100" s="5">
        <v>30</v>
      </c>
      <c r="G100" s="5">
        <f>+E100/30*F100</f>
        <v>737717</v>
      </c>
      <c r="H100" s="5">
        <f t="shared" ref="H100" si="99">+(83140/30)*F100</f>
        <v>83140</v>
      </c>
      <c r="I100" s="5"/>
      <c r="J100" s="5"/>
      <c r="K100" s="5">
        <f t="shared" si="81"/>
        <v>820857</v>
      </c>
      <c r="L100" s="5">
        <v>29509</v>
      </c>
      <c r="M100" s="5">
        <v>29509</v>
      </c>
      <c r="N100" s="5"/>
      <c r="O100" s="5"/>
      <c r="P100" s="5">
        <v>0</v>
      </c>
      <c r="Q100" s="5"/>
      <c r="R100" s="5"/>
      <c r="S100" s="5"/>
      <c r="T100" s="5">
        <f t="shared" si="48"/>
        <v>59018</v>
      </c>
      <c r="U100" s="7">
        <f t="shared" ref="U100:U104" si="100">+K100-T100</f>
        <v>761839</v>
      </c>
      <c r="V100" s="7"/>
      <c r="W100" s="44"/>
      <c r="X100" s="7">
        <f t="shared" si="65"/>
        <v>761839</v>
      </c>
    </row>
    <row r="101" spans="1:28" ht="24" x14ac:dyDescent="0.25">
      <c r="A101" s="95"/>
      <c r="B101" s="4">
        <v>55</v>
      </c>
      <c r="C101" s="11" t="s">
        <v>133</v>
      </c>
      <c r="D101" s="6" t="s">
        <v>26</v>
      </c>
      <c r="E101" s="5">
        <v>1800000</v>
      </c>
      <c r="F101" s="5">
        <v>30</v>
      </c>
      <c r="G101" s="5">
        <f>+E101/30*F101</f>
        <v>1800000</v>
      </c>
      <c r="H101" s="5"/>
      <c r="I101" s="5"/>
      <c r="J101" s="21"/>
      <c r="K101" s="5">
        <f t="shared" ref="K101" si="101">SUM(G101:I101)+J101</f>
        <v>1800000</v>
      </c>
      <c r="L101" s="5">
        <f t="shared" ref="L101" si="102">+G101*4%</f>
        <v>72000</v>
      </c>
      <c r="M101" s="5">
        <f t="shared" ref="M101" si="103">+G101*4%</f>
        <v>72000</v>
      </c>
      <c r="N101" s="5"/>
      <c r="O101" s="5"/>
      <c r="P101" s="5">
        <v>0</v>
      </c>
      <c r="Q101" s="5"/>
      <c r="R101" s="5"/>
      <c r="S101" s="5"/>
      <c r="T101" s="5">
        <f t="shared" ref="T101" si="104">SUM(L101:S101)</f>
        <v>144000</v>
      </c>
      <c r="U101" s="7">
        <f t="shared" si="100"/>
        <v>1656000</v>
      </c>
      <c r="V101" s="7"/>
      <c r="W101" s="44"/>
      <c r="X101" s="7">
        <f t="shared" si="65"/>
        <v>1656000</v>
      </c>
    </row>
    <row r="102" spans="1:28" ht="18.75" customHeight="1" x14ac:dyDescent="0.25">
      <c r="A102" s="95"/>
      <c r="B102" s="4">
        <v>56</v>
      </c>
      <c r="C102" s="11" t="s">
        <v>134</v>
      </c>
      <c r="D102" s="6" t="s">
        <v>26</v>
      </c>
      <c r="E102" s="5">
        <v>2000000</v>
      </c>
      <c r="F102" s="5">
        <v>30</v>
      </c>
      <c r="G102" s="5">
        <f t="shared" ref="G102" si="105">+E102/30*F102</f>
        <v>2000000.0000000002</v>
      </c>
      <c r="H102" s="5"/>
      <c r="I102" s="5"/>
      <c r="J102" s="5">
        <f>+E102-G102</f>
        <v>0</v>
      </c>
      <c r="K102" s="5">
        <f t="shared" si="81"/>
        <v>2000000.0000000002</v>
      </c>
      <c r="L102" s="5">
        <v>80000</v>
      </c>
      <c r="M102" s="5">
        <v>80000</v>
      </c>
      <c r="N102" s="5"/>
      <c r="O102" s="5"/>
      <c r="P102" s="5"/>
      <c r="Q102" s="5"/>
      <c r="R102" s="5"/>
      <c r="S102" s="5"/>
      <c r="T102" s="5">
        <f t="shared" si="48"/>
        <v>160000</v>
      </c>
      <c r="U102" s="7">
        <f t="shared" si="100"/>
        <v>1840000.0000000002</v>
      </c>
      <c r="V102" s="7"/>
      <c r="W102" s="44"/>
      <c r="X102" s="7">
        <f t="shared" si="65"/>
        <v>1840000.0000000002</v>
      </c>
    </row>
    <row r="103" spans="1:28" ht="18.75" customHeight="1" x14ac:dyDescent="0.25">
      <c r="A103" s="95"/>
      <c r="B103" s="4">
        <v>57</v>
      </c>
      <c r="C103" s="11" t="s">
        <v>136</v>
      </c>
      <c r="D103" s="6"/>
      <c r="E103" s="5">
        <v>1070000</v>
      </c>
      <c r="F103" s="5">
        <v>30</v>
      </c>
      <c r="G103" s="5">
        <f>+E103/30*F103</f>
        <v>1070000</v>
      </c>
      <c r="H103" s="5">
        <f t="shared" ref="H103" si="106">+(83140/30)*F103</f>
        <v>83140</v>
      </c>
      <c r="I103" s="5"/>
      <c r="J103" s="22"/>
      <c r="K103" s="5">
        <f t="shared" ref="K103" si="107">SUM(G103:I103)+J103</f>
        <v>1153140</v>
      </c>
      <c r="L103" s="5">
        <f t="shared" ref="L103" si="108">+G103*4%</f>
        <v>42800</v>
      </c>
      <c r="M103" s="5">
        <f t="shared" ref="M103" si="109">+G103*4%</f>
        <v>42800</v>
      </c>
      <c r="N103" s="5"/>
      <c r="O103" s="5">
        <v>100000</v>
      </c>
      <c r="P103" s="5">
        <v>0</v>
      </c>
      <c r="Q103" s="5"/>
      <c r="R103" s="5"/>
      <c r="S103" s="5"/>
      <c r="T103" s="5">
        <f t="shared" ref="T103" si="110">SUM(L103:S103)</f>
        <v>185600</v>
      </c>
      <c r="U103" s="7">
        <f t="shared" si="100"/>
        <v>967540</v>
      </c>
      <c r="V103" s="7"/>
      <c r="W103" s="44"/>
      <c r="X103" s="7">
        <f t="shared" si="65"/>
        <v>967540</v>
      </c>
    </row>
    <row r="104" spans="1:28" x14ac:dyDescent="0.25">
      <c r="A104" s="95"/>
      <c r="B104" s="4">
        <v>58</v>
      </c>
      <c r="C104" s="11" t="s">
        <v>137</v>
      </c>
      <c r="D104" s="6" t="s">
        <v>26</v>
      </c>
      <c r="E104" s="5">
        <v>4400000</v>
      </c>
      <c r="F104" s="5">
        <v>30</v>
      </c>
      <c r="G104" s="5">
        <f>+E104/30*F104</f>
        <v>4400000</v>
      </c>
      <c r="H104" s="5"/>
      <c r="I104" s="5"/>
      <c r="J104" s="5"/>
      <c r="K104" s="5">
        <f t="shared" ref="K104" si="111">SUM(G104:I104)+J104</f>
        <v>4400000</v>
      </c>
      <c r="L104" s="5">
        <f>+G104*4%</f>
        <v>176000</v>
      </c>
      <c r="M104" s="5">
        <f>+G104*5%</f>
        <v>220000</v>
      </c>
      <c r="N104" s="5"/>
      <c r="O104" s="5">
        <v>24400</v>
      </c>
      <c r="P104" s="5">
        <v>44000</v>
      </c>
      <c r="Q104" s="5"/>
      <c r="R104" s="5"/>
      <c r="S104" s="5">
        <v>500000</v>
      </c>
      <c r="T104" s="5">
        <f t="shared" si="48"/>
        <v>964400</v>
      </c>
      <c r="U104" s="7">
        <f t="shared" si="100"/>
        <v>3435600</v>
      </c>
      <c r="V104" s="7"/>
      <c r="W104" s="44"/>
      <c r="X104" s="7">
        <f t="shared" si="65"/>
        <v>3435600</v>
      </c>
    </row>
    <row r="105" spans="1:28" x14ac:dyDescent="0.25">
      <c r="A105" s="4"/>
      <c r="B105" s="4"/>
      <c r="C105" s="11" t="s">
        <v>139</v>
      </c>
      <c r="D105" s="4"/>
      <c r="E105" s="5">
        <f>SUM(E4:E104)</f>
        <v>357220640</v>
      </c>
      <c r="F105" s="5" t="s">
        <v>1</v>
      </c>
      <c r="G105" s="7">
        <f>SUM(G4:G104)</f>
        <v>348035997</v>
      </c>
      <c r="H105" s="7">
        <f t="shared" ref="H105:U105" si="112">SUM(H4:H104)</f>
        <v>7321054</v>
      </c>
      <c r="I105" s="7">
        <f t="shared" si="112"/>
        <v>15492979</v>
      </c>
      <c r="J105" s="7">
        <f t="shared" si="112"/>
        <v>10371313</v>
      </c>
      <c r="K105" s="7">
        <f t="shared" si="112"/>
        <v>381221343</v>
      </c>
      <c r="L105" s="7">
        <f t="shared" si="112"/>
        <v>14139789.040000001</v>
      </c>
      <c r="M105" s="7">
        <f t="shared" si="112"/>
        <v>17344664.73</v>
      </c>
      <c r="N105" s="7">
        <f t="shared" si="112"/>
        <v>214700</v>
      </c>
      <c r="O105" s="7">
        <f t="shared" si="112"/>
        <v>2697300</v>
      </c>
      <c r="P105" s="7">
        <f t="shared" si="112"/>
        <v>4666394</v>
      </c>
      <c r="Q105" s="7">
        <f t="shared" si="112"/>
        <v>14200000</v>
      </c>
      <c r="R105" s="7">
        <f t="shared" si="112"/>
        <v>1049612</v>
      </c>
      <c r="S105" s="7">
        <f t="shared" si="112"/>
        <v>11380128</v>
      </c>
      <c r="T105" s="7">
        <f t="shared" si="112"/>
        <v>65692587.769999996</v>
      </c>
      <c r="U105" s="7">
        <f t="shared" si="112"/>
        <v>315528755.23000002</v>
      </c>
      <c r="V105" s="7">
        <f>SUM(V5:V100)</f>
        <v>0</v>
      </c>
      <c r="W105" s="44">
        <f>SUM(W5:W100)</f>
        <v>0</v>
      </c>
      <c r="X105" s="7">
        <f>SUM(X4:X104)</f>
        <v>315528755.23000002</v>
      </c>
    </row>
    <row r="106" spans="1:28" x14ac:dyDescent="0.25">
      <c r="E106" s="54"/>
      <c r="F106" s="54"/>
      <c r="G106" s="54"/>
      <c r="U106" s="55"/>
      <c r="V106" s="55"/>
      <c r="X106" s="55"/>
    </row>
    <row r="107" spans="1:28" x14ac:dyDescent="0.25">
      <c r="D107" s="53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7"/>
      <c r="V107" s="53"/>
      <c r="W107" s="58"/>
      <c r="X107" s="57"/>
    </row>
    <row r="108" spans="1:28" x14ac:dyDescent="0.25">
      <c r="D108" s="53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3"/>
      <c r="V108" s="53"/>
      <c r="W108" s="58"/>
      <c r="X108" s="57"/>
    </row>
    <row r="109" spans="1:28" x14ac:dyDescent="0.25">
      <c r="C109" s="59"/>
      <c r="D109" s="53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3"/>
      <c r="V109" s="53"/>
      <c r="W109" s="58"/>
      <c r="X109" s="57"/>
    </row>
    <row r="110" spans="1:28" x14ac:dyDescent="0.25">
      <c r="C110" s="59"/>
      <c r="D110" s="53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3"/>
      <c r="V110" s="53"/>
      <c r="W110" s="58"/>
      <c r="X110" s="53"/>
      <c r="Y110" s="53"/>
      <c r="Z110" s="53"/>
      <c r="AA110" s="53"/>
      <c r="AB110" s="53"/>
    </row>
    <row r="111" spans="1:28" x14ac:dyDescent="0.25">
      <c r="B111" s="53"/>
      <c r="C111" s="59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54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53"/>
      <c r="Z111" s="53"/>
      <c r="AA111" s="53"/>
      <c r="AB111" s="53"/>
    </row>
    <row r="112" spans="1:28" x14ac:dyDescent="0.25">
      <c r="B112" s="53"/>
      <c r="C112" s="59"/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3"/>
      <c r="Y112" s="53"/>
      <c r="Z112" s="53"/>
      <c r="AA112" s="53"/>
      <c r="AB112" s="53"/>
    </row>
    <row r="113" spans="2:28" x14ac:dyDescent="0.25">
      <c r="B113" s="53"/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3"/>
      <c r="Y113" s="53"/>
      <c r="Z113" s="53"/>
      <c r="AA113" s="53"/>
      <c r="AB113" s="53"/>
    </row>
    <row r="114" spans="2:28" x14ac:dyDescent="0.25">
      <c r="B114" s="53"/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2"/>
      <c r="W115" s="63"/>
      <c r="X115" s="62"/>
      <c r="Y115" s="53"/>
      <c r="Z115" s="53"/>
      <c r="AA115" s="53"/>
      <c r="AB115" s="53"/>
    </row>
    <row r="116" spans="2:28" x14ac:dyDescent="0.25">
      <c r="B116" s="64"/>
      <c r="C116" s="59"/>
      <c r="D116" s="62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2"/>
      <c r="V116" s="62"/>
      <c r="W116" s="63"/>
      <c r="X116" s="62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66"/>
      <c r="H117" s="54"/>
      <c r="I117" s="54"/>
      <c r="J117" s="54"/>
      <c r="K117" s="54"/>
      <c r="L117" s="54"/>
      <c r="M117" s="54"/>
      <c r="N117" s="67"/>
      <c r="O117" s="67"/>
      <c r="P117" s="67"/>
      <c r="Q117" s="67"/>
      <c r="R117" s="67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68"/>
      <c r="D118" s="62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2"/>
      <c r="V118" s="62"/>
      <c r="W118" s="63"/>
      <c r="X118" s="62"/>
      <c r="Y118" s="53"/>
      <c r="Z118" s="53"/>
      <c r="AA118" s="53"/>
      <c r="AB118" s="53"/>
    </row>
    <row r="119" spans="2:28" x14ac:dyDescent="0.25">
      <c r="B119" s="62"/>
      <c r="C119" s="68"/>
      <c r="D119" s="62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2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53"/>
      <c r="C120" s="68"/>
      <c r="D120" s="62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7"/>
      <c r="V120" s="57"/>
      <c r="W120" s="58"/>
      <c r="X120" s="57"/>
      <c r="Y120" s="53"/>
      <c r="Z120" s="53"/>
      <c r="AA120" s="53"/>
      <c r="AB120" s="53"/>
    </row>
    <row r="121" spans="2:28" x14ac:dyDescent="0.25">
      <c r="C121" s="68"/>
      <c r="D121" s="62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7"/>
      <c r="V121" s="57"/>
      <c r="W121" s="58"/>
      <c r="X121" s="57"/>
      <c r="Y121" s="53"/>
      <c r="Z121" s="53"/>
      <c r="AA121" s="53"/>
      <c r="AB121" s="53"/>
    </row>
    <row r="122" spans="2:28" x14ac:dyDescent="0.25">
      <c r="C122" s="68"/>
      <c r="D122" s="62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7"/>
      <c r="V122" s="57"/>
      <c r="W122" s="58"/>
      <c r="X122" s="57"/>
      <c r="Y122" s="53"/>
      <c r="Z122" s="53"/>
      <c r="AA122" s="53"/>
      <c r="AB122" s="53"/>
    </row>
    <row r="123" spans="2:28" x14ac:dyDescent="0.25">
      <c r="C123" s="68"/>
      <c r="D123" s="62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7"/>
      <c r="V123" s="57"/>
      <c r="W123" s="58"/>
      <c r="X123" s="57"/>
      <c r="Y123" s="53"/>
      <c r="Z123" s="53"/>
      <c r="AA123" s="53"/>
      <c r="AB123" s="53"/>
    </row>
    <row r="124" spans="2:28" x14ac:dyDescent="0.25"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59"/>
      <c r="D126" s="53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53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53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53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68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59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3"/>
      <c r="V138" s="53"/>
      <c r="W138" s="58"/>
      <c r="X138" s="53"/>
      <c r="Y138" s="53"/>
      <c r="Z138" s="53"/>
      <c r="AA138" s="53"/>
      <c r="AB138" s="53"/>
    </row>
    <row r="139" spans="2:28" x14ac:dyDescent="0.25">
      <c r="C139" s="59"/>
      <c r="D139" s="53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53"/>
      <c r="S139" s="54"/>
      <c r="T139" s="54"/>
      <c r="U139" s="53"/>
      <c r="V139" s="53"/>
      <c r="W139" s="58"/>
      <c r="X139" s="53"/>
      <c r="Y139" s="53"/>
      <c r="Z139" s="53"/>
      <c r="AA139" s="53"/>
      <c r="AB139" s="53"/>
    </row>
    <row r="140" spans="2:28" x14ac:dyDescent="0.25">
      <c r="B140" s="53"/>
      <c r="C140" s="59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53"/>
      <c r="Z140" s="53"/>
      <c r="AA140" s="53"/>
      <c r="AB140" s="53"/>
    </row>
    <row r="141" spans="2:28" x14ac:dyDescent="0.25">
      <c r="B141" s="53"/>
      <c r="C141" s="59"/>
      <c r="D141" s="53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2"/>
      <c r="V141" s="62"/>
      <c r="W141" s="63"/>
      <c r="X141" s="62"/>
      <c r="Y141" s="53"/>
      <c r="Z141" s="53"/>
      <c r="AA141" s="53"/>
      <c r="AB141" s="53"/>
    </row>
    <row r="142" spans="2:28" x14ac:dyDescent="0.25">
      <c r="B142" s="53"/>
      <c r="C142" s="68"/>
      <c r="D142" s="62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2"/>
      <c r="V142" s="62"/>
      <c r="W142" s="63"/>
      <c r="X142" s="62"/>
    </row>
    <row r="143" spans="2:28" x14ac:dyDescent="0.25">
      <c r="B143" s="69"/>
      <c r="C143" s="68"/>
      <c r="D143" s="62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2"/>
      <c r="V143" s="62"/>
      <c r="W143" s="63"/>
      <c r="X143" s="62"/>
    </row>
    <row r="144" spans="2:28" x14ac:dyDescent="0.25">
      <c r="C144" s="68"/>
      <c r="D144" s="62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</row>
    <row r="145" spans="2:24" x14ac:dyDescent="0.25">
      <c r="C145" s="68"/>
      <c r="D145" s="62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</row>
    <row r="146" spans="2:24" x14ac:dyDescent="0.25">
      <c r="C146" s="68"/>
      <c r="D146" s="62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</row>
    <row r="147" spans="2:24" x14ac:dyDescent="0.25">
      <c r="C147" s="59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</row>
    <row r="148" spans="2:24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4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</row>
    <row r="150" spans="2:24" x14ac:dyDescent="0.25">
      <c r="C150" s="59"/>
      <c r="D150" s="53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4" x14ac:dyDescent="0.25">
      <c r="B151" s="53"/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3"/>
      <c r="V151" s="53"/>
      <c r="W151" s="58"/>
      <c r="X151" s="53"/>
    </row>
    <row r="152" spans="2:24" x14ac:dyDescent="0.25">
      <c r="B152" s="53"/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3"/>
      <c r="V152" s="53"/>
      <c r="W152" s="58"/>
      <c r="X152" s="53"/>
    </row>
    <row r="153" spans="2:24" x14ac:dyDescent="0.25">
      <c r="B153" s="53"/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70"/>
      <c r="V153" s="70"/>
      <c r="W153" s="58"/>
      <c r="X153" s="70"/>
    </row>
    <row r="154" spans="2:24" x14ac:dyDescent="0.25">
      <c r="B154" s="53"/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71"/>
      <c r="V154" s="71"/>
      <c r="W154" s="58"/>
      <c r="X154" s="71"/>
    </row>
    <row r="155" spans="2:24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4" x14ac:dyDescent="0.25"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4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4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3"/>
      <c r="V158" s="53"/>
      <c r="W158" s="58"/>
      <c r="X158" s="53"/>
    </row>
    <row r="159" spans="2:24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4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>
        <v>3003000</v>
      </c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68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68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68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68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>
        <v>42614840</v>
      </c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>
        <v>412608</v>
      </c>
      <c r="U167" s="53"/>
      <c r="V167" s="53"/>
      <c r="W167" s="58"/>
      <c r="X167" s="53"/>
    </row>
    <row r="168" spans="3:24" x14ac:dyDescent="0.25">
      <c r="C168" s="59">
        <v>9675182</v>
      </c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>
        <v>1880000</v>
      </c>
      <c r="U168" s="53"/>
      <c r="V168" s="53"/>
      <c r="W168" s="58"/>
      <c r="X168" s="53"/>
    </row>
    <row r="169" spans="3:24" x14ac:dyDescent="0.25">
      <c r="C169" s="59">
        <v>17903600</v>
      </c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59">
        <f>SUM(C167:C169)</f>
        <v>70193622</v>
      </c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400000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f>+C170+C171</f>
        <v>70593622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5" spans="3:24" x14ac:dyDescent="0.25">
      <c r="C175" s="52">
        <v>64000000</v>
      </c>
    </row>
    <row r="176" spans="3:24" x14ac:dyDescent="0.25">
      <c r="C176" s="52">
        <v>11000000</v>
      </c>
    </row>
    <row r="177" spans="3:3" x14ac:dyDescent="0.25">
      <c r="C177" s="52">
        <f>+C175+C176</f>
        <v>75000000</v>
      </c>
    </row>
    <row r="181" spans="3:3" x14ac:dyDescent="0.25">
      <c r="C181" s="52">
        <v>2745000</v>
      </c>
    </row>
    <row r="182" spans="3:3" x14ac:dyDescent="0.25">
      <c r="C182" s="52">
        <v>3185000</v>
      </c>
    </row>
    <row r="183" spans="3:3" x14ac:dyDescent="0.25">
      <c r="C183" s="52">
        <v>1080000</v>
      </c>
    </row>
    <row r="184" spans="3:3" x14ac:dyDescent="0.25">
      <c r="C184" s="52">
        <v>4850100</v>
      </c>
    </row>
    <row r="185" spans="3:3" x14ac:dyDescent="0.25">
      <c r="C185" s="52">
        <v>5027500</v>
      </c>
    </row>
    <row r="186" spans="3:3" x14ac:dyDescent="0.25">
      <c r="C186" s="52">
        <v>4566000</v>
      </c>
    </row>
    <row r="187" spans="3:3" x14ac:dyDescent="0.25">
      <c r="C187" s="52">
        <v>1050000</v>
      </c>
    </row>
    <row r="188" spans="3:3" x14ac:dyDescent="0.25">
      <c r="C188" s="52">
        <v>3877333</v>
      </c>
    </row>
    <row r="189" spans="3:3" x14ac:dyDescent="0.25">
      <c r="C189" s="52">
        <v>6732440</v>
      </c>
    </row>
    <row r="190" spans="3:3" x14ac:dyDescent="0.25">
      <c r="C190" s="52">
        <v>3460000</v>
      </c>
    </row>
    <row r="191" spans="3:3" x14ac:dyDescent="0.25">
      <c r="C191" s="52">
        <v>588800</v>
      </c>
    </row>
    <row r="192" spans="3:3" x14ac:dyDescent="0.25">
      <c r="C192" s="52">
        <v>1868000</v>
      </c>
    </row>
    <row r="193" spans="3:3" x14ac:dyDescent="0.25">
      <c r="C193" s="52">
        <v>10313000</v>
      </c>
    </row>
    <row r="194" spans="3:3" x14ac:dyDescent="0.25">
      <c r="C194" s="52">
        <v>3443800</v>
      </c>
    </row>
    <row r="195" spans="3:3" x14ac:dyDescent="0.25">
      <c r="C195" s="52">
        <v>8136400</v>
      </c>
    </row>
    <row r="196" spans="3:3" x14ac:dyDescent="0.25">
      <c r="C196" s="52">
        <v>9675183</v>
      </c>
    </row>
    <row r="197" spans="3:3" x14ac:dyDescent="0.25">
      <c r="C197" s="52">
        <f>SUM(C181:C196)</f>
        <v>70598556</v>
      </c>
    </row>
  </sheetData>
  <mergeCells count="7">
    <mergeCell ref="D140:X140"/>
    <mergeCell ref="C1:U1"/>
    <mergeCell ref="E2:K2"/>
    <mergeCell ref="L2:T2"/>
    <mergeCell ref="A3:A46"/>
    <mergeCell ref="A47:A104"/>
    <mergeCell ref="E139:Q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201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2" t="s">
        <v>152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4"/>
      <c r="W1" s="44"/>
      <c r="X1" s="4"/>
    </row>
    <row r="2" spans="1:24" x14ac:dyDescent="0.25">
      <c r="C2" s="3" t="s">
        <v>1</v>
      </c>
      <c r="D2" s="4"/>
      <c r="E2" s="93" t="s">
        <v>2</v>
      </c>
      <c r="F2" s="93"/>
      <c r="G2" s="93"/>
      <c r="H2" s="93"/>
      <c r="I2" s="93"/>
      <c r="J2" s="93"/>
      <c r="K2" s="93"/>
      <c r="L2" s="93" t="s">
        <v>3</v>
      </c>
      <c r="M2" s="93"/>
      <c r="N2" s="93"/>
      <c r="O2" s="93"/>
      <c r="P2" s="93"/>
      <c r="Q2" s="93"/>
      <c r="R2" s="93"/>
      <c r="S2" s="93"/>
      <c r="T2" s="93"/>
      <c r="U2" s="4"/>
      <c r="V2" s="4"/>
      <c r="W2" s="44"/>
      <c r="X2" s="4"/>
    </row>
    <row r="3" spans="1:24" ht="48" x14ac:dyDescent="0.25">
      <c r="A3" s="94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95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5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5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5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5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5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5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1774081</v>
      </c>
      <c r="U10" s="7">
        <f>K10-T10</f>
        <v>2725919</v>
      </c>
      <c r="V10" s="7"/>
      <c r="W10" s="44"/>
      <c r="X10" s="7">
        <f t="shared" si="4"/>
        <v>2725919</v>
      </c>
    </row>
    <row r="11" spans="1:24" x14ac:dyDescent="0.25">
      <c r="A11" s="95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95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v>5220000</v>
      </c>
      <c r="H12" s="5"/>
      <c r="I12" s="5"/>
      <c r="J12" s="5">
        <v>360000</v>
      </c>
      <c r="K12" s="5">
        <f>SUM(G12:I12)+J12</f>
        <v>5580000</v>
      </c>
      <c r="L12" s="5">
        <f>+K12*4%</f>
        <v>223200</v>
      </c>
      <c r="M12" s="5">
        <f>+K12*5%</f>
        <v>279000</v>
      </c>
      <c r="N12" s="5"/>
      <c r="O12" s="5"/>
      <c r="P12" s="5">
        <v>6500</v>
      </c>
      <c r="Q12" s="5"/>
      <c r="R12" s="5"/>
      <c r="S12" s="5"/>
      <c r="T12" s="5">
        <f t="shared" si="2"/>
        <v>508700</v>
      </c>
      <c r="U12" s="7">
        <f t="shared" ref="U12:U18" si="11">+K12-T12</f>
        <v>5071300</v>
      </c>
      <c r="V12" s="7"/>
      <c r="W12" s="44"/>
      <c r="X12" s="7">
        <f t="shared" si="4"/>
        <v>5071300</v>
      </c>
    </row>
    <row r="13" spans="1:24" x14ac:dyDescent="0.25">
      <c r="A13" s="95"/>
      <c r="B13" s="4">
        <v>10</v>
      </c>
      <c r="C13" s="3" t="s">
        <v>36</v>
      </c>
      <c r="D13" s="4" t="s">
        <v>26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11"/>
        <v>4092000</v>
      </c>
      <c r="V13" s="7"/>
      <c r="W13" s="44"/>
      <c r="X13" s="7">
        <f t="shared" si="4"/>
        <v>4092000</v>
      </c>
    </row>
    <row r="14" spans="1:24" x14ac:dyDescent="0.25">
      <c r="A14" s="95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v>3080000</v>
      </c>
      <c r="H14" s="5"/>
      <c r="I14" s="5"/>
      <c r="J14" s="5">
        <v>980000</v>
      </c>
      <c r="K14" s="5">
        <f t="shared" ref="K14:K16" si="13">SUM(G14:I14)+J14</f>
        <v>4060000</v>
      </c>
      <c r="L14" s="5">
        <v>162400</v>
      </c>
      <c r="M14" s="5">
        <f>+K14*5%</f>
        <v>203000</v>
      </c>
      <c r="N14" s="5"/>
      <c r="O14" s="5"/>
      <c r="P14" s="5">
        <v>32000</v>
      </c>
      <c r="Q14" s="5"/>
      <c r="R14" s="5">
        <v>459000</v>
      </c>
      <c r="S14" s="5">
        <v>838529</v>
      </c>
      <c r="T14" s="5">
        <f t="shared" ref="T14:T16" si="14">SUM(L14:S14)</f>
        <v>1694929</v>
      </c>
      <c r="U14" s="7">
        <f t="shared" si="11"/>
        <v>2365071</v>
      </c>
      <c r="V14" s="7"/>
      <c r="W14" s="44"/>
      <c r="X14" s="7">
        <f t="shared" si="4"/>
        <v>2365071</v>
      </c>
    </row>
    <row r="15" spans="1:24" x14ac:dyDescent="0.25">
      <c r="A15" s="95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5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95"/>
      <c r="B17" s="4">
        <v>14</v>
      </c>
      <c r="C17" s="11" t="s">
        <v>40</v>
      </c>
      <c r="D17" s="6" t="s">
        <v>26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/>
      <c r="R17" s="5"/>
      <c r="S17" s="5"/>
      <c r="T17" s="5">
        <f t="shared" si="2"/>
        <v>645521</v>
      </c>
      <c r="U17" s="7">
        <f t="shared" si="11"/>
        <v>5304479</v>
      </c>
      <c r="V17" s="7"/>
      <c r="W17" s="44"/>
      <c r="X17" s="7">
        <f t="shared" si="4"/>
        <v>5304479</v>
      </c>
    </row>
    <row r="18" spans="1:24" x14ac:dyDescent="0.25">
      <c r="A18" s="95"/>
      <c r="B18" s="4">
        <v>15</v>
      </c>
      <c r="C18" s="11" t="s">
        <v>142</v>
      </c>
      <c r="D18" s="6" t="s">
        <v>26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95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5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5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5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95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95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95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>+E25-J25</f>
        <v>5000000</v>
      </c>
      <c r="H25" s="5"/>
      <c r="I25" s="5"/>
      <c r="J25" s="5">
        <v>0</v>
      </c>
      <c r="K25" s="5">
        <f t="shared" si="0"/>
        <v>5000000</v>
      </c>
      <c r="L25" s="5">
        <f>+E25*4%</f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si="2"/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95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ref="G26" si="26">E26/30*F26</f>
        <v>4500000</v>
      </c>
      <c r="H26" s="5" t="s">
        <v>153</v>
      </c>
      <c r="I26" s="5"/>
      <c r="J26" s="5"/>
      <c r="K26" s="5">
        <f t="shared" ref="K26" si="27">SUM(G26:I26)+J26</f>
        <v>4500000</v>
      </c>
      <c r="L26" s="5">
        <f>+G26*4%</f>
        <v>180000</v>
      </c>
      <c r="M26" s="5">
        <f>+G26*5%</f>
        <v>225000</v>
      </c>
      <c r="N26" s="5"/>
      <c r="O26" s="5">
        <v>89600</v>
      </c>
      <c r="P26" s="17">
        <v>72000</v>
      </c>
      <c r="Q26" s="5"/>
      <c r="R26" s="5"/>
      <c r="S26" s="5"/>
      <c r="T26" s="5">
        <f t="shared" ref="T26" si="28">SUM(L26:S26)</f>
        <v>566600</v>
      </c>
      <c r="U26" s="7">
        <f>+K26-T26</f>
        <v>3933400</v>
      </c>
      <c r="V26" s="7"/>
      <c r="W26" s="44"/>
      <c r="X26" s="7">
        <f t="shared" si="4"/>
        <v>3933400</v>
      </c>
    </row>
    <row r="27" spans="1:24" x14ac:dyDescent="0.25">
      <c r="A27" s="95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8"/>
        <v>6000000</v>
      </c>
      <c r="H27" s="5"/>
      <c r="I27" s="5">
        <v>281250</v>
      </c>
      <c r="J27" s="5">
        <v>4800000</v>
      </c>
      <c r="K27" s="5">
        <f t="shared" si="0"/>
        <v>11081250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10462250</v>
      </c>
      <c r="V27" s="7"/>
      <c r="W27" s="44"/>
      <c r="X27" s="7">
        <f t="shared" si="4"/>
        <v>10462250</v>
      </c>
    </row>
    <row r="28" spans="1:24" x14ac:dyDescent="0.25">
      <c r="A28" s="95"/>
      <c r="B28" s="4">
        <v>25</v>
      </c>
      <c r="C28" s="11" t="s">
        <v>52</v>
      </c>
      <c r="D28" s="6" t="s">
        <v>26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42900</v>
      </c>
      <c r="P28" s="17">
        <v>0</v>
      </c>
      <c r="Q28" s="5"/>
      <c r="R28" s="5"/>
      <c r="S28" s="5"/>
      <c r="T28" s="5">
        <f t="shared" ref="T28" si="29">SUM(L28:S28)</f>
        <v>357900</v>
      </c>
      <c r="U28" s="7">
        <f>K28-T28</f>
        <v>3142100</v>
      </c>
      <c r="V28" s="7"/>
      <c r="W28" s="44"/>
      <c r="X28" s="7">
        <f t="shared" si="4"/>
        <v>3142100</v>
      </c>
    </row>
    <row r="29" spans="1:24" x14ac:dyDescent="0.25">
      <c r="A29" s="95"/>
      <c r="B29" s="4">
        <v>26</v>
      </c>
      <c r="C29" s="11" t="s">
        <v>53</v>
      </c>
      <c r="D29" s="6" t="s">
        <v>26</v>
      </c>
      <c r="E29" s="5">
        <v>4800000</v>
      </c>
      <c r="F29" s="5">
        <v>30</v>
      </c>
      <c r="G29" s="5">
        <f t="shared" ref="G29:G59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95"/>
      <c r="B30" s="4">
        <v>27</v>
      </c>
      <c r="C30" s="11" t="s">
        <v>54</v>
      </c>
      <c r="D30" s="6" t="s">
        <v>26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 t="s">
        <v>1</v>
      </c>
      <c r="K30" s="5">
        <f>+G30+H30+I30</f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95"/>
      <c r="B31" s="4">
        <v>28</v>
      </c>
      <c r="C31" s="11" t="s">
        <v>55</v>
      </c>
      <c r="D31" s="6" t="s">
        <v>26</v>
      </c>
      <c r="E31" s="5">
        <v>6000000</v>
      </c>
      <c r="F31" s="5">
        <v>30</v>
      </c>
      <c r="G31" s="5">
        <f t="shared" si="30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1">+K31-T31</f>
        <v>5129386</v>
      </c>
      <c r="V31" s="7"/>
      <c r="W31" s="44"/>
      <c r="X31" s="7">
        <f t="shared" si="4"/>
        <v>5129386</v>
      </c>
    </row>
    <row r="32" spans="1:24" x14ac:dyDescent="0.25">
      <c r="A32" s="95"/>
      <c r="B32" s="4">
        <v>29</v>
      </c>
      <c r="C32" s="11" t="s">
        <v>56</v>
      </c>
      <c r="D32" s="6" t="s">
        <v>26</v>
      </c>
      <c r="E32" s="5">
        <v>4500000</v>
      </c>
      <c r="F32" s="5">
        <v>30</v>
      </c>
      <c r="G32" s="5">
        <f t="shared" si="30"/>
        <v>4500000</v>
      </c>
      <c r="H32" s="5"/>
      <c r="I32" s="5">
        <v>500000</v>
      </c>
      <c r="J32" s="5">
        <v>1582031</v>
      </c>
      <c r="K32" s="5">
        <f t="shared" si="0"/>
        <v>6582031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595000</v>
      </c>
      <c r="S32" s="5">
        <v>551399</v>
      </c>
      <c r="T32" s="5">
        <f t="shared" si="2"/>
        <v>1562399</v>
      </c>
      <c r="U32" s="7">
        <f t="shared" si="31"/>
        <v>5019632</v>
      </c>
      <c r="V32" s="7"/>
      <c r="W32" s="44"/>
      <c r="X32" s="7">
        <f t="shared" si="4"/>
        <v>5019632</v>
      </c>
    </row>
    <row r="33" spans="1:26" x14ac:dyDescent="0.25">
      <c r="A33" s="95"/>
      <c r="B33" s="4">
        <v>30</v>
      </c>
      <c r="C33" s="3" t="s">
        <v>57</v>
      </c>
      <c r="D33" s="4" t="s">
        <v>26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95"/>
      <c r="B34" s="4">
        <v>31</v>
      </c>
      <c r="C34" s="11" t="s">
        <v>58</v>
      </c>
      <c r="D34" s="6" t="s">
        <v>26</v>
      </c>
      <c r="E34" s="5">
        <v>6420000</v>
      </c>
      <c r="F34" s="5">
        <v>30</v>
      </c>
      <c r="G34" s="5">
        <f>+E34-J34</f>
        <v>6420000</v>
      </c>
      <c r="H34" s="5"/>
      <c r="I34" s="5"/>
      <c r="J34" s="5">
        <v>0</v>
      </c>
      <c r="K34" s="5">
        <f t="shared" ref="K34:K78" si="32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95"/>
      <c r="B35" s="4">
        <v>32</v>
      </c>
      <c r="C35" s="3" t="s">
        <v>59</v>
      </c>
      <c r="D35" s="4" t="s">
        <v>26</v>
      </c>
      <c r="E35" s="5">
        <v>6900000</v>
      </c>
      <c r="F35" s="5">
        <v>30</v>
      </c>
      <c r="G35" s="5">
        <f t="shared" si="30"/>
        <v>6900000</v>
      </c>
      <c r="H35" s="5"/>
      <c r="I35" s="5">
        <v>1500000</v>
      </c>
      <c r="J35" s="5">
        <v>1101471</v>
      </c>
      <c r="K35" s="5">
        <f t="shared" si="32"/>
        <v>9501471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8535471</v>
      </c>
      <c r="V35" s="7"/>
      <c r="W35" s="44"/>
      <c r="X35" s="7">
        <f t="shared" si="4"/>
        <v>8535471</v>
      </c>
    </row>
    <row r="36" spans="1:26" x14ac:dyDescent="0.25">
      <c r="A36" s="95"/>
      <c r="B36" s="4">
        <v>33</v>
      </c>
      <c r="C36" s="3" t="s">
        <v>61</v>
      </c>
      <c r="D36" s="4" t="s">
        <v>26</v>
      </c>
      <c r="E36" s="5">
        <v>5500000</v>
      </c>
      <c r="F36" s="5">
        <v>30</v>
      </c>
      <c r="G36" s="5">
        <f t="shared" si="30"/>
        <v>5500000</v>
      </c>
      <c r="H36" s="5"/>
      <c r="I36" s="5">
        <v>500000</v>
      </c>
      <c r="J36" s="5"/>
      <c r="K36" s="5">
        <f t="shared" ref="K36" si="33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4">SUM(L36:S36)</f>
        <v>639000</v>
      </c>
      <c r="U36" s="7">
        <f t="shared" ref="U36" si="35">K36-T36</f>
        <v>5361000</v>
      </c>
      <c r="V36" s="7"/>
      <c r="W36" s="44"/>
      <c r="X36" s="7">
        <f t="shared" si="4"/>
        <v>5361000</v>
      </c>
    </row>
    <row r="37" spans="1:26" x14ac:dyDescent="0.25">
      <c r="A37" s="95"/>
      <c r="B37" s="4">
        <v>34</v>
      </c>
      <c r="C37" s="11" t="s">
        <v>62</v>
      </c>
      <c r="D37" s="6" t="s">
        <v>26</v>
      </c>
      <c r="E37" s="5">
        <v>5350000</v>
      </c>
      <c r="F37" s="5">
        <v>30</v>
      </c>
      <c r="G37" s="5">
        <f t="shared" si="30"/>
        <v>5350000</v>
      </c>
      <c r="H37" s="5"/>
      <c r="I37" s="5"/>
      <c r="J37" s="5"/>
      <c r="K37" s="5">
        <f t="shared" si="32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6">+K37-T37</f>
        <v>4747500</v>
      </c>
      <c r="V37" s="7"/>
      <c r="W37" s="44"/>
      <c r="X37" s="7">
        <f t="shared" si="4"/>
        <v>4747500</v>
      </c>
    </row>
    <row r="38" spans="1:26" x14ac:dyDescent="0.25">
      <c r="A38" s="95"/>
      <c r="B38" s="4">
        <v>35</v>
      </c>
      <c r="C38" s="11" t="s">
        <v>148</v>
      </c>
      <c r="D38" s="6"/>
      <c r="E38" s="5">
        <v>4000000</v>
      </c>
      <c r="F38" s="5">
        <v>30</v>
      </c>
      <c r="G38" s="5">
        <f t="shared" si="30"/>
        <v>4000000.0000000005</v>
      </c>
      <c r="H38" s="5"/>
      <c r="I38" s="5"/>
      <c r="J38" s="5"/>
      <c r="K38" s="5">
        <f t="shared" ref="K38" si="37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6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95"/>
      <c r="B39" s="4">
        <v>36</v>
      </c>
      <c r="C39" s="11" t="s">
        <v>63</v>
      </c>
      <c r="D39" s="6" t="s">
        <v>26</v>
      </c>
      <c r="E39" s="5">
        <v>4500000</v>
      </c>
      <c r="F39" s="5">
        <v>30</v>
      </c>
      <c r="G39" s="5">
        <f t="shared" si="30"/>
        <v>4500000</v>
      </c>
      <c r="H39" s="5"/>
      <c r="I39" s="5"/>
      <c r="J39" s="5">
        <f>+E39-G39</f>
        <v>0</v>
      </c>
      <c r="K39" s="5">
        <f t="shared" si="32"/>
        <v>4500000</v>
      </c>
      <c r="L39" s="5">
        <f>+E39*4%</f>
        <v>180000</v>
      </c>
      <c r="M39" s="5">
        <f>+E39*5%</f>
        <v>225000</v>
      </c>
      <c r="N39" s="5"/>
      <c r="O39" s="5">
        <v>40600</v>
      </c>
      <c r="P39" s="5">
        <v>10000</v>
      </c>
      <c r="Q39" s="5"/>
      <c r="R39" s="5"/>
      <c r="S39" s="5"/>
      <c r="T39" s="5">
        <f>SUM(L39:S39)</f>
        <v>455600</v>
      </c>
      <c r="U39" s="7">
        <f t="shared" si="36"/>
        <v>4044400</v>
      </c>
      <c r="V39" s="7"/>
      <c r="W39" s="44"/>
      <c r="X39" s="7">
        <f t="shared" si="4"/>
        <v>4044400</v>
      </c>
    </row>
    <row r="40" spans="1:26" ht="26.25" customHeight="1" x14ac:dyDescent="0.25">
      <c r="A40" s="95"/>
      <c r="B40" s="4">
        <v>37</v>
      </c>
      <c r="C40" s="11" t="s">
        <v>65</v>
      </c>
      <c r="D40" s="6" t="s">
        <v>26</v>
      </c>
      <c r="E40" s="5">
        <v>4250000</v>
      </c>
      <c r="F40" s="5">
        <v>30</v>
      </c>
      <c r="G40" s="5">
        <f t="shared" si="30"/>
        <v>4250000</v>
      </c>
      <c r="H40" s="5"/>
      <c r="I40" s="5"/>
      <c r="J40" s="5"/>
      <c r="K40" s="5">
        <f t="shared" ref="K40" si="38">SUM(G40:I40)+J40</f>
        <v>4250000</v>
      </c>
      <c r="L40" s="5">
        <f>+G40*4%</f>
        <v>170000</v>
      </c>
      <c r="M40" s="5">
        <f>+G40*5%</f>
        <v>212500</v>
      </c>
      <c r="N40" s="5"/>
      <c r="O40" s="5">
        <v>87600</v>
      </c>
      <c r="P40" s="5">
        <v>38000</v>
      </c>
      <c r="Q40" s="5"/>
      <c r="R40" s="5"/>
      <c r="S40" s="5"/>
      <c r="T40" s="5">
        <f t="shared" ref="T40" si="39">SUM(L40:S40)</f>
        <v>508100</v>
      </c>
      <c r="U40" s="7">
        <f t="shared" si="36"/>
        <v>3741900</v>
      </c>
      <c r="V40" s="7"/>
      <c r="W40" s="44"/>
      <c r="X40" s="7">
        <f t="shared" si="4"/>
        <v>3741900</v>
      </c>
    </row>
    <row r="41" spans="1:26" ht="26.25" customHeight="1" x14ac:dyDescent="0.25">
      <c r="A41" s="95"/>
      <c r="B41" s="4">
        <v>38</v>
      </c>
      <c r="C41" s="11" t="s">
        <v>66</v>
      </c>
      <c r="D41" s="6"/>
      <c r="E41" s="5">
        <v>4000000</v>
      </c>
      <c r="F41" s="5">
        <v>30</v>
      </c>
      <c r="G41" s="5">
        <f t="shared" si="30"/>
        <v>4000000.0000000005</v>
      </c>
      <c r="H41" s="5"/>
      <c r="I41" s="5"/>
      <c r="J41" s="5"/>
      <c r="K41" s="5">
        <f t="shared" ref="K41" si="40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1">SUM(L41:S41)</f>
        <v>364500.00000000006</v>
      </c>
      <c r="U41" s="7">
        <f t="shared" si="36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95"/>
      <c r="B42" s="4">
        <v>39</v>
      </c>
      <c r="C42" s="11" t="s">
        <v>67</v>
      </c>
      <c r="D42" s="6" t="s">
        <v>26</v>
      </c>
      <c r="E42" s="5">
        <v>3000000</v>
      </c>
      <c r="F42" s="5">
        <v>30</v>
      </c>
      <c r="G42" s="5">
        <f t="shared" si="30"/>
        <v>3000000</v>
      </c>
      <c r="H42" s="5"/>
      <c r="I42" s="5" t="s">
        <v>1</v>
      </c>
      <c r="J42" s="5"/>
      <c r="K42" s="5">
        <f t="shared" si="32"/>
        <v>3000000</v>
      </c>
      <c r="L42" s="5">
        <f>+K42*4%</f>
        <v>120000</v>
      </c>
      <c r="M42" s="5">
        <f>+K42*5%</f>
        <v>150000</v>
      </c>
      <c r="N42" s="5"/>
      <c r="O42" s="5">
        <v>15800</v>
      </c>
      <c r="P42" s="5"/>
      <c r="Q42" s="5"/>
      <c r="R42" s="5"/>
      <c r="S42" s="5"/>
      <c r="T42" s="5">
        <f t="shared" si="2"/>
        <v>285800</v>
      </c>
      <c r="U42" s="7">
        <f t="shared" si="36"/>
        <v>2714200</v>
      </c>
      <c r="V42" s="7"/>
      <c r="W42" s="44"/>
      <c r="X42" s="7">
        <f t="shared" si="4"/>
        <v>2714200</v>
      </c>
    </row>
    <row r="43" spans="1:26" x14ac:dyDescent="0.25">
      <c r="A43" s="95"/>
      <c r="B43" s="4">
        <v>40</v>
      </c>
      <c r="C43" s="11" t="s">
        <v>68</v>
      </c>
      <c r="D43" s="6" t="s">
        <v>26</v>
      </c>
      <c r="E43" s="5">
        <v>5000000</v>
      </c>
      <c r="F43" s="5">
        <v>30</v>
      </c>
      <c r="G43" s="5">
        <f t="shared" si="30"/>
        <v>5000000</v>
      </c>
      <c r="H43" s="5"/>
      <c r="I43" s="5">
        <v>800000</v>
      </c>
      <c r="J43" s="5"/>
      <c r="K43" s="5">
        <f t="shared" si="32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36"/>
        <v>5300000</v>
      </c>
      <c r="V43" s="7"/>
      <c r="W43" s="44"/>
      <c r="X43" s="7">
        <f t="shared" si="4"/>
        <v>5300000</v>
      </c>
      <c r="Y43" s="7">
        <v>4886979</v>
      </c>
      <c r="Z43" s="55">
        <f>+X43-Y43</f>
        <v>413021</v>
      </c>
    </row>
    <row r="44" spans="1:26" ht="30.75" customHeight="1" x14ac:dyDescent="0.25">
      <c r="A44" s="95"/>
      <c r="B44" s="4">
        <v>41</v>
      </c>
      <c r="C44" s="11" t="s">
        <v>69</v>
      </c>
      <c r="D44" s="6" t="s">
        <v>26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2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95"/>
      <c r="B45" s="4">
        <v>42</v>
      </c>
      <c r="C45" s="11" t="s">
        <v>70</v>
      </c>
      <c r="D45" s="6" t="s">
        <v>26</v>
      </c>
      <c r="E45" s="5">
        <v>9590321</v>
      </c>
      <c r="F45" s="5">
        <v>30</v>
      </c>
      <c r="G45" s="5">
        <f t="shared" si="30"/>
        <v>9590321</v>
      </c>
      <c r="H45" s="5"/>
      <c r="I45" s="5"/>
      <c r="J45" s="5">
        <v>4045882</v>
      </c>
      <c r="K45" s="5">
        <f t="shared" si="32"/>
        <v>13636203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10327013</v>
      </c>
      <c r="V45" s="7"/>
      <c r="W45" s="44"/>
      <c r="X45" s="7">
        <f t="shared" si="4"/>
        <v>10327013</v>
      </c>
    </row>
    <row r="46" spans="1:26" x14ac:dyDescent="0.25">
      <c r="A46" s="96"/>
      <c r="B46" s="4">
        <v>43</v>
      </c>
      <c r="C46" s="11" t="s">
        <v>71</v>
      </c>
      <c r="D46" s="6" t="s">
        <v>26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2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>K46-T46</f>
        <v>4064000</v>
      </c>
      <c r="V46" s="7"/>
      <c r="W46" s="44"/>
      <c r="X46" s="7">
        <f t="shared" si="4"/>
        <v>4064000</v>
      </c>
    </row>
    <row r="47" spans="1:26" x14ac:dyDescent="0.25">
      <c r="A47" s="94" t="s">
        <v>143</v>
      </c>
      <c r="B47" s="4">
        <v>1</v>
      </c>
      <c r="C47" s="11" t="s">
        <v>144</v>
      </c>
      <c r="D47" s="6"/>
      <c r="E47" s="5">
        <v>368858</v>
      </c>
      <c r="F47" s="5">
        <v>30</v>
      </c>
      <c r="G47" s="5">
        <f t="shared" si="30"/>
        <v>368858</v>
      </c>
      <c r="H47" s="5"/>
      <c r="I47" s="5"/>
      <c r="J47" s="5"/>
      <c r="K47" s="5">
        <f t="shared" si="32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95"/>
      <c r="B48" s="4">
        <v>2</v>
      </c>
      <c r="C48" s="11" t="s">
        <v>72</v>
      </c>
      <c r="D48" s="6" t="s">
        <v>26</v>
      </c>
      <c r="E48" s="5">
        <v>3000000</v>
      </c>
      <c r="F48" s="5">
        <v>30</v>
      </c>
      <c r="G48" s="5">
        <f t="shared" si="30"/>
        <v>3000000</v>
      </c>
      <c r="H48" s="5"/>
      <c r="I48" s="5"/>
      <c r="J48" s="5"/>
      <c r="K48" s="5">
        <f t="shared" si="32"/>
        <v>3000000</v>
      </c>
      <c r="L48" s="5">
        <v>120000</v>
      </c>
      <c r="M48" s="5">
        <v>150000</v>
      </c>
      <c r="N48" s="5"/>
      <c r="O48" s="5">
        <v>29000</v>
      </c>
      <c r="P48" s="5"/>
      <c r="Q48" s="5"/>
      <c r="R48" s="5"/>
      <c r="S48" s="5"/>
      <c r="T48" s="5">
        <f t="shared" si="2"/>
        <v>299000</v>
      </c>
      <c r="U48" s="7">
        <f>K48-T48</f>
        <v>2701000</v>
      </c>
      <c r="V48" s="7"/>
      <c r="W48" s="44"/>
      <c r="X48" s="7">
        <f t="shared" si="4"/>
        <v>2701000</v>
      </c>
    </row>
    <row r="49" spans="1:24" ht="24" customHeight="1" x14ac:dyDescent="0.25">
      <c r="A49" s="95"/>
      <c r="B49" s="4">
        <v>3</v>
      </c>
      <c r="C49" s="11" t="s">
        <v>73</v>
      </c>
      <c r="D49" s="6" t="s">
        <v>26</v>
      </c>
      <c r="E49" s="5">
        <v>4000000</v>
      </c>
      <c r="F49" s="5">
        <v>30</v>
      </c>
      <c r="G49" s="5">
        <f>+E49-J49</f>
        <v>4000000</v>
      </c>
      <c r="H49" s="5"/>
      <c r="I49" s="5"/>
      <c r="J49" s="5">
        <v>0</v>
      </c>
      <c r="K49" s="5">
        <f t="shared" si="32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95"/>
      <c r="B50" s="4">
        <v>4</v>
      </c>
      <c r="C50" s="11" t="s">
        <v>74</v>
      </c>
      <c r="D50" s="6" t="s">
        <v>26</v>
      </c>
      <c r="E50" s="5">
        <v>800000</v>
      </c>
      <c r="F50" s="5">
        <v>30</v>
      </c>
      <c r="G50" s="5">
        <f t="shared" si="30"/>
        <v>800000</v>
      </c>
      <c r="H50" s="5">
        <v>83140</v>
      </c>
      <c r="I50" s="5"/>
      <c r="J50" s="5"/>
      <c r="K50" s="5">
        <f t="shared" si="32"/>
        <v>883140</v>
      </c>
      <c r="L50" s="5">
        <f>+G50*4%</f>
        <v>32000</v>
      </c>
      <c r="M50" s="5">
        <f>+G50*4%</f>
        <v>32000</v>
      </c>
      <c r="N50" s="5"/>
      <c r="O50" s="5"/>
      <c r="P50" s="17"/>
      <c r="Q50" s="5"/>
      <c r="R50" s="5"/>
      <c r="S50" s="5"/>
      <c r="T50" s="5">
        <f t="shared" ref="T50" si="42">SUM(L50:S50)</f>
        <v>64000</v>
      </c>
      <c r="U50" s="7">
        <f>+K50-T50</f>
        <v>819140</v>
      </c>
      <c r="V50" s="7"/>
      <c r="W50" s="44"/>
      <c r="X50" s="7">
        <f t="shared" si="4"/>
        <v>819140</v>
      </c>
    </row>
    <row r="51" spans="1:24" x14ac:dyDescent="0.25">
      <c r="A51" s="95"/>
      <c r="B51" s="4">
        <v>5</v>
      </c>
      <c r="C51" s="3" t="s">
        <v>75</v>
      </c>
      <c r="D51" s="4" t="s">
        <v>26</v>
      </c>
      <c r="E51" s="5">
        <v>1600000</v>
      </c>
      <c r="F51" s="5">
        <v>30</v>
      </c>
      <c r="G51" s="5">
        <f t="shared" si="30"/>
        <v>1600000</v>
      </c>
      <c r="H51" s="5"/>
      <c r="I51" s="5"/>
      <c r="J51" s="5"/>
      <c r="K51" s="5">
        <f t="shared" ref="K51" si="43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95"/>
      <c r="B52" s="4">
        <v>6</v>
      </c>
      <c r="C52" s="11" t="s">
        <v>76</v>
      </c>
      <c r="D52" s="6" t="s">
        <v>26</v>
      </c>
      <c r="E52" s="5">
        <v>737717</v>
      </c>
      <c r="F52" s="5">
        <v>30</v>
      </c>
      <c r="G52" s="5">
        <f t="shared" si="30"/>
        <v>737717</v>
      </c>
      <c r="H52" s="5">
        <f t="shared" ref="H52:H54" si="44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95"/>
      <c r="B53" s="4">
        <v>7</v>
      </c>
      <c r="C53" s="3" t="s">
        <v>77</v>
      </c>
      <c r="D53" s="4" t="s">
        <v>26</v>
      </c>
      <c r="E53" s="5">
        <v>1200000</v>
      </c>
      <c r="F53" s="5">
        <v>30</v>
      </c>
      <c r="G53" s="5">
        <f t="shared" si="30"/>
        <v>1200000</v>
      </c>
      <c r="H53" s="5">
        <f t="shared" si="44"/>
        <v>83140</v>
      </c>
      <c r="I53" s="5"/>
      <c r="J53" s="5"/>
      <c r="K53" s="5">
        <f t="shared" ref="K53" si="45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8" si="46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95"/>
      <c r="B54" s="4">
        <v>8</v>
      </c>
      <c r="C54" s="11" t="s">
        <v>79</v>
      </c>
      <c r="D54" s="6" t="s">
        <v>26</v>
      </c>
      <c r="E54" s="5">
        <v>737717</v>
      </c>
      <c r="F54" s="5">
        <v>30</v>
      </c>
      <c r="G54" s="5">
        <f t="shared" si="30"/>
        <v>737717</v>
      </c>
      <c r="H54" s="5">
        <f t="shared" si="44"/>
        <v>83140</v>
      </c>
      <c r="I54" s="5"/>
      <c r="J54" s="5"/>
      <c r="K54" s="5">
        <f t="shared" ref="K54:K55" si="47">SUM(G54:I54)+J54</f>
        <v>820857</v>
      </c>
      <c r="L54" s="5">
        <v>29509</v>
      </c>
      <c r="M54" s="5">
        <v>29509</v>
      </c>
      <c r="N54" s="5"/>
      <c r="O54" s="5">
        <v>48000</v>
      </c>
      <c r="P54" s="17"/>
      <c r="Q54" s="5"/>
      <c r="R54" s="5"/>
      <c r="S54" s="5"/>
      <c r="T54" s="5">
        <f t="shared" ref="T54:T55" si="48">SUM(L54:S54)</f>
        <v>107018</v>
      </c>
      <c r="U54" s="7">
        <f t="shared" ref="U54:U62" si="49">+K54-T54</f>
        <v>713839</v>
      </c>
      <c r="V54" s="7"/>
      <c r="W54" s="44"/>
      <c r="X54" s="7">
        <f t="shared" si="4"/>
        <v>713839</v>
      </c>
    </row>
    <row r="55" spans="1:24" ht="24" x14ac:dyDescent="0.25">
      <c r="A55" s="95"/>
      <c r="B55" s="4">
        <v>9</v>
      </c>
      <c r="C55" s="11" t="s">
        <v>80</v>
      </c>
      <c r="D55" s="6" t="s">
        <v>26</v>
      </c>
      <c r="E55" s="5">
        <v>1100000</v>
      </c>
      <c r="F55" s="5">
        <v>30</v>
      </c>
      <c r="G55" s="5">
        <f t="shared" si="30"/>
        <v>1100000</v>
      </c>
      <c r="H55" s="5">
        <v>83140</v>
      </c>
      <c r="I55" s="5"/>
      <c r="J55" s="5"/>
      <c r="K55" s="5">
        <f t="shared" si="47"/>
        <v>1183140</v>
      </c>
      <c r="L55" s="5">
        <f t="shared" ref="L55" si="50">+G55*4%</f>
        <v>44000</v>
      </c>
      <c r="M55" s="5">
        <f t="shared" ref="M55" si="51">+G55*4%</f>
        <v>44000</v>
      </c>
      <c r="N55" s="5"/>
      <c r="O55" s="5"/>
      <c r="P55" s="17"/>
      <c r="Q55" s="5"/>
      <c r="R55" s="5"/>
      <c r="S55" s="5"/>
      <c r="T55" s="5">
        <f t="shared" si="48"/>
        <v>88000</v>
      </c>
      <c r="U55" s="7">
        <f t="shared" si="49"/>
        <v>1095140</v>
      </c>
      <c r="V55" s="7"/>
      <c r="W55" s="44"/>
      <c r="X55" s="7">
        <f t="shared" si="4"/>
        <v>1095140</v>
      </c>
    </row>
    <row r="56" spans="1:24" ht="21.75" customHeight="1" x14ac:dyDescent="0.25">
      <c r="A56" s="95"/>
      <c r="B56" s="4">
        <v>10</v>
      </c>
      <c r="C56" s="11" t="s">
        <v>81</v>
      </c>
      <c r="D56" s="6" t="s">
        <v>26</v>
      </c>
      <c r="E56" s="5">
        <v>1450000</v>
      </c>
      <c r="F56" s="5">
        <v>30</v>
      </c>
      <c r="G56" s="5">
        <f t="shared" si="30"/>
        <v>1450000</v>
      </c>
      <c r="H56" s="5">
        <f>+(83140/30)*F56</f>
        <v>83140</v>
      </c>
      <c r="I56" s="5"/>
      <c r="J56" s="5"/>
      <c r="K56" s="5">
        <f t="shared" si="32"/>
        <v>1533140</v>
      </c>
      <c r="L56" s="5">
        <f>+G56*4%</f>
        <v>58000</v>
      </c>
      <c r="M56" s="5">
        <f>+G56*4%</f>
        <v>58000</v>
      </c>
      <c r="N56" s="5"/>
      <c r="O56" s="5"/>
      <c r="P56" s="5">
        <v>0</v>
      </c>
      <c r="Q56" s="5"/>
      <c r="R56" s="5"/>
      <c r="S56" s="5"/>
      <c r="T56" s="5">
        <f t="shared" si="46"/>
        <v>116000</v>
      </c>
      <c r="U56" s="7">
        <f t="shared" si="49"/>
        <v>1417140</v>
      </c>
      <c r="V56" s="7"/>
      <c r="W56" s="44"/>
      <c r="X56" s="7">
        <f t="shared" si="4"/>
        <v>1417140</v>
      </c>
    </row>
    <row r="57" spans="1:24" x14ac:dyDescent="0.25">
      <c r="A57" s="95"/>
      <c r="B57" s="4">
        <v>11</v>
      </c>
      <c r="C57" s="11" t="s">
        <v>82</v>
      </c>
      <c r="D57" s="6" t="s">
        <v>26</v>
      </c>
      <c r="E57" s="5">
        <v>737717</v>
      </c>
      <c r="F57" s="5">
        <v>30</v>
      </c>
      <c r="G57" s="5">
        <f t="shared" si="30"/>
        <v>737717</v>
      </c>
      <c r="H57" s="5">
        <v>83140</v>
      </c>
      <c r="I57" s="5"/>
      <c r="J57" s="5"/>
      <c r="K57" s="5">
        <f t="shared" ref="K57" si="52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6"/>
        <v>59018</v>
      </c>
      <c r="U57" s="7">
        <f t="shared" si="49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95"/>
      <c r="B58" s="4">
        <v>12</v>
      </c>
      <c r="C58" s="11" t="s">
        <v>83</v>
      </c>
      <c r="D58" s="6" t="s">
        <v>26</v>
      </c>
      <c r="E58" s="5">
        <v>3500000</v>
      </c>
      <c r="F58" s="5">
        <v>30</v>
      </c>
      <c r="G58" s="5">
        <f>+E58-J58</f>
        <v>3500000</v>
      </c>
      <c r="H58" s="5"/>
      <c r="I58" s="5"/>
      <c r="J58" s="5">
        <v>0</v>
      </c>
      <c r="K58" s="5">
        <f t="shared" ref="K58" si="53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4">SUM(L58:S58)</f>
        <v>315000</v>
      </c>
      <c r="U58" s="7">
        <f t="shared" si="49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95"/>
      <c r="B59" s="4">
        <v>13</v>
      </c>
      <c r="C59" s="11" t="s">
        <v>84</v>
      </c>
      <c r="D59" s="6" t="s">
        <v>26</v>
      </c>
      <c r="E59" s="5">
        <v>2500000</v>
      </c>
      <c r="F59" s="5">
        <v>29</v>
      </c>
      <c r="G59" s="5">
        <f t="shared" si="30"/>
        <v>2416666.6666666665</v>
      </c>
      <c r="H59" s="5"/>
      <c r="I59" s="5"/>
      <c r="J59" s="5">
        <v>833333</v>
      </c>
      <c r="K59" s="5">
        <f t="shared" si="32"/>
        <v>3249999.6666666665</v>
      </c>
      <c r="L59" s="5">
        <f>+K59*4%</f>
        <v>129999.98666666666</v>
      </c>
      <c r="M59" s="5">
        <f>+K59*4%</f>
        <v>129999.98666666666</v>
      </c>
      <c r="N59" s="5"/>
      <c r="O59" s="5"/>
      <c r="P59" s="5">
        <v>0</v>
      </c>
      <c r="Q59" s="5"/>
      <c r="R59" s="5"/>
      <c r="S59" s="5">
        <v>200210</v>
      </c>
      <c r="T59" s="5">
        <f t="shared" si="46"/>
        <v>460209.97333333333</v>
      </c>
      <c r="U59" s="7">
        <f t="shared" si="49"/>
        <v>2789789.6933333334</v>
      </c>
      <c r="V59" s="7"/>
      <c r="W59" s="44"/>
      <c r="X59" s="7">
        <f t="shared" si="4"/>
        <v>2789789.6933333334</v>
      </c>
    </row>
    <row r="60" spans="1:24" ht="17.25" customHeight="1" x14ac:dyDescent="0.25">
      <c r="A60" s="95"/>
      <c r="B60" s="4">
        <v>14</v>
      </c>
      <c r="C60" s="11" t="s">
        <v>85</v>
      </c>
      <c r="D60" s="6" t="s">
        <v>26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5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6">SUM(L60:S60)</f>
        <v>96000</v>
      </c>
      <c r="U60" s="7">
        <f t="shared" si="49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95"/>
      <c r="B61" s="4">
        <v>15</v>
      </c>
      <c r="C61" s="11" t="s">
        <v>86</v>
      </c>
      <c r="D61" s="6" t="s">
        <v>26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7">SUM(G61:I61)+J61</f>
        <v>983140</v>
      </c>
      <c r="L61" s="5">
        <f>+G61*4%</f>
        <v>36000</v>
      </c>
      <c r="M61" s="5">
        <f t="shared" ref="M61" si="58">+G61*4%</f>
        <v>36000</v>
      </c>
      <c r="N61" s="5"/>
      <c r="O61" s="5"/>
      <c r="P61" s="5">
        <v>0</v>
      </c>
      <c r="Q61" s="5"/>
      <c r="R61" s="5"/>
      <c r="S61" s="5"/>
      <c r="T61" s="5">
        <f t="shared" si="56"/>
        <v>72000</v>
      </c>
      <c r="U61" s="7">
        <f t="shared" si="49"/>
        <v>911140</v>
      </c>
      <c r="V61" s="7"/>
      <c r="W61" s="44"/>
      <c r="X61" s="7">
        <f t="shared" si="4"/>
        <v>911140</v>
      </c>
    </row>
    <row r="62" spans="1:24" ht="24" x14ac:dyDescent="0.25">
      <c r="A62" s="95"/>
      <c r="B62" s="4">
        <v>16</v>
      </c>
      <c r="C62" s="11" t="s">
        <v>87</v>
      </c>
      <c r="D62" s="6" t="s">
        <v>26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2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>
        <v>323803</v>
      </c>
      <c r="T62" s="5">
        <f t="shared" si="46"/>
        <v>483803</v>
      </c>
      <c r="U62" s="7">
        <f t="shared" si="49"/>
        <v>1516197.0000000002</v>
      </c>
      <c r="V62" s="7"/>
      <c r="W62" s="44"/>
      <c r="X62" s="7">
        <f t="shared" si="4"/>
        <v>1516197.0000000002</v>
      </c>
    </row>
    <row r="63" spans="1:24" x14ac:dyDescent="0.25">
      <c r="A63" s="95"/>
      <c r="B63" s="4">
        <v>17</v>
      </c>
      <c r="C63" s="3" t="s">
        <v>88</v>
      </c>
      <c r="D63" s="4" t="s">
        <v>26</v>
      </c>
      <c r="E63" s="5">
        <v>3500000</v>
      </c>
      <c r="F63" s="5">
        <v>29</v>
      </c>
      <c r="G63" s="5">
        <f>+E63/30*F63</f>
        <v>3383333.3333333335</v>
      </c>
      <c r="H63" s="5"/>
      <c r="I63" s="5"/>
      <c r="J63" s="5">
        <v>233333</v>
      </c>
      <c r="K63" s="5">
        <f t="shared" si="32"/>
        <v>3616666.3333333335</v>
      </c>
      <c r="L63" s="5">
        <f>+K63*4%</f>
        <v>144666.65333333335</v>
      </c>
      <c r="M63" s="5">
        <f>+K63*5%</f>
        <v>180833.31666666668</v>
      </c>
      <c r="N63" s="5"/>
      <c r="O63" s="5"/>
      <c r="P63" s="5">
        <v>0</v>
      </c>
      <c r="Q63" s="5"/>
      <c r="R63" s="5"/>
      <c r="S63" s="5"/>
      <c r="T63" s="5">
        <f t="shared" si="46"/>
        <v>325499.97000000003</v>
      </c>
      <c r="U63" s="7">
        <f t="shared" ref="U63:U74" si="59">K63-T63</f>
        <v>3291166.3633333333</v>
      </c>
      <c r="V63" s="7"/>
      <c r="W63" s="44"/>
      <c r="X63" s="7">
        <f t="shared" si="4"/>
        <v>3291166.3633333333</v>
      </c>
    </row>
    <row r="64" spans="1:24" x14ac:dyDescent="0.25">
      <c r="A64" s="95"/>
      <c r="B64" s="4">
        <v>18</v>
      </c>
      <c r="C64" s="11" t="s">
        <v>89</v>
      </c>
      <c r="D64" s="6" t="s">
        <v>26</v>
      </c>
      <c r="E64" s="5">
        <v>4000000</v>
      </c>
      <c r="F64" s="5">
        <v>30</v>
      </c>
      <c r="G64" s="5">
        <f>+E64/30*F64</f>
        <v>4000000.0000000005</v>
      </c>
      <c r="H64" s="5"/>
      <c r="I64" s="5">
        <v>300000</v>
      </c>
      <c r="J64" s="5">
        <v>351562</v>
      </c>
      <c r="K64" s="5">
        <f t="shared" si="32"/>
        <v>4651562</v>
      </c>
      <c r="L64" s="5">
        <v>160000</v>
      </c>
      <c r="M64" s="5">
        <v>200000</v>
      </c>
      <c r="N64" s="5"/>
      <c r="O64" s="5"/>
      <c r="P64" s="5">
        <v>3000</v>
      </c>
      <c r="Q64" s="5"/>
      <c r="R64" s="5"/>
      <c r="S64" s="5">
        <v>766228</v>
      </c>
      <c r="T64" s="5">
        <f t="shared" si="46"/>
        <v>1129228</v>
      </c>
      <c r="U64" s="7">
        <f t="shared" si="59"/>
        <v>3522334</v>
      </c>
      <c r="V64" s="7"/>
      <c r="W64" s="44"/>
      <c r="X64" s="7">
        <f t="shared" si="4"/>
        <v>3522334</v>
      </c>
    </row>
    <row r="65" spans="1:27" x14ac:dyDescent="0.25">
      <c r="A65" s="95"/>
      <c r="B65" s="4">
        <v>19</v>
      </c>
      <c r="C65" s="11" t="s">
        <v>90</v>
      </c>
      <c r="D65" s="6" t="s">
        <v>26</v>
      </c>
      <c r="E65" s="5">
        <v>800000</v>
      </c>
      <c r="F65" s="5">
        <v>30</v>
      </c>
      <c r="G65" s="5">
        <f>+E65/30*F65</f>
        <v>800000</v>
      </c>
      <c r="H65" s="5">
        <f>+(83140/30)*F65</f>
        <v>83140</v>
      </c>
      <c r="I65" s="5"/>
      <c r="J65" s="5"/>
      <c r="K65" s="5">
        <f t="shared" si="32"/>
        <v>883140</v>
      </c>
      <c r="L65" s="5">
        <f>+G65*4%</f>
        <v>32000</v>
      </c>
      <c r="M65" s="5">
        <f>+G65*4%</f>
        <v>32000</v>
      </c>
      <c r="N65" s="5"/>
      <c r="O65" s="5">
        <v>21100</v>
      </c>
      <c r="P65" s="5"/>
      <c r="Q65" s="5"/>
      <c r="R65" s="5"/>
      <c r="S65" s="5"/>
      <c r="T65" s="5">
        <f t="shared" si="46"/>
        <v>85100</v>
      </c>
      <c r="U65" s="7">
        <f t="shared" si="59"/>
        <v>798040</v>
      </c>
      <c r="V65" s="7"/>
      <c r="W65" s="44"/>
      <c r="X65" s="7">
        <f t="shared" si="4"/>
        <v>798040</v>
      </c>
    </row>
    <row r="66" spans="1:27" ht="17.25" customHeight="1" x14ac:dyDescent="0.25">
      <c r="A66" s="95"/>
      <c r="B66" s="4">
        <v>20</v>
      </c>
      <c r="C66" s="11" t="s">
        <v>91</v>
      </c>
      <c r="D66" s="6" t="s">
        <v>26</v>
      </c>
      <c r="E66" s="5">
        <v>3500000</v>
      </c>
      <c r="F66" s="5">
        <v>30</v>
      </c>
      <c r="G66" s="5">
        <f>+E66/30*F66</f>
        <v>3500000</v>
      </c>
      <c r="H66" s="5">
        <v>0</v>
      </c>
      <c r="I66" s="5"/>
      <c r="J66" s="5">
        <v>68359</v>
      </c>
      <c r="K66" s="5">
        <f t="shared" si="32"/>
        <v>3568359</v>
      </c>
      <c r="L66" s="5">
        <v>140000</v>
      </c>
      <c r="M66" s="5">
        <v>175000</v>
      </c>
      <c r="N66" s="5"/>
      <c r="O66" s="5"/>
      <c r="P66" s="5">
        <v>0</v>
      </c>
      <c r="Q66" s="5"/>
      <c r="R66" s="5"/>
      <c r="S66" s="5"/>
      <c r="T66" s="5">
        <f t="shared" si="46"/>
        <v>315000</v>
      </c>
      <c r="U66" s="7">
        <f t="shared" si="59"/>
        <v>3253359</v>
      </c>
      <c r="V66" s="7"/>
      <c r="W66" s="44"/>
      <c r="X66" s="7">
        <f t="shared" si="4"/>
        <v>3253359</v>
      </c>
    </row>
    <row r="67" spans="1:27" ht="17.25" customHeight="1" x14ac:dyDescent="0.25">
      <c r="A67" s="95"/>
      <c r="B67" s="4">
        <v>21</v>
      </c>
      <c r="C67" s="11" t="s">
        <v>92</v>
      </c>
      <c r="D67" s="6" t="s">
        <v>26</v>
      </c>
      <c r="E67" s="5">
        <v>1200000</v>
      </c>
      <c r="F67" s="5">
        <v>30</v>
      </c>
      <c r="G67" s="5">
        <f>+E67-J67</f>
        <v>1200000</v>
      </c>
      <c r="H67" s="5">
        <f>+(83140/30)*F67</f>
        <v>83140</v>
      </c>
      <c r="I67" s="5"/>
      <c r="J67" s="5">
        <v>0</v>
      </c>
      <c r="K67" s="5">
        <f t="shared" ref="K67:K71" si="60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1" si="61">SUM(L67:S67)</f>
        <v>96000</v>
      </c>
      <c r="U67" s="7">
        <f t="shared" si="59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95"/>
      <c r="B68" s="4">
        <v>22</v>
      </c>
      <c r="C68" s="11" t="s">
        <v>154</v>
      </c>
      <c r="D68" s="6"/>
      <c r="E68" s="5">
        <v>3500000</v>
      </c>
      <c r="F68" s="5">
        <v>22</v>
      </c>
      <c r="G68" s="5">
        <f>+E68/30*F68</f>
        <v>2566666.666666667</v>
      </c>
      <c r="H68" s="5"/>
      <c r="I68" s="5"/>
      <c r="J68" s="5"/>
      <c r="K68" s="5">
        <f t="shared" ref="K68" si="62">SUM(G68:I68)+J68</f>
        <v>2566666.666666667</v>
      </c>
      <c r="L68" s="5">
        <f>+G68*4%</f>
        <v>102666.66666666669</v>
      </c>
      <c r="M68" s="5">
        <f>+G68*4%</f>
        <v>102666.66666666669</v>
      </c>
      <c r="N68" s="5"/>
      <c r="O68" s="5"/>
      <c r="P68" s="5"/>
      <c r="Q68" s="5"/>
      <c r="R68" s="5"/>
      <c r="S68" s="5"/>
      <c r="T68" s="5">
        <f t="shared" si="61"/>
        <v>205333.33333333337</v>
      </c>
      <c r="U68" s="7">
        <f t="shared" si="59"/>
        <v>2361333.3333333335</v>
      </c>
      <c r="V68" s="7"/>
      <c r="W68" s="44"/>
      <c r="X68" s="7">
        <f t="shared" ref="X68:X106" si="63">U68+V68-W68</f>
        <v>2361333.3333333335</v>
      </c>
    </row>
    <row r="69" spans="1:27" ht="17.25" customHeight="1" x14ac:dyDescent="0.25">
      <c r="A69" s="95"/>
      <c r="B69" s="4">
        <v>23</v>
      </c>
      <c r="C69" s="11" t="s">
        <v>93</v>
      </c>
      <c r="D69" s="6"/>
      <c r="E69" s="5">
        <v>1030410</v>
      </c>
      <c r="F69" s="5">
        <v>30</v>
      </c>
      <c r="G69" s="5">
        <f>+E69/30*F69</f>
        <v>1030410</v>
      </c>
      <c r="H69" s="5">
        <f>+(83140/30)*F69</f>
        <v>83140</v>
      </c>
      <c r="I69" s="5"/>
      <c r="J69" s="5"/>
      <c r="K69" s="5">
        <f t="shared" ref="K69" si="64">SUM(G69:I69)+J69</f>
        <v>1113550</v>
      </c>
      <c r="L69" s="5">
        <f>+G69*4%</f>
        <v>41216.400000000001</v>
      </c>
      <c r="M69" s="5">
        <f>+G69*4%</f>
        <v>41216.400000000001</v>
      </c>
      <c r="N69" s="5"/>
      <c r="O69" s="5"/>
      <c r="P69" s="5"/>
      <c r="Q69" s="5"/>
      <c r="R69" s="5"/>
      <c r="S69" s="5"/>
      <c r="T69" s="5">
        <f t="shared" si="61"/>
        <v>82432.800000000003</v>
      </c>
      <c r="U69" s="7">
        <f t="shared" si="59"/>
        <v>1031117.2</v>
      </c>
      <c r="V69" s="7"/>
      <c r="W69" s="44"/>
      <c r="X69" s="7">
        <f t="shared" si="63"/>
        <v>1031117.2</v>
      </c>
    </row>
    <row r="70" spans="1:27" x14ac:dyDescent="0.25">
      <c r="A70" s="95"/>
      <c r="B70" s="4">
        <v>24</v>
      </c>
      <c r="C70" s="3" t="s">
        <v>95</v>
      </c>
      <c r="D70" s="4"/>
      <c r="E70" s="5">
        <v>4000000</v>
      </c>
      <c r="F70" s="5">
        <v>30</v>
      </c>
      <c r="G70" s="5">
        <f t="shared" ref="G70" si="65">+E70/30*F70</f>
        <v>4000000.0000000005</v>
      </c>
      <c r="H70" s="5"/>
      <c r="I70" s="5"/>
      <c r="J70" s="5"/>
      <c r="K70" s="5">
        <f t="shared" ref="K70" si="66">SUM(G70:I70)+J70</f>
        <v>4000000.0000000005</v>
      </c>
      <c r="L70" s="5">
        <f>+G70*4%</f>
        <v>160000.00000000003</v>
      </c>
      <c r="M70" s="5">
        <f>+G70*5%</f>
        <v>200000.00000000003</v>
      </c>
      <c r="N70" s="5"/>
      <c r="O70" s="5"/>
      <c r="P70" s="5"/>
      <c r="Q70" s="5"/>
      <c r="R70" s="5"/>
      <c r="S70" s="5"/>
      <c r="T70" s="5">
        <f t="shared" ref="T70" si="67">SUM(L70:S70)</f>
        <v>360000.00000000006</v>
      </c>
      <c r="U70" s="7">
        <f t="shared" ref="U70" si="68">+K70-T70</f>
        <v>3640000.0000000005</v>
      </c>
      <c r="V70" s="7"/>
      <c r="W70" s="44"/>
      <c r="X70" s="7">
        <f t="shared" si="63"/>
        <v>3640000.0000000005</v>
      </c>
    </row>
    <row r="71" spans="1:27" ht="17.25" customHeight="1" x14ac:dyDescent="0.25">
      <c r="A71" s="95"/>
      <c r="B71" s="4">
        <v>25</v>
      </c>
      <c r="C71" s="11" t="s">
        <v>96</v>
      </c>
      <c r="D71" s="6" t="s">
        <v>26</v>
      </c>
      <c r="E71" s="5">
        <v>900000</v>
      </c>
      <c r="F71" s="5">
        <v>30</v>
      </c>
      <c r="G71" s="5">
        <f>E71/30*F71</f>
        <v>900000</v>
      </c>
      <c r="H71" s="5">
        <v>83140</v>
      </c>
      <c r="I71" s="5"/>
      <c r="J71" s="5"/>
      <c r="K71" s="5">
        <f t="shared" si="60"/>
        <v>983140</v>
      </c>
      <c r="L71" s="5">
        <f>+G71*4%</f>
        <v>36000</v>
      </c>
      <c r="M71" s="5">
        <f>+G71*4%</f>
        <v>36000</v>
      </c>
      <c r="N71" s="5"/>
      <c r="O71" s="5"/>
      <c r="P71" s="5"/>
      <c r="Q71" s="5"/>
      <c r="R71" s="5"/>
      <c r="S71" s="5"/>
      <c r="T71" s="5">
        <f t="shared" si="61"/>
        <v>72000</v>
      </c>
      <c r="U71" s="7">
        <f>K71-T71</f>
        <v>911140</v>
      </c>
      <c r="V71" s="7"/>
      <c r="W71" s="44"/>
      <c r="X71" s="7">
        <f t="shared" si="63"/>
        <v>911140</v>
      </c>
    </row>
    <row r="72" spans="1:27" ht="15.75" customHeight="1" x14ac:dyDescent="0.25">
      <c r="A72" s="95"/>
      <c r="B72" s="4">
        <v>26</v>
      </c>
      <c r="C72" s="11" t="s">
        <v>97</v>
      </c>
      <c r="D72" s="6" t="s">
        <v>26</v>
      </c>
      <c r="E72" s="5">
        <v>2000000</v>
      </c>
      <c r="F72" s="5">
        <v>29</v>
      </c>
      <c r="G72" s="5">
        <f>E72/30*F72</f>
        <v>1933333.3333333335</v>
      </c>
      <c r="H72" s="5"/>
      <c r="I72" s="5"/>
      <c r="J72" s="5">
        <v>133333</v>
      </c>
      <c r="K72" s="5">
        <f t="shared" si="32"/>
        <v>2066666.3333333335</v>
      </c>
      <c r="L72" s="5">
        <f>+K72*4%</f>
        <v>82666.653333333335</v>
      </c>
      <c r="M72" s="5">
        <f>+K72*4%</f>
        <v>82666.653333333335</v>
      </c>
      <c r="N72" s="5"/>
      <c r="O72" s="5"/>
      <c r="P72" s="5">
        <v>0</v>
      </c>
      <c r="Q72" s="5"/>
      <c r="R72" s="5"/>
      <c r="S72" s="5">
        <v>254624</v>
      </c>
      <c r="T72" s="5">
        <f t="shared" si="46"/>
        <v>419957.30666666664</v>
      </c>
      <c r="U72" s="7">
        <f t="shared" si="59"/>
        <v>1646709.0266666668</v>
      </c>
      <c r="V72" s="7"/>
      <c r="W72" s="44"/>
      <c r="X72" s="7">
        <f t="shared" si="63"/>
        <v>1646709.0266666668</v>
      </c>
      <c r="AA72" s="45">
        <f>1196000+644000</f>
        <v>1840000</v>
      </c>
    </row>
    <row r="73" spans="1:27" ht="15.75" customHeight="1" x14ac:dyDescent="0.25">
      <c r="A73" s="95"/>
      <c r="B73" s="4">
        <v>27</v>
      </c>
      <c r="C73" s="11" t="s">
        <v>155</v>
      </c>
      <c r="D73" s="6"/>
      <c r="E73" s="5">
        <v>368858</v>
      </c>
      <c r="F73" s="5">
        <v>19</v>
      </c>
      <c r="G73" s="5">
        <f t="shared" ref="G73" si="69">+E73/30*F73</f>
        <v>233610.06666666665</v>
      </c>
      <c r="H73" s="5"/>
      <c r="I73" s="5"/>
      <c r="J73" s="5"/>
      <c r="K73" s="5">
        <f t="shared" ref="K73" si="70">SUM(G73:I73)+J73</f>
        <v>233610.06666666665</v>
      </c>
      <c r="L73" s="5"/>
      <c r="M73" s="5"/>
      <c r="N73" s="5"/>
      <c r="O73" s="5"/>
      <c r="P73" s="5"/>
      <c r="Q73" s="5"/>
      <c r="R73" s="5"/>
      <c r="S73" s="5"/>
      <c r="T73" s="5">
        <f t="shared" ref="T73" si="71">SUM(L73:S73)</f>
        <v>0</v>
      </c>
      <c r="U73" s="7">
        <f t="shared" si="59"/>
        <v>233610.06666666665</v>
      </c>
      <c r="V73" s="7"/>
      <c r="W73" s="44"/>
      <c r="X73" s="7">
        <f t="shared" si="63"/>
        <v>233610.06666666665</v>
      </c>
    </row>
    <row r="74" spans="1:27" x14ac:dyDescent="0.25">
      <c r="A74" s="95"/>
      <c r="B74" s="4">
        <v>28</v>
      </c>
      <c r="C74" s="3" t="s">
        <v>100</v>
      </c>
      <c r="D74" s="4" t="s">
        <v>26</v>
      </c>
      <c r="E74" s="5">
        <v>800000</v>
      </c>
      <c r="F74" s="5">
        <v>30</v>
      </c>
      <c r="G74" s="5">
        <f>(E74/30*F74)</f>
        <v>800000</v>
      </c>
      <c r="H74" s="5">
        <f>+(83140/30)*F74</f>
        <v>83140</v>
      </c>
      <c r="I74" s="5"/>
      <c r="J74" s="5"/>
      <c r="K74" s="5">
        <f t="shared" si="32"/>
        <v>883140</v>
      </c>
      <c r="L74" s="5">
        <f>+G74*4%</f>
        <v>32000</v>
      </c>
      <c r="M74" s="5">
        <f>+G74*4%</f>
        <v>32000</v>
      </c>
      <c r="N74" s="5"/>
      <c r="O74" s="5">
        <v>34500</v>
      </c>
      <c r="P74" s="5"/>
      <c r="Q74" s="5"/>
      <c r="R74" s="5"/>
      <c r="S74" s="5"/>
      <c r="T74" s="5">
        <f t="shared" si="46"/>
        <v>98500</v>
      </c>
      <c r="U74" s="7">
        <f t="shared" si="59"/>
        <v>784640</v>
      </c>
      <c r="V74" s="7"/>
      <c r="W74" s="44"/>
      <c r="X74" s="7">
        <f t="shared" si="63"/>
        <v>784640</v>
      </c>
      <c r="AA74" s="45">
        <f>1840000-1196000</f>
        <v>644000</v>
      </c>
    </row>
    <row r="75" spans="1:27" ht="20.25" customHeight="1" x14ac:dyDescent="0.25">
      <c r="A75" s="95"/>
      <c r="B75" s="4">
        <v>29</v>
      </c>
      <c r="C75" s="11" t="s">
        <v>102</v>
      </c>
      <c r="D75" s="6" t="s">
        <v>26</v>
      </c>
      <c r="E75" s="5">
        <v>3500000</v>
      </c>
      <c r="F75" s="5">
        <v>30</v>
      </c>
      <c r="G75" s="5">
        <f t="shared" ref="G75:G79" si="72">+E75/30*F75</f>
        <v>3500000</v>
      </c>
      <c r="H75" s="5"/>
      <c r="I75" s="5"/>
      <c r="J75" s="5">
        <f>+E75-G75</f>
        <v>0</v>
      </c>
      <c r="K75" s="5">
        <f t="shared" si="32"/>
        <v>3500000</v>
      </c>
      <c r="L75" s="5">
        <v>140000</v>
      </c>
      <c r="M75" s="5">
        <v>175000</v>
      </c>
      <c r="N75" s="5"/>
      <c r="O75" s="5">
        <v>30900</v>
      </c>
      <c r="P75" s="5">
        <v>0</v>
      </c>
      <c r="Q75" s="5"/>
      <c r="R75" s="5"/>
      <c r="S75" s="5">
        <v>996534</v>
      </c>
      <c r="T75" s="5">
        <f t="shared" si="46"/>
        <v>1342434</v>
      </c>
      <c r="U75" s="7">
        <f t="shared" ref="U75:U83" si="73">+K75-T75</f>
        <v>2157566</v>
      </c>
      <c r="V75" s="7"/>
      <c r="W75" s="44"/>
      <c r="X75" s="7">
        <f t="shared" si="63"/>
        <v>2157566</v>
      </c>
    </row>
    <row r="76" spans="1:27" x14ac:dyDescent="0.25">
      <c r="A76" s="95"/>
      <c r="B76" s="4">
        <v>30</v>
      </c>
      <c r="C76" s="11" t="s">
        <v>104</v>
      </c>
      <c r="D76" s="6" t="s">
        <v>26</v>
      </c>
      <c r="E76" s="5">
        <v>4000000</v>
      </c>
      <c r="F76" s="5">
        <v>30</v>
      </c>
      <c r="G76" s="5">
        <f t="shared" si="72"/>
        <v>4000000.0000000005</v>
      </c>
      <c r="H76" s="5"/>
      <c r="I76" s="5"/>
      <c r="J76" s="5"/>
      <c r="K76" s="5">
        <f t="shared" si="32"/>
        <v>4000000.0000000005</v>
      </c>
      <c r="L76" s="5">
        <v>160000</v>
      </c>
      <c r="M76" s="5">
        <v>200000</v>
      </c>
      <c r="N76" s="5"/>
      <c r="O76" s="5"/>
      <c r="P76" s="5">
        <v>3000</v>
      </c>
      <c r="Q76" s="5"/>
      <c r="R76" s="5"/>
      <c r="S76" s="5"/>
      <c r="T76" s="5">
        <f t="shared" si="46"/>
        <v>363000</v>
      </c>
      <c r="U76" s="7">
        <f t="shared" si="73"/>
        <v>3637000.0000000005</v>
      </c>
      <c r="V76" s="7"/>
      <c r="W76" s="44"/>
      <c r="X76" s="7">
        <f t="shared" si="63"/>
        <v>3637000.0000000005</v>
      </c>
      <c r="Y76" s="45" t="s">
        <v>105</v>
      </c>
    </row>
    <row r="77" spans="1:27" x14ac:dyDescent="0.25">
      <c r="A77" s="95"/>
      <c r="B77" s="4">
        <v>31</v>
      </c>
      <c r="C77" s="11" t="s">
        <v>106</v>
      </c>
      <c r="D77" s="6" t="s">
        <v>26</v>
      </c>
      <c r="E77" s="5">
        <v>900000</v>
      </c>
      <c r="F77" s="5">
        <v>30</v>
      </c>
      <c r="G77" s="5">
        <f>+E77/30*F77</f>
        <v>900000</v>
      </c>
      <c r="H77" s="5">
        <f>+(83140/30)*F77</f>
        <v>83140</v>
      </c>
      <c r="I77" s="5"/>
      <c r="J77" s="5"/>
      <c r="K77" s="5">
        <f t="shared" ref="K77" si="74">SUM(G77:I77)+J77</f>
        <v>983140</v>
      </c>
      <c r="L77" s="5">
        <f>+G77*4%</f>
        <v>36000</v>
      </c>
      <c r="M77" s="5">
        <f>+G77*4%</f>
        <v>36000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72000</v>
      </c>
      <c r="U77" s="7">
        <f t="shared" si="73"/>
        <v>911140</v>
      </c>
      <c r="V77" s="7"/>
      <c r="W77" s="44"/>
      <c r="X77" s="7">
        <f t="shared" si="63"/>
        <v>911140</v>
      </c>
      <c r="Y77" s="45" t="s">
        <v>105</v>
      </c>
    </row>
    <row r="78" spans="1:27" x14ac:dyDescent="0.25">
      <c r="A78" s="95"/>
      <c r="B78" s="4">
        <v>32</v>
      </c>
      <c r="C78" s="11" t="s">
        <v>107</v>
      </c>
      <c r="D78" s="6" t="s">
        <v>26</v>
      </c>
      <c r="E78" s="5">
        <v>3000000</v>
      </c>
      <c r="F78" s="5">
        <v>30</v>
      </c>
      <c r="G78" s="5">
        <f t="shared" si="72"/>
        <v>3000000</v>
      </c>
      <c r="H78" s="5"/>
      <c r="I78" s="5"/>
      <c r="J78" s="5"/>
      <c r="K78" s="5">
        <f t="shared" si="32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/>
      <c r="S78" s="5">
        <v>586000</v>
      </c>
      <c r="T78" s="5">
        <f t="shared" si="46"/>
        <v>856000</v>
      </c>
      <c r="U78" s="7">
        <f t="shared" si="73"/>
        <v>2144000</v>
      </c>
      <c r="V78" s="7"/>
      <c r="W78" s="44"/>
      <c r="X78" s="7">
        <f t="shared" si="63"/>
        <v>2144000</v>
      </c>
    </row>
    <row r="79" spans="1:27" x14ac:dyDescent="0.25">
      <c r="A79" s="95"/>
      <c r="B79" s="4">
        <v>33</v>
      </c>
      <c r="C79" s="11" t="s">
        <v>108</v>
      </c>
      <c r="D79" s="6"/>
      <c r="E79" s="5">
        <v>4500000</v>
      </c>
      <c r="F79" s="5">
        <v>30</v>
      </c>
      <c r="G79" s="5">
        <f t="shared" si="72"/>
        <v>4500000</v>
      </c>
      <c r="H79" s="5"/>
      <c r="I79" s="5"/>
      <c r="J79" s="5"/>
      <c r="K79" s="5">
        <f t="shared" ref="K79" si="76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72000</v>
      </c>
      <c r="Q79" s="5"/>
      <c r="R79" s="5"/>
      <c r="S79" s="5"/>
      <c r="T79" s="5">
        <f t="shared" ref="T79:T80" si="77">SUM(L79:S79)</f>
        <v>477000</v>
      </c>
      <c r="U79" s="7">
        <f t="shared" si="73"/>
        <v>4023000</v>
      </c>
      <c r="V79" s="7"/>
      <c r="W79" s="44"/>
      <c r="X79" s="7">
        <f t="shared" si="63"/>
        <v>4023000</v>
      </c>
    </row>
    <row r="80" spans="1:27" ht="24" x14ac:dyDescent="0.25">
      <c r="A80" s="95"/>
      <c r="B80" s="4">
        <v>34</v>
      </c>
      <c r="C80" s="11" t="s">
        <v>109</v>
      </c>
      <c r="D80" s="6" t="s">
        <v>26</v>
      </c>
      <c r="E80" s="5">
        <v>900000</v>
      </c>
      <c r="F80" s="5">
        <v>30</v>
      </c>
      <c r="G80" s="5">
        <f>+E80/30*F80</f>
        <v>900000</v>
      </c>
      <c r="H80" s="5">
        <f>+(83140/30)*F80</f>
        <v>83140</v>
      </c>
      <c r="I80" s="5"/>
      <c r="J80" s="5"/>
      <c r="K80" s="5">
        <f t="shared" ref="K80" si="78">SUM(G80:I80)+J80</f>
        <v>983140</v>
      </c>
      <c r="L80" s="5">
        <f>+G80*4%</f>
        <v>36000</v>
      </c>
      <c r="M80" s="5">
        <f>+G80*4%</f>
        <v>36000</v>
      </c>
      <c r="N80" s="5"/>
      <c r="O80" s="5"/>
      <c r="P80" s="17">
        <v>0</v>
      </c>
      <c r="Q80" s="5"/>
      <c r="R80" s="5"/>
      <c r="S80" s="5"/>
      <c r="T80" s="5">
        <f t="shared" si="77"/>
        <v>72000</v>
      </c>
      <c r="U80" s="7">
        <f t="shared" si="73"/>
        <v>911140</v>
      </c>
      <c r="V80" s="7"/>
      <c r="W80" s="44"/>
      <c r="X80" s="7">
        <f t="shared" si="63"/>
        <v>911140</v>
      </c>
    </row>
    <row r="81" spans="1:24" x14ac:dyDescent="0.25">
      <c r="A81" s="95"/>
      <c r="B81" s="4">
        <v>35</v>
      </c>
      <c r="C81" s="11" t="s">
        <v>149</v>
      </c>
      <c r="D81" s="6"/>
      <c r="E81" s="5">
        <v>2000000</v>
      </c>
      <c r="F81" s="5">
        <v>30</v>
      </c>
      <c r="G81" s="5">
        <f>+E81/30*F81</f>
        <v>2000000.0000000002</v>
      </c>
      <c r="H81" s="5"/>
      <c r="I81" s="5"/>
      <c r="J81" s="5"/>
      <c r="K81" s="5">
        <f t="shared" ref="K81" si="79">SUM(G81:I81)+J81</f>
        <v>2000000.0000000002</v>
      </c>
      <c r="L81" s="5">
        <f>+G81*4%</f>
        <v>80000.000000000015</v>
      </c>
      <c r="M81" s="5">
        <f>+G81*4%</f>
        <v>80000.000000000015</v>
      </c>
      <c r="N81" s="5"/>
      <c r="O81" s="5">
        <v>21300</v>
      </c>
      <c r="P81" s="5">
        <v>0</v>
      </c>
      <c r="Q81" s="5"/>
      <c r="R81" s="5"/>
      <c r="S81" s="5"/>
      <c r="T81" s="5">
        <f t="shared" ref="T81" si="80">SUM(L81:S81)</f>
        <v>181300.00000000003</v>
      </c>
      <c r="U81" s="7">
        <f t="shared" si="73"/>
        <v>1818700.0000000002</v>
      </c>
      <c r="V81" s="7"/>
      <c r="W81" s="44"/>
      <c r="X81" s="7">
        <f t="shared" si="63"/>
        <v>1818700.0000000002</v>
      </c>
    </row>
    <row r="82" spans="1:24" x14ac:dyDescent="0.25">
      <c r="A82" s="95"/>
      <c r="B82" s="4">
        <v>36</v>
      </c>
      <c r="C82" s="11" t="s">
        <v>110</v>
      </c>
      <c r="D82" s="6" t="s">
        <v>26</v>
      </c>
      <c r="E82" s="5">
        <v>2500000</v>
      </c>
      <c r="F82" s="5">
        <v>30</v>
      </c>
      <c r="G82" s="5">
        <f>+E82-J82</f>
        <v>2500000</v>
      </c>
      <c r="H82" s="5"/>
      <c r="I82" s="5"/>
      <c r="J82" s="5">
        <v>0</v>
      </c>
      <c r="K82" s="5">
        <f t="shared" ref="K82:K105" si="81">SUM(G82:I82)+J82</f>
        <v>2500000</v>
      </c>
      <c r="L82" s="5">
        <v>100000</v>
      </c>
      <c r="M82" s="5">
        <v>100000</v>
      </c>
      <c r="N82" s="5"/>
      <c r="O82" s="5">
        <v>55300</v>
      </c>
      <c r="P82" s="5">
        <v>0</v>
      </c>
      <c r="Q82" s="5"/>
      <c r="R82" s="5"/>
      <c r="S82" s="5">
        <v>257196</v>
      </c>
      <c r="T82" s="5">
        <f t="shared" si="46"/>
        <v>512496</v>
      </c>
      <c r="U82" s="7">
        <f t="shared" si="73"/>
        <v>1987504</v>
      </c>
      <c r="V82" s="7"/>
      <c r="W82" s="44"/>
      <c r="X82" s="7">
        <f t="shared" si="63"/>
        <v>1987504</v>
      </c>
    </row>
    <row r="83" spans="1:24" x14ac:dyDescent="0.25">
      <c r="A83" s="95"/>
      <c r="B83" s="4">
        <v>37</v>
      </c>
      <c r="C83" s="11" t="s">
        <v>111</v>
      </c>
      <c r="D83" s="6" t="s">
        <v>26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ref="K83:K84" si="82">SUM(G83:I83)+J83</f>
        <v>4500000</v>
      </c>
      <c r="L83" s="5">
        <v>180000</v>
      </c>
      <c r="M83" s="5">
        <v>225000</v>
      </c>
      <c r="N83" s="5"/>
      <c r="O83" s="5"/>
      <c r="P83" s="5">
        <v>72000</v>
      </c>
      <c r="Q83" s="5"/>
      <c r="R83" s="5"/>
      <c r="S83" s="5"/>
      <c r="T83" s="5">
        <f t="shared" ref="T83" si="83">SUM(L83:S83)</f>
        <v>477000</v>
      </c>
      <c r="U83" s="7">
        <f t="shared" si="73"/>
        <v>4023000</v>
      </c>
      <c r="V83" s="7"/>
      <c r="W83" s="44"/>
      <c r="X83" s="7">
        <f t="shared" si="63"/>
        <v>4023000</v>
      </c>
    </row>
    <row r="84" spans="1:24" x14ac:dyDescent="0.25">
      <c r="A84" s="95"/>
      <c r="B84" s="4">
        <v>38</v>
      </c>
      <c r="C84" s="11" t="s">
        <v>112</v>
      </c>
      <c r="D84" s="6" t="s">
        <v>26</v>
      </c>
      <c r="E84" s="5">
        <v>4500000</v>
      </c>
      <c r="F84" s="5">
        <v>13</v>
      </c>
      <c r="G84" s="5">
        <f>+E84/30*F84</f>
        <v>1950000</v>
      </c>
      <c r="H84" s="5"/>
      <c r="I84" s="5"/>
      <c r="J84" s="5">
        <v>2700000</v>
      </c>
      <c r="K84" s="5">
        <f t="shared" si="82"/>
        <v>4650000</v>
      </c>
      <c r="L84" s="5">
        <f>+K84*4%</f>
        <v>186000</v>
      </c>
      <c r="M84" s="5">
        <f>+K84*5%</f>
        <v>232500</v>
      </c>
      <c r="N84" s="5"/>
      <c r="O84" s="5"/>
      <c r="P84" s="5">
        <v>73073</v>
      </c>
      <c r="Q84" s="5"/>
      <c r="R84" s="5"/>
      <c r="S84" s="5"/>
      <c r="T84" s="5">
        <f>SUM(L84:S84)</f>
        <v>491573</v>
      </c>
      <c r="U84" s="7">
        <f t="shared" ref="U84:U91" si="84">K84-T84</f>
        <v>4158427</v>
      </c>
      <c r="V84" s="7"/>
      <c r="W84" s="44"/>
      <c r="X84" s="7">
        <f t="shared" si="63"/>
        <v>4158427</v>
      </c>
    </row>
    <row r="85" spans="1:24" x14ac:dyDescent="0.25">
      <c r="A85" s="95"/>
      <c r="B85" s="4">
        <v>39</v>
      </c>
      <c r="C85" s="11" t="s">
        <v>113</v>
      </c>
      <c r="D85" s="6" t="s">
        <v>26</v>
      </c>
      <c r="E85" s="5">
        <v>2500000</v>
      </c>
      <c r="F85" s="5">
        <v>30</v>
      </c>
      <c r="G85" s="5">
        <f t="shared" ref="G85" si="85">+E85/30*F85</f>
        <v>2500000</v>
      </c>
      <c r="H85" s="5"/>
      <c r="I85" s="5">
        <v>500000</v>
      </c>
      <c r="J85" s="5">
        <f>+E85-G85</f>
        <v>0</v>
      </c>
      <c r="K85" s="5">
        <f t="shared" si="81"/>
        <v>3000000</v>
      </c>
      <c r="L85" s="5">
        <v>100000</v>
      </c>
      <c r="M85" s="5">
        <v>100000</v>
      </c>
      <c r="N85" s="5"/>
      <c r="O85" s="5"/>
      <c r="P85" s="5">
        <v>0</v>
      </c>
      <c r="Q85" s="5"/>
      <c r="R85" s="5"/>
      <c r="S85" s="5"/>
      <c r="T85" s="5">
        <f t="shared" si="46"/>
        <v>200000</v>
      </c>
      <c r="U85" s="7">
        <f t="shared" si="84"/>
        <v>2800000</v>
      </c>
      <c r="V85" s="7"/>
      <c r="W85" s="44"/>
      <c r="X85" s="7">
        <f t="shared" si="63"/>
        <v>2800000</v>
      </c>
    </row>
    <row r="86" spans="1:24" x14ac:dyDescent="0.25">
      <c r="A86" s="95"/>
      <c r="B86" s="4">
        <v>40</v>
      </c>
      <c r="C86" s="11" t="s">
        <v>115</v>
      </c>
      <c r="D86" s="6" t="s">
        <v>26</v>
      </c>
      <c r="E86" s="5">
        <v>900000</v>
      </c>
      <c r="F86" s="5">
        <v>30</v>
      </c>
      <c r="G86" s="5">
        <f>+E86/30*F86</f>
        <v>900000</v>
      </c>
      <c r="H86" s="5">
        <f>+(83140/30)*F86</f>
        <v>83140</v>
      </c>
      <c r="I86" s="5"/>
      <c r="J86" s="5"/>
      <c r="K86" s="5">
        <f t="shared" ref="K86" si="86">SUM(G86:I86)+J86</f>
        <v>983140</v>
      </c>
      <c r="L86" s="5">
        <f>+G86*4%</f>
        <v>36000</v>
      </c>
      <c r="M86" s="5">
        <f>+G86*4%</f>
        <v>36000</v>
      </c>
      <c r="N86" s="5"/>
      <c r="O86" s="5">
        <v>18800</v>
      </c>
      <c r="P86" s="5"/>
      <c r="Q86" s="5"/>
      <c r="R86" s="5"/>
      <c r="S86" s="5"/>
      <c r="T86" s="5">
        <f t="shared" ref="T86" si="87">SUM(L86:S86)</f>
        <v>90800</v>
      </c>
      <c r="U86" s="7">
        <f t="shared" si="84"/>
        <v>892340</v>
      </c>
      <c r="V86" s="7"/>
      <c r="W86" s="44"/>
      <c r="X86" s="7">
        <f t="shared" si="63"/>
        <v>892340</v>
      </c>
    </row>
    <row r="87" spans="1:24" x14ac:dyDescent="0.25">
      <c r="A87" s="95"/>
      <c r="B87" s="4">
        <v>41</v>
      </c>
      <c r="C87" s="11" t="s">
        <v>156</v>
      </c>
      <c r="D87" s="6"/>
      <c r="E87" s="5">
        <v>3200000</v>
      </c>
      <c r="F87" s="5">
        <v>29</v>
      </c>
      <c r="G87" s="5">
        <f>+E87/30*F87</f>
        <v>3093333.3333333335</v>
      </c>
      <c r="H87" s="5"/>
      <c r="I87" s="5"/>
      <c r="J87" s="5"/>
      <c r="K87" s="5">
        <f>SUM(G87:I87)+J87</f>
        <v>3093333.3333333335</v>
      </c>
      <c r="L87" s="5">
        <f>+G87*4%</f>
        <v>123733.33333333334</v>
      </c>
      <c r="M87" s="5">
        <f>+G87*4%</f>
        <v>123733.33333333334</v>
      </c>
      <c r="N87" s="5"/>
      <c r="O87" s="5"/>
      <c r="P87" s="5"/>
      <c r="Q87" s="5"/>
      <c r="R87" s="5"/>
      <c r="S87" s="5"/>
      <c r="T87" s="5">
        <f t="shared" ref="T87" si="88">SUM(L87:S87)</f>
        <v>247466.66666666669</v>
      </c>
      <c r="U87" s="7">
        <f t="shared" si="84"/>
        <v>2845866.666666667</v>
      </c>
      <c r="V87" s="7"/>
      <c r="W87" s="44"/>
      <c r="X87" s="7"/>
    </row>
    <row r="88" spans="1:24" ht="23.25" customHeight="1" x14ac:dyDescent="0.25">
      <c r="A88" s="95"/>
      <c r="B88" s="4">
        <v>42</v>
      </c>
      <c r="C88" s="3" t="s">
        <v>116</v>
      </c>
      <c r="D88" s="4" t="s">
        <v>26</v>
      </c>
      <c r="E88" s="5">
        <v>737717</v>
      </c>
      <c r="F88" s="5">
        <v>30</v>
      </c>
      <c r="G88" s="5">
        <f>+E88/30*F88</f>
        <v>737717</v>
      </c>
      <c r="H88" s="5">
        <v>83139</v>
      </c>
      <c r="I88" s="5">
        <v>48992</v>
      </c>
      <c r="J88" s="5"/>
      <c r="K88" s="5">
        <f t="shared" si="81"/>
        <v>869848</v>
      </c>
      <c r="L88" s="5">
        <v>29509</v>
      </c>
      <c r="M88" s="5">
        <v>29509</v>
      </c>
      <c r="N88" s="5"/>
      <c r="O88" s="5">
        <v>22200</v>
      </c>
      <c r="P88" s="5">
        <v>0</v>
      </c>
      <c r="Q88" s="5"/>
      <c r="R88" s="5"/>
      <c r="S88" s="5"/>
      <c r="T88" s="5">
        <f t="shared" si="46"/>
        <v>81218</v>
      </c>
      <c r="U88" s="7">
        <f t="shared" si="84"/>
        <v>788630</v>
      </c>
      <c r="V88" s="7"/>
      <c r="W88" s="44"/>
      <c r="X88" s="7">
        <f t="shared" si="63"/>
        <v>788630</v>
      </c>
    </row>
    <row r="89" spans="1:24" x14ac:dyDescent="0.25">
      <c r="A89" s="95"/>
      <c r="B89" s="4">
        <v>43</v>
      </c>
      <c r="C89" s="3" t="s">
        <v>117</v>
      </c>
      <c r="D89" s="4"/>
      <c r="E89" s="5">
        <v>5000000</v>
      </c>
      <c r="F89" s="5">
        <v>30</v>
      </c>
      <c r="G89" s="5">
        <f>+E89/30*F89</f>
        <v>5000000</v>
      </c>
      <c r="H89" s="5"/>
      <c r="I89" s="5"/>
      <c r="J89" s="5"/>
      <c r="K89" s="5">
        <f t="shared" ref="K89:K90" si="89">SUM(G89:I89)+J89</f>
        <v>5000000</v>
      </c>
      <c r="L89" s="5">
        <f>+G89*4%</f>
        <v>200000</v>
      </c>
      <c r="M89" s="5">
        <f>+G89*5%</f>
        <v>250000</v>
      </c>
      <c r="N89" s="5"/>
      <c r="O89" s="5"/>
      <c r="P89" s="5">
        <v>102000</v>
      </c>
      <c r="Q89" s="5"/>
      <c r="R89" s="5"/>
      <c r="S89" s="5"/>
      <c r="T89" s="5">
        <f t="shared" ref="T89:T90" si="90">SUM(L89:S89)</f>
        <v>552000</v>
      </c>
      <c r="U89" s="7">
        <f t="shared" si="84"/>
        <v>4448000</v>
      </c>
      <c r="V89" s="7"/>
      <c r="W89" s="44"/>
      <c r="X89" s="7">
        <f t="shared" si="63"/>
        <v>4448000</v>
      </c>
    </row>
    <row r="90" spans="1:24" x14ac:dyDescent="0.25">
      <c r="A90" s="95"/>
      <c r="B90" s="4">
        <v>44</v>
      </c>
      <c r="C90" s="3" t="s">
        <v>157</v>
      </c>
      <c r="D90" s="4"/>
      <c r="E90" s="5">
        <v>1500000</v>
      </c>
      <c r="F90" s="5">
        <v>9</v>
      </c>
      <c r="G90" s="5">
        <f>+E90/30*F90</f>
        <v>450000</v>
      </c>
      <c r="H90" s="5"/>
      <c r="I90" s="5"/>
      <c r="J90" s="5"/>
      <c r="K90" s="5">
        <f t="shared" si="89"/>
        <v>450000</v>
      </c>
      <c r="L90" s="5">
        <f>+G90*4%</f>
        <v>18000</v>
      </c>
      <c r="M90" s="5">
        <f>+G90*4%</f>
        <v>18000</v>
      </c>
      <c r="N90" s="5"/>
      <c r="O90" s="5"/>
      <c r="P90" s="5"/>
      <c r="Q90" s="5"/>
      <c r="R90" s="5"/>
      <c r="S90" s="5"/>
      <c r="T90" s="5">
        <f t="shared" si="90"/>
        <v>36000</v>
      </c>
      <c r="U90" s="7">
        <f t="shared" si="84"/>
        <v>414000</v>
      </c>
      <c r="V90" s="7"/>
      <c r="W90" s="44"/>
      <c r="X90" s="7"/>
    </row>
    <row r="91" spans="1:24" x14ac:dyDescent="0.25">
      <c r="A91" s="95"/>
      <c r="B91" s="4">
        <v>45</v>
      </c>
      <c r="C91" s="3" t="s">
        <v>118</v>
      </c>
      <c r="D91" s="4" t="s">
        <v>26</v>
      </c>
      <c r="E91" s="5">
        <v>1400000</v>
      </c>
      <c r="F91" s="5">
        <v>30</v>
      </c>
      <c r="G91" s="5">
        <f>+E91-J91</f>
        <v>1400000</v>
      </c>
      <c r="H91" s="5">
        <f>+(83140/30)*F91</f>
        <v>83140</v>
      </c>
      <c r="I91" s="5"/>
      <c r="J91" s="5">
        <v>0</v>
      </c>
      <c r="K91" s="5">
        <f t="shared" ref="K91" si="91">SUM(G91:I91)+J91</f>
        <v>1483140</v>
      </c>
      <c r="L91" s="5">
        <f>+E91*4%</f>
        <v>56000</v>
      </c>
      <c r="M91" s="5">
        <f>+E91*4%</f>
        <v>56000</v>
      </c>
      <c r="N91" s="5"/>
      <c r="O91" s="5">
        <v>56000</v>
      </c>
      <c r="P91" s="5">
        <v>0</v>
      </c>
      <c r="Q91" s="5"/>
      <c r="R91" s="5"/>
      <c r="S91" s="5"/>
      <c r="T91" s="5">
        <f t="shared" ref="T91" si="92">SUM(L91:S91)</f>
        <v>168000</v>
      </c>
      <c r="U91" s="7">
        <f t="shared" si="84"/>
        <v>1315140</v>
      </c>
      <c r="V91" s="7"/>
      <c r="W91" s="44"/>
      <c r="X91" s="7">
        <f t="shared" si="63"/>
        <v>1315140</v>
      </c>
    </row>
    <row r="92" spans="1:24" x14ac:dyDescent="0.25">
      <c r="A92" s="95"/>
      <c r="B92" s="4">
        <v>46</v>
      </c>
      <c r="C92" s="11" t="s">
        <v>119</v>
      </c>
      <c r="D92" s="6" t="s">
        <v>26</v>
      </c>
      <c r="E92" s="5">
        <v>15400000</v>
      </c>
      <c r="F92" s="5">
        <v>30</v>
      </c>
      <c r="G92" s="5">
        <f t="shared" ref="G92:G98" si="93">+E92/30*F92</f>
        <v>15400000</v>
      </c>
      <c r="H92" s="5"/>
      <c r="I92" s="5">
        <v>600000</v>
      </c>
      <c r="J92" s="5"/>
      <c r="K92" s="5">
        <f t="shared" si="81"/>
        <v>16000000</v>
      </c>
      <c r="L92" s="5">
        <v>616000</v>
      </c>
      <c r="M92" s="5">
        <f>616000+308000</f>
        <v>924000</v>
      </c>
      <c r="N92" s="5">
        <v>102400</v>
      </c>
      <c r="O92" s="5"/>
      <c r="P92" s="5">
        <v>916000</v>
      </c>
      <c r="Q92" s="5">
        <v>5000000</v>
      </c>
      <c r="R92" s="5">
        <v>180180</v>
      </c>
      <c r="S92" s="5">
        <v>2314715</v>
      </c>
      <c r="T92" s="5">
        <f t="shared" si="46"/>
        <v>10053295</v>
      </c>
      <c r="U92" s="7">
        <f>+K92-T92</f>
        <v>5946705</v>
      </c>
      <c r="V92" s="7"/>
      <c r="W92" s="44"/>
      <c r="X92" s="7">
        <f t="shared" si="63"/>
        <v>5946705</v>
      </c>
    </row>
    <row r="93" spans="1:24" x14ac:dyDescent="0.25">
      <c r="A93" s="95"/>
      <c r="B93" s="4">
        <v>47</v>
      </c>
      <c r="C93" s="11" t="s">
        <v>120</v>
      </c>
      <c r="D93" s="6" t="s">
        <v>26</v>
      </c>
      <c r="E93" s="5">
        <v>4500000</v>
      </c>
      <c r="F93" s="5">
        <v>30</v>
      </c>
      <c r="G93" s="5">
        <f t="shared" si="93"/>
        <v>4500000</v>
      </c>
      <c r="H93" s="5"/>
      <c r="I93" s="5">
        <v>0</v>
      </c>
      <c r="J93" s="5"/>
      <c r="K93" s="5">
        <f t="shared" si="81"/>
        <v>4500000</v>
      </c>
      <c r="L93" s="5">
        <f t="shared" ref="L93:L94" si="94">+G93*4%</f>
        <v>180000</v>
      </c>
      <c r="M93" s="5">
        <f>+G93*5%</f>
        <v>225000</v>
      </c>
      <c r="N93" s="5"/>
      <c r="O93" s="5"/>
      <c r="P93" s="5">
        <v>90000</v>
      </c>
      <c r="Q93" s="5"/>
      <c r="R93" s="5"/>
      <c r="S93" s="5"/>
      <c r="T93" s="5">
        <f t="shared" si="46"/>
        <v>495000</v>
      </c>
      <c r="U93" s="7">
        <f>+K93-T93</f>
        <v>4005000</v>
      </c>
      <c r="V93" s="7"/>
      <c r="W93" s="44"/>
      <c r="X93" s="7">
        <f t="shared" si="63"/>
        <v>4005000</v>
      </c>
    </row>
    <row r="94" spans="1:24" ht="24" x14ac:dyDescent="0.25">
      <c r="A94" s="95"/>
      <c r="B94" s="4">
        <v>48</v>
      </c>
      <c r="C94" s="11" t="s">
        <v>158</v>
      </c>
      <c r="D94" s="6"/>
      <c r="E94" s="5">
        <v>1600000</v>
      </c>
      <c r="F94" s="5">
        <v>14</v>
      </c>
      <c r="G94" s="5">
        <f t="shared" si="93"/>
        <v>746666.66666666674</v>
      </c>
      <c r="H94" s="5"/>
      <c r="I94" s="5"/>
      <c r="J94" s="5"/>
      <c r="K94" s="5">
        <f t="shared" ref="K94" si="95">SUM(G94:I94)+J94</f>
        <v>746666.66666666674</v>
      </c>
      <c r="L94" s="5">
        <f t="shared" si="94"/>
        <v>29866.666666666672</v>
      </c>
      <c r="M94" s="5">
        <f>+G94*4%</f>
        <v>29866.666666666672</v>
      </c>
      <c r="N94" s="5"/>
      <c r="O94" s="5"/>
      <c r="P94" s="5"/>
      <c r="Q94" s="5"/>
      <c r="R94" s="5"/>
      <c r="S94" s="5"/>
      <c r="T94" s="5">
        <f t="shared" ref="T94" si="96">SUM(L94:S94)</f>
        <v>59733.333333333343</v>
      </c>
      <c r="U94" s="7">
        <f>+K94-T94</f>
        <v>686933.33333333337</v>
      </c>
      <c r="V94" s="7"/>
      <c r="W94" s="44"/>
      <c r="X94" s="7"/>
    </row>
    <row r="95" spans="1:24" x14ac:dyDescent="0.25">
      <c r="A95" s="95"/>
      <c r="B95" s="4">
        <v>49</v>
      </c>
      <c r="C95" s="11" t="s">
        <v>121</v>
      </c>
      <c r="D95" s="6" t="s">
        <v>26</v>
      </c>
      <c r="E95" s="5">
        <v>2000000</v>
      </c>
      <c r="F95" s="5">
        <v>30</v>
      </c>
      <c r="G95" s="5">
        <f t="shared" si="93"/>
        <v>2000000.0000000002</v>
      </c>
      <c r="H95" s="5"/>
      <c r="I95" s="5"/>
      <c r="J95" s="5">
        <f>+E95-G95</f>
        <v>0</v>
      </c>
      <c r="K95" s="5">
        <f t="shared" si="81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6"/>
        <v>160000.00000000003</v>
      </c>
      <c r="U95" s="7">
        <f>+K95-T95</f>
        <v>1840000.0000000002</v>
      </c>
      <c r="V95" s="7"/>
      <c r="W95" s="44"/>
      <c r="X95" s="7">
        <f t="shared" si="63"/>
        <v>1840000.0000000002</v>
      </c>
    </row>
    <row r="96" spans="1:24" x14ac:dyDescent="0.25">
      <c r="A96" s="95"/>
      <c r="B96" s="4">
        <v>50</v>
      </c>
      <c r="C96" s="3" t="s">
        <v>122</v>
      </c>
      <c r="D96" s="4" t="s">
        <v>26</v>
      </c>
      <c r="E96" s="5">
        <v>3000000</v>
      </c>
      <c r="F96" s="5">
        <v>30</v>
      </c>
      <c r="G96" s="5">
        <f t="shared" si="93"/>
        <v>3000000</v>
      </c>
      <c r="H96" s="5"/>
      <c r="I96" s="5">
        <v>270000</v>
      </c>
      <c r="J96" s="5">
        <f>+E96-G96</f>
        <v>0</v>
      </c>
      <c r="K96" s="5">
        <f t="shared" si="81"/>
        <v>3270000</v>
      </c>
      <c r="L96" s="5">
        <f>+E96*4%</f>
        <v>120000</v>
      </c>
      <c r="M96" s="5">
        <f>+G96*5%</f>
        <v>150000</v>
      </c>
      <c r="N96" s="5"/>
      <c r="O96" s="5"/>
      <c r="P96" s="5">
        <v>0</v>
      </c>
      <c r="Q96" s="5"/>
      <c r="R96" s="5"/>
      <c r="S96" s="5"/>
      <c r="T96" s="5">
        <f t="shared" si="46"/>
        <v>270000</v>
      </c>
      <c r="U96" s="7">
        <f>K96-T96</f>
        <v>3000000</v>
      </c>
      <c r="V96" s="7"/>
      <c r="W96" s="44"/>
      <c r="X96" s="7">
        <f t="shared" si="63"/>
        <v>3000000</v>
      </c>
    </row>
    <row r="97" spans="1:24" x14ac:dyDescent="0.25">
      <c r="A97" s="95"/>
      <c r="B97" s="4">
        <v>51</v>
      </c>
      <c r="C97" s="3" t="s">
        <v>123</v>
      </c>
      <c r="D97" s="4" t="s">
        <v>26</v>
      </c>
      <c r="E97" s="5">
        <v>1600000</v>
      </c>
      <c r="F97" s="5">
        <v>30</v>
      </c>
      <c r="G97" s="5">
        <f t="shared" si="93"/>
        <v>1600000</v>
      </c>
      <c r="H97" s="5"/>
      <c r="I97" s="5">
        <v>200000</v>
      </c>
      <c r="J97" s="5"/>
      <c r="K97" s="5">
        <f t="shared" si="81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3"/>
        <v>1672000</v>
      </c>
    </row>
    <row r="98" spans="1:24" x14ac:dyDescent="0.25">
      <c r="A98" s="95"/>
      <c r="B98" s="4">
        <v>52</v>
      </c>
      <c r="C98" s="3" t="s">
        <v>125</v>
      </c>
      <c r="D98" s="4"/>
      <c r="E98" s="5">
        <v>4500000</v>
      </c>
      <c r="F98" s="5">
        <v>30</v>
      </c>
      <c r="G98" s="5">
        <f t="shared" si="93"/>
        <v>4500000</v>
      </c>
      <c r="H98" s="5"/>
      <c r="I98" s="5"/>
      <c r="J98" s="5"/>
      <c r="K98" s="5">
        <f t="shared" ref="K98" si="97">SUM(G98:I98)+J98</f>
        <v>4500000</v>
      </c>
      <c r="L98" s="5">
        <f>+G98*4%</f>
        <v>180000</v>
      </c>
      <c r="M98" s="5">
        <f>+G98*5%</f>
        <v>225000</v>
      </c>
      <c r="N98" s="5"/>
      <c r="O98" s="5"/>
      <c r="P98" s="5">
        <v>34000</v>
      </c>
      <c r="Q98" s="5"/>
      <c r="R98" s="5"/>
      <c r="S98" s="5"/>
      <c r="T98" s="5">
        <f>SUM(L98:S98)</f>
        <v>439000</v>
      </c>
      <c r="U98" s="7">
        <f>K98-T98</f>
        <v>4061000</v>
      </c>
      <c r="V98" s="7"/>
      <c r="W98" s="44"/>
      <c r="X98" s="7">
        <f t="shared" si="63"/>
        <v>4061000</v>
      </c>
    </row>
    <row r="99" spans="1:24" ht="24" x14ac:dyDescent="0.25">
      <c r="A99" s="95"/>
      <c r="B99" s="4">
        <v>53</v>
      </c>
      <c r="C99" s="11" t="s">
        <v>127</v>
      </c>
      <c r="D99" s="6" t="s">
        <v>26</v>
      </c>
      <c r="E99" s="5">
        <v>3000000</v>
      </c>
      <c r="F99" s="5">
        <v>30</v>
      </c>
      <c r="G99" s="5">
        <f>+E99-J99</f>
        <v>3000000</v>
      </c>
      <c r="H99" s="5"/>
      <c r="I99" s="5"/>
      <c r="J99" s="5">
        <v>0</v>
      </c>
      <c r="K99" s="5">
        <f t="shared" si="81"/>
        <v>3000000</v>
      </c>
      <c r="L99" s="5">
        <f>+E99*4%</f>
        <v>120000</v>
      </c>
      <c r="M99" s="5">
        <f>+E99*4%</f>
        <v>120000</v>
      </c>
      <c r="N99" s="5"/>
      <c r="O99" s="5">
        <v>23700</v>
      </c>
      <c r="P99" s="5"/>
      <c r="Q99" s="5"/>
      <c r="R99" s="5"/>
      <c r="S99" s="5"/>
      <c r="T99" s="5">
        <f t="shared" si="46"/>
        <v>263700</v>
      </c>
      <c r="U99" s="7">
        <f>+K99-T99</f>
        <v>2736300</v>
      </c>
      <c r="V99" s="7"/>
      <c r="W99" s="44"/>
      <c r="X99" s="7">
        <f t="shared" si="63"/>
        <v>2736300</v>
      </c>
    </row>
    <row r="100" spans="1:24" x14ac:dyDescent="0.25">
      <c r="A100" s="95"/>
      <c r="B100" s="4">
        <v>54</v>
      </c>
      <c r="C100" s="11" t="s">
        <v>128</v>
      </c>
      <c r="D100" s="6" t="s">
        <v>26</v>
      </c>
      <c r="E100" s="5">
        <v>3700000</v>
      </c>
      <c r="F100" s="5">
        <v>30</v>
      </c>
      <c r="G100" s="5">
        <f t="shared" ref="G100" si="98">+E100/30*F100</f>
        <v>3700000</v>
      </c>
      <c r="H100" s="5"/>
      <c r="I100" s="5">
        <v>650000</v>
      </c>
      <c r="J100" s="5"/>
      <c r="K100" s="5">
        <f t="shared" ref="K100" si="99">SUM(G100:I100)+J100</f>
        <v>4350000</v>
      </c>
      <c r="L100" s="5">
        <f t="shared" ref="L100" si="100">+G100*4%</f>
        <v>148000</v>
      </c>
      <c r="M100" s="5">
        <f>+G100*5%</f>
        <v>185000</v>
      </c>
      <c r="N100" s="5"/>
      <c r="O100" s="5"/>
      <c r="P100" s="5"/>
      <c r="Q100" s="5"/>
      <c r="R100" s="5"/>
      <c r="S100" s="5"/>
      <c r="T100" s="5">
        <f t="shared" ref="T100" si="101">SUM(L100:S100)</f>
        <v>333000</v>
      </c>
      <c r="U100" s="7">
        <f>+K100-T100</f>
        <v>4017000</v>
      </c>
      <c r="V100" s="7"/>
      <c r="W100" s="44"/>
      <c r="X100" s="7">
        <f t="shared" si="63"/>
        <v>4017000</v>
      </c>
    </row>
    <row r="101" spans="1:24" x14ac:dyDescent="0.25">
      <c r="A101" s="95"/>
      <c r="B101" s="4">
        <v>55</v>
      </c>
      <c r="C101" s="11" t="s">
        <v>129</v>
      </c>
      <c r="D101" s="6" t="s">
        <v>34</v>
      </c>
      <c r="E101" s="5">
        <v>1800000</v>
      </c>
      <c r="F101" s="5">
        <v>30</v>
      </c>
      <c r="G101" s="5">
        <f>+E101-J101</f>
        <v>1800000</v>
      </c>
      <c r="H101" s="5"/>
      <c r="I101" s="5"/>
      <c r="J101" s="5">
        <v>0</v>
      </c>
      <c r="K101" s="5">
        <f t="shared" si="81"/>
        <v>1800000</v>
      </c>
      <c r="L101" s="5">
        <f>+E101*4%</f>
        <v>72000</v>
      </c>
      <c r="M101" s="5">
        <f>+E101*4%</f>
        <v>72000</v>
      </c>
      <c r="N101" s="5"/>
      <c r="O101" s="5"/>
      <c r="P101" s="17"/>
      <c r="Q101" s="5"/>
      <c r="R101" s="5"/>
      <c r="S101" s="5">
        <v>136805</v>
      </c>
      <c r="T101" s="5">
        <f t="shared" si="46"/>
        <v>280805</v>
      </c>
      <c r="U101" s="7">
        <f>+K101-T101</f>
        <v>1519195</v>
      </c>
      <c r="V101" s="7"/>
      <c r="W101" s="44"/>
      <c r="X101" s="7">
        <f t="shared" si="63"/>
        <v>1519195</v>
      </c>
    </row>
    <row r="102" spans="1:24" x14ac:dyDescent="0.25">
      <c r="A102" s="95"/>
      <c r="B102" s="4">
        <v>56</v>
      </c>
      <c r="C102" s="3" t="s">
        <v>130</v>
      </c>
      <c r="D102" s="4" t="s">
        <v>26</v>
      </c>
      <c r="E102" s="5">
        <v>1600000</v>
      </c>
      <c r="F102" s="5">
        <v>30</v>
      </c>
      <c r="G102" s="5">
        <f>+E102-J102</f>
        <v>1600000</v>
      </c>
      <c r="H102" s="5"/>
      <c r="I102" s="5"/>
      <c r="J102" s="5">
        <v>0</v>
      </c>
      <c r="K102" s="5">
        <f t="shared" si="81"/>
        <v>1600000</v>
      </c>
      <c r="L102" s="5">
        <f>+K102*4%</f>
        <v>64000</v>
      </c>
      <c r="M102" s="5">
        <v>64000</v>
      </c>
      <c r="N102" s="5"/>
      <c r="O102" s="5">
        <v>68000</v>
      </c>
      <c r="P102" s="5">
        <v>0</v>
      </c>
      <c r="Q102" s="5"/>
      <c r="R102" s="5"/>
      <c r="S102" s="5">
        <v>249127</v>
      </c>
      <c r="T102" s="5">
        <f t="shared" si="46"/>
        <v>445127</v>
      </c>
      <c r="U102" s="7">
        <f>K102-T102</f>
        <v>1154873</v>
      </c>
      <c r="V102" s="7"/>
      <c r="W102" s="44"/>
      <c r="X102" s="7">
        <f t="shared" si="63"/>
        <v>1154873</v>
      </c>
    </row>
    <row r="103" spans="1:24" x14ac:dyDescent="0.25">
      <c r="A103" s="95"/>
      <c r="B103" s="4">
        <v>57</v>
      </c>
      <c r="C103" s="11" t="s">
        <v>131</v>
      </c>
      <c r="D103" s="6" t="s">
        <v>26</v>
      </c>
      <c r="E103" s="5">
        <v>737717</v>
      </c>
      <c r="F103" s="5">
        <v>30</v>
      </c>
      <c r="G103" s="5">
        <f>+E103/30*F103</f>
        <v>737717</v>
      </c>
      <c r="H103" s="5">
        <f t="shared" ref="H103" si="102">+(83140/30)*F103</f>
        <v>83140</v>
      </c>
      <c r="I103" s="5"/>
      <c r="J103" s="5"/>
      <c r="K103" s="5">
        <f t="shared" si="81"/>
        <v>820857</v>
      </c>
      <c r="L103" s="5">
        <v>29509</v>
      </c>
      <c r="M103" s="5">
        <v>29509</v>
      </c>
      <c r="N103" s="5"/>
      <c r="O103" s="5"/>
      <c r="P103" s="5">
        <v>0</v>
      </c>
      <c r="Q103" s="5"/>
      <c r="R103" s="5"/>
      <c r="S103" s="5"/>
      <c r="T103" s="5">
        <f t="shared" si="46"/>
        <v>59018</v>
      </c>
      <c r="U103" s="7">
        <f t="shared" ref="U103:U108" si="103">+K103-T103</f>
        <v>761839</v>
      </c>
      <c r="V103" s="7"/>
      <c r="W103" s="44"/>
      <c r="X103" s="7">
        <f t="shared" si="63"/>
        <v>761839</v>
      </c>
    </row>
    <row r="104" spans="1:24" ht="24" x14ac:dyDescent="0.25">
      <c r="A104" s="95"/>
      <c r="B104" s="4">
        <v>58</v>
      </c>
      <c r="C104" s="11" t="s">
        <v>133</v>
      </c>
      <c r="D104" s="6" t="s">
        <v>26</v>
      </c>
      <c r="E104" s="5">
        <v>1800000</v>
      </c>
      <c r="F104" s="5">
        <v>30</v>
      </c>
      <c r="G104" s="5">
        <f>+E104/30*F104</f>
        <v>1800000</v>
      </c>
      <c r="H104" s="5"/>
      <c r="I104" s="5"/>
      <c r="J104" s="21"/>
      <c r="K104" s="5">
        <f t="shared" ref="K104" si="104">SUM(G104:I104)+J104</f>
        <v>1800000</v>
      </c>
      <c r="L104" s="5">
        <f t="shared" ref="L104" si="105">+G104*4%</f>
        <v>72000</v>
      </c>
      <c r="M104" s="5">
        <f t="shared" ref="M104" si="106">+G104*4%</f>
        <v>72000</v>
      </c>
      <c r="N104" s="5"/>
      <c r="O104" s="5"/>
      <c r="P104" s="5">
        <v>0</v>
      </c>
      <c r="Q104" s="5"/>
      <c r="R104" s="5"/>
      <c r="S104" s="5"/>
      <c r="T104" s="5">
        <f t="shared" ref="T104" si="107">SUM(L104:S104)</f>
        <v>144000</v>
      </c>
      <c r="U104" s="7">
        <f t="shared" si="103"/>
        <v>1656000</v>
      </c>
      <c r="V104" s="7"/>
      <c r="W104" s="44"/>
      <c r="X104" s="7">
        <f t="shared" si="63"/>
        <v>1656000</v>
      </c>
    </row>
    <row r="105" spans="1:24" ht="18.75" customHeight="1" x14ac:dyDescent="0.25">
      <c r="A105" s="95"/>
      <c r="B105" s="4">
        <v>59</v>
      </c>
      <c r="C105" s="11" t="s">
        <v>134</v>
      </c>
      <c r="D105" s="6" t="s">
        <v>26</v>
      </c>
      <c r="E105" s="5">
        <v>2000000</v>
      </c>
      <c r="F105" s="5">
        <v>30</v>
      </c>
      <c r="G105" s="5">
        <f t="shared" ref="G105" si="108">+E105/30*F105</f>
        <v>2000000.0000000002</v>
      </c>
      <c r="H105" s="5"/>
      <c r="I105" s="5"/>
      <c r="J105" s="5">
        <f>+E105-G105</f>
        <v>0</v>
      </c>
      <c r="K105" s="5">
        <f t="shared" si="81"/>
        <v>2000000.0000000002</v>
      </c>
      <c r="L105" s="5">
        <v>80000</v>
      </c>
      <c r="M105" s="5">
        <v>80000</v>
      </c>
      <c r="N105" s="5"/>
      <c r="O105" s="5"/>
      <c r="P105" s="5"/>
      <c r="Q105" s="5"/>
      <c r="R105" s="5"/>
      <c r="S105" s="5"/>
      <c r="T105" s="5">
        <f t="shared" si="46"/>
        <v>160000</v>
      </c>
      <c r="U105" s="7">
        <f t="shared" si="103"/>
        <v>1840000.0000000002</v>
      </c>
      <c r="V105" s="7"/>
      <c r="W105" s="44"/>
      <c r="X105" s="7">
        <f t="shared" si="63"/>
        <v>1840000.0000000002</v>
      </c>
    </row>
    <row r="106" spans="1:24" ht="18.75" customHeight="1" x14ac:dyDescent="0.25">
      <c r="A106" s="95"/>
      <c r="B106" s="4">
        <v>60</v>
      </c>
      <c r="C106" s="11" t="s">
        <v>136</v>
      </c>
      <c r="D106" s="6"/>
      <c r="E106" s="5">
        <v>1070000</v>
      </c>
      <c r="F106" s="5">
        <v>30</v>
      </c>
      <c r="G106" s="5">
        <f>+E106/30*F106</f>
        <v>1070000</v>
      </c>
      <c r="H106" s="5">
        <f t="shared" ref="H106" si="109">+(83140/30)*F106</f>
        <v>83140</v>
      </c>
      <c r="I106" s="5"/>
      <c r="J106" s="22"/>
      <c r="K106" s="5">
        <f t="shared" ref="K106:K107" si="110">SUM(G106:I106)+J106</f>
        <v>1153140</v>
      </c>
      <c r="L106" s="5">
        <f t="shared" ref="L106" si="111">+G106*4%</f>
        <v>42800</v>
      </c>
      <c r="M106" s="5">
        <f t="shared" ref="M106" si="112">+G106*4%</f>
        <v>42800</v>
      </c>
      <c r="N106" s="5"/>
      <c r="O106" s="5"/>
      <c r="P106" s="5">
        <v>0</v>
      </c>
      <c r="Q106" s="5"/>
      <c r="R106" s="5"/>
      <c r="S106" s="5"/>
      <c r="T106" s="5">
        <f t="shared" ref="T106:T107" si="113">SUM(L106:S106)</f>
        <v>85600</v>
      </c>
      <c r="U106" s="7">
        <f t="shared" si="103"/>
        <v>1067540</v>
      </c>
      <c r="V106" s="7"/>
      <c r="W106" s="44"/>
      <c r="X106" s="7">
        <f t="shared" si="63"/>
        <v>1067540</v>
      </c>
    </row>
    <row r="107" spans="1:24" ht="18.75" customHeight="1" x14ac:dyDescent="0.25">
      <c r="A107" s="95"/>
      <c r="B107" s="4">
        <v>61</v>
      </c>
      <c r="C107" s="11" t="s">
        <v>159</v>
      </c>
      <c r="D107" s="6"/>
      <c r="E107" s="5">
        <v>368859</v>
      </c>
      <c r="F107" s="5">
        <v>9</v>
      </c>
      <c r="G107" s="5">
        <f>+E107/30*F107</f>
        <v>110657.7</v>
      </c>
      <c r="H107" s="5"/>
      <c r="I107" s="5"/>
      <c r="J107" s="22"/>
      <c r="K107" s="5">
        <f t="shared" si="110"/>
        <v>110657.7</v>
      </c>
      <c r="L107" s="5"/>
      <c r="M107" s="5"/>
      <c r="N107" s="5"/>
      <c r="O107" s="5"/>
      <c r="P107" s="5"/>
      <c r="Q107" s="5"/>
      <c r="R107" s="5"/>
      <c r="S107" s="5"/>
      <c r="T107" s="5">
        <f t="shared" si="113"/>
        <v>0</v>
      </c>
      <c r="U107" s="7">
        <f t="shared" si="103"/>
        <v>110657.7</v>
      </c>
      <c r="V107" s="7"/>
      <c r="W107" s="44"/>
      <c r="X107" s="7"/>
    </row>
    <row r="108" spans="1:24" x14ac:dyDescent="0.25">
      <c r="A108" s="95"/>
      <c r="B108" s="4">
        <v>62</v>
      </c>
      <c r="C108" s="11" t="s">
        <v>137</v>
      </c>
      <c r="D108" s="6" t="s">
        <v>26</v>
      </c>
      <c r="E108" s="5">
        <v>4400000</v>
      </c>
      <c r="F108" s="5">
        <v>30</v>
      </c>
      <c r="G108" s="5">
        <f>+E108/30*F108</f>
        <v>4400000</v>
      </c>
      <c r="H108" s="5"/>
      <c r="I108" s="5"/>
      <c r="J108" s="5"/>
      <c r="K108" s="5">
        <f t="shared" ref="K108" si="114">SUM(G108:I108)+J108</f>
        <v>4400000</v>
      </c>
      <c r="L108" s="5">
        <f>+G108*4%</f>
        <v>176000</v>
      </c>
      <c r="M108" s="5">
        <f>+G108*5%</f>
        <v>220000</v>
      </c>
      <c r="N108" s="5"/>
      <c r="O108" s="5"/>
      <c r="P108" s="5">
        <v>44000</v>
      </c>
      <c r="Q108" s="5"/>
      <c r="R108" s="5"/>
      <c r="S108" s="5">
        <v>507840</v>
      </c>
      <c r="T108" s="5">
        <f t="shared" si="46"/>
        <v>947840</v>
      </c>
      <c r="U108" s="7">
        <f t="shared" si="103"/>
        <v>3452160</v>
      </c>
      <c r="V108" s="7"/>
      <c r="W108" s="44"/>
      <c r="X108" s="7">
        <f t="shared" ref="X108" si="115">U108+V108-W108</f>
        <v>3452160</v>
      </c>
    </row>
    <row r="109" spans="1:24" x14ac:dyDescent="0.25">
      <c r="A109" s="4"/>
      <c r="B109" s="4"/>
      <c r="C109" s="11" t="s">
        <v>139</v>
      </c>
      <c r="D109" s="4"/>
      <c r="E109" s="5">
        <f>SUM(E4:E108)</f>
        <v>365010260</v>
      </c>
      <c r="F109" s="5" t="s">
        <v>1</v>
      </c>
      <c r="G109" s="7">
        <f t="shared" ref="G109:T109" si="116">SUM(G4:G108)</f>
        <v>357556810.76666665</v>
      </c>
      <c r="H109" s="7">
        <f t="shared" si="116"/>
        <v>1745939</v>
      </c>
      <c r="I109" s="7">
        <f t="shared" si="116"/>
        <v>13774229</v>
      </c>
      <c r="J109" s="7">
        <f t="shared" si="116"/>
        <v>17189304</v>
      </c>
      <c r="K109" s="7">
        <f t="shared" si="116"/>
        <v>390266282.76666665</v>
      </c>
      <c r="L109" s="7">
        <f t="shared" si="116"/>
        <v>14368265.120000001</v>
      </c>
      <c r="M109" s="7">
        <f t="shared" si="116"/>
        <v>17546207.473333333</v>
      </c>
      <c r="N109" s="7">
        <f t="shared" si="116"/>
        <v>102400</v>
      </c>
      <c r="O109" s="7">
        <f t="shared" si="116"/>
        <v>705300</v>
      </c>
      <c r="P109" s="7">
        <f t="shared" si="116"/>
        <v>4626146</v>
      </c>
      <c r="Q109" s="7">
        <f t="shared" si="116"/>
        <v>13800000</v>
      </c>
      <c r="R109" s="7">
        <f t="shared" si="116"/>
        <v>1520279</v>
      </c>
      <c r="S109" s="7">
        <f t="shared" si="116"/>
        <v>11711771</v>
      </c>
      <c r="T109" s="7">
        <f t="shared" si="116"/>
        <v>64380368.593333334</v>
      </c>
      <c r="U109" s="7">
        <f>SUM(U4:U108)</f>
        <v>325885914.17333335</v>
      </c>
      <c r="V109" s="7">
        <f>SUM(V5:V103)</f>
        <v>0</v>
      </c>
      <c r="W109" s="44">
        <f>SUM(W5:W103)</f>
        <v>0</v>
      </c>
      <c r="X109" s="7">
        <f>SUM(X4:X108)</f>
        <v>321828456.47333336</v>
      </c>
    </row>
    <row r="110" spans="1:24" x14ac:dyDescent="0.25">
      <c r="E110" s="54"/>
      <c r="F110" s="54"/>
      <c r="G110" s="54"/>
      <c r="U110" s="55"/>
      <c r="V110" s="55"/>
      <c r="X110" s="55"/>
    </row>
    <row r="111" spans="1:24" x14ac:dyDescent="0.25">
      <c r="D111" s="53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7"/>
      <c r="V111" s="53"/>
      <c r="W111" s="58"/>
      <c r="X111" s="57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7"/>
    </row>
    <row r="113" spans="2:28" x14ac:dyDescent="0.25"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59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54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53"/>
      <c r="Z115" s="53"/>
      <c r="AA115" s="53"/>
      <c r="AB115" s="53"/>
    </row>
    <row r="116" spans="2:28" x14ac:dyDescent="0.25">
      <c r="B116" s="53"/>
      <c r="C116" s="59"/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3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64"/>
      <c r="C120" s="59"/>
      <c r="D120" s="62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2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53"/>
      <c r="C121" s="59"/>
      <c r="D121" s="53"/>
      <c r="E121" s="54"/>
      <c r="F121" s="54"/>
      <c r="G121" s="66"/>
      <c r="H121" s="54"/>
      <c r="I121" s="54"/>
      <c r="J121" s="54"/>
      <c r="K121" s="54"/>
      <c r="L121" s="54"/>
      <c r="M121" s="54"/>
      <c r="N121" s="67"/>
      <c r="O121" s="67"/>
      <c r="P121" s="67"/>
      <c r="Q121" s="67"/>
      <c r="R121" s="67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2:28" x14ac:dyDescent="0.25">
      <c r="B122" s="53"/>
      <c r="C122" s="68"/>
      <c r="D122" s="62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2"/>
      <c r="V122" s="62"/>
      <c r="W122" s="63"/>
      <c r="X122" s="62"/>
      <c r="Y122" s="53"/>
      <c r="Z122" s="53"/>
      <c r="AA122" s="53"/>
      <c r="AB122" s="53"/>
    </row>
    <row r="123" spans="2:28" x14ac:dyDescent="0.25">
      <c r="B123" s="62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53"/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59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59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3"/>
      <c r="V142" s="53"/>
      <c r="W142" s="58"/>
      <c r="X142" s="53"/>
      <c r="Y142" s="53"/>
      <c r="Z142" s="53"/>
      <c r="AA142" s="53"/>
      <c r="AB142" s="53"/>
    </row>
    <row r="143" spans="2:28" x14ac:dyDescent="0.25">
      <c r="C143" s="59"/>
      <c r="D143" s="53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53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2:28" x14ac:dyDescent="0.25">
      <c r="B144" s="53"/>
      <c r="C144" s="59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53"/>
      <c r="Z144" s="53"/>
      <c r="AA144" s="53"/>
      <c r="AB144" s="53"/>
    </row>
    <row r="145" spans="2:28" x14ac:dyDescent="0.25">
      <c r="B145" s="53"/>
      <c r="C145" s="59"/>
      <c r="D145" s="53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2"/>
      <c r="V145" s="62"/>
      <c r="W145" s="63"/>
      <c r="X145" s="62"/>
      <c r="Y145" s="53"/>
      <c r="Z145" s="53"/>
      <c r="AA145" s="53"/>
      <c r="AB145" s="53"/>
    </row>
    <row r="146" spans="2:28" x14ac:dyDescent="0.25">
      <c r="B146" s="53"/>
      <c r="C146" s="68"/>
      <c r="D146" s="62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</row>
    <row r="147" spans="2:28" x14ac:dyDescent="0.25">
      <c r="B147" s="69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C148" s="68"/>
      <c r="D148" s="62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68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3"/>
      <c r="V153" s="53"/>
      <c r="W153" s="58"/>
      <c r="X153" s="53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B155" s="53"/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70"/>
      <c r="V157" s="70"/>
      <c r="W157" s="58"/>
      <c r="X157" s="70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1"/>
      <c r="V158" s="71"/>
      <c r="W158" s="58"/>
      <c r="X158" s="71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>
        <v>3003000</v>
      </c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68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42614840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>
        <v>412608</v>
      </c>
      <c r="U171" s="53"/>
      <c r="V171" s="53"/>
      <c r="W171" s="58"/>
      <c r="X171" s="53"/>
    </row>
    <row r="172" spans="3:24" x14ac:dyDescent="0.25">
      <c r="C172" s="59">
        <v>9675182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1880000</v>
      </c>
      <c r="U172" s="53"/>
      <c r="V172" s="53"/>
      <c r="W172" s="58"/>
      <c r="X172" s="53"/>
    </row>
    <row r="173" spans="3:24" x14ac:dyDescent="0.25">
      <c r="C173" s="59">
        <v>17903600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3:24" x14ac:dyDescent="0.25">
      <c r="C174" s="59">
        <f>SUM(C171:C173)</f>
        <v>70193622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v>400000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f>+C174+C175</f>
        <v>70593622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9" spans="3:3" x14ac:dyDescent="0.25">
      <c r="C179" s="52">
        <v>64000000</v>
      </c>
    </row>
    <row r="180" spans="3:3" x14ac:dyDescent="0.25">
      <c r="C180" s="52">
        <v>11000000</v>
      </c>
    </row>
    <row r="181" spans="3:3" x14ac:dyDescent="0.25">
      <c r="C181" s="52">
        <f>+C179+C180</f>
        <v>75000000</v>
      </c>
    </row>
    <row r="185" spans="3:3" x14ac:dyDescent="0.25">
      <c r="C185" s="52">
        <v>2745000</v>
      </c>
    </row>
    <row r="186" spans="3:3" x14ac:dyDescent="0.25">
      <c r="C186" s="52">
        <v>3185000</v>
      </c>
    </row>
    <row r="187" spans="3:3" x14ac:dyDescent="0.25">
      <c r="C187" s="52">
        <v>1080000</v>
      </c>
    </row>
    <row r="188" spans="3:3" x14ac:dyDescent="0.25">
      <c r="C188" s="52">
        <v>4850100</v>
      </c>
    </row>
    <row r="189" spans="3:3" x14ac:dyDescent="0.25">
      <c r="C189" s="52">
        <v>5027500</v>
      </c>
    </row>
    <row r="190" spans="3:3" x14ac:dyDescent="0.25">
      <c r="C190" s="52">
        <v>4566000</v>
      </c>
    </row>
    <row r="191" spans="3:3" x14ac:dyDescent="0.25">
      <c r="C191" s="52">
        <v>1050000</v>
      </c>
    </row>
    <row r="192" spans="3:3" x14ac:dyDescent="0.25">
      <c r="C192" s="52">
        <v>3877333</v>
      </c>
    </row>
    <row r="193" spans="3:3" x14ac:dyDescent="0.25">
      <c r="C193" s="52">
        <v>6732440</v>
      </c>
    </row>
    <row r="194" spans="3:3" x14ac:dyDescent="0.25">
      <c r="C194" s="52">
        <v>3460000</v>
      </c>
    </row>
    <row r="195" spans="3:3" x14ac:dyDescent="0.25">
      <c r="C195" s="52">
        <v>588800</v>
      </c>
    </row>
    <row r="196" spans="3:3" x14ac:dyDescent="0.25">
      <c r="C196" s="52">
        <v>1868000</v>
      </c>
    </row>
    <row r="197" spans="3:3" x14ac:dyDescent="0.25">
      <c r="C197" s="52">
        <v>10313000</v>
      </c>
    </row>
    <row r="198" spans="3:3" x14ac:dyDescent="0.25">
      <c r="C198" s="52">
        <v>3443800</v>
      </c>
    </row>
    <row r="199" spans="3:3" x14ac:dyDescent="0.25">
      <c r="C199" s="52">
        <v>8136400</v>
      </c>
    </row>
    <row r="200" spans="3:3" x14ac:dyDescent="0.25">
      <c r="C200" s="52">
        <v>9675183</v>
      </c>
    </row>
    <row r="201" spans="3:3" x14ac:dyDescent="0.25">
      <c r="C201" s="52">
        <f>SUM(C185:C200)</f>
        <v>70598556</v>
      </c>
    </row>
  </sheetData>
  <mergeCells count="7">
    <mergeCell ref="D144:X144"/>
    <mergeCell ref="C1:U1"/>
    <mergeCell ref="E2:K2"/>
    <mergeCell ref="L2:T2"/>
    <mergeCell ref="A3:A46"/>
    <mergeCell ref="A47:A108"/>
    <mergeCell ref="E143:Q14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208"/>
  <sheetViews>
    <sheetView workbookViewId="0">
      <selection activeCell="I3" sqref="I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710937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4" width="9.85546875" style="27" bestFit="1" customWidth="1"/>
    <col min="15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4.42578125" style="10" customWidth="1"/>
    <col min="23" max="23" width="7.28515625" style="28" customWidth="1"/>
    <col min="24" max="24" width="14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05" t="s">
        <v>160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3"/>
      <c r="W1" s="9"/>
      <c r="X1" s="13"/>
    </row>
    <row r="2" spans="1:24" x14ac:dyDescent="0.25">
      <c r="C2" s="72" t="s">
        <v>1</v>
      </c>
      <c r="D2" s="13"/>
      <c r="E2" s="106" t="s">
        <v>2</v>
      </c>
      <c r="F2" s="106"/>
      <c r="G2" s="106"/>
      <c r="H2" s="106"/>
      <c r="I2" s="106"/>
      <c r="J2" s="106"/>
      <c r="K2" s="106"/>
      <c r="L2" s="106" t="s">
        <v>3</v>
      </c>
      <c r="M2" s="106"/>
      <c r="N2" s="106"/>
      <c r="O2" s="106"/>
      <c r="P2" s="106"/>
      <c r="Q2" s="106"/>
      <c r="R2" s="106"/>
      <c r="S2" s="106"/>
      <c r="T2" s="106"/>
      <c r="U2" s="13"/>
      <c r="V2" s="13"/>
      <c r="W2" s="9"/>
      <c r="X2" s="13"/>
    </row>
    <row r="3" spans="1:24" ht="36" x14ac:dyDescent="0.25">
      <c r="A3" s="107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199</v>
      </c>
      <c r="J3" s="15" t="s">
        <v>161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146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4" t="s">
        <v>23</v>
      </c>
      <c r="V3" s="14"/>
      <c r="W3" s="16"/>
      <c r="X3" s="14" t="s">
        <v>147</v>
      </c>
    </row>
    <row r="4" spans="1:24" s="45" customFormat="1" x14ac:dyDescent="0.25">
      <c r="A4" s="108"/>
      <c r="B4" s="14">
        <v>1</v>
      </c>
      <c r="C4" s="11" t="s">
        <v>162</v>
      </c>
      <c r="D4" s="6"/>
      <c r="E4" s="12">
        <v>4500000</v>
      </c>
      <c r="F4" s="12">
        <v>29</v>
      </c>
      <c r="G4" s="5">
        <f t="shared" ref="G4:G10" si="0">+E4/30*F4</f>
        <v>4350000</v>
      </c>
      <c r="H4" s="5"/>
      <c r="I4" s="5"/>
      <c r="J4" s="5">
        <v>362500</v>
      </c>
      <c r="K4" s="5">
        <f t="shared" ref="K4" si="1">SUM(G4:I4)+J4</f>
        <v>4712500</v>
      </c>
      <c r="L4" s="5">
        <f>+G4*4%</f>
        <v>174000</v>
      </c>
      <c r="M4" s="5">
        <f>+G4*5%</f>
        <v>217500</v>
      </c>
      <c r="N4" s="5"/>
      <c r="O4" s="5"/>
      <c r="P4" s="5">
        <v>3000</v>
      </c>
      <c r="Q4" s="5"/>
      <c r="R4" s="5"/>
      <c r="S4" s="5"/>
      <c r="T4" s="5">
        <f t="shared" ref="T4" si="2">SUM(L4:S4)</f>
        <v>394500</v>
      </c>
      <c r="U4" s="7">
        <f t="shared" ref="U4:U10" si="3">+K4-T4</f>
        <v>4318000</v>
      </c>
      <c r="V4" s="8"/>
      <c r="W4" s="9"/>
      <c r="X4" s="8">
        <f t="shared" ref="X4:X67" si="4">U4+V4-W4</f>
        <v>4318000</v>
      </c>
    </row>
    <row r="5" spans="1:24" x14ac:dyDescent="0.25">
      <c r="A5" s="108"/>
      <c r="B5" s="14">
        <v>2</v>
      </c>
      <c r="C5" s="11" t="s">
        <v>25</v>
      </c>
      <c r="D5" s="6" t="s">
        <v>26</v>
      </c>
      <c r="E5" s="5">
        <v>4815000</v>
      </c>
      <c r="F5" s="5">
        <v>30</v>
      </c>
      <c r="G5" s="5">
        <v>4815000</v>
      </c>
      <c r="H5" s="5"/>
      <c r="I5" s="5"/>
      <c r="J5" s="5"/>
      <c r="K5" s="5">
        <f t="shared" ref="K5:K34" si="5">SUM(G5:I5)+J5</f>
        <v>4815000</v>
      </c>
      <c r="L5" s="5">
        <f t="shared" ref="L5:L33" si="6">+G5*4%</f>
        <v>192600</v>
      </c>
      <c r="M5" s="5">
        <f>+G5*5%</f>
        <v>240750</v>
      </c>
      <c r="N5" s="5"/>
      <c r="O5" s="5"/>
      <c r="P5" s="5">
        <v>19000</v>
      </c>
      <c r="Q5" s="5"/>
      <c r="R5" s="5"/>
      <c r="S5" s="5"/>
      <c r="T5" s="5">
        <f t="shared" ref="T5:T52" si="7">SUM(L5:S5)</f>
        <v>452350</v>
      </c>
      <c r="U5" s="7">
        <f t="shared" si="3"/>
        <v>4362650</v>
      </c>
      <c r="V5" s="8"/>
      <c r="W5" s="9"/>
      <c r="X5" s="8">
        <f t="shared" si="4"/>
        <v>4362650</v>
      </c>
    </row>
    <row r="6" spans="1:24" ht="24" x14ac:dyDescent="0.25">
      <c r="A6" s="108"/>
      <c r="B6" s="14">
        <v>3</v>
      </c>
      <c r="C6" s="11" t="s">
        <v>27</v>
      </c>
      <c r="D6" s="6" t="s">
        <v>26</v>
      </c>
      <c r="E6" s="5">
        <v>4000000</v>
      </c>
      <c r="F6" s="5">
        <v>30</v>
      </c>
      <c r="G6" s="5">
        <f t="shared" si="0"/>
        <v>4000000.0000000005</v>
      </c>
      <c r="H6" s="5"/>
      <c r="I6" s="5">
        <v>800000</v>
      </c>
      <c r="J6" s="5"/>
      <c r="K6" s="5">
        <f t="shared" si="5"/>
        <v>4800000</v>
      </c>
      <c r="L6" s="5">
        <f>+E6*4%</f>
        <v>160000</v>
      </c>
      <c r="M6" s="5">
        <f>+E6*5%</f>
        <v>200000</v>
      </c>
      <c r="N6" s="5"/>
      <c r="O6" s="5"/>
      <c r="P6" s="5">
        <v>31064</v>
      </c>
      <c r="Q6" s="5"/>
      <c r="R6" s="5"/>
      <c r="S6" s="5"/>
      <c r="T6" s="5">
        <f t="shared" si="7"/>
        <v>391064</v>
      </c>
      <c r="U6" s="7">
        <f t="shared" si="3"/>
        <v>4408936</v>
      </c>
      <c r="V6" s="8"/>
      <c r="W6" s="9"/>
      <c r="X6" s="8">
        <f t="shared" si="4"/>
        <v>4408936</v>
      </c>
    </row>
    <row r="7" spans="1:24" x14ac:dyDescent="0.25">
      <c r="A7" s="108"/>
      <c r="B7" s="14">
        <v>4</v>
      </c>
      <c r="C7" s="11" t="s">
        <v>28</v>
      </c>
      <c r="D7" s="6" t="s">
        <v>26</v>
      </c>
      <c r="E7" s="5">
        <v>5500000</v>
      </c>
      <c r="F7" s="5">
        <v>30</v>
      </c>
      <c r="G7" s="5">
        <f t="shared" si="0"/>
        <v>5500000</v>
      </c>
      <c r="H7" s="5"/>
      <c r="I7" s="5"/>
      <c r="J7" s="5"/>
      <c r="K7" s="5">
        <f t="shared" si="5"/>
        <v>5500000</v>
      </c>
      <c r="L7" s="5">
        <f>5500000*4%</f>
        <v>220000</v>
      </c>
      <c r="M7" s="5">
        <f>5500000*5%</f>
        <v>275000</v>
      </c>
      <c r="N7" s="5"/>
      <c r="O7" s="5"/>
      <c r="P7" s="5">
        <v>102000</v>
      </c>
      <c r="Q7" s="5"/>
      <c r="R7" s="5"/>
      <c r="S7" s="5"/>
      <c r="T7" s="5">
        <f t="shared" si="7"/>
        <v>597000</v>
      </c>
      <c r="U7" s="7">
        <f t="shared" si="3"/>
        <v>4903000</v>
      </c>
      <c r="V7" s="8"/>
      <c r="W7" s="9"/>
      <c r="X7" s="8">
        <f t="shared" si="4"/>
        <v>4903000</v>
      </c>
    </row>
    <row r="8" spans="1:24" x14ac:dyDescent="0.25">
      <c r="A8" s="108"/>
      <c r="B8" s="14">
        <v>5</v>
      </c>
      <c r="C8" s="11" t="s">
        <v>29</v>
      </c>
      <c r="D8" s="6" t="s">
        <v>26</v>
      </c>
      <c r="E8" s="5">
        <v>5492319</v>
      </c>
      <c r="F8" s="5">
        <v>30</v>
      </c>
      <c r="G8" s="5">
        <f t="shared" si="0"/>
        <v>5492319</v>
      </c>
      <c r="H8" s="5"/>
      <c r="I8" s="5"/>
      <c r="J8" s="5"/>
      <c r="K8" s="5">
        <f t="shared" ref="K8" si="8">SUM(G8:I8)+J8</f>
        <v>5492319</v>
      </c>
      <c r="L8" s="5">
        <f>+K8*4%</f>
        <v>219692.76</v>
      </c>
      <c r="M8" s="5">
        <f>+K8*5%</f>
        <v>274615.95</v>
      </c>
      <c r="N8" s="5"/>
      <c r="O8" s="5"/>
      <c r="P8" s="17">
        <v>98000</v>
      </c>
      <c r="Q8" s="5"/>
      <c r="R8" s="5"/>
      <c r="S8" s="5">
        <v>726520</v>
      </c>
      <c r="T8" s="5">
        <f t="shared" ref="T8" si="9">SUM(L8:S8)</f>
        <v>1318828.71</v>
      </c>
      <c r="U8" s="7">
        <f t="shared" si="3"/>
        <v>4173490.29</v>
      </c>
      <c r="V8" s="8"/>
      <c r="W8" s="9"/>
      <c r="X8" s="8">
        <f t="shared" si="4"/>
        <v>4173490.29</v>
      </c>
    </row>
    <row r="9" spans="1:24" x14ac:dyDescent="0.25">
      <c r="A9" s="108"/>
      <c r="B9" s="14">
        <v>6</v>
      </c>
      <c r="C9" s="11" t="s">
        <v>141</v>
      </c>
      <c r="D9" s="6" t="s">
        <v>26</v>
      </c>
      <c r="E9" s="5">
        <v>5000000</v>
      </c>
      <c r="F9" s="5">
        <v>30</v>
      </c>
      <c r="G9" s="5">
        <f t="shared" si="0"/>
        <v>5000000</v>
      </c>
      <c r="H9" s="5"/>
      <c r="I9" s="5"/>
      <c r="J9" s="5"/>
      <c r="K9" s="5">
        <f t="shared" si="5"/>
        <v>5000000</v>
      </c>
      <c r="L9" s="5">
        <f>+K9*4%</f>
        <v>200000</v>
      </c>
      <c r="M9" s="5">
        <f>+K9*5%</f>
        <v>250000</v>
      </c>
      <c r="N9" s="5"/>
      <c r="O9" s="5"/>
      <c r="P9" s="17">
        <v>102000</v>
      </c>
      <c r="Q9" s="5"/>
      <c r="R9" s="5"/>
      <c r="S9" s="5"/>
      <c r="T9" s="5">
        <f t="shared" si="7"/>
        <v>552000</v>
      </c>
      <c r="U9" s="7">
        <f t="shared" si="3"/>
        <v>4448000</v>
      </c>
      <c r="V9" s="8"/>
      <c r="W9" s="9"/>
      <c r="X9" s="8">
        <f t="shared" si="4"/>
        <v>4448000</v>
      </c>
    </row>
    <row r="10" spans="1:24" x14ac:dyDescent="0.25">
      <c r="A10" s="108"/>
      <c r="B10" s="14">
        <v>7</v>
      </c>
      <c r="C10" s="11" t="s">
        <v>30</v>
      </c>
      <c r="D10" s="6" t="s">
        <v>26</v>
      </c>
      <c r="E10" s="5">
        <v>5000000</v>
      </c>
      <c r="F10" s="5">
        <v>30</v>
      </c>
      <c r="G10" s="5">
        <f t="shared" si="0"/>
        <v>5000000</v>
      </c>
      <c r="H10" s="5"/>
      <c r="I10" s="5">
        <v>2012670</v>
      </c>
      <c r="J10" s="5"/>
      <c r="K10" s="5">
        <f t="shared" si="5"/>
        <v>7012670</v>
      </c>
      <c r="L10" s="5">
        <f>+G10*4%</f>
        <v>200000</v>
      </c>
      <c r="M10" s="5">
        <f t="shared" ref="M10:M33" si="10">+G10*5%</f>
        <v>250000</v>
      </c>
      <c r="N10" s="5"/>
      <c r="O10" s="5"/>
      <c r="P10" s="5">
        <v>50000</v>
      </c>
      <c r="Q10" s="5">
        <v>700000</v>
      </c>
      <c r="R10" s="5"/>
      <c r="S10" s="5"/>
      <c r="T10" s="5">
        <f t="shared" si="7"/>
        <v>1200000</v>
      </c>
      <c r="U10" s="7">
        <f t="shared" si="3"/>
        <v>5812670</v>
      </c>
      <c r="V10" s="8"/>
      <c r="W10" s="9"/>
      <c r="X10" s="8">
        <f t="shared" si="4"/>
        <v>5812670</v>
      </c>
    </row>
    <row r="11" spans="1:24" x14ac:dyDescent="0.25">
      <c r="A11" s="108"/>
      <c r="B11" s="14">
        <v>8</v>
      </c>
      <c r="C11" s="11" t="s">
        <v>31</v>
      </c>
      <c r="D11" s="6" t="s">
        <v>26</v>
      </c>
      <c r="E11" s="5">
        <v>4500000</v>
      </c>
      <c r="F11" s="5">
        <v>19</v>
      </c>
      <c r="G11" s="5">
        <f>E11/30*F11</f>
        <v>2850000</v>
      </c>
      <c r="H11" s="5"/>
      <c r="I11" s="5"/>
      <c r="J11" s="5">
        <v>2100000</v>
      </c>
      <c r="K11" s="5">
        <f t="shared" si="5"/>
        <v>4950000</v>
      </c>
      <c r="L11" s="5">
        <f>+K11*4%</f>
        <v>198000</v>
      </c>
      <c r="M11" s="5">
        <f>+K11*5%</f>
        <v>247500</v>
      </c>
      <c r="N11" s="5"/>
      <c r="O11" s="5"/>
      <c r="P11" s="5">
        <v>2545</v>
      </c>
      <c r="Q11" s="5"/>
      <c r="R11" s="5"/>
      <c r="S11" s="5">
        <f>945750+420786</f>
        <v>1366536</v>
      </c>
      <c r="T11" s="5">
        <f t="shared" si="7"/>
        <v>1814581</v>
      </c>
      <c r="U11" s="7">
        <f>K11-T11</f>
        <v>3135419</v>
      </c>
      <c r="V11" s="8"/>
      <c r="W11" s="9"/>
      <c r="X11" s="8">
        <f t="shared" si="4"/>
        <v>3135419</v>
      </c>
    </row>
    <row r="12" spans="1:24" x14ac:dyDescent="0.25">
      <c r="A12" s="108"/>
      <c r="B12" s="14">
        <v>9</v>
      </c>
      <c r="C12" s="11" t="s">
        <v>32</v>
      </c>
      <c r="D12" s="6" t="s">
        <v>26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ref="K12" si="11">SUM(G12:I12)+J12</f>
        <v>4500000</v>
      </c>
      <c r="L12" s="5">
        <f>+E12*4%</f>
        <v>180000</v>
      </c>
      <c r="M12" s="5">
        <f>+E12*5%</f>
        <v>225000</v>
      </c>
      <c r="N12" s="5"/>
      <c r="O12" s="5"/>
      <c r="P12" s="5">
        <v>10000</v>
      </c>
      <c r="Q12" s="5"/>
      <c r="R12" s="5"/>
      <c r="S12" s="5"/>
      <c r="T12" s="5">
        <f t="shared" ref="T12" si="12">SUM(L12:S12)</f>
        <v>415000</v>
      </c>
      <c r="U12" s="7">
        <f>K12-T12</f>
        <v>4085000</v>
      </c>
      <c r="V12" s="8"/>
      <c r="W12" s="9"/>
      <c r="X12" s="8">
        <f t="shared" si="4"/>
        <v>4085000</v>
      </c>
    </row>
    <row r="13" spans="1:24" x14ac:dyDescent="0.25">
      <c r="A13" s="108"/>
      <c r="B13" s="14">
        <v>10</v>
      </c>
      <c r="C13" s="11" t="s">
        <v>35</v>
      </c>
      <c r="D13" s="6" t="s">
        <v>26</v>
      </c>
      <c r="E13" s="5">
        <v>5400000</v>
      </c>
      <c r="F13" s="5">
        <v>24</v>
      </c>
      <c r="G13" s="5">
        <f>E13/30*F13</f>
        <v>4320000</v>
      </c>
      <c r="H13" s="5"/>
      <c r="I13" s="5"/>
      <c r="J13" s="5">
        <v>1080000</v>
      </c>
      <c r="K13" s="5">
        <f>SUM(G13:I13)+J13</f>
        <v>5400000</v>
      </c>
      <c r="L13" s="5">
        <f>+K13*4%</f>
        <v>216000</v>
      </c>
      <c r="M13" s="5">
        <f>+K13*5%</f>
        <v>270000</v>
      </c>
      <c r="N13" s="5"/>
      <c r="O13" s="5"/>
      <c r="P13" s="5">
        <v>6500</v>
      </c>
      <c r="Q13" s="5"/>
      <c r="R13" s="5"/>
      <c r="S13" s="5"/>
      <c r="T13" s="5">
        <f t="shared" si="7"/>
        <v>492500</v>
      </c>
      <c r="U13" s="7">
        <f t="shared" ref="U13:U19" si="13">+K13-T13</f>
        <v>4907500</v>
      </c>
      <c r="V13" s="8"/>
      <c r="W13" s="9"/>
      <c r="X13" s="8">
        <f t="shared" si="4"/>
        <v>4907500</v>
      </c>
    </row>
    <row r="14" spans="1:24" x14ac:dyDescent="0.25">
      <c r="A14" s="108"/>
      <c r="B14" s="14">
        <v>11</v>
      </c>
      <c r="C14" s="3" t="s">
        <v>36</v>
      </c>
      <c r="D14" s="4" t="s">
        <v>26</v>
      </c>
      <c r="E14" s="5">
        <v>4500000</v>
      </c>
      <c r="F14" s="5">
        <v>27</v>
      </c>
      <c r="G14" s="5">
        <f t="shared" ref="G14:G19" si="14">+E14/30*F14</f>
        <v>4050000</v>
      </c>
      <c r="H14" s="5"/>
      <c r="I14" s="5"/>
      <c r="J14" s="5">
        <v>450000</v>
      </c>
      <c r="K14" s="5">
        <f t="shared" si="5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7"/>
        <v>408000</v>
      </c>
      <c r="U14" s="7">
        <f t="shared" si="13"/>
        <v>4092000</v>
      </c>
      <c r="V14" s="8"/>
      <c r="W14" s="9"/>
      <c r="X14" s="8">
        <f t="shared" si="4"/>
        <v>4092000</v>
      </c>
    </row>
    <row r="15" spans="1:24" x14ac:dyDescent="0.25">
      <c r="A15" s="108"/>
      <c r="B15" s="1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4"/>
        <v>4200000</v>
      </c>
      <c r="H15" s="5"/>
      <c r="I15" s="5"/>
      <c r="J15" s="5"/>
      <c r="K15" s="5">
        <f t="shared" ref="K15:K17" si="15">SUM(G15:I15)+J15</f>
        <v>4200000</v>
      </c>
      <c r="L15" s="5">
        <f>+G15*4%</f>
        <v>168000</v>
      </c>
      <c r="M15" s="5">
        <f>+G15*5%</f>
        <v>210000</v>
      </c>
      <c r="N15" s="5"/>
      <c r="O15" s="5"/>
      <c r="P15" s="5">
        <v>32000</v>
      </c>
      <c r="Q15" s="5"/>
      <c r="R15" s="5">
        <v>454500</v>
      </c>
      <c r="S15" s="5">
        <v>838529</v>
      </c>
      <c r="T15" s="5">
        <f t="shared" ref="T15:T17" si="16">SUM(L15:S15)</f>
        <v>1703029</v>
      </c>
      <c r="U15" s="7">
        <f t="shared" si="13"/>
        <v>2496971</v>
      </c>
      <c r="V15" s="8"/>
      <c r="W15" s="9"/>
      <c r="X15" s="8">
        <f t="shared" si="4"/>
        <v>2496971</v>
      </c>
    </row>
    <row r="16" spans="1:24" x14ac:dyDescent="0.25">
      <c r="A16" s="108"/>
      <c r="B16" s="1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4"/>
        <v>4000000.0000000005</v>
      </c>
      <c r="H16" s="5"/>
      <c r="I16" s="5"/>
      <c r="J16" s="5"/>
      <c r="K16" s="5">
        <f t="shared" si="15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6"/>
        <v>364500</v>
      </c>
      <c r="U16" s="7">
        <f t="shared" si="13"/>
        <v>3635500.0000000005</v>
      </c>
      <c r="V16" s="8"/>
      <c r="W16" s="9"/>
      <c r="X16" s="8">
        <f t="shared" si="4"/>
        <v>3635500.0000000005</v>
      </c>
    </row>
    <row r="17" spans="1:24" x14ac:dyDescent="0.25">
      <c r="A17" s="108"/>
      <c r="B17" s="1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4"/>
        <v>4500000</v>
      </c>
      <c r="H17" s="5"/>
      <c r="I17" s="5"/>
      <c r="J17" s="5"/>
      <c r="K17" s="5">
        <f t="shared" si="15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6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08"/>
      <c r="B18" s="1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4"/>
        <v>5500000</v>
      </c>
      <c r="H18" s="5"/>
      <c r="I18" s="5">
        <v>450000</v>
      </c>
      <c r="J18" s="5"/>
      <c r="K18" s="5">
        <f t="shared" si="5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/>
      <c r="R18" s="5"/>
      <c r="S18" s="5"/>
      <c r="T18" s="5">
        <f t="shared" si="7"/>
        <v>645521</v>
      </c>
      <c r="U18" s="7">
        <f t="shared" si="13"/>
        <v>5304479</v>
      </c>
      <c r="V18" s="8"/>
      <c r="W18" s="9"/>
      <c r="X18" s="8">
        <f t="shared" si="4"/>
        <v>5304479</v>
      </c>
    </row>
    <row r="19" spans="1:24" x14ac:dyDescent="0.25">
      <c r="A19" s="108"/>
      <c r="B19" s="14">
        <v>16</v>
      </c>
      <c r="C19" s="11" t="s">
        <v>142</v>
      </c>
      <c r="D19" s="6" t="s">
        <v>26</v>
      </c>
      <c r="E19" s="5">
        <v>5000000</v>
      </c>
      <c r="F19" s="5">
        <v>30</v>
      </c>
      <c r="G19" s="5">
        <f t="shared" si="14"/>
        <v>5000000</v>
      </c>
      <c r="H19" s="5"/>
      <c r="I19" s="5"/>
      <c r="J19" s="5"/>
      <c r="K19" s="5">
        <f t="shared" ref="K19" si="17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" si="18">SUM(L19:S19)</f>
        <v>552000</v>
      </c>
      <c r="U19" s="7">
        <f t="shared" si="13"/>
        <v>4448000</v>
      </c>
      <c r="V19" s="8"/>
      <c r="W19" s="9"/>
      <c r="X19" s="8">
        <f t="shared" si="4"/>
        <v>4448000</v>
      </c>
    </row>
    <row r="20" spans="1:24" ht="24" x14ac:dyDescent="0.25">
      <c r="A20" s="108"/>
      <c r="B20" s="14">
        <v>17</v>
      </c>
      <c r="C20" s="11" t="s">
        <v>42</v>
      </c>
      <c r="D20" s="6" t="s">
        <v>26</v>
      </c>
      <c r="E20" s="5">
        <v>5000000</v>
      </c>
      <c r="F20" s="5">
        <v>30</v>
      </c>
      <c r="G20" s="5">
        <f>+E20-J20</f>
        <v>5000000</v>
      </c>
      <c r="H20" s="5"/>
      <c r="I20" s="5">
        <v>990000</v>
      </c>
      <c r="J20" s="5"/>
      <c r="K20" s="5">
        <f t="shared" si="5"/>
        <v>5990000</v>
      </c>
      <c r="L20" s="5">
        <v>200000</v>
      </c>
      <c r="M20" s="5">
        <v>250000</v>
      </c>
      <c r="N20" s="5"/>
      <c r="O20" s="5"/>
      <c r="P20" s="17">
        <v>98752</v>
      </c>
      <c r="Q20" s="5"/>
      <c r="R20" s="5"/>
      <c r="S20" s="5"/>
      <c r="T20" s="5">
        <f t="shared" si="7"/>
        <v>548752</v>
      </c>
      <c r="U20" s="7">
        <f>K20-T20</f>
        <v>5441248</v>
      </c>
      <c r="V20" s="8"/>
      <c r="W20" s="9"/>
      <c r="X20" s="8">
        <f t="shared" si="4"/>
        <v>5441248</v>
      </c>
    </row>
    <row r="21" spans="1:24" x14ac:dyDescent="0.25">
      <c r="A21" s="108"/>
      <c r="B21" s="14">
        <v>18</v>
      </c>
      <c r="C21" s="11" t="s">
        <v>43</v>
      </c>
      <c r="D21" s="6" t="s">
        <v>26</v>
      </c>
      <c r="E21" s="5">
        <v>6600000</v>
      </c>
      <c r="F21" s="5">
        <v>30</v>
      </c>
      <c r="G21" s="5">
        <f t="shared" ref="G21:G29" si="19">E21/30*F21</f>
        <v>6600000</v>
      </c>
      <c r="H21" s="5"/>
      <c r="I21" s="5"/>
      <c r="J21" s="5"/>
      <c r="K21" s="5">
        <f t="shared" si="5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288000</v>
      </c>
      <c r="Q21" s="5"/>
      <c r="R21" s="5"/>
      <c r="S21" s="18"/>
      <c r="T21" s="5">
        <f t="shared" si="7"/>
        <v>882000</v>
      </c>
      <c r="U21" s="7">
        <f>K21-T21</f>
        <v>5718000</v>
      </c>
      <c r="V21" s="8"/>
      <c r="W21" s="9"/>
      <c r="X21" s="8">
        <f t="shared" si="4"/>
        <v>5718000</v>
      </c>
    </row>
    <row r="22" spans="1:24" x14ac:dyDescent="0.25">
      <c r="A22" s="108"/>
      <c r="B22" s="14">
        <v>19</v>
      </c>
      <c r="C22" s="11" t="s">
        <v>44</v>
      </c>
      <c r="D22" s="6" t="s">
        <v>26</v>
      </c>
      <c r="E22" s="5">
        <v>6900000</v>
      </c>
      <c r="F22" s="5">
        <v>30</v>
      </c>
      <c r="G22" s="5">
        <f t="shared" si="19"/>
        <v>6900000</v>
      </c>
      <c r="H22" s="5"/>
      <c r="I22" s="5">
        <v>1400000</v>
      </c>
      <c r="J22" s="5"/>
      <c r="K22" s="5">
        <f t="shared" ref="K22" si="20">SUM(G22:I22)+J22</f>
        <v>8300000</v>
      </c>
      <c r="L22" s="5">
        <f t="shared" ref="L22" si="21">+G22*4%</f>
        <v>276000</v>
      </c>
      <c r="M22" s="5">
        <f t="shared" ref="M22" si="22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ref="T22:T23" si="23">SUM(L22:S22)</f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08"/>
      <c r="B23" s="14">
        <v>20</v>
      </c>
      <c r="C23" s="11" t="s">
        <v>45</v>
      </c>
      <c r="D23" s="6" t="s">
        <v>26</v>
      </c>
      <c r="E23" s="5">
        <v>3500000</v>
      </c>
      <c r="F23" s="5">
        <v>30</v>
      </c>
      <c r="G23" s="5">
        <f t="shared" ref="G23" si="24">+E23/30*F23</f>
        <v>3500000</v>
      </c>
      <c r="H23" s="5"/>
      <c r="I23" s="5"/>
      <c r="J23" s="5"/>
      <c r="K23" s="5">
        <f t="shared" ref="K23" si="25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3"/>
        <v>315000</v>
      </c>
      <c r="U23" s="7">
        <f t="shared" ref="U23" si="26">+K23-T23</f>
        <v>3185000</v>
      </c>
      <c r="V23" s="8"/>
      <c r="W23" s="9"/>
      <c r="X23" s="8">
        <f t="shared" si="4"/>
        <v>3185000</v>
      </c>
    </row>
    <row r="24" spans="1:24" x14ac:dyDescent="0.25">
      <c r="A24" s="108"/>
      <c r="B24" s="14">
        <v>21</v>
      </c>
      <c r="C24" s="11" t="s">
        <v>46</v>
      </c>
      <c r="D24" s="6" t="s">
        <v>26</v>
      </c>
      <c r="E24" s="5">
        <v>5000000</v>
      </c>
      <c r="F24" s="5">
        <v>30</v>
      </c>
      <c r="G24" s="5">
        <f t="shared" si="19"/>
        <v>5000000</v>
      </c>
      <c r="H24" s="5"/>
      <c r="I24" s="5">
        <v>1621317</v>
      </c>
      <c r="J24" s="5"/>
      <c r="K24" s="5">
        <f t="shared" si="5"/>
        <v>6621317</v>
      </c>
      <c r="L24" s="5">
        <f>+G24*4%</f>
        <v>200000</v>
      </c>
      <c r="M24" s="5">
        <f t="shared" si="10"/>
        <v>250000</v>
      </c>
      <c r="N24" s="5"/>
      <c r="O24" s="5"/>
      <c r="P24" s="17">
        <v>50000</v>
      </c>
      <c r="Q24" s="5">
        <v>3000000</v>
      </c>
      <c r="R24" s="5"/>
      <c r="S24" s="5">
        <f>884747</f>
        <v>884747</v>
      </c>
      <c r="T24" s="5">
        <f t="shared" si="7"/>
        <v>4384747</v>
      </c>
      <c r="U24" s="7">
        <f>+K24-T24</f>
        <v>2236570</v>
      </c>
      <c r="V24" s="8"/>
      <c r="W24" s="9"/>
      <c r="X24" s="8">
        <f t="shared" si="4"/>
        <v>2236570</v>
      </c>
    </row>
    <row r="25" spans="1:24" x14ac:dyDescent="0.25">
      <c r="A25" s="108"/>
      <c r="B25" s="14">
        <v>22</v>
      </c>
      <c r="C25" s="11" t="s">
        <v>47</v>
      </c>
      <c r="D25" s="6" t="s">
        <v>26</v>
      </c>
      <c r="E25" s="5">
        <v>4500000</v>
      </c>
      <c r="F25" s="5">
        <v>30</v>
      </c>
      <c r="G25" s="5">
        <f>+E25-J25</f>
        <v>3450000</v>
      </c>
      <c r="H25" s="5"/>
      <c r="I25" s="5"/>
      <c r="J25" s="5">
        <v>1050000</v>
      </c>
      <c r="K25" s="5">
        <f t="shared" si="5"/>
        <v>4500000</v>
      </c>
      <c r="L25" s="5">
        <v>180000</v>
      </c>
      <c r="M25" s="5">
        <v>225000</v>
      </c>
      <c r="N25" s="5"/>
      <c r="O25" s="5"/>
      <c r="P25" s="17">
        <v>31000</v>
      </c>
      <c r="Q25" s="5"/>
      <c r="R25" s="5"/>
      <c r="S25" s="5"/>
      <c r="T25" s="5">
        <f t="shared" si="7"/>
        <v>436000</v>
      </c>
      <c r="U25" s="7">
        <f>+K25-T25</f>
        <v>4064000</v>
      </c>
      <c r="V25" s="8"/>
      <c r="W25" s="9"/>
      <c r="X25" s="8">
        <f t="shared" si="4"/>
        <v>4064000</v>
      </c>
    </row>
    <row r="26" spans="1:24" x14ac:dyDescent="0.25">
      <c r="A26" s="108"/>
      <c r="B26" s="14">
        <v>23</v>
      </c>
      <c r="C26" s="11" t="s">
        <v>48</v>
      </c>
      <c r="D26" s="6" t="s">
        <v>26</v>
      </c>
      <c r="E26" s="5">
        <v>5000000</v>
      </c>
      <c r="F26" s="5">
        <v>30</v>
      </c>
      <c r="G26" s="5">
        <v>4944460</v>
      </c>
      <c r="H26" s="5"/>
      <c r="I26" s="5"/>
      <c r="J26" s="5">
        <v>0</v>
      </c>
      <c r="K26" s="5">
        <f t="shared" si="5"/>
        <v>4944460</v>
      </c>
      <c r="L26" s="5">
        <f>+E26*4%</f>
        <v>200000</v>
      </c>
      <c r="M26" s="5">
        <f>+E26*5%</f>
        <v>250000</v>
      </c>
      <c r="N26" s="5"/>
      <c r="O26" s="5"/>
      <c r="P26" s="17">
        <v>140000</v>
      </c>
      <c r="Q26" s="5"/>
      <c r="R26" s="5"/>
      <c r="S26" s="5"/>
      <c r="T26" s="5">
        <f t="shared" si="7"/>
        <v>590000</v>
      </c>
      <c r="U26" s="7">
        <f>+K26-T26</f>
        <v>4354460</v>
      </c>
      <c r="V26" s="8"/>
      <c r="W26" s="9"/>
      <c r="X26" s="8">
        <f t="shared" si="4"/>
        <v>4354460</v>
      </c>
    </row>
    <row r="27" spans="1:24" x14ac:dyDescent="0.25">
      <c r="A27" s="108"/>
      <c r="B27" s="14">
        <v>24</v>
      </c>
      <c r="C27" s="11" t="s">
        <v>49</v>
      </c>
      <c r="D27" s="6" t="s">
        <v>26</v>
      </c>
      <c r="E27" s="5">
        <v>4500000</v>
      </c>
      <c r="F27" s="5">
        <v>30</v>
      </c>
      <c r="G27" s="5">
        <f>E27/30*F27</f>
        <v>4500000</v>
      </c>
      <c r="H27" s="5" t="s">
        <v>153</v>
      </c>
      <c r="I27" s="5"/>
      <c r="J27" s="5"/>
      <c r="K27" s="5">
        <f t="shared" ref="K27" si="27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8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08"/>
      <c r="B28" s="14">
        <v>25</v>
      </c>
      <c r="C28" s="11" t="s">
        <v>50</v>
      </c>
      <c r="D28" s="6" t="s">
        <v>26</v>
      </c>
      <c r="E28" s="5">
        <v>6000000</v>
      </c>
      <c r="F28" s="5">
        <v>30</v>
      </c>
      <c r="G28" s="5">
        <f t="shared" si="19"/>
        <v>6000000</v>
      </c>
      <c r="H28" s="5"/>
      <c r="I28" s="2"/>
      <c r="J28" s="2"/>
      <c r="K28" s="5">
        <f t="shared" si="5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7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08"/>
      <c r="B29" s="14">
        <v>26</v>
      </c>
      <c r="C29" s="11" t="s">
        <v>52</v>
      </c>
      <c r="D29" s="6" t="s">
        <v>26</v>
      </c>
      <c r="E29" s="5">
        <v>3500000</v>
      </c>
      <c r="F29" s="5">
        <v>30</v>
      </c>
      <c r="G29" s="5">
        <f t="shared" si="19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9">SUM(L29:S29)</f>
        <v>315000</v>
      </c>
      <c r="U29" s="7">
        <f>K29-T29</f>
        <v>3185000</v>
      </c>
      <c r="V29" s="8"/>
      <c r="W29" s="9"/>
      <c r="X29" s="8">
        <f t="shared" si="4"/>
        <v>3185000</v>
      </c>
    </row>
    <row r="30" spans="1:24" x14ac:dyDescent="0.25">
      <c r="A30" s="108"/>
      <c r="B30" s="14">
        <v>27</v>
      </c>
      <c r="C30" s="11" t="s">
        <v>53</v>
      </c>
      <c r="D30" s="6" t="s">
        <v>26</v>
      </c>
      <c r="E30" s="5">
        <v>4800000</v>
      </c>
      <c r="F30" s="5">
        <v>30</v>
      </c>
      <c r="G30" s="5">
        <f t="shared" ref="G30:G55" si="30">+E30/30*F30</f>
        <v>4800000</v>
      </c>
      <c r="H30" s="5"/>
      <c r="I30" s="5"/>
      <c r="J30" s="5"/>
      <c r="K30" s="5">
        <f t="shared" si="5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7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08"/>
      <c r="B31" s="14">
        <v>28</v>
      </c>
      <c r="C31" s="11" t="s">
        <v>54</v>
      </c>
      <c r="D31" s="6" t="s">
        <v>26</v>
      </c>
      <c r="E31" s="5">
        <v>4280000</v>
      </c>
      <c r="F31" s="5">
        <v>30</v>
      </c>
      <c r="G31" s="5">
        <f>E31/30*F31</f>
        <v>4280000</v>
      </c>
      <c r="H31" s="5"/>
      <c r="I31" s="5"/>
      <c r="J31" s="5">
        <v>713333</v>
      </c>
      <c r="K31" s="5">
        <f t="shared" si="5"/>
        <v>4993333</v>
      </c>
      <c r="L31" s="5">
        <f>+K31*4%</f>
        <v>199733.32</v>
      </c>
      <c r="M31" s="5">
        <v>249666</v>
      </c>
      <c r="N31" s="5"/>
      <c r="O31" s="5"/>
      <c r="P31" s="17">
        <v>31064</v>
      </c>
      <c r="Q31" s="5"/>
      <c r="R31" s="5"/>
      <c r="S31" s="5"/>
      <c r="T31" s="5">
        <f t="shared" si="7"/>
        <v>480463.32</v>
      </c>
      <c r="U31" s="7">
        <f>K31-T31</f>
        <v>4512869.68</v>
      </c>
      <c r="V31" s="8"/>
      <c r="W31" s="9"/>
      <c r="X31" s="8">
        <f t="shared" si="4"/>
        <v>4512869.68</v>
      </c>
    </row>
    <row r="32" spans="1:24" x14ac:dyDescent="0.25">
      <c r="A32" s="108"/>
      <c r="B32" s="14">
        <v>29</v>
      </c>
      <c r="C32" s="11" t="s">
        <v>55</v>
      </c>
      <c r="D32" s="6" t="s">
        <v>26</v>
      </c>
      <c r="E32" s="5">
        <v>6000000</v>
      </c>
      <c r="F32" s="5">
        <v>30</v>
      </c>
      <c r="G32" s="5">
        <f t="shared" si="30"/>
        <v>6000000</v>
      </c>
      <c r="H32" s="5"/>
      <c r="I32" s="5"/>
      <c r="J32" s="5"/>
      <c r="K32" s="5">
        <f t="shared" si="5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7"/>
        <v>870614</v>
      </c>
      <c r="U32" s="7">
        <f t="shared" ref="U32:U33" si="31">+K32-T32</f>
        <v>5129386</v>
      </c>
      <c r="V32" s="8"/>
      <c r="W32" s="9"/>
      <c r="X32" s="8">
        <f t="shared" si="4"/>
        <v>5129386</v>
      </c>
    </row>
    <row r="33" spans="1:26" x14ac:dyDescent="0.25">
      <c r="A33" s="108"/>
      <c r="B33" s="14">
        <v>30</v>
      </c>
      <c r="C33" s="11" t="s">
        <v>56</v>
      </c>
      <c r="D33" s="6" t="s">
        <v>26</v>
      </c>
      <c r="E33" s="5">
        <v>4500000</v>
      </c>
      <c r="F33" s="5">
        <v>30</v>
      </c>
      <c r="G33" s="5">
        <f t="shared" si="30"/>
        <v>4500000</v>
      </c>
      <c r="H33" s="5"/>
      <c r="I33" s="5">
        <v>500000</v>
      </c>
      <c r="J33" s="2"/>
      <c r="K33" s="5">
        <f t="shared" si="5"/>
        <v>5000000</v>
      </c>
      <c r="L33" s="5">
        <f t="shared" si="6"/>
        <v>180000</v>
      </c>
      <c r="M33" s="5">
        <f t="shared" si="10"/>
        <v>225000</v>
      </c>
      <c r="N33" s="5"/>
      <c r="O33" s="5"/>
      <c r="P33" s="5">
        <v>11000</v>
      </c>
      <c r="Q33" s="5"/>
      <c r="R33" s="5">
        <v>589170</v>
      </c>
      <c r="S33" s="5">
        <v>551399</v>
      </c>
      <c r="T33" s="5">
        <f t="shared" si="7"/>
        <v>1556569</v>
      </c>
      <c r="U33" s="7">
        <f t="shared" si="31"/>
        <v>3443431</v>
      </c>
      <c r="V33" s="8"/>
      <c r="W33" s="9"/>
      <c r="X33" s="8">
        <f t="shared" si="4"/>
        <v>3443431</v>
      </c>
    </row>
    <row r="34" spans="1:26" x14ac:dyDescent="0.25">
      <c r="A34" s="108"/>
      <c r="B34" s="14">
        <v>31</v>
      </c>
      <c r="C34" s="3" t="s">
        <v>57</v>
      </c>
      <c r="D34" s="4" t="s">
        <v>26</v>
      </c>
      <c r="E34" s="5">
        <v>4815000</v>
      </c>
      <c r="F34" s="5">
        <v>30</v>
      </c>
      <c r="G34" s="5">
        <f>+E34-J34</f>
        <v>4815000</v>
      </c>
      <c r="H34" s="5"/>
      <c r="I34" s="5"/>
      <c r="J34" s="5"/>
      <c r="K34" s="5">
        <f t="shared" si="5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7"/>
        <v>1009356</v>
      </c>
      <c r="U34" s="7">
        <f>K34-T34</f>
        <v>3805644</v>
      </c>
      <c r="V34" s="8"/>
      <c r="W34" s="9"/>
      <c r="X34" s="8">
        <f t="shared" si="4"/>
        <v>3805644</v>
      </c>
    </row>
    <row r="35" spans="1:26" ht="24" x14ac:dyDescent="0.25">
      <c r="A35" s="108"/>
      <c r="B35" s="14">
        <v>32</v>
      </c>
      <c r="C35" s="11" t="s">
        <v>58</v>
      </c>
      <c r="D35" s="6" t="s">
        <v>26</v>
      </c>
      <c r="E35" s="5">
        <v>6420000</v>
      </c>
      <c r="F35" s="5">
        <v>30</v>
      </c>
      <c r="G35" s="5">
        <f>+E35-J35</f>
        <v>6420000</v>
      </c>
      <c r="H35" s="5"/>
      <c r="I35" s="5"/>
      <c r="J35" s="5">
        <v>0</v>
      </c>
      <c r="K35" s="5">
        <f t="shared" ref="K35:K79" si="32">SUM(G35:I35)+J35</f>
        <v>6420000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7"/>
        <v>808800</v>
      </c>
      <c r="U35" s="7">
        <f>+K35-T35</f>
        <v>5611200</v>
      </c>
      <c r="V35" s="8"/>
      <c r="W35" s="9"/>
      <c r="X35" s="8">
        <f t="shared" si="4"/>
        <v>5611200</v>
      </c>
    </row>
    <row r="36" spans="1:26" x14ac:dyDescent="0.25">
      <c r="A36" s="108"/>
      <c r="B36" s="14">
        <v>33</v>
      </c>
      <c r="C36" s="3" t="s">
        <v>59</v>
      </c>
      <c r="D36" s="4" t="s">
        <v>26</v>
      </c>
      <c r="E36" s="5">
        <v>6900000</v>
      </c>
      <c r="F36" s="5">
        <v>30</v>
      </c>
      <c r="G36" s="5">
        <f t="shared" si="30"/>
        <v>6900000</v>
      </c>
      <c r="H36" s="5"/>
      <c r="I36" s="5">
        <v>1500000</v>
      </c>
      <c r="J36" s="2"/>
      <c r="K36" s="5">
        <f t="shared" si="32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7"/>
        <v>966000</v>
      </c>
      <c r="U36" s="7">
        <f>K36-T36</f>
        <v>7434000</v>
      </c>
      <c r="V36" s="8"/>
      <c r="W36" s="9"/>
      <c r="X36" s="8">
        <f t="shared" si="4"/>
        <v>7434000</v>
      </c>
    </row>
    <row r="37" spans="1:26" x14ac:dyDescent="0.25">
      <c r="A37" s="108"/>
      <c r="B37" s="14">
        <v>34</v>
      </c>
      <c r="C37" s="3" t="s">
        <v>61</v>
      </c>
      <c r="D37" s="4" t="s">
        <v>26</v>
      </c>
      <c r="E37" s="5">
        <v>5500000</v>
      </c>
      <c r="F37" s="5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3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4">SUM(L37:S37)</f>
        <v>639000</v>
      </c>
      <c r="U37" s="7">
        <f t="shared" ref="U37" si="35">K37-T37</f>
        <v>5361000</v>
      </c>
      <c r="V37" s="8"/>
      <c r="W37" s="9"/>
      <c r="X37" s="8">
        <f t="shared" si="4"/>
        <v>5361000</v>
      </c>
    </row>
    <row r="38" spans="1:26" x14ac:dyDescent="0.25">
      <c r="A38" s="108"/>
      <c r="B38" s="14">
        <v>35</v>
      </c>
      <c r="C38" s="11" t="s">
        <v>62</v>
      </c>
      <c r="D38" s="6" t="s">
        <v>26</v>
      </c>
      <c r="E38" s="5">
        <v>5350000</v>
      </c>
      <c r="F38" s="5">
        <v>30</v>
      </c>
      <c r="G38" s="5">
        <f t="shared" si="30"/>
        <v>5350000</v>
      </c>
      <c r="H38" s="5"/>
      <c r="I38" s="5"/>
      <c r="J38" s="5"/>
      <c r="K38" s="5">
        <f t="shared" si="32"/>
        <v>5350000</v>
      </c>
      <c r="L38" s="5">
        <f>+G38*4%</f>
        <v>214000</v>
      </c>
      <c r="M38" s="5">
        <f>+G38*5%</f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4" si="36">+K38-T38</f>
        <v>4747500</v>
      </c>
      <c r="V38" s="8"/>
      <c r="W38" s="9"/>
      <c r="X38" s="8">
        <f t="shared" si="4"/>
        <v>4747500</v>
      </c>
    </row>
    <row r="39" spans="1:26" x14ac:dyDescent="0.25">
      <c r="A39" s="108"/>
      <c r="B39" s="14">
        <v>36</v>
      </c>
      <c r="C39" s="11" t="s">
        <v>148</v>
      </c>
      <c r="D39" s="6"/>
      <c r="E39" s="5">
        <v>4000000</v>
      </c>
      <c r="F39" s="5">
        <v>30</v>
      </c>
      <c r="G39" s="5">
        <f t="shared" si="30"/>
        <v>4000000.0000000005</v>
      </c>
      <c r="H39" s="5"/>
      <c r="I39" s="5"/>
      <c r="J39" s="5"/>
      <c r="K39" s="5">
        <f t="shared" ref="K39" si="37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6"/>
        <v>3640000.0000000005</v>
      </c>
      <c r="V39" s="8"/>
      <c r="W39" s="9"/>
      <c r="X39" s="8">
        <f t="shared" si="4"/>
        <v>3640000.0000000005</v>
      </c>
    </row>
    <row r="40" spans="1:26" x14ac:dyDescent="0.25">
      <c r="A40" s="108"/>
      <c r="B40" s="14">
        <v>37</v>
      </c>
      <c r="C40" s="11" t="s">
        <v>63</v>
      </c>
      <c r="D40" s="6" t="s">
        <v>26</v>
      </c>
      <c r="E40" s="5">
        <v>4500000</v>
      </c>
      <c r="F40" s="5">
        <v>30</v>
      </c>
      <c r="G40" s="5">
        <f t="shared" si="30"/>
        <v>4500000</v>
      </c>
      <c r="H40" s="5"/>
      <c r="I40" s="5"/>
      <c r="J40" s="5">
        <f>+E40-G40</f>
        <v>0</v>
      </c>
      <c r="K40" s="5">
        <f t="shared" si="32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18"/>
      <c r="T40" s="5">
        <f>SUM(L40:S40)</f>
        <v>415000</v>
      </c>
      <c r="U40" s="7">
        <f t="shared" si="36"/>
        <v>4085000</v>
      </c>
      <c r="V40" s="8"/>
      <c r="W40" s="9"/>
      <c r="X40" s="8">
        <f t="shared" si="4"/>
        <v>4085000</v>
      </c>
    </row>
    <row r="41" spans="1:26" ht="26.25" customHeight="1" x14ac:dyDescent="0.25">
      <c r="A41" s="108"/>
      <c r="B41" s="14">
        <v>38</v>
      </c>
      <c r="C41" s="11" t="s">
        <v>65</v>
      </c>
      <c r="D41" s="6" t="s">
        <v>26</v>
      </c>
      <c r="E41" s="5">
        <v>4800000</v>
      </c>
      <c r="F41" s="5">
        <v>30</v>
      </c>
      <c r="G41" s="5">
        <f t="shared" si="30"/>
        <v>4800000</v>
      </c>
      <c r="H41" s="5"/>
      <c r="I41" s="5"/>
      <c r="J41" s="5"/>
      <c r="K41" s="5">
        <f t="shared" ref="K41" si="38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/>
      <c r="R41" s="5"/>
      <c r="S41" s="5"/>
      <c r="T41" s="5">
        <f t="shared" ref="T41" si="39">SUM(L41:S41)</f>
        <v>483000</v>
      </c>
      <c r="U41" s="7">
        <f t="shared" si="36"/>
        <v>4317000</v>
      </c>
      <c r="V41" s="8"/>
      <c r="W41" s="9"/>
      <c r="X41" s="8">
        <f t="shared" si="4"/>
        <v>4317000</v>
      </c>
    </row>
    <row r="42" spans="1:26" ht="26.25" customHeight="1" x14ac:dyDescent="0.25">
      <c r="A42" s="108"/>
      <c r="B42" s="14">
        <v>39</v>
      </c>
      <c r="C42" s="11" t="s">
        <v>66</v>
      </c>
      <c r="D42" s="6"/>
      <c r="E42" s="5">
        <v>4000000</v>
      </c>
      <c r="F42" s="5">
        <v>30</v>
      </c>
      <c r="G42" s="5">
        <f t="shared" si="30"/>
        <v>4000000.0000000005</v>
      </c>
      <c r="H42" s="5"/>
      <c r="I42" s="5"/>
      <c r="J42" s="5"/>
      <c r="K42" s="5">
        <f t="shared" ref="K42" si="40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1">SUM(L42:S42)</f>
        <v>364500.00000000006</v>
      </c>
      <c r="U42" s="7">
        <f t="shared" si="36"/>
        <v>3635500.0000000005</v>
      </c>
      <c r="V42" s="8"/>
      <c r="W42" s="9"/>
      <c r="X42" s="8">
        <f t="shared" si="4"/>
        <v>3635500.0000000005</v>
      </c>
    </row>
    <row r="43" spans="1:26" ht="24" x14ac:dyDescent="0.25">
      <c r="A43" s="108"/>
      <c r="B43" s="14">
        <v>40</v>
      </c>
      <c r="C43" s="11" t="s">
        <v>67</v>
      </c>
      <c r="D43" s="6" t="s">
        <v>26</v>
      </c>
      <c r="E43" s="5">
        <v>3500000</v>
      </c>
      <c r="F43" s="5">
        <v>30</v>
      </c>
      <c r="G43" s="5">
        <f>+E43-J43</f>
        <v>1866667</v>
      </c>
      <c r="H43" s="5"/>
      <c r="I43" s="5" t="s">
        <v>1</v>
      </c>
      <c r="J43" s="5">
        <f>350000+1283333</f>
        <v>1633333</v>
      </c>
      <c r="K43" s="5">
        <f t="shared" si="32"/>
        <v>3500000</v>
      </c>
      <c r="L43" s="5">
        <f>+K43*4%</f>
        <v>140000</v>
      </c>
      <c r="M43" s="5">
        <f>+K43*5%</f>
        <v>175000</v>
      </c>
      <c r="N43" s="5"/>
      <c r="O43" s="5"/>
      <c r="P43" s="5"/>
      <c r="Q43" s="5"/>
      <c r="R43" s="5"/>
      <c r="S43" s="5"/>
      <c r="T43" s="5">
        <f t="shared" si="7"/>
        <v>315000</v>
      </c>
      <c r="U43" s="7">
        <f t="shared" si="36"/>
        <v>3185000</v>
      </c>
      <c r="V43" s="8"/>
      <c r="W43" s="9"/>
      <c r="X43" s="8">
        <f t="shared" si="4"/>
        <v>3185000</v>
      </c>
    </row>
    <row r="44" spans="1:26" x14ac:dyDescent="0.25">
      <c r="A44" s="108"/>
      <c r="B44" s="14">
        <v>41</v>
      </c>
      <c r="C44" s="11" t="s">
        <v>68</v>
      </c>
      <c r="D44" s="6" t="s">
        <v>26</v>
      </c>
      <c r="E44" s="5">
        <v>5000000</v>
      </c>
      <c r="F44" s="5">
        <v>30</v>
      </c>
      <c r="G44" s="5">
        <f t="shared" si="30"/>
        <v>5000000</v>
      </c>
      <c r="H44" s="5"/>
      <c r="I44" s="5">
        <v>800000</v>
      </c>
      <c r="J44" s="5"/>
      <c r="K44" s="5">
        <f t="shared" si="32"/>
        <v>5800000</v>
      </c>
      <c r="L44" s="5">
        <f>+G44*4%</f>
        <v>200000</v>
      </c>
      <c r="M44" s="5">
        <f>+G44*5%</f>
        <v>250000</v>
      </c>
      <c r="N44" s="5"/>
      <c r="O44" s="5"/>
      <c r="P44" s="5">
        <v>50000</v>
      </c>
      <c r="Q44" s="5"/>
      <c r="R44" s="5"/>
      <c r="S44" s="5"/>
      <c r="T44" s="5">
        <f t="shared" si="7"/>
        <v>500000</v>
      </c>
      <c r="U44" s="7">
        <f t="shared" si="36"/>
        <v>5300000</v>
      </c>
      <c r="V44" s="8"/>
      <c r="W44" s="9"/>
      <c r="X44" s="8">
        <f t="shared" si="4"/>
        <v>5300000</v>
      </c>
      <c r="Y44" s="8">
        <v>4886979</v>
      </c>
      <c r="Z44" s="20">
        <f>+X44-Y44</f>
        <v>413021</v>
      </c>
    </row>
    <row r="45" spans="1:26" ht="30.75" customHeight="1" x14ac:dyDescent="0.25">
      <c r="A45" s="108"/>
      <c r="B45" s="14">
        <v>42</v>
      </c>
      <c r="C45" s="11" t="s">
        <v>69</v>
      </c>
      <c r="D45" s="6" t="s">
        <v>26</v>
      </c>
      <c r="E45" s="5">
        <v>5152050</v>
      </c>
      <c r="F45" s="5">
        <v>30</v>
      </c>
      <c r="G45" s="5">
        <f>+E45-J45</f>
        <v>5152050</v>
      </c>
      <c r="H45" s="5"/>
      <c r="I45" s="5">
        <v>350000</v>
      </c>
      <c r="J45" s="5"/>
      <c r="K45" s="5">
        <f t="shared" si="32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7"/>
        <v>556684.5</v>
      </c>
      <c r="U45" s="7">
        <f>K45-T45</f>
        <v>4945365.5</v>
      </c>
      <c r="V45" s="8"/>
      <c r="W45" s="9"/>
      <c r="X45" s="8">
        <f t="shared" si="4"/>
        <v>4945365.5</v>
      </c>
    </row>
    <row r="46" spans="1:26" x14ac:dyDescent="0.25">
      <c r="A46" s="108"/>
      <c r="B46" s="14">
        <v>43</v>
      </c>
      <c r="C46" s="11" t="s">
        <v>70</v>
      </c>
      <c r="D46" s="6" t="s">
        <v>26</v>
      </c>
      <c r="E46" s="5">
        <v>9590321</v>
      </c>
      <c r="F46" s="5">
        <v>30</v>
      </c>
      <c r="G46" s="5">
        <f t="shared" si="30"/>
        <v>9590321</v>
      </c>
      <c r="H46" s="5"/>
      <c r="I46" s="5"/>
      <c r="J46" s="2"/>
      <c r="K46" s="5">
        <f t="shared" si="32"/>
        <v>9590321</v>
      </c>
      <c r="L46" s="5">
        <v>268529</v>
      </c>
      <c r="M46" s="5">
        <v>335661</v>
      </c>
      <c r="N46" s="5"/>
      <c r="O46" s="5"/>
      <c r="P46" s="5">
        <v>205000</v>
      </c>
      <c r="Q46" s="5">
        <v>2500000</v>
      </c>
      <c r="R46" s="5"/>
      <c r="S46" s="5"/>
      <c r="T46" s="5">
        <f t="shared" si="7"/>
        <v>3309190</v>
      </c>
      <c r="U46" s="7">
        <f>K46-T46</f>
        <v>6281131</v>
      </c>
      <c r="V46" s="8"/>
      <c r="W46" s="9"/>
      <c r="X46" s="8">
        <f t="shared" si="4"/>
        <v>6281131</v>
      </c>
    </row>
    <row r="47" spans="1:26" x14ac:dyDescent="0.25">
      <c r="A47" s="109"/>
      <c r="B47" s="14">
        <v>44</v>
      </c>
      <c r="C47" s="11" t="s">
        <v>71</v>
      </c>
      <c r="D47" s="6" t="s">
        <v>26</v>
      </c>
      <c r="E47" s="5">
        <v>4500000</v>
      </c>
      <c r="F47" s="5">
        <v>30</v>
      </c>
      <c r="G47" s="5">
        <f>+E47-J47</f>
        <v>4500000</v>
      </c>
      <c r="H47" s="5"/>
      <c r="I47" s="5"/>
      <c r="J47" s="5"/>
      <c r="K47" s="5">
        <f t="shared" si="32"/>
        <v>4500000</v>
      </c>
      <c r="L47" s="5">
        <v>180000</v>
      </c>
      <c r="M47" s="5">
        <v>225000</v>
      </c>
      <c r="N47" s="5"/>
      <c r="O47" s="5"/>
      <c r="P47" s="5">
        <v>31000</v>
      </c>
      <c r="Q47" s="5"/>
      <c r="R47" s="5"/>
      <c r="S47" s="5"/>
      <c r="T47" s="5">
        <f t="shared" si="7"/>
        <v>436000</v>
      </c>
      <c r="U47" s="7">
        <f>K47-T47</f>
        <v>4064000</v>
      </c>
      <c r="V47" s="8"/>
      <c r="W47" s="9"/>
      <c r="X47" s="8">
        <f t="shared" si="4"/>
        <v>4064000</v>
      </c>
    </row>
    <row r="48" spans="1:26" x14ac:dyDescent="0.25">
      <c r="A48" s="107" t="s">
        <v>143</v>
      </c>
      <c r="B48" s="13">
        <v>1</v>
      </c>
      <c r="C48" s="11" t="s">
        <v>144</v>
      </c>
      <c r="D48" s="6"/>
      <c r="E48" s="5">
        <v>368858</v>
      </c>
      <c r="F48" s="5">
        <v>30</v>
      </c>
      <c r="G48" s="5">
        <f t="shared" si="30"/>
        <v>368858</v>
      </c>
      <c r="H48" s="5"/>
      <c r="I48" s="5"/>
      <c r="J48" s="5"/>
      <c r="K48" s="5">
        <f t="shared" si="32"/>
        <v>368858</v>
      </c>
      <c r="L48" s="5"/>
      <c r="M48" s="5"/>
      <c r="N48" s="5"/>
      <c r="O48" s="5"/>
      <c r="P48" s="5"/>
      <c r="Q48" s="5"/>
      <c r="R48" s="5"/>
      <c r="S48" s="5"/>
      <c r="T48" s="5"/>
      <c r="U48" s="7">
        <f>K48-T48</f>
        <v>368858</v>
      </c>
      <c r="V48" s="8"/>
      <c r="W48" s="9"/>
      <c r="X48" s="8">
        <f t="shared" si="4"/>
        <v>368858</v>
      </c>
    </row>
    <row r="49" spans="1:24" x14ac:dyDescent="0.25">
      <c r="A49" s="108"/>
      <c r="B49" s="13">
        <v>2</v>
      </c>
      <c r="C49" s="11" t="s">
        <v>72</v>
      </c>
      <c r="D49" s="6" t="s">
        <v>26</v>
      </c>
      <c r="E49" s="5">
        <v>3000000</v>
      </c>
      <c r="F49" s="5">
        <v>30</v>
      </c>
      <c r="G49" s="5">
        <f t="shared" si="30"/>
        <v>3000000</v>
      </c>
      <c r="H49" s="5"/>
      <c r="I49" s="5"/>
      <c r="J49" s="5"/>
      <c r="K49" s="5">
        <f t="shared" si="32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7"/>
        <v>270000</v>
      </c>
      <c r="U49" s="7">
        <f>K49-T49</f>
        <v>2730000</v>
      </c>
      <c r="V49" s="8"/>
      <c r="W49" s="9"/>
      <c r="X49" s="8">
        <f t="shared" si="4"/>
        <v>2730000</v>
      </c>
    </row>
    <row r="50" spans="1:24" ht="24" customHeight="1" x14ac:dyDescent="0.25">
      <c r="A50" s="108"/>
      <c r="B50" s="13">
        <v>3</v>
      </c>
      <c r="C50" s="11" t="s">
        <v>73</v>
      </c>
      <c r="D50" s="6" t="s">
        <v>26</v>
      </c>
      <c r="E50" s="5">
        <v>4000000</v>
      </c>
      <c r="F50" s="5">
        <v>30</v>
      </c>
      <c r="G50" s="5">
        <f t="shared" si="30"/>
        <v>4000000.0000000005</v>
      </c>
      <c r="H50" s="5"/>
      <c r="I50" s="5"/>
      <c r="J50" s="5">
        <v>1333333</v>
      </c>
      <c r="K50" s="5">
        <f t="shared" si="32"/>
        <v>5333333</v>
      </c>
      <c r="L50" s="5">
        <f>+K50*4%</f>
        <v>213333.32</v>
      </c>
      <c r="M50" s="5">
        <f>+K50*5%</f>
        <v>266666.65000000002</v>
      </c>
      <c r="N50" s="5"/>
      <c r="O50" s="5"/>
      <c r="P50" s="17">
        <v>3000</v>
      </c>
      <c r="Q50" s="5"/>
      <c r="R50" s="5">
        <v>163485</v>
      </c>
      <c r="S50" s="5"/>
      <c r="T50" s="5">
        <f t="shared" si="7"/>
        <v>646484.97</v>
      </c>
      <c r="U50" s="7">
        <f>+K50-T50</f>
        <v>4686848.03</v>
      </c>
      <c r="V50" s="8"/>
      <c r="W50" s="9"/>
      <c r="X50" s="8">
        <f t="shared" si="4"/>
        <v>4686848.03</v>
      </c>
    </row>
    <row r="51" spans="1:24" ht="25.5" customHeight="1" x14ac:dyDescent="0.25">
      <c r="A51" s="108"/>
      <c r="B51" s="13">
        <v>4</v>
      </c>
      <c r="C51" s="11" t="s">
        <v>74</v>
      </c>
      <c r="D51" s="6" t="s">
        <v>26</v>
      </c>
      <c r="E51" s="5">
        <v>800000</v>
      </c>
      <c r="F51" s="5">
        <v>30</v>
      </c>
      <c r="G51" s="5">
        <f t="shared" si="30"/>
        <v>800000</v>
      </c>
      <c r="H51" s="5">
        <v>83140</v>
      </c>
      <c r="I51" s="5"/>
      <c r="J51" s="5"/>
      <c r="K51" s="5">
        <f t="shared" si="32"/>
        <v>883140</v>
      </c>
      <c r="L51" s="5">
        <f>+G51*4%</f>
        <v>32000</v>
      </c>
      <c r="M51" s="5">
        <f>+G51*4%</f>
        <v>32000</v>
      </c>
      <c r="N51" s="5"/>
      <c r="O51" s="5"/>
      <c r="P51" s="17"/>
      <c r="Q51" s="5"/>
      <c r="R51" s="5"/>
      <c r="S51" s="5"/>
      <c r="T51" s="5">
        <f t="shared" ref="T51" si="42">SUM(L51:S51)</f>
        <v>64000</v>
      </c>
      <c r="U51" s="7">
        <f>+K51-T51</f>
        <v>819140</v>
      </c>
      <c r="V51" s="8"/>
      <c r="W51" s="9"/>
      <c r="X51" s="8">
        <f t="shared" si="4"/>
        <v>819140</v>
      </c>
    </row>
    <row r="52" spans="1:24" x14ac:dyDescent="0.25">
      <c r="A52" s="108"/>
      <c r="B52" s="13">
        <v>5</v>
      </c>
      <c r="C52" s="3" t="s">
        <v>75</v>
      </c>
      <c r="D52" s="4" t="s">
        <v>26</v>
      </c>
      <c r="E52" s="5">
        <v>1600000</v>
      </c>
      <c r="F52" s="5">
        <v>30</v>
      </c>
      <c r="G52" s="5">
        <f t="shared" si="30"/>
        <v>1600000</v>
      </c>
      <c r="H52" s="5"/>
      <c r="I52" s="5"/>
      <c r="J52" s="5"/>
      <c r="K52" s="5">
        <f t="shared" ref="K52" si="43">SUM(G52:I52)+J52</f>
        <v>1600000</v>
      </c>
      <c r="L52" s="5">
        <f>+G52*4%</f>
        <v>64000</v>
      </c>
      <c r="M52" s="5">
        <f>+G52*4%</f>
        <v>64000</v>
      </c>
      <c r="N52" s="5"/>
      <c r="O52" s="5"/>
      <c r="P52" s="5"/>
      <c r="Q52" s="5"/>
      <c r="R52" s="5"/>
      <c r="S52" s="5"/>
      <c r="T52" s="5">
        <f t="shared" si="7"/>
        <v>128000</v>
      </c>
      <c r="U52" s="7">
        <f>K52-T52</f>
        <v>1472000</v>
      </c>
      <c r="V52" s="8"/>
      <c r="W52" s="9"/>
      <c r="X52" s="8">
        <f t="shared" si="4"/>
        <v>1472000</v>
      </c>
    </row>
    <row r="53" spans="1:24" ht="18" customHeight="1" x14ac:dyDescent="0.25">
      <c r="A53" s="108"/>
      <c r="B53" s="13">
        <v>6</v>
      </c>
      <c r="C53" s="11" t="s">
        <v>76</v>
      </c>
      <c r="D53" s="6" t="s">
        <v>26</v>
      </c>
      <c r="E53" s="5">
        <v>737717</v>
      </c>
      <c r="F53" s="5">
        <v>30</v>
      </c>
      <c r="G53" s="5">
        <f t="shared" si="30"/>
        <v>737717</v>
      </c>
      <c r="H53" s="5">
        <f t="shared" ref="H53:H56" si="44">+(83140/30)*F53</f>
        <v>83140</v>
      </c>
      <c r="I53" s="5"/>
      <c r="J53" s="5"/>
      <c r="K53" s="5">
        <f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>+L53+M53</f>
        <v>59018</v>
      </c>
      <c r="U53" s="7">
        <f>+K53-T53</f>
        <v>761839</v>
      </c>
      <c r="V53" s="8"/>
      <c r="W53" s="9"/>
      <c r="X53" s="8">
        <f t="shared" si="4"/>
        <v>761839</v>
      </c>
    </row>
    <row r="54" spans="1:24" x14ac:dyDescent="0.25">
      <c r="A54" s="108"/>
      <c r="B54" s="13">
        <v>7</v>
      </c>
      <c r="C54" s="3" t="s">
        <v>77</v>
      </c>
      <c r="D54" s="4" t="s">
        <v>26</v>
      </c>
      <c r="E54" s="5">
        <v>1200000</v>
      </c>
      <c r="F54" s="5">
        <v>30</v>
      </c>
      <c r="G54" s="5">
        <f t="shared" si="30"/>
        <v>1200000</v>
      </c>
      <c r="H54" s="5">
        <f t="shared" si="44"/>
        <v>83140</v>
      </c>
      <c r="I54" s="5"/>
      <c r="J54" s="5"/>
      <c r="K54" s="5">
        <f t="shared" ref="K54" si="45">SUM(G54:I54)+J54</f>
        <v>1283140</v>
      </c>
      <c r="L54" s="5">
        <f>+G54*4%</f>
        <v>48000</v>
      </c>
      <c r="M54" s="5">
        <v>48000</v>
      </c>
      <c r="N54" s="5"/>
      <c r="O54" s="5"/>
      <c r="P54" s="5"/>
      <c r="Q54" s="5"/>
      <c r="R54" s="5"/>
      <c r="S54" s="5"/>
      <c r="T54" s="5">
        <f t="shared" ref="T54:T115" si="46">SUM(L54:S54)</f>
        <v>96000</v>
      </c>
      <c r="U54" s="7">
        <f>K54-T54</f>
        <v>1187140</v>
      </c>
      <c r="V54" s="8"/>
      <c r="W54" s="9"/>
      <c r="X54" s="8">
        <f t="shared" si="4"/>
        <v>1187140</v>
      </c>
    </row>
    <row r="55" spans="1:24" x14ac:dyDescent="0.25">
      <c r="A55" s="108"/>
      <c r="B55" s="13">
        <v>8</v>
      </c>
      <c r="C55" s="3" t="s">
        <v>163</v>
      </c>
      <c r="D55" s="4"/>
      <c r="E55" s="5">
        <v>2500000</v>
      </c>
      <c r="F55" s="5">
        <v>23</v>
      </c>
      <c r="G55" s="5">
        <f t="shared" si="30"/>
        <v>1916666.6666666665</v>
      </c>
      <c r="H55" s="5"/>
      <c r="I55" s="5"/>
      <c r="J55" s="5">
        <v>159722</v>
      </c>
      <c r="K55" s="5">
        <f t="shared" ref="K55:K56" si="47">SUM(G55:I55)+J55</f>
        <v>2076388.6666666665</v>
      </c>
      <c r="L55" s="5">
        <f>+G55*4%</f>
        <v>76666.666666666657</v>
      </c>
      <c r="M55" s="5">
        <f>+G55*4%</f>
        <v>76666.666666666657</v>
      </c>
      <c r="N55" s="5"/>
      <c r="O55" s="5"/>
      <c r="P55" s="5"/>
      <c r="Q55" s="5"/>
      <c r="R55" s="5"/>
      <c r="S55" s="5"/>
      <c r="T55" s="5">
        <f t="shared" ref="T55:T56" si="48">SUM(L55:S55)</f>
        <v>153333.33333333331</v>
      </c>
      <c r="U55" s="7">
        <f>K55-T55</f>
        <v>1923055.3333333333</v>
      </c>
      <c r="V55" s="8"/>
      <c r="W55" s="9"/>
      <c r="X55" s="8">
        <f t="shared" si="4"/>
        <v>1923055.3333333333</v>
      </c>
    </row>
    <row r="56" spans="1:24" x14ac:dyDescent="0.25">
      <c r="A56" s="108"/>
      <c r="B56" s="13">
        <v>9</v>
      </c>
      <c r="C56" s="11" t="s">
        <v>79</v>
      </c>
      <c r="D56" s="6" t="s">
        <v>26</v>
      </c>
      <c r="E56" s="5">
        <v>737717</v>
      </c>
      <c r="F56" s="5">
        <v>30</v>
      </c>
      <c r="G56" s="5">
        <v>590202</v>
      </c>
      <c r="H56" s="5">
        <f t="shared" si="44"/>
        <v>83140</v>
      </c>
      <c r="I56" s="5"/>
      <c r="J56" s="5"/>
      <c r="K56" s="5">
        <f t="shared" si="47"/>
        <v>673342</v>
      </c>
      <c r="L56" s="5">
        <v>29509</v>
      </c>
      <c r="M56" s="5">
        <v>29509</v>
      </c>
      <c r="N56" s="5"/>
      <c r="O56" s="5">
        <v>16933</v>
      </c>
      <c r="P56" s="17"/>
      <c r="Q56" s="5"/>
      <c r="R56" s="5"/>
      <c r="S56" s="5"/>
      <c r="T56" s="5">
        <f t="shared" si="48"/>
        <v>75951</v>
      </c>
      <c r="U56" s="7">
        <f t="shared" ref="U56:U64" si="49">+K56-T56</f>
        <v>597391</v>
      </c>
      <c r="V56" s="8"/>
      <c r="W56" s="9"/>
      <c r="X56" s="8">
        <f t="shared" si="4"/>
        <v>597391</v>
      </c>
    </row>
    <row r="57" spans="1:24" ht="24" x14ac:dyDescent="0.25">
      <c r="A57" s="108"/>
      <c r="B57" s="13">
        <v>10</v>
      </c>
      <c r="C57" s="11" t="s">
        <v>80</v>
      </c>
      <c r="D57" s="6" t="s">
        <v>26</v>
      </c>
      <c r="E57" s="5">
        <v>1500000</v>
      </c>
      <c r="F57" s="5">
        <v>30</v>
      </c>
      <c r="G57" s="5">
        <f>513338+800000</f>
        <v>1313338</v>
      </c>
      <c r="H57" s="5">
        <v>83140</v>
      </c>
      <c r="I57" s="5"/>
      <c r="J57" s="5"/>
      <c r="K57" s="5">
        <f t="shared" ref="K57" si="50">SUM(G57:I57)+J57</f>
        <v>1396478</v>
      </c>
      <c r="L57" s="5">
        <v>52533</v>
      </c>
      <c r="M57" s="5">
        <v>52533</v>
      </c>
      <c r="N57" s="5"/>
      <c r="O57" s="5"/>
      <c r="P57" s="17"/>
      <c r="Q57" s="5"/>
      <c r="R57" s="5"/>
      <c r="S57" s="5"/>
      <c r="T57" s="5">
        <f t="shared" ref="T57" si="51">SUM(L57:S57)</f>
        <v>105066</v>
      </c>
      <c r="U57" s="7">
        <f t="shared" si="49"/>
        <v>1291412</v>
      </c>
      <c r="V57" s="8"/>
      <c r="W57" s="9"/>
      <c r="X57" s="8">
        <f t="shared" si="4"/>
        <v>1291412</v>
      </c>
    </row>
    <row r="58" spans="1:24" ht="21.75" customHeight="1" x14ac:dyDescent="0.25">
      <c r="A58" s="108"/>
      <c r="B58" s="13">
        <v>11</v>
      </c>
      <c r="C58" s="11" t="s">
        <v>81</v>
      </c>
      <c r="D58" s="6" t="s">
        <v>26</v>
      </c>
      <c r="E58" s="5">
        <v>1450000</v>
      </c>
      <c r="F58" s="5">
        <v>30</v>
      </c>
      <c r="G58" s="5">
        <f t="shared" ref="G58:G61" si="52">+E58/30*F58</f>
        <v>1450000</v>
      </c>
      <c r="H58" s="5">
        <f>+(83140/30)*F58</f>
        <v>83140</v>
      </c>
      <c r="I58" s="5"/>
      <c r="J58" s="5"/>
      <c r="K58" s="5">
        <f t="shared" si="32"/>
        <v>1533140</v>
      </c>
      <c r="L58" s="5">
        <f>+G58*4%</f>
        <v>58000</v>
      </c>
      <c r="M58" s="5">
        <f>+G58*4%</f>
        <v>58000</v>
      </c>
      <c r="N58" s="5"/>
      <c r="O58" s="5"/>
      <c r="P58" s="5">
        <v>0</v>
      </c>
      <c r="Q58" s="5"/>
      <c r="R58" s="5"/>
      <c r="S58" s="5"/>
      <c r="T58" s="5">
        <f t="shared" si="46"/>
        <v>116000</v>
      </c>
      <c r="U58" s="7">
        <f t="shared" si="49"/>
        <v>1417140</v>
      </c>
      <c r="V58" s="8"/>
      <c r="W58" s="9"/>
      <c r="X58" s="8">
        <f t="shared" si="4"/>
        <v>1417140</v>
      </c>
    </row>
    <row r="59" spans="1:24" x14ac:dyDescent="0.25">
      <c r="A59" s="108"/>
      <c r="B59" s="13">
        <v>12</v>
      </c>
      <c r="C59" s="11" t="s">
        <v>82</v>
      </c>
      <c r="D59" s="6" t="s">
        <v>26</v>
      </c>
      <c r="E59" s="5">
        <v>737717</v>
      </c>
      <c r="F59" s="5">
        <v>30</v>
      </c>
      <c r="G59" s="5">
        <f t="shared" si="52"/>
        <v>737717</v>
      </c>
      <c r="H59" s="5">
        <v>83140</v>
      </c>
      <c r="I59" s="5"/>
      <c r="J59" s="5"/>
      <c r="K59" s="5">
        <f t="shared" ref="K59" si="53">SUM(G59:I59)+J59</f>
        <v>820857</v>
      </c>
      <c r="L59" s="5">
        <v>29509</v>
      </c>
      <c r="M59" s="5">
        <v>29509</v>
      </c>
      <c r="N59" s="5"/>
      <c r="O59" s="5"/>
      <c r="P59" s="17"/>
      <c r="Q59" s="5"/>
      <c r="R59" s="5"/>
      <c r="S59" s="5"/>
      <c r="T59" s="5">
        <f t="shared" si="46"/>
        <v>59018</v>
      </c>
      <c r="U59" s="7">
        <f t="shared" si="49"/>
        <v>761839</v>
      </c>
      <c r="V59" s="8"/>
      <c r="W59" s="9"/>
      <c r="X59" s="8">
        <f t="shared" si="4"/>
        <v>761839</v>
      </c>
    </row>
    <row r="60" spans="1:24" ht="17.25" customHeight="1" x14ac:dyDescent="0.25">
      <c r="A60" s="108"/>
      <c r="B60" s="13">
        <v>13</v>
      </c>
      <c r="C60" s="11" t="s">
        <v>83</v>
      </c>
      <c r="D60" s="6" t="s">
        <v>26</v>
      </c>
      <c r="E60" s="5">
        <v>3500000</v>
      </c>
      <c r="F60" s="5">
        <v>30</v>
      </c>
      <c r="G60" s="5">
        <f>+E60-J60</f>
        <v>3500000</v>
      </c>
      <c r="H60" s="5"/>
      <c r="I60" s="5"/>
      <c r="J60" s="5">
        <v>0</v>
      </c>
      <c r="K60" s="5">
        <f t="shared" ref="K60" si="54">SUM(G60:I60)+J60</f>
        <v>3500000</v>
      </c>
      <c r="L60" s="5">
        <f>+E60*4%</f>
        <v>140000</v>
      </c>
      <c r="M60" s="5">
        <f>+E60*5%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49"/>
        <v>3185000</v>
      </c>
      <c r="V60" s="8"/>
      <c r="W60" s="9"/>
      <c r="X60" s="8">
        <f t="shared" si="4"/>
        <v>3185000</v>
      </c>
    </row>
    <row r="61" spans="1:24" ht="17.25" customHeight="1" x14ac:dyDescent="0.25">
      <c r="A61" s="108"/>
      <c r="B61" s="13">
        <v>14</v>
      </c>
      <c r="C61" s="11" t="s">
        <v>84</v>
      </c>
      <c r="D61" s="6" t="s">
        <v>26</v>
      </c>
      <c r="E61" s="5">
        <v>2500000</v>
      </c>
      <c r="F61" s="5">
        <v>22</v>
      </c>
      <c r="G61" s="5">
        <f t="shared" si="52"/>
        <v>1833333.3333333333</v>
      </c>
      <c r="H61" s="5"/>
      <c r="I61" s="5"/>
      <c r="J61" s="5"/>
      <c r="K61" s="5">
        <f t="shared" si="32"/>
        <v>1833333.3333333333</v>
      </c>
      <c r="L61" s="5">
        <f>+K61*4%</f>
        <v>73333.333333333328</v>
      </c>
      <c r="M61" s="5">
        <f>+K61*4%</f>
        <v>73333.333333333328</v>
      </c>
      <c r="N61" s="5"/>
      <c r="O61" s="5"/>
      <c r="P61" s="5">
        <v>0</v>
      </c>
      <c r="Q61" s="5"/>
      <c r="R61" s="5"/>
      <c r="S61" s="5">
        <v>200210</v>
      </c>
      <c r="T61" s="5">
        <f t="shared" si="46"/>
        <v>346876.66666666663</v>
      </c>
      <c r="U61" s="7">
        <f t="shared" si="49"/>
        <v>1486456.6666666665</v>
      </c>
      <c r="V61" s="8"/>
      <c r="W61" s="9"/>
      <c r="X61" s="8">
        <f t="shared" si="4"/>
        <v>1486456.6666666665</v>
      </c>
    </row>
    <row r="62" spans="1:24" ht="17.25" customHeight="1" x14ac:dyDescent="0.25">
      <c r="A62" s="108"/>
      <c r="B62" s="13">
        <v>15</v>
      </c>
      <c r="C62" s="11" t="s">
        <v>85</v>
      </c>
      <c r="D62" s="6" t="s">
        <v>26</v>
      </c>
      <c r="E62" s="5">
        <v>1200000</v>
      </c>
      <c r="F62" s="5">
        <v>30</v>
      </c>
      <c r="G62" s="5">
        <f>E62/30*F62</f>
        <v>1200000</v>
      </c>
      <c r="H62" s="5">
        <f>+(83140/30)*F62</f>
        <v>83140</v>
      </c>
      <c r="I62" s="5"/>
      <c r="J62" s="5">
        <f>+E62-G62</f>
        <v>0</v>
      </c>
      <c r="K62" s="5">
        <f t="shared" ref="K62" si="56">SUM(G62:I62)+J62</f>
        <v>1283140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ref="T62:T63" si="57">SUM(L62:S62)</f>
        <v>96000</v>
      </c>
      <c r="U62" s="7">
        <f t="shared" si="49"/>
        <v>1187140</v>
      </c>
      <c r="V62" s="8"/>
      <c r="W62" s="9"/>
      <c r="X62" s="8">
        <f t="shared" si="4"/>
        <v>1187140</v>
      </c>
    </row>
    <row r="63" spans="1:24" ht="17.25" customHeight="1" x14ac:dyDescent="0.25">
      <c r="A63" s="108"/>
      <c r="B63" s="13">
        <v>16</v>
      </c>
      <c r="C63" s="11" t="s">
        <v>86</v>
      </c>
      <c r="D63" s="6" t="s">
        <v>26</v>
      </c>
      <c r="E63" s="5">
        <v>900000</v>
      </c>
      <c r="F63" s="5">
        <v>30</v>
      </c>
      <c r="G63" s="5">
        <f>E63/30*F63</f>
        <v>900000</v>
      </c>
      <c r="H63" s="5">
        <f>+(83140/30)*F63</f>
        <v>83140</v>
      </c>
      <c r="I63" s="5"/>
      <c r="J63" s="5"/>
      <c r="K63" s="5">
        <f t="shared" ref="K63" si="58">SUM(G63:I63)+J63</f>
        <v>983140</v>
      </c>
      <c r="L63" s="5">
        <f>+G63*4%</f>
        <v>36000</v>
      </c>
      <c r="M63" s="5">
        <f t="shared" ref="M63" si="59">+G63*4%</f>
        <v>36000</v>
      </c>
      <c r="N63" s="5"/>
      <c r="O63" s="5"/>
      <c r="P63" s="5">
        <v>0</v>
      </c>
      <c r="Q63" s="5"/>
      <c r="R63" s="5"/>
      <c r="S63" s="5"/>
      <c r="T63" s="5">
        <f t="shared" si="57"/>
        <v>72000</v>
      </c>
      <c r="U63" s="7">
        <f t="shared" si="49"/>
        <v>911140</v>
      </c>
      <c r="V63" s="8"/>
      <c r="W63" s="9"/>
      <c r="X63" s="8">
        <f t="shared" si="4"/>
        <v>911140</v>
      </c>
    </row>
    <row r="64" spans="1:24" ht="24" x14ac:dyDescent="0.25">
      <c r="A64" s="108"/>
      <c r="B64" s="13">
        <v>17</v>
      </c>
      <c r="C64" s="11" t="s">
        <v>87</v>
      </c>
      <c r="D64" s="6" t="s">
        <v>26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2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>
        <v>323803</v>
      </c>
      <c r="T64" s="5">
        <f t="shared" si="46"/>
        <v>483803</v>
      </c>
      <c r="U64" s="7">
        <f t="shared" si="49"/>
        <v>1516197.0000000002</v>
      </c>
      <c r="V64" s="8"/>
      <c r="W64" s="9"/>
      <c r="X64" s="8">
        <f t="shared" si="4"/>
        <v>1516197.0000000002</v>
      </c>
    </row>
    <row r="65" spans="1:27" x14ac:dyDescent="0.25">
      <c r="A65" s="108"/>
      <c r="B65" s="13">
        <v>18</v>
      </c>
      <c r="C65" s="3" t="s">
        <v>88</v>
      </c>
      <c r="D65" s="4" t="s">
        <v>26</v>
      </c>
      <c r="E65" s="5">
        <v>3500000</v>
      </c>
      <c r="F65" s="5">
        <v>19</v>
      </c>
      <c r="G65" s="5">
        <f>E65/30*F65</f>
        <v>2216666.666666667</v>
      </c>
      <c r="H65" s="5"/>
      <c r="I65" s="5"/>
      <c r="J65" s="5">
        <v>1283333</v>
      </c>
      <c r="K65" s="5">
        <f t="shared" si="32"/>
        <v>3499999.666666667</v>
      </c>
      <c r="L65" s="5">
        <f>+K65*4%</f>
        <v>139999.98666666669</v>
      </c>
      <c r="M65" s="5">
        <f>+K65*5%</f>
        <v>174999.98333333337</v>
      </c>
      <c r="N65" s="5"/>
      <c r="O65" s="5"/>
      <c r="P65" s="5">
        <v>0</v>
      </c>
      <c r="Q65" s="5"/>
      <c r="R65" s="5"/>
      <c r="S65" s="5"/>
      <c r="T65" s="5">
        <f t="shared" si="46"/>
        <v>314999.97000000009</v>
      </c>
      <c r="U65" s="7">
        <f t="shared" ref="U65:U76" si="60">K65-T65</f>
        <v>3184999.6966666668</v>
      </c>
      <c r="V65" s="8"/>
      <c r="W65" s="9"/>
      <c r="X65" s="8">
        <f t="shared" si="4"/>
        <v>3184999.6966666668</v>
      </c>
    </row>
    <row r="66" spans="1:27" x14ac:dyDescent="0.25">
      <c r="A66" s="108"/>
      <c r="B66" s="13">
        <v>19</v>
      </c>
      <c r="C66" s="11" t="s">
        <v>89</v>
      </c>
      <c r="D66" s="6" t="s">
        <v>26</v>
      </c>
      <c r="E66" s="5">
        <v>4000000</v>
      </c>
      <c r="F66" s="5">
        <v>23</v>
      </c>
      <c r="G66" s="5">
        <f t="shared" ref="G66:G115" si="61">E66/30*F66</f>
        <v>3066666.666666667</v>
      </c>
      <c r="H66" s="5"/>
      <c r="I66" s="5">
        <v>300000</v>
      </c>
      <c r="J66" s="5">
        <v>933333</v>
      </c>
      <c r="K66" s="5">
        <f t="shared" si="32"/>
        <v>4299999.666666667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766229</v>
      </c>
      <c r="T66" s="5">
        <f t="shared" si="46"/>
        <v>1129229</v>
      </c>
      <c r="U66" s="7">
        <f t="shared" si="60"/>
        <v>3170770.666666667</v>
      </c>
      <c r="V66" s="8"/>
      <c r="W66" s="9"/>
      <c r="X66" s="8">
        <f t="shared" si="4"/>
        <v>3170770.666666667</v>
      </c>
    </row>
    <row r="67" spans="1:27" x14ac:dyDescent="0.25">
      <c r="A67" s="108"/>
      <c r="B67" s="13">
        <v>20</v>
      </c>
      <c r="C67" s="11" t="s">
        <v>90</v>
      </c>
      <c r="D67" s="6" t="s">
        <v>26</v>
      </c>
      <c r="E67" s="5">
        <v>800000</v>
      </c>
      <c r="F67" s="5">
        <v>30</v>
      </c>
      <c r="G67" s="5">
        <f t="shared" si="61"/>
        <v>800000</v>
      </c>
      <c r="H67" s="5">
        <f>+(83140/30)*F67</f>
        <v>83140</v>
      </c>
      <c r="I67" s="5"/>
      <c r="J67" s="5"/>
      <c r="K67" s="5">
        <f t="shared" si="32"/>
        <v>883140</v>
      </c>
      <c r="L67" s="5">
        <f>+G67*4%</f>
        <v>32000</v>
      </c>
      <c r="M67" s="5">
        <f>+G67*4%</f>
        <v>32000</v>
      </c>
      <c r="N67" s="5"/>
      <c r="O67" s="5"/>
      <c r="P67" s="5"/>
      <c r="Q67" s="5"/>
      <c r="R67" s="5"/>
      <c r="S67" s="5"/>
      <c r="T67" s="5">
        <f t="shared" si="46"/>
        <v>64000</v>
      </c>
      <c r="U67" s="7">
        <f t="shared" si="60"/>
        <v>819140</v>
      </c>
      <c r="V67" s="8"/>
      <c r="W67" s="9"/>
      <c r="X67" s="8">
        <f t="shared" si="4"/>
        <v>819140</v>
      </c>
    </row>
    <row r="68" spans="1:27" ht="17.25" customHeight="1" x14ac:dyDescent="0.25">
      <c r="A68" s="108"/>
      <c r="B68" s="13">
        <v>21</v>
      </c>
      <c r="C68" s="11" t="s">
        <v>91</v>
      </c>
      <c r="D68" s="6" t="s">
        <v>26</v>
      </c>
      <c r="E68" s="5">
        <v>3500000</v>
      </c>
      <c r="F68" s="5">
        <v>30</v>
      </c>
      <c r="G68" s="5">
        <f t="shared" si="61"/>
        <v>3500000</v>
      </c>
      <c r="H68" s="5">
        <v>0</v>
      </c>
      <c r="I68" s="5"/>
      <c r="J68" s="2"/>
      <c r="K68" s="5">
        <f t="shared" si="32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6"/>
        <v>315000</v>
      </c>
      <c r="U68" s="7">
        <f t="shared" si="60"/>
        <v>3185000</v>
      </c>
      <c r="V68" s="8"/>
      <c r="W68" s="9"/>
      <c r="X68" s="8">
        <f t="shared" ref="X68:X113" si="62">U68+V68-W68</f>
        <v>3185000</v>
      </c>
    </row>
    <row r="69" spans="1:27" ht="17.25" customHeight="1" x14ac:dyDescent="0.25">
      <c r="A69" s="108"/>
      <c r="B69" s="13">
        <v>22</v>
      </c>
      <c r="C69" s="11" t="s">
        <v>92</v>
      </c>
      <c r="D69" s="6" t="s">
        <v>26</v>
      </c>
      <c r="E69" s="5">
        <v>1200000</v>
      </c>
      <c r="F69" s="5">
        <v>30</v>
      </c>
      <c r="G69" s="5">
        <f t="shared" si="61"/>
        <v>1200000</v>
      </c>
      <c r="H69" s="5">
        <f>+(83140/30)*F69</f>
        <v>83140</v>
      </c>
      <c r="I69" s="5"/>
      <c r="J69" s="5">
        <v>0</v>
      </c>
      <c r="K69" s="5">
        <f t="shared" ref="K69:K73" si="63">SUM(G69:I69)+J69</f>
        <v>1283140</v>
      </c>
      <c r="L69" s="5">
        <f>+E69*4%</f>
        <v>48000</v>
      </c>
      <c r="M69" s="5">
        <f>+E69*4%</f>
        <v>48000</v>
      </c>
      <c r="N69" s="5"/>
      <c r="O69" s="5"/>
      <c r="P69" s="5"/>
      <c r="Q69" s="5"/>
      <c r="R69" s="5"/>
      <c r="S69" s="5"/>
      <c r="T69" s="5">
        <f t="shared" ref="T69:T73" si="64">SUM(L69:S69)</f>
        <v>96000</v>
      </c>
      <c r="U69" s="7">
        <f t="shared" si="60"/>
        <v>1187140</v>
      </c>
      <c r="V69" s="8"/>
      <c r="W69" s="9"/>
      <c r="X69" s="8">
        <f t="shared" si="62"/>
        <v>1187140</v>
      </c>
    </row>
    <row r="70" spans="1:27" ht="17.25" customHeight="1" x14ac:dyDescent="0.25">
      <c r="A70" s="108"/>
      <c r="B70" s="13">
        <v>23</v>
      </c>
      <c r="C70" s="11" t="s">
        <v>164</v>
      </c>
      <c r="D70" s="6"/>
      <c r="E70" s="5">
        <v>2800000</v>
      </c>
      <c r="F70" s="5">
        <v>26</v>
      </c>
      <c r="G70" s="5">
        <f t="shared" si="61"/>
        <v>2426666.6666666665</v>
      </c>
      <c r="H70" s="5"/>
      <c r="I70" s="5"/>
      <c r="J70" s="5">
        <v>202222</v>
      </c>
      <c r="K70" s="5">
        <f t="shared" ref="K70:K71" si="65">SUM(G70:I70)+J70</f>
        <v>2628888.6666666665</v>
      </c>
      <c r="L70" s="5">
        <f>+G70*4%</f>
        <v>97066.666666666657</v>
      </c>
      <c r="M70" s="5">
        <f>+G70*4%</f>
        <v>97066.666666666657</v>
      </c>
      <c r="N70" s="5"/>
      <c r="O70" s="5"/>
      <c r="P70" s="5"/>
      <c r="Q70" s="5"/>
      <c r="R70" s="5"/>
      <c r="S70" s="5"/>
      <c r="T70" s="5">
        <f t="shared" si="64"/>
        <v>194133.33333333331</v>
      </c>
      <c r="U70" s="7">
        <f t="shared" si="60"/>
        <v>2434755.333333333</v>
      </c>
      <c r="V70" s="8"/>
      <c r="W70" s="9"/>
      <c r="X70" s="8">
        <f t="shared" si="62"/>
        <v>2434755.333333333</v>
      </c>
    </row>
    <row r="71" spans="1:27" ht="17.25" customHeight="1" x14ac:dyDescent="0.25">
      <c r="A71" s="108"/>
      <c r="B71" s="13">
        <v>24</v>
      </c>
      <c r="C71" s="11" t="s">
        <v>154</v>
      </c>
      <c r="D71" s="6"/>
      <c r="E71" s="5">
        <v>3500000</v>
      </c>
      <c r="F71" s="5">
        <v>30</v>
      </c>
      <c r="G71" s="5">
        <f t="shared" si="61"/>
        <v>3500000</v>
      </c>
      <c r="H71" s="5"/>
      <c r="I71" s="5"/>
      <c r="J71" s="5"/>
      <c r="K71" s="5">
        <f t="shared" si="65"/>
        <v>3500000</v>
      </c>
      <c r="L71" s="5">
        <f>+G71*4%</f>
        <v>140000</v>
      </c>
      <c r="M71" s="5">
        <f>+G71*5%</f>
        <v>175000</v>
      </c>
      <c r="N71" s="5"/>
      <c r="O71" s="5"/>
      <c r="P71" s="5"/>
      <c r="Q71" s="5"/>
      <c r="R71" s="5"/>
      <c r="S71" s="5"/>
      <c r="T71" s="5">
        <f t="shared" si="64"/>
        <v>315000</v>
      </c>
      <c r="U71" s="7">
        <f t="shared" si="60"/>
        <v>3185000</v>
      </c>
      <c r="V71" s="8"/>
      <c r="W71" s="9"/>
      <c r="X71" s="8">
        <f t="shared" si="62"/>
        <v>3185000</v>
      </c>
    </row>
    <row r="72" spans="1:27" ht="17.25" customHeight="1" x14ac:dyDescent="0.25">
      <c r="A72" s="108"/>
      <c r="B72" s="13">
        <v>25</v>
      </c>
      <c r="C72" s="11" t="s">
        <v>93</v>
      </c>
      <c r="D72" s="6"/>
      <c r="E72" s="5">
        <v>1030411</v>
      </c>
      <c r="F72" s="5">
        <v>30</v>
      </c>
      <c r="G72" s="5">
        <f t="shared" si="61"/>
        <v>1030411</v>
      </c>
      <c r="H72" s="5">
        <f>+(83140/30)*F72</f>
        <v>83140</v>
      </c>
      <c r="I72" s="5"/>
      <c r="J72" s="5"/>
      <c r="K72" s="5">
        <f t="shared" ref="K72" si="66">SUM(G72:I72)+J72</f>
        <v>1113551</v>
      </c>
      <c r="L72" s="5">
        <f>+G72*4%</f>
        <v>41216.44</v>
      </c>
      <c r="M72" s="5">
        <f>+G72*4%</f>
        <v>41216.44</v>
      </c>
      <c r="N72" s="5"/>
      <c r="O72" s="5"/>
      <c r="P72" s="5"/>
      <c r="Q72" s="5"/>
      <c r="R72" s="5"/>
      <c r="S72" s="5"/>
      <c r="T72" s="5">
        <f t="shared" si="64"/>
        <v>82432.88</v>
      </c>
      <c r="U72" s="7">
        <f t="shared" si="60"/>
        <v>1031118.12</v>
      </c>
      <c r="V72" s="8"/>
      <c r="W72" s="9"/>
      <c r="X72" s="8">
        <f t="shared" si="62"/>
        <v>1031118.12</v>
      </c>
    </row>
    <row r="73" spans="1:27" ht="20.25" customHeight="1" x14ac:dyDescent="0.25">
      <c r="A73" s="108"/>
      <c r="B73" s="13">
        <v>26</v>
      </c>
      <c r="C73" s="11" t="s">
        <v>165</v>
      </c>
      <c r="D73" s="6" t="s">
        <v>26</v>
      </c>
      <c r="E73" s="5">
        <v>900000</v>
      </c>
      <c r="F73" s="5">
        <v>30</v>
      </c>
      <c r="G73" s="5">
        <f t="shared" si="61"/>
        <v>900000</v>
      </c>
      <c r="H73" s="5">
        <v>83140</v>
      </c>
      <c r="I73" s="5"/>
      <c r="J73" s="5"/>
      <c r="K73" s="5">
        <f t="shared" si="63"/>
        <v>983140</v>
      </c>
      <c r="L73" s="5">
        <f>+G73*4%</f>
        <v>36000</v>
      </c>
      <c r="M73" s="5">
        <f>+G73*4%</f>
        <v>36000</v>
      </c>
      <c r="N73" s="5"/>
      <c r="O73" s="5"/>
      <c r="P73" s="5"/>
      <c r="Q73" s="5"/>
      <c r="R73" s="5"/>
      <c r="S73" s="5"/>
      <c r="T73" s="5">
        <f t="shared" si="64"/>
        <v>72000</v>
      </c>
      <c r="U73" s="7">
        <f>K73-T73</f>
        <v>911140</v>
      </c>
      <c r="V73" s="8"/>
      <c r="W73" s="9"/>
      <c r="X73" s="8">
        <f t="shared" si="62"/>
        <v>911140</v>
      </c>
    </row>
    <row r="74" spans="1:27" ht="15.75" customHeight="1" x14ac:dyDescent="0.25">
      <c r="A74" s="108"/>
      <c r="B74" s="13">
        <v>27</v>
      </c>
      <c r="C74" s="11" t="s">
        <v>166</v>
      </c>
      <c r="D74" s="6" t="s">
        <v>26</v>
      </c>
      <c r="E74" s="5">
        <v>2000000</v>
      </c>
      <c r="F74" s="5">
        <v>30</v>
      </c>
      <c r="G74" s="5">
        <f>+E74-J74</f>
        <v>1733333</v>
      </c>
      <c r="H74" s="5"/>
      <c r="I74" s="5"/>
      <c r="J74" s="5">
        <v>266667</v>
      </c>
      <c r="K74" s="5">
        <f t="shared" si="32"/>
        <v>2000000</v>
      </c>
      <c r="L74" s="5">
        <f>+K74*4%</f>
        <v>80000</v>
      </c>
      <c r="M74" s="5">
        <f>+K74*4%</f>
        <v>80000</v>
      </c>
      <c r="N74" s="5"/>
      <c r="O74" s="5"/>
      <c r="P74" s="5">
        <v>0</v>
      </c>
      <c r="Q74" s="5"/>
      <c r="R74" s="5"/>
      <c r="S74" s="5">
        <v>363928</v>
      </c>
      <c r="T74" s="5">
        <f t="shared" si="46"/>
        <v>523928</v>
      </c>
      <c r="U74" s="7">
        <f t="shared" si="60"/>
        <v>1476072</v>
      </c>
      <c r="V74" s="8"/>
      <c r="W74" s="9"/>
      <c r="X74" s="8">
        <f t="shared" si="62"/>
        <v>1476072</v>
      </c>
      <c r="AA74" s="10">
        <f>1196000+644000</f>
        <v>1840000</v>
      </c>
    </row>
    <row r="75" spans="1:27" ht="15.75" customHeight="1" x14ac:dyDescent="0.25">
      <c r="A75" s="108"/>
      <c r="B75" s="13">
        <v>28</v>
      </c>
      <c r="C75" s="11" t="s">
        <v>155</v>
      </c>
      <c r="D75" s="6"/>
      <c r="E75" s="5">
        <v>368858</v>
      </c>
      <c r="F75" s="5">
        <v>30</v>
      </c>
      <c r="G75" s="5">
        <f t="shared" si="61"/>
        <v>368858</v>
      </c>
      <c r="H75" s="5"/>
      <c r="I75" s="5"/>
      <c r="J75" s="5"/>
      <c r="K75" s="5">
        <f t="shared" ref="K75" si="67">SUM(G75:I75)+J75</f>
        <v>368858</v>
      </c>
      <c r="L75" s="5"/>
      <c r="M75" s="5"/>
      <c r="N75" s="5"/>
      <c r="O75" s="5"/>
      <c r="P75" s="5"/>
      <c r="Q75" s="5"/>
      <c r="R75" s="5"/>
      <c r="S75" s="5"/>
      <c r="T75" s="5">
        <f t="shared" ref="T75" si="68">SUM(L75:S75)</f>
        <v>0</v>
      </c>
      <c r="U75" s="7">
        <f t="shared" si="60"/>
        <v>368858</v>
      </c>
      <c r="V75" s="8"/>
      <c r="W75" s="9"/>
      <c r="X75" s="8">
        <f t="shared" si="62"/>
        <v>368858</v>
      </c>
    </row>
    <row r="76" spans="1:27" x14ac:dyDescent="0.25">
      <c r="A76" s="108"/>
      <c r="B76" s="13">
        <v>29</v>
      </c>
      <c r="C76" s="3" t="s">
        <v>100</v>
      </c>
      <c r="D76" s="4" t="s">
        <v>26</v>
      </c>
      <c r="E76" s="5">
        <v>800000</v>
      </c>
      <c r="F76" s="5">
        <v>30</v>
      </c>
      <c r="G76" s="5">
        <f t="shared" si="61"/>
        <v>800000</v>
      </c>
      <c r="H76" s="5">
        <f>+(83140/30)*F76</f>
        <v>83140</v>
      </c>
      <c r="I76" s="5"/>
      <c r="J76" s="5"/>
      <c r="K76" s="5">
        <f t="shared" si="32"/>
        <v>883140</v>
      </c>
      <c r="L76" s="5">
        <f>+G76*4%</f>
        <v>32000</v>
      </c>
      <c r="M76" s="5">
        <f>+G76*4%</f>
        <v>32000</v>
      </c>
      <c r="N76" s="5"/>
      <c r="O76" s="5"/>
      <c r="P76" s="5"/>
      <c r="Q76" s="5"/>
      <c r="R76" s="5"/>
      <c r="S76" s="5"/>
      <c r="T76" s="5">
        <f t="shared" si="46"/>
        <v>64000</v>
      </c>
      <c r="U76" s="7">
        <f t="shared" si="60"/>
        <v>819140</v>
      </c>
      <c r="V76" s="8"/>
      <c r="W76" s="9"/>
      <c r="X76" s="8">
        <f t="shared" si="62"/>
        <v>819140</v>
      </c>
      <c r="AA76" s="10">
        <f>1840000-1196000</f>
        <v>644000</v>
      </c>
    </row>
    <row r="77" spans="1:27" x14ac:dyDescent="0.25">
      <c r="A77" s="108"/>
      <c r="B77" s="13">
        <v>30</v>
      </c>
      <c r="C77" s="11" t="s">
        <v>104</v>
      </c>
      <c r="D77" s="6" t="s">
        <v>26</v>
      </c>
      <c r="E77" s="5">
        <v>4000000</v>
      </c>
      <c r="F77" s="5">
        <v>30</v>
      </c>
      <c r="G77" s="5">
        <f t="shared" si="61"/>
        <v>4000000.0000000005</v>
      </c>
      <c r="H77" s="5"/>
      <c r="I77" s="5"/>
      <c r="J77" s="5">
        <v>1866667</v>
      </c>
      <c r="K77" s="5">
        <f t="shared" si="32"/>
        <v>5866667</v>
      </c>
      <c r="L77" s="5">
        <v>234667</v>
      </c>
      <c r="M77" s="5">
        <v>293334</v>
      </c>
      <c r="N77" s="5"/>
      <c r="O77" s="5"/>
      <c r="P77" s="5">
        <v>3000</v>
      </c>
      <c r="Q77" s="5"/>
      <c r="R77" s="5"/>
      <c r="S77" s="5"/>
      <c r="T77" s="5">
        <f t="shared" si="46"/>
        <v>531001</v>
      </c>
      <c r="U77" s="7">
        <f t="shared" ref="U77:U89" si="69">+K77-T77</f>
        <v>5335666</v>
      </c>
      <c r="V77" s="8"/>
      <c r="W77" s="9"/>
      <c r="X77" s="8">
        <f t="shared" si="62"/>
        <v>5335666</v>
      </c>
      <c r="Y77" s="10" t="s">
        <v>105</v>
      </c>
    </row>
    <row r="78" spans="1:27" x14ac:dyDescent="0.25">
      <c r="A78" s="108"/>
      <c r="B78" s="13">
        <v>31</v>
      </c>
      <c r="C78" s="11" t="s">
        <v>106</v>
      </c>
      <c r="D78" s="6" t="s">
        <v>26</v>
      </c>
      <c r="E78" s="5">
        <v>900000</v>
      </c>
      <c r="F78" s="5">
        <v>30</v>
      </c>
      <c r="G78" s="5">
        <f t="shared" si="61"/>
        <v>900000</v>
      </c>
      <c r="H78" s="5">
        <f>+(83140/30)*F78</f>
        <v>83140</v>
      </c>
      <c r="I78" s="5"/>
      <c r="J78" s="5"/>
      <c r="K78" s="5">
        <f t="shared" ref="K78" si="70">SUM(G78:I78)+J78</f>
        <v>983140</v>
      </c>
      <c r="L78" s="5">
        <f>+G78*4%</f>
        <v>36000</v>
      </c>
      <c r="M78" s="5">
        <f>+G78*4%</f>
        <v>36000</v>
      </c>
      <c r="N78" s="5"/>
      <c r="O78" s="5"/>
      <c r="P78" s="5">
        <v>0</v>
      </c>
      <c r="Q78" s="5"/>
      <c r="R78" s="5"/>
      <c r="S78" s="5"/>
      <c r="T78" s="5">
        <f t="shared" ref="T78" si="71">SUM(L78:S78)</f>
        <v>72000</v>
      </c>
      <c r="U78" s="7">
        <f t="shared" si="69"/>
        <v>911140</v>
      </c>
      <c r="V78" s="8"/>
      <c r="W78" s="9"/>
      <c r="X78" s="8">
        <f t="shared" si="62"/>
        <v>911140</v>
      </c>
      <c r="Y78" s="10" t="s">
        <v>105</v>
      </c>
    </row>
    <row r="79" spans="1:27" x14ac:dyDescent="0.25">
      <c r="A79" s="108"/>
      <c r="B79" s="13">
        <v>32</v>
      </c>
      <c r="C79" s="11" t="s">
        <v>107</v>
      </c>
      <c r="D79" s="6" t="s">
        <v>26</v>
      </c>
      <c r="E79" s="5">
        <v>3000000</v>
      </c>
      <c r="F79" s="5">
        <v>30</v>
      </c>
      <c r="G79" s="5">
        <f t="shared" si="61"/>
        <v>3000000</v>
      </c>
      <c r="H79" s="5"/>
      <c r="I79" s="5"/>
      <c r="J79" s="5"/>
      <c r="K79" s="5">
        <f t="shared" si="32"/>
        <v>3000000</v>
      </c>
      <c r="L79" s="5">
        <f>+E79*4%</f>
        <v>120000</v>
      </c>
      <c r="M79" s="5">
        <f>+E79*5%</f>
        <v>150000</v>
      </c>
      <c r="N79" s="5"/>
      <c r="O79" s="5"/>
      <c r="P79" s="17">
        <v>0</v>
      </c>
      <c r="Q79" s="5"/>
      <c r="R79" s="5"/>
      <c r="S79" s="5">
        <v>586000</v>
      </c>
      <c r="T79" s="5">
        <f t="shared" si="46"/>
        <v>856000</v>
      </c>
      <c r="U79" s="7">
        <f t="shared" si="69"/>
        <v>2144000</v>
      </c>
      <c r="V79" s="8"/>
      <c r="W79" s="9"/>
      <c r="X79" s="8">
        <f t="shared" si="62"/>
        <v>2144000</v>
      </c>
    </row>
    <row r="80" spans="1:27" x14ac:dyDescent="0.25">
      <c r="A80" s="108"/>
      <c r="B80" s="13">
        <v>33</v>
      </c>
      <c r="C80" s="11" t="s">
        <v>167</v>
      </c>
      <c r="D80" s="6"/>
      <c r="E80" s="5">
        <v>4500000</v>
      </c>
      <c r="F80" s="5">
        <v>16</v>
      </c>
      <c r="G80" s="5">
        <f t="shared" si="61"/>
        <v>2400000</v>
      </c>
      <c r="H80" s="5"/>
      <c r="I80" s="5"/>
      <c r="J80" s="5">
        <v>200000</v>
      </c>
      <c r="K80" s="5">
        <f t="shared" ref="K80:K84" si="72">SUM(G80:I80)+J80</f>
        <v>2600000</v>
      </c>
      <c r="L80" s="5">
        <f>+G80*4%</f>
        <v>96000</v>
      </c>
      <c r="M80" s="5">
        <f>+G80*4%</f>
        <v>96000</v>
      </c>
      <c r="N80" s="5"/>
      <c r="O80" s="5"/>
      <c r="P80" s="17">
        <v>18000</v>
      </c>
      <c r="Q80" s="5"/>
      <c r="R80" s="5"/>
      <c r="S80" s="5"/>
      <c r="T80" s="5">
        <f t="shared" ref="T80:T86" si="73">SUM(L80:S80)</f>
        <v>210000</v>
      </c>
      <c r="U80" s="7">
        <f t="shared" si="69"/>
        <v>2390000</v>
      </c>
      <c r="V80" s="8"/>
      <c r="W80" s="9"/>
      <c r="X80" s="8">
        <f t="shared" si="62"/>
        <v>2390000</v>
      </c>
    </row>
    <row r="81" spans="1:24" x14ac:dyDescent="0.25">
      <c r="A81" s="108"/>
      <c r="B81" s="13">
        <v>34</v>
      </c>
      <c r="C81" s="11" t="s">
        <v>108</v>
      </c>
      <c r="D81" s="6"/>
      <c r="E81" s="5">
        <v>4500000</v>
      </c>
      <c r="F81" s="5">
        <v>30</v>
      </c>
      <c r="G81" s="5">
        <f t="shared" si="61"/>
        <v>4500000</v>
      </c>
      <c r="H81" s="5"/>
      <c r="I81" s="5"/>
      <c r="J81" s="5"/>
      <c r="K81" s="5">
        <f t="shared" si="72"/>
        <v>4500000</v>
      </c>
      <c r="L81" s="5">
        <f>+G81*4%</f>
        <v>180000</v>
      </c>
      <c r="M81" s="5">
        <f>+G81*5%</f>
        <v>225000</v>
      </c>
      <c r="N81" s="5"/>
      <c r="O81" s="5"/>
      <c r="P81" s="17">
        <v>72000</v>
      </c>
      <c r="Q81" s="5"/>
      <c r="R81" s="5"/>
      <c r="S81" s="5"/>
      <c r="T81" s="5">
        <f t="shared" si="73"/>
        <v>477000</v>
      </c>
      <c r="U81" s="7">
        <f t="shared" si="69"/>
        <v>4023000</v>
      </c>
      <c r="V81" s="8"/>
      <c r="W81" s="9"/>
      <c r="X81" s="8">
        <f t="shared" si="62"/>
        <v>4023000</v>
      </c>
    </row>
    <row r="82" spans="1:24" x14ac:dyDescent="0.25">
      <c r="A82" s="108"/>
      <c r="B82" s="13">
        <v>35</v>
      </c>
      <c r="C82" s="11" t="s">
        <v>168</v>
      </c>
      <c r="D82" s="6"/>
      <c r="E82" s="5">
        <v>737717</v>
      </c>
      <c r="F82" s="5">
        <v>19</v>
      </c>
      <c r="G82" s="5">
        <f t="shared" si="61"/>
        <v>467220.76666666666</v>
      </c>
      <c r="H82" s="5">
        <f t="shared" ref="H82:H83" si="74">+(83140/30)*F82</f>
        <v>52655.333333333336</v>
      </c>
      <c r="I82" s="5"/>
      <c r="J82" s="5">
        <v>43323</v>
      </c>
      <c r="K82" s="5">
        <f t="shared" si="72"/>
        <v>563199.1</v>
      </c>
      <c r="L82" s="5">
        <f t="shared" ref="L82:L84" si="75">+G82*4%</f>
        <v>18688.830666666669</v>
      </c>
      <c r="M82" s="5">
        <f>+G82*4%</f>
        <v>18688.830666666669</v>
      </c>
      <c r="N82" s="5"/>
      <c r="O82" s="5"/>
      <c r="P82" s="17"/>
      <c r="Q82" s="5"/>
      <c r="R82" s="5"/>
      <c r="S82" s="5"/>
      <c r="T82" s="5">
        <f t="shared" si="73"/>
        <v>37377.661333333337</v>
      </c>
      <c r="U82" s="7">
        <f t="shared" si="69"/>
        <v>525821.43866666663</v>
      </c>
      <c r="V82" s="8"/>
      <c r="W82" s="9"/>
      <c r="X82" s="8">
        <f t="shared" si="62"/>
        <v>525821.43866666663</v>
      </c>
    </row>
    <row r="83" spans="1:24" x14ac:dyDescent="0.25">
      <c r="A83" s="108"/>
      <c r="B83" s="13">
        <v>36</v>
      </c>
      <c r="C83" s="11" t="s">
        <v>169</v>
      </c>
      <c r="D83" s="6"/>
      <c r="E83" s="5">
        <v>737717</v>
      </c>
      <c r="F83" s="5">
        <v>19</v>
      </c>
      <c r="G83" s="5">
        <f t="shared" si="61"/>
        <v>467220.76666666666</v>
      </c>
      <c r="H83" s="5">
        <f t="shared" si="74"/>
        <v>52655.333333333336</v>
      </c>
      <c r="I83" s="5"/>
      <c r="J83" s="5">
        <v>43323</v>
      </c>
      <c r="K83" s="5">
        <f t="shared" si="72"/>
        <v>563199.1</v>
      </c>
      <c r="L83" s="5">
        <f t="shared" si="75"/>
        <v>18688.830666666669</v>
      </c>
      <c r="M83" s="5">
        <f>+G83*4%</f>
        <v>18688.830666666669</v>
      </c>
      <c r="N83" s="5"/>
      <c r="O83" s="5"/>
      <c r="P83" s="17"/>
      <c r="Q83" s="5"/>
      <c r="R83" s="5"/>
      <c r="S83" s="5"/>
      <c r="T83" s="5">
        <f t="shared" si="73"/>
        <v>37377.661333333337</v>
      </c>
      <c r="U83" s="7">
        <f t="shared" si="69"/>
        <v>525821.43866666663</v>
      </c>
      <c r="V83" s="8"/>
      <c r="W83" s="9"/>
      <c r="X83" s="8">
        <f t="shared" si="62"/>
        <v>525821.43866666663</v>
      </c>
    </row>
    <row r="84" spans="1:24" x14ac:dyDescent="0.25">
      <c r="A84" s="108"/>
      <c r="B84" s="13">
        <v>37</v>
      </c>
      <c r="C84" s="11" t="s">
        <v>170</v>
      </c>
      <c r="D84" s="6"/>
      <c r="E84" s="5">
        <v>2500000</v>
      </c>
      <c r="F84" s="5">
        <v>26</v>
      </c>
      <c r="G84" s="5">
        <f t="shared" si="61"/>
        <v>2166666.6666666665</v>
      </c>
      <c r="H84" s="5"/>
      <c r="I84" s="5"/>
      <c r="J84" s="5">
        <v>180556</v>
      </c>
      <c r="K84" s="5">
        <f t="shared" si="72"/>
        <v>2347222.6666666665</v>
      </c>
      <c r="L84" s="5">
        <f t="shared" si="75"/>
        <v>86666.666666666657</v>
      </c>
      <c r="M84" s="5">
        <f>+G84*4%</f>
        <v>86666.666666666657</v>
      </c>
      <c r="N84" s="5"/>
      <c r="O84" s="5"/>
      <c r="P84" s="17"/>
      <c r="Q84" s="5"/>
      <c r="R84" s="5"/>
      <c r="S84" s="5"/>
      <c r="T84" s="5">
        <f t="shared" si="73"/>
        <v>173333.33333333331</v>
      </c>
      <c r="U84" s="7">
        <f t="shared" si="69"/>
        <v>2173889.333333333</v>
      </c>
      <c r="V84" s="8"/>
      <c r="W84" s="9"/>
      <c r="X84" s="8">
        <f t="shared" si="62"/>
        <v>2173889.333333333</v>
      </c>
    </row>
    <row r="85" spans="1:24" ht="24" x14ac:dyDescent="0.25">
      <c r="A85" s="108"/>
      <c r="B85" s="13">
        <v>38</v>
      </c>
      <c r="C85" s="11" t="s">
        <v>109</v>
      </c>
      <c r="D85" s="6" t="s">
        <v>26</v>
      </c>
      <c r="E85" s="5">
        <v>900000</v>
      </c>
      <c r="F85" s="5">
        <v>30</v>
      </c>
      <c r="G85" s="5">
        <f t="shared" si="61"/>
        <v>900000</v>
      </c>
      <c r="H85" s="5">
        <f>+(83140/30)*F85</f>
        <v>83140</v>
      </c>
      <c r="I85" s="5"/>
      <c r="J85" s="5"/>
      <c r="K85" s="5">
        <f t="shared" ref="K85" si="76">SUM(G85:I85)+J85</f>
        <v>983140</v>
      </c>
      <c r="L85" s="5">
        <f>+G85*4%</f>
        <v>36000</v>
      </c>
      <c r="M85" s="5">
        <f>+G85*4%</f>
        <v>36000</v>
      </c>
      <c r="N85" s="5"/>
      <c r="O85" s="5"/>
      <c r="P85" s="17">
        <v>0</v>
      </c>
      <c r="Q85" s="5"/>
      <c r="R85" s="5"/>
      <c r="S85" s="5"/>
      <c r="T85" s="5">
        <f t="shared" si="73"/>
        <v>72000</v>
      </c>
      <c r="U85" s="7">
        <f t="shared" si="69"/>
        <v>911140</v>
      </c>
      <c r="V85" s="8"/>
      <c r="W85" s="9"/>
      <c r="X85" s="8">
        <f t="shared" si="62"/>
        <v>911140</v>
      </c>
    </row>
    <row r="86" spans="1:24" x14ac:dyDescent="0.25">
      <c r="A86" s="108"/>
      <c r="B86" s="13">
        <v>39</v>
      </c>
      <c r="C86" s="11" t="s">
        <v>149</v>
      </c>
      <c r="D86" s="6"/>
      <c r="E86" s="5">
        <v>2000000</v>
      </c>
      <c r="F86" s="5">
        <v>30</v>
      </c>
      <c r="G86" s="5">
        <f t="shared" si="61"/>
        <v>2000000.0000000002</v>
      </c>
      <c r="H86" s="5"/>
      <c r="I86" s="5"/>
      <c r="J86" s="5"/>
      <c r="K86" s="5">
        <f t="shared" ref="K86" si="77">SUM(G86:I86)+J86</f>
        <v>2000000.0000000002</v>
      </c>
      <c r="L86" s="5">
        <f>+G86*4%</f>
        <v>80000.000000000015</v>
      </c>
      <c r="M86" s="5">
        <f>+G86*4%</f>
        <v>80000.000000000015</v>
      </c>
      <c r="N86" s="5"/>
      <c r="O86" s="5"/>
      <c r="P86" s="5">
        <v>0</v>
      </c>
      <c r="Q86" s="5"/>
      <c r="R86" s="5"/>
      <c r="S86" s="5"/>
      <c r="T86" s="5">
        <f t="shared" si="73"/>
        <v>160000.00000000003</v>
      </c>
      <c r="U86" s="7">
        <f t="shared" si="69"/>
        <v>1840000.0000000002</v>
      </c>
      <c r="V86" s="8"/>
      <c r="W86" s="9"/>
      <c r="X86" s="8">
        <f t="shared" si="62"/>
        <v>1840000.0000000002</v>
      </c>
    </row>
    <row r="87" spans="1:24" x14ac:dyDescent="0.25">
      <c r="A87" s="108"/>
      <c r="B87" s="13">
        <v>40</v>
      </c>
      <c r="C87" s="11" t="s">
        <v>171</v>
      </c>
      <c r="D87" s="6"/>
      <c r="E87" s="5">
        <v>3500000</v>
      </c>
      <c r="F87" s="5">
        <v>30</v>
      </c>
      <c r="G87" s="5">
        <f t="shared" si="61"/>
        <v>3500000</v>
      </c>
      <c r="H87" s="5"/>
      <c r="I87" s="5"/>
      <c r="J87" s="5">
        <v>291667</v>
      </c>
      <c r="K87" s="5">
        <f t="shared" ref="K87" si="78">SUM(G87:I87)+J87</f>
        <v>3791667</v>
      </c>
      <c r="L87" s="5">
        <f>+G87*4%</f>
        <v>140000</v>
      </c>
      <c r="M87" s="5">
        <f>+G87*5%</f>
        <v>175000</v>
      </c>
      <c r="N87" s="5"/>
      <c r="O87" s="5"/>
      <c r="P87" s="5">
        <v>0</v>
      </c>
      <c r="Q87" s="5"/>
      <c r="R87" s="5"/>
      <c r="S87" s="5"/>
      <c r="T87" s="5">
        <f t="shared" ref="T87" si="79">SUM(L87:S87)</f>
        <v>315000</v>
      </c>
      <c r="U87" s="7">
        <f t="shared" si="69"/>
        <v>3476667</v>
      </c>
      <c r="V87" s="8"/>
      <c r="W87" s="9"/>
      <c r="X87" s="8">
        <f t="shared" si="62"/>
        <v>3476667</v>
      </c>
    </row>
    <row r="88" spans="1:24" x14ac:dyDescent="0.25">
      <c r="A88" s="108"/>
      <c r="B88" s="13">
        <v>41</v>
      </c>
      <c r="C88" s="11" t="s">
        <v>110</v>
      </c>
      <c r="D88" s="6" t="s">
        <v>26</v>
      </c>
      <c r="E88" s="5">
        <v>2500000</v>
      </c>
      <c r="F88" s="5">
        <v>30</v>
      </c>
      <c r="G88" s="5">
        <f>+E88-J88</f>
        <v>1833333</v>
      </c>
      <c r="H88" s="5"/>
      <c r="I88" s="5"/>
      <c r="J88" s="5">
        <v>666667</v>
      </c>
      <c r="K88" s="5">
        <f t="shared" ref="K88:K115" si="80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6"/>
        <v>457196</v>
      </c>
      <c r="U88" s="7">
        <f t="shared" si="69"/>
        <v>2042804</v>
      </c>
      <c r="V88" s="8"/>
      <c r="W88" s="9"/>
      <c r="X88" s="8">
        <f t="shared" si="62"/>
        <v>2042804</v>
      </c>
    </row>
    <row r="89" spans="1:24" x14ac:dyDescent="0.25">
      <c r="A89" s="108"/>
      <c r="B89" s="13">
        <v>42</v>
      </c>
      <c r="C89" s="11" t="s">
        <v>111</v>
      </c>
      <c r="D89" s="6" t="s">
        <v>26</v>
      </c>
      <c r="E89" s="5">
        <v>4500000</v>
      </c>
      <c r="F89" s="5">
        <v>30</v>
      </c>
      <c r="G89" s="5">
        <f t="shared" si="61"/>
        <v>4500000</v>
      </c>
      <c r="H89" s="5"/>
      <c r="I89" s="5"/>
      <c r="J89" s="5"/>
      <c r="K89" s="5">
        <f t="shared" ref="K89:K90" si="81">SUM(G89:I89)+J89</f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2">SUM(L89:S89)</f>
        <v>477000</v>
      </c>
      <c r="U89" s="7">
        <f t="shared" si="69"/>
        <v>4023000</v>
      </c>
      <c r="V89" s="8"/>
      <c r="W89" s="9"/>
      <c r="X89" s="8">
        <f t="shared" si="62"/>
        <v>4023000</v>
      </c>
    </row>
    <row r="90" spans="1:24" x14ac:dyDescent="0.25">
      <c r="A90" s="108"/>
      <c r="B90" s="13">
        <v>43</v>
      </c>
      <c r="C90" s="11" t="s">
        <v>112</v>
      </c>
      <c r="D90" s="6" t="s">
        <v>26</v>
      </c>
      <c r="E90" s="5">
        <v>4500000</v>
      </c>
      <c r="F90" s="5">
        <v>30</v>
      </c>
      <c r="G90" s="5">
        <f>+E90-J90</f>
        <v>3900000</v>
      </c>
      <c r="H90" s="5"/>
      <c r="I90" s="5"/>
      <c r="J90" s="5">
        <v>600000</v>
      </c>
      <c r="K90" s="5">
        <f t="shared" si="81"/>
        <v>4500000</v>
      </c>
      <c r="L90" s="5">
        <f>+K90*4%</f>
        <v>180000</v>
      </c>
      <c r="M90" s="5">
        <f>+K90*5%</f>
        <v>225000</v>
      </c>
      <c r="N90" s="5"/>
      <c r="O90" s="5"/>
      <c r="P90" s="5">
        <v>8500</v>
      </c>
      <c r="Q90" s="5"/>
      <c r="R90" s="5"/>
      <c r="S90" s="5"/>
      <c r="T90" s="5">
        <f>SUM(L90:S90)</f>
        <v>413500</v>
      </c>
      <c r="U90" s="7">
        <f t="shared" ref="U90:U97" si="83">K90-T90</f>
        <v>4086500</v>
      </c>
      <c r="V90" s="8"/>
      <c r="W90" s="9"/>
      <c r="X90" s="8">
        <f t="shared" si="62"/>
        <v>4086500</v>
      </c>
    </row>
    <row r="91" spans="1:24" x14ac:dyDescent="0.25">
      <c r="A91" s="108"/>
      <c r="B91" s="13">
        <v>44</v>
      </c>
      <c r="C91" s="11" t="s">
        <v>113</v>
      </c>
      <c r="D91" s="6" t="s">
        <v>26</v>
      </c>
      <c r="E91" s="5">
        <v>3200000</v>
      </c>
      <c r="F91" s="5">
        <v>30</v>
      </c>
      <c r="G91" s="5">
        <f t="shared" si="61"/>
        <v>3200000</v>
      </c>
      <c r="H91" s="5"/>
      <c r="I91" s="5"/>
      <c r="J91" s="5">
        <f>+E91-G91</f>
        <v>0</v>
      </c>
      <c r="K91" s="5">
        <f t="shared" si="80"/>
        <v>3200000</v>
      </c>
      <c r="L91" s="5">
        <f>+G91*4%</f>
        <v>128000</v>
      </c>
      <c r="M91" s="5">
        <f>+G91*5%</f>
        <v>160000</v>
      </c>
      <c r="N91" s="5"/>
      <c r="O91" s="5"/>
      <c r="P91" s="5">
        <v>0</v>
      </c>
      <c r="Q91" s="5"/>
      <c r="R91" s="5"/>
      <c r="S91" s="5"/>
      <c r="T91" s="5">
        <f t="shared" si="46"/>
        <v>288000</v>
      </c>
      <c r="U91" s="7">
        <f t="shared" si="83"/>
        <v>2912000</v>
      </c>
      <c r="V91" s="8"/>
      <c r="W91" s="9"/>
      <c r="X91" s="8">
        <f t="shared" si="62"/>
        <v>2912000</v>
      </c>
    </row>
    <row r="92" spans="1:24" x14ac:dyDescent="0.25">
      <c r="A92" s="108"/>
      <c r="B92" s="13">
        <v>45</v>
      </c>
      <c r="C92" s="11" t="s">
        <v>115</v>
      </c>
      <c r="D92" s="6" t="s">
        <v>26</v>
      </c>
      <c r="E92" s="5">
        <v>900000</v>
      </c>
      <c r="F92" s="5">
        <v>30</v>
      </c>
      <c r="G92" s="5">
        <f t="shared" si="61"/>
        <v>900000</v>
      </c>
      <c r="H92" s="5">
        <f>+(83140/30)*F92</f>
        <v>83140</v>
      </c>
      <c r="I92" s="5"/>
      <c r="J92" s="5"/>
      <c r="K92" s="5">
        <f t="shared" ref="K92" si="84">SUM(G92:I92)+J92</f>
        <v>983140</v>
      </c>
      <c r="L92" s="5">
        <f>+G92*4%</f>
        <v>36000</v>
      </c>
      <c r="M92" s="5">
        <f>+G92*4%</f>
        <v>36000</v>
      </c>
      <c r="N92" s="5"/>
      <c r="O92" s="5"/>
      <c r="P92" s="5"/>
      <c r="Q92" s="5"/>
      <c r="R92" s="5"/>
      <c r="S92" s="5"/>
      <c r="T92" s="5">
        <f t="shared" ref="T92" si="85">SUM(L92:S92)</f>
        <v>72000</v>
      </c>
      <c r="U92" s="7">
        <f t="shared" si="83"/>
        <v>911140</v>
      </c>
      <c r="V92" s="8"/>
      <c r="W92" s="9"/>
      <c r="X92" s="8">
        <f t="shared" si="62"/>
        <v>911140</v>
      </c>
    </row>
    <row r="93" spans="1:24" x14ac:dyDescent="0.25">
      <c r="A93" s="108"/>
      <c r="B93" s="13">
        <v>46</v>
      </c>
      <c r="C93" s="11" t="s">
        <v>156</v>
      </c>
      <c r="D93" s="6"/>
      <c r="E93" s="5">
        <v>3200000</v>
      </c>
      <c r="F93" s="5">
        <v>30</v>
      </c>
      <c r="G93" s="5">
        <f t="shared" si="61"/>
        <v>3200000</v>
      </c>
      <c r="H93" s="5"/>
      <c r="I93" s="5"/>
      <c r="J93" s="5">
        <v>524444</v>
      </c>
      <c r="K93" s="5">
        <f>SUM(G93:I93)+J93</f>
        <v>3724444</v>
      </c>
      <c r="L93" s="5">
        <f>+G93*4%</f>
        <v>128000</v>
      </c>
      <c r="M93" s="5">
        <f>+G93*5%</f>
        <v>160000</v>
      </c>
      <c r="N93" s="5"/>
      <c r="O93" s="5"/>
      <c r="P93" s="5"/>
      <c r="Q93" s="5"/>
      <c r="R93" s="5"/>
      <c r="S93" s="5"/>
      <c r="T93" s="5">
        <f t="shared" ref="T93" si="86">SUM(L93:S93)</f>
        <v>288000</v>
      </c>
      <c r="U93" s="7">
        <f t="shared" si="83"/>
        <v>3436444</v>
      </c>
      <c r="V93" s="8"/>
      <c r="W93" s="9"/>
      <c r="X93" s="8"/>
    </row>
    <row r="94" spans="1:24" ht="23.25" customHeight="1" x14ac:dyDescent="0.25">
      <c r="A94" s="108"/>
      <c r="B94" s="13">
        <v>47</v>
      </c>
      <c r="C94" s="3" t="s">
        <v>116</v>
      </c>
      <c r="D94" s="4" t="s">
        <v>26</v>
      </c>
      <c r="E94" s="5">
        <v>737717</v>
      </c>
      <c r="F94" s="5">
        <v>30</v>
      </c>
      <c r="G94" s="5">
        <f t="shared" si="61"/>
        <v>737717</v>
      </c>
      <c r="H94" s="5">
        <v>83140</v>
      </c>
      <c r="I94" s="19">
        <v>99840</v>
      </c>
      <c r="J94" s="5"/>
      <c r="K94" s="5">
        <f t="shared" si="80"/>
        <v>920697</v>
      </c>
      <c r="L94" s="5">
        <v>29509</v>
      </c>
      <c r="M94" s="5">
        <v>29509</v>
      </c>
      <c r="N94" s="5"/>
      <c r="O94" s="5"/>
      <c r="P94" s="5">
        <v>0</v>
      </c>
      <c r="Q94" s="5"/>
      <c r="R94" s="5"/>
      <c r="S94" s="5"/>
      <c r="T94" s="5">
        <f t="shared" si="46"/>
        <v>59018</v>
      </c>
      <c r="U94" s="7">
        <f t="shared" si="83"/>
        <v>861679</v>
      </c>
      <c r="V94" s="8"/>
      <c r="W94" s="9"/>
      <c r="X94" s="8">
        <f t="shared" si="62"/>
        <v>861679</v>
      </c>
    </row>
    <row r="95" spans="1:24" x14ac:dyDescent="0.25">
      <c r="A95" s="108"/>
      <c r="B95" s="13">
        <v>48</v>
      </c>
      <c r="C95" s="3" t="s">
        <v>117</v>
      </c>
      <c r="D95" s="4"/>
      <c r="E95" s="5">
        <v>5000000</v>
      </c>
      <c r="F95" s="5">
        <v>30</v>
      </c>
      <c r="G95" s="5">
        <f t="shared" si="61"/>
        <v>5000000</v>
      </c>
      <c r="H95" s="5"/>
      <c r="I95" s="5"/>
      <c r="J95" s="5"/>
      <c r="K95" s="5">
        <f t="shared" ref="K95" si="87">SUM(G95:I95)+J95</f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si="46"/>
        <v>552000</v>
      </c>
      <c r="U95" s="7">
        <f t="shared" si="83"/>
        <v>4448000</v>
      </c>
      <c r="V95" s="8"/>
      <c r="W95" s="9"/>
      <c r="X95" s="8">
        <f t="shared" si="62"/>
        <v>4448000</v>
      </c>
    </row>
    <row r="96" spans="1:24" x14ac:dyDescent="0.25">
      <c r="A96" s="108"/>
      <c r="B96" s="13">
        <v>49</v>
      </c>
      <c r="C96" s="3" t="s">
        <v>157</v>
      </c>
      <c r="D96" s="4"/>
      <c r="E96" s="5">
        <v>1500000</v>
      </c>
      <c r="F96" s="5">
        <v>30</v>
      </c>
      <c r="G96" s="5">
        <f t="shared" si="61"/>
        <v>1500000</v>
      </c>
      <c r="H96" s="5"/>
      <c r="I96" s="5"/>
      <c r="J96" s="5">
        <v>162500</v>
      </c>
      <c r="K96" s="5">
        <f t="shared" ref="K96" si="88">SUM(G96:I96)+J96</f>
        <v>1662500</v>
      </c>
      <c r="L96" s="5">
        <f>+G96*4%</f>
        <v>60000</v>
      </c>
      <c r="M96" s="5">
        <f>+G96*4%</f>
        <v>60000</v>
      </c>
      <c r="N96" s="5"/>
      <c r="O96" s="5"/>
      <c r="P96" s="5"/>
      <c r="Q96" s="5"/>
      <c r="R96" s="5"/>
      <c r="S96" s="5"/>
      <c r="T96" s="5">
        <f t="shared" ref="T96:T97" si="89">SUM(L96:S96)</f>
        <v>120000</v>
      </c>
      <c r="U96" s="7">
        <f t="shared" si="83"/>
        <v>1542500</v>
      </c>
      <c r="V96" s="8"/>
      <c r="W96" s="9"/>
      <c r="X96" s="8"/>
    </row>
    <row r="97" spans="1:24" x14ac:dyDescent="0.25">
      <c r="A97" s="108"/>
      <c r="B97" s="13">
        <v>50</v>
      </c>
      <c r="C97" s="3" t="s">
        <v>118</v>
      </c>
      <c r="D97" s="4" t="s">
        <v>26</v>
      </c>
      <c r="E97" s="5">
        <v>1400000</v>
      </c>
      <c r="F97" s="5">
        <v>30</v>
      </c>
      <c r="G97" s="5">
        <f t="shared" si="61"/>
        <v>1400000</v>
      </c>
      <c r="H97" s="5">
        <f>+(83140/30)*F97</f>
        <v>83140</v>
      </c>
      <c r="I97" s="5"/>
      <c r="J97" s="5">
        <v>0</v>
      </c>
      <c r="K97" s="5">
        <f t="shared" ref="K97" si="90">SUM(G97:I97)+J97</f>
        <v>1483140</v>
      </c>
      <c r="L97" s="5">
        <f>+E97*4%</f>
        <v>56000</v>
      </c>
      <c r="M97" s="5">
        <f>+E97*4%</f>
        <v>56000</v>
      </c>
      <c r="N97" s="5"/>
      <c r="O97" s="5"/>
      <c r="P97" s="5">
        <v>0</v>
      </c>
      <c r="Q97" s="5"/>
      <c r="R97" s="5"/>
      <c r="S97" s="5"/>
      <c r="T97" s="5">
        <f t="shared" si="89"/>
        <v>112000</v>
      </c>
      <c r="U97" s="7">
        <f t="shared" si="83"/>
        <v>1371140</v>
      </c>
      <c r="V97" s="8"/>
      <c r="W97" s="9"/>
      <c r="X97" s="8">
        <f t="shared" si="62"/>
        <v>1371140</v>
      </c>
    </row>
    <row r="98" spans="1:24" x14ac:dyDescent="0.25">
      <c r="A98" s="108"/>
      <c r="B98" s="13">
        <v>51</v>
      </c>
      <c r="C98" s="11" t="s">
        <v>119</v>
      </c>
      <c r="D98" s="6" t="s">
        <v>26</v>
      </c>
      <c r="E98" s="5">
        <v>15400000</v>
      </c>
      <c r="F98" s="5">
        <v>30</v>
      </c>
      <c r="G98" s="5">
        <f t="shared" si="61"/>
        <v>15400000</v>
      </c>
      <c r="H98" s="5"/>
      <c r="I98" s="5">
        <v>600000</v>
      </c>
      <c r="J98" s="5"/>
      <c r="K98" s="5">
        <f t="shared" si="80"/>
        <v>16000000</v>
      </c>
      <c r="L98" s="5">
        <v>616000</v>
      </c>
      <c r="M98" s="5">
        <f>616000+308000</f>
        <v>924000</v>
      </c>
      <c r="N98" s="5">
        <v>102400</v>
      </c>
      <c r="O98" s="5"/>
      <c r="P98" s="5">
        <v>916000</v>
      </c>
      <c r="Q98" s="5">
        <v>5000000</v>
      </c>
      <c r="R98" s="5">
        <v>180180</v>
      </c>
      <c r="S98" s="5">
        <v>2314715</v>
      </c>
      <c r="T98" s="5">
        <f t="shared" si="46"/>
        <v>10053295</v>
      </c>
      <c r="U98" s="7">
        <f>+K98-T98</f>
        <v>5946705</v>
      </c>
      <c r="V98" s="8"/>
      <c r="W98" s="9"/>
      <c r="X98" s="8">
        <f t="shared" si="62"/>
        <v>5946705</v>
      </c>
    </row>
    <row r="99" spans="1:24" x14ac:dyDescent="0.25">
      <c r="A99" s="108"/>
      <c r="B99" s="13">
        <v>52</v>
      </c>
      <c r="C99" s="11" t="s">
        <v>120</v>
      </c>
      <c r="D99" s="6" t="s">
        <v>26</v>
      </c>
      <c r="E99" s="5">
        <v>4500000</v>
      </c>
      <c r="F99" s="5">
        <v>30</v>
      </c>
      <c r="G99" s="5">
        <f t="shared" si="61"/>
        <v>4500000</v>
      </c>
      <c r="H99" s="5"/>
      <c r="I99" s="5">
        <v>0</v>
      </c>
      <c r="J99" s="5"/>
      <c r="K99" s="5">
        <f t="shared" si="80"/>
        <v>4500000</v>
      </c>
      <c r="L99" s="5">
        <f t="shared" ref="L99:L100" si="91">+G99*4%</f>
        <v>180000</v>
      </c>
      <c r="M99" s="5">
        <f>+G99*5%</f>
        <v>225000</v>
      </c>
      <c r="N99" s="5"/>
      <c r="O99" s="5"/>
      <c r="P99" s="5">
        <v>90000</v>
      </c>
      <c r="Q99" s="5"/>
      <c r="R99" s="5"/>
      <c r="S99" s="5"/>
      <c r="T99" s="5">
        <f t="shared" si="46"/>
        <v>495000</v>
      </c>
      <c r="U99" s="7">
        <f>+K99-T99</f>
        <v>4005000</v>
      </c>
      <c r="V99" s="8"/>
      <c r="W99" s="9"/>
      <c r="X99" s="8">
        <f t="shared" si="62"/>
        <v>4005000</v>
      </c>
    </row>
    <row r="100" spans="1:24" ht="24" x14ac:dyDescent="0.25">
      <c r="A100" s="108"/>
      <c r="B100" s="13">
        <v>53</v>
      </c>
      <c r="C100" s="11" t="s">
        <v>158</v>
      </c>
      <c r="D100" s="6"/>
      <c r="E100" s="5">
        <v>1600000</v>
      </c>
      <c r="F100" s="5">
        <v>30</v>
      </c>
      <c r="G100" s="5">
        <f t="shared" si="61"/>
        <v>1600000</v>
      </c>
      <c r="H100" s="5"/>
      <c r="I100" s="5"/>
      <c r="J100" s="5">
        <v>195556</v>
      </c>
      <c r="K100" s="5">
        <f t="shared" ref="K100" si="92">SUM(G100:I100)+J100</f>
        <v>1795556</v>
      </c>
      <c r="L100" s="5">
        <f t="shared" si="91"/>
        <v>64000</v>
      </c>
      <c r="M100" s="5">
        <f>+G100*4%</f>
        <v>64000</v>
      </c>
      <c r="N100" s="5"/>
      <c r="O100" s="5"/>
      <c r="P100" s="5"/>
      <c r="Q100" s="5"/>
      <c r="R100" s="5"/>
      <c r="S100" s="5"/>
      <c r="T100" s="5">
        <f t="shared" ref="T100" si="93">SUM(L100:S100)</f>
        <v>128000</v>
      </c>
      <c r="U100" s="7">
        <f>+K100-T100</f>
        <v>1667556</v>
      </c>
      <c r="V100" s="8"/>
      <c r="W100" s="9"/>
      <c r="X100" s="8"/>
    </row>
    <row r="101" spans="1:24" x14ac:dyDescent="0.25">
      <c r="A101" s="108"/>
      <c r="B101" s="13">
        <v>54</v>
      </c>
      <c r="C101" s="11" t="s">
        <v>121</v>
      </c>
      <c r="D101" s="6" t="s">
        <v>26</v>
      </c>
      <c r="E101" s="5">
        <v>2000000</v>
      </c>
      <c r="F101" s="5">
        <v>30</v>
      </c>
      <c r="G101" s="5">
        <f t="shared" si="61"/>
        <v>2000000.0000000002</v>
      </c>
      <c r="H101" s="5"/>
      <c r="I101" s="5"/>
      <c r="J101" s="5">
        <f>+E101-G101</f>
        <v>0</v>
      </c>
      <c r="K101" s="5">
        <f t="shared" si="80"/>
        <v>2000000.0000000002</v>
      </c>
      <c r="L101" s="5">
        <f>+G101*4%</f>
        <v>80000.000000000015</v>
      </c>
      <c r="M101" s="5">
        <f>+G101*4%</f>
        <v>80000.000000000015</v>
      </c>
      <c r="N101" s="5"/>
      <c r="O101" s="5"/>
      <c r="P101" s="5">
        <v>0</v>
      </c>
      <c r="Q101" s="5"/>
      <c r="R101" s="5"/>
      <c r="S101" s="5"/>
      <c r="T101" s="5">
        <f t="shared" si="46"/>
        <v>160000.00000000003</v>
      </c>
      <c r="U101" s="7">
        <f>+K101-T101</f>
        <v>1840000.0000000002</v>
      </c>
      <c r="V101" s="8"/>
      <c r="W101" s="9"/>
      <c r="X101" s="8">
        <f t="shared" si="62"/>
        <v>1840000.0000000002</v>
      </c>
    </row>
    <row r="102" spans="1:24" x14ac:dyDescent="0.25">
      <c r="A102" s="108"/>
      <c r="B102" s="13">
        <v>55</v>
      </c>
      <c r="C102" s="3" t="s">
        <v>122</v>
      </c>
      <c r="D102" s="4" t="s">
        <v>26</v>
      </c>
      <c r="E102" s="5">
        <v>3000000</v>
      </c>
      <c r="F102" s="5">
        <v>30</v>
      </c>
      <c r="G102" s="5">
        <f t="shared" si="61"/>
        <v>3000000</v>
      </c>
      <c r="H102" s="5"/>
      <c r="I102" s="5">
        <v>270000</v>
      </c>
      <c r="J102" s="5">
        <f>+E102-G102</f>
        <v>0</v>
      </c>
      <c r="K102" s="5">
        <f t="shared" si="80"/>
        <v>3270000</v>
      </c>
      <c r="L102" s="5">
        <f>+E102*4%</f>
        <v>120000</v>
      </c>
      <c r="M102" s="5">
        <f>+G102*5%</f>
        <v>150000</v>
      </c>
      <c r="N102" s="5"/>
      <c r="O102" s="5"/>
      <c r="P102" s="5">
        <v>0</v>
      </c>
      <c r="Q102" s="5"/>
      <c r="R102" s="5"/>
      <c r="S102" s="5"/>
      <c r="T102" s="5">
        <f t="shared" si="46"/>
        <v>270000</v>
      </c>
      <c r="U102" s="7">
        <f>K102-T102</f>
        <v>3000000</v>
      </c>
      <c r="V102" s="8"/>
      <c r="W102" s="9"/>
      <c r="X102" s="8">
        <f t="shared" si="62"/>
        <v>3000000</v>
      </c>
    </row>
    <row r="103" spans="1:24" x14ac:dyDescent="0.25">
      <c r="A103" s="108"/>
      <c r="B103" s="13">
        <v>56</v>
      </c>
      <c r="C103" s="3" t="s">
        <v>123</v>
      </c>
      <c r="D103" s="4" t="s">
        <v>26</v>
      </c>
      <c r="E103" s="5">
        <v>1600000</v>
      </c>
      <c r="F103" s="5">
        <v>30</v>
      </c>
      <c r="G103" s="5">
        <f t="shared" si="61"/>
        <v>1600000</v>
      </c>
      <c r="H103" s="5"/>
      <c r="I103" s="5">
        <v>200000</v>
      </c>
      <c r="J103" s="5"/>
      <c r="K103" s="5">
        <f t="shared" si="80"/>
        <v>1800000</v>
      </c>
      <c r="L103" s="5">
        <f>+G103*4%</f>
        <v>64000</v>
      </c>
      <c r="M103" s="5">
        <f>+G103*4%</f>
        <v>64000</v>
      </c>
      <c r="N103" s="5"/>
      <c r="O103" s="5"/>
      <c r="P103" s="5"/>
      <c r="Q103" s="5"/>
      <c r="R103" s="5"/>
      <c r="S103" s="5"/>
      <c r="T103" s="5">
        <f>SUM(L103:S103)</f>
        <v>128000</v>
      </c>
      <c r="U103" s="7">
        <f>K103-T103</f>
        <v>1672000</v>
      </c>
      <c r="V103" s="8"/>
      <c r="W103" s="9"/>
      <c r="X103" s="8">
        <f t="shared" si="62"/>
        <v>1672000</v>
      </c>
    </row>
    <row r="104" spans="1:24" x14ac:dyDescent="0.25">
      <c r="A104" s="108"/>
      <c r="B104" s="13">
        <v>57</v>
      </c>
      <c r="C104" s="3" t="s">
        <v>125</v>
      </c>
      <c r="D104" s="4"/>
      <c r="E104" s="5">
        <v>4500000</v>
      </c>
      <c r="F104" s="5">
        <v>30</v>
      </c>
      <c r="G104" s="5">
        <f t="shared" si="61"/>
        <v>4500000</v>
      </c>
      <c r="H104" s="5"/>
      <c r="I104" s="5"/>
      <c r="J104" s="5"/>
      <c r="K104" s="5">
        <f t="shared" si="80"/>
        <v>4500000</v>
      </c>
      <c r="L104" s="5">
        <f>+G104*4%</f>
        <v>180000</v>
      </c>
      <c r="M104" s="5">
        <f>+G104*5%</f>
        <v>225000</v>
      </c>
      <c r="N104" s="5"/>
      <c r="O104" s="5"/>
      <c r="P104" s="5">
        <v>34000</v>
      </c>
      <c r="Q104" s="5"/>
      <c r="R104" s="5"/>
      <c r="S104" s="5"/>
      <c r="T104" s="5">
        <f>SUM(L104:S104)</f>
        <v>439000</v>
      </c>
      <c r="U104" s="7">
        <f>K104-T104</f>
        <v>4061000</v>
      </c>
      <c r="V104" s="8"/>
      <c r="W104" s="9"/>
      <c r="X104" s="8">
        <f t="shared" si="62"/>
        <v>4061000</v>
      </c>
    </row>
    <row r="105" spans="1:24" ht="24" x14ac:dyDescent="0.25">
      <c r="A105" s="108"/>
      <c r="B105" s="13">
        <v>58</v>
      </c>
      <c r="C105" s="11" t="s">
        <v>127</v>
      </c>
      <c r="D105" s="6" t="s">
        <v>26</v>
      </c>
      <c r="E105" s="5">
        <v>3000000</v>
      </c>
      <c r="F105" s="5">
        <v>30</v>
      </c>
      <c r="G105" s="5">
        <f t="shared" si="61"/>
        <v>3000000</v>
      </c>
      <c r="H105" s="5"/>
      <c r="I105" s="5"/>
      <c r="J105" s="5">
        <v>0</v>
      </c>
      <c r="K105" s="5">
        <f t="shared" si="80"/>
        <v>3000000</v>
      </c>
      <c r="L105" s="5">
        <f>+E105*4%</f>
        <v>120000</v>
      </c>
      <c r="M105" s="5">
        <f>+E105*5%</f>
        <v>150000</v>
      </c>
      <c r="N105" s="5"/>
      <c r="O105" s="5"/>
      <c r="P105" s="5"/>
      <c r="Q105" s="5"/>
      <c r="R105" s="5"/>
      <c r="S105" s="5"/>
      <c r="T105" s="5">
        <f t="shared" si="46"/>
        <v>270000</v>
      </c>
      <c r="U105" s="7">
        <f>+K105-T105</f>
        <v>2730000</v>
      </c>
      <c r="V105" s="8"/>
      <c r="W105" s="9"/>
      <c r="X105" s="8">
        <f t="shared" si="62"/>
        <v>2730000</v>
      </c>
    </row>
    <row r="106" spans="1:24" x14ac:dyDescent="0.25">
      <c r="A106" s="108"/>
      <c r="B106" s="13">
        <v>59</v>
      </c>
      <c r="C106" s="11" t="s">
        <v>128</v>
      </c>
      <c r="D106" s="6" t="s">
        <v>26</v>
      </c>
      <c r="E106" s="5">
        <v>3700000</v>
      </c>
      <c r="F106" s="5">
        <v>30</v>
      </c>
      <c r="G106" s="5">
        <f t="shared" si="61"/>
        <v>3700000</v>
      </c>
      <c r="H106" s="5"/>
      <c r="I106" s="5">
        <v>650000</v>
      </c>
      <c r="J106" s="5"/>
      <c r="K106" s="5">
        <f t="shared" si="80"/>
        <v>4350000</v>
      </c>
      <c r="L106" s="5">
        <f t="shared" ref="L106" si="94">+G106*4%</f>
        <v>148000</v>
      </c>
      <c r="M106" s="5">
        <f>+G106*5%</f>
        <v>185000</v>
      </c>
      <c r="N106" s="5"/>
      <c r="O106" s="5"/>
      <c r="P106" s="5"/>
      <c r="Q106" s="5"/>
      <c r="R106" s="5"/>
      <c r="S106" s="5"/>
      <c r="T106" s="5">
        <f t="shared" ref="T106" si="95">SUM(L106:S106)</f>
        <v>333000</v>
      </c>
      <c r="U106" s="7">
        <f>+K106-T106</f>
        <v>4017000</v>
      </c>
      <c r="V106" s="8"/>
      <c r="W106" s="9"/>
      <c r="X106" s="8">
        <f t="shared" si="62"/>
        <v>4017000</v>
      </c>
    </row>
    <row r="107" spans="1:24" x14ac:dyDescent="0.25">
      <c r="A107" s="108"/>
      <c r="B107" s="13">
        <v>60</v>
      </c>
      <c r="C107" s="11" t="s">
        <v>129</v>
      </c>
      <c r="D107" s="6" t="s">
        <v>34</v>
      </c>
      <c r="E107" s="5">
        <v>1800000</v>
      </c>
      <c r="F107" s="5">
        <v>30</v>
      </c>
      <c r="G107" s="5">
        <f t="shared" si="61"/>
        <v>1800000</v>
      </c>
      <c r="H107" s="5"/>
      <c r="I107" s="5"/>
      <c r="J107" s="5">
        <v>0</v>
      </c>
      <c r="K107" s="5">
        <f t="shared" si="80"/>
        <v>1800000</v>
      </c>
      <c r="L107" s="5">
        <f>+E107*4%</f>
        <v>72000</v>
      </c>
      <c r="M107" s="5">
        <f>+E107*4%</f>
        <v>72000</v>
      </c>
      <c r="N107" s="5"/>
      <c r="O107" s="5"/>
      <c r="P107" s="17"/>
      <c r="Q107" s="5"/>
      <c r="R107" s="5"/>
      <c r="S107" s="5">
        <v>136805</v>
      </c>
      <c r="T107" s="5">
        <f t="shared" si="46"/>
        <v>280805</v>
      </c>
      <c r="U107" s="7">
        <f>+K107-T107</f>
        <v>1519195</v>
      </c>
      <c r="V107" s="8"/>
      <c r="W107" s="9"/>
      <c r="X107" s="8">
        <f t="shared" si="62"/>
        <v>1519195</v>
      </c>
    </row>
    <row r="108" spans="1:24" x14ac:dyDescent="0.25">
      <c r="A108" s="108"/>
      <c r="B108" s="13">
        <v>61</v>
      </c>
      <c r="C108" s="11" t="s">
        <v>172</v>
      </c>
      <c r="D108" s="6"/>
      <c r="E108" s="5">
        <v>1500000</v>
      </c>
      <c r="F108" s="5">
        <v>19</v>
      </c>
      <c r="G108" s="5">
        <f t="shared" si="61"/>
        <v>950000</v>
      </c>
      <c r="H108" s="5"/>
      <c r="I108" s="5"/>
      <c r="J108" s="5">
        <v>79167</v>
      </c>
      <c r="K108" s="5">
        <f t="shared" si="80"/>
        <v>1029167</v>
      </c>
      <c r="L108" s="5">
        <f>+G108*4%</f>
        <v>38000</v>
      </c>
      <c r="M108" s="5">
        <f>+G108*4%</f>
        <v>38000</v>
      </c>
      <c r="N108" s="5"/>
      <c r="O108" s="5"/>
      <c r="P108" s="17"/>
      <c r="Q108" s="5"/>
      <c r="R108" s="5"/>
      <c r="S108" s="5"/>
      <c r="T108" s="5">
        <f t="shared" ref="T108" si="96">SUM(L108:S108)</f>
        <v>76000</v>
      </c>
      <c r="U108" s="7">
        <f>+K108-T108</f>
        <v>953167</v>
      </c>
      <c r="V108" s="8"/>
      <c r="W108" s="9"/>
      <c r="X108" s="8">
        <f t="shared" si="62"/>
        <v>953167</v>
      </c>
    </row>
    <row r="109" spans="1:24" x14ac:dyDescent="0.25">
      <c r="A109" s="108"/>
      <c r="B109" s="13">
        <v>62</v>
      </c>
      <c r="C109" s="3" t="s">
        <v>130</v>
      </c>
      <c r="D109" s="4" t="s">
        <v>26</v>
      </c>
      <c r="E109" s="5">
        <v>1600000</v>
      </c>
      <c r="F109" s="5">
        <v>30</v>
      </c>
      <c r="G109" s="5">
        <f t="shared" si="61"/>
        <v>1600000</v>
      </c>
      <c r="H109" s="5"/>
      <c r="I109" s="5"/>
      <c r="J109" s="5">
        <v>0</v>
      </c>
      <c r="K109" s="5">
        <f t="shared" si="80"/>
        <v>1600000</v>
      </c>
      <c r="L109" s="5">
        <f>+K109*4%</f>
        <v>64000</v>
      </c>
      <c r="M109" s="5">
        <v>64000</v>
      </c>
      <c r="N109" s="5"/>
      <c r="O109" s="5"/>
      <c r="P109" s="5">
        <v>0</v>
      </c>
      <c r="Q109" s="5"/>
      <c r="R109" s="5"/>
      <c r="S109" s="5">
        <v>249127</v>
      </c>
      <c r="T109" s="5">
        <f t="shared" si="46"/>
        <v>377127</v>
      </c>
      <c r="U109" s="7">
        <f>K109-T109</f>
        <v>1222873</v>
      </c>
      <c r="V109" s="8"/>
      <c r="W109" s="9"/>
      <c r="X109" s="8">
        <f t="shared" si="62"/>
        <v>1222873</v>
      </c>
    </row>
    <row r="110" spans="1:24" x14ac:dyDescent="0.25">
      <c r="A110" s="108"/>
      <c r="B110" s="13">
        <v>63</v>
      </c>
      <c r="C110" s="11" t="s">
        <v>131</v>
      </c>
      <c r="D110" s="6" t="s">
        <v>26</v>
      </c>
      <c r="E110" s="5">
        <v>737717</v>
      </c>
      <c r="F110" s="5">
        <v>30</v>
      </c>
      <c r="G110" s="5">
        <f t="shared" si="61"/>
        <v>737717</v>
      </c>
      <c r="H110" s="5">
        <f t="shared" ref="H110" si="97">+(83140/30)*F110</f>
        <v>83140</v>
      </c>
      <c r="I110" s="5"/>
      <c r="J110" s="5"/>
      <c r="K110" s="5">
        <f t="shared" si="80"/>
        <v>820857</v>
      </c>
      <c r="L110" s="5">
        <v>29509</v>
      </c>
      <c r="M110" s="5">
        <v>29509</v>
      </c>
      <c r="N110" s="5"/>
      <c r="O110" s="5"/>
      <c r="P110" s="5">
        <v>0</v>
      </c>
      <c r="Q110" s="5"/>
      <c r="R110" s="5">
        <v>502867</v>
      </c>
      <c r="S110" s="5"/>
      <c r="T110" s="5">
        <f t="shared" si="46"/>
        <v>561885</v>
      </c>
      <c r="U110" s="7">
        <f t="shared" ref="U110:U115" si="98">+K110-T110</f>
        <v>258972</v>
      </c>
      <c r="V110" s="8"/>
      <c r="W110" s="9"/>
      <c r="X110" s="8">
        <f t="shared" si="62"/>
        <v>258972</v>
      </c>
    </row>
    <row r="111" spans="1:24" ht="24" x14ac:dyDescent="0.25">
      <c r="A111" s="108"/>
      <c r="B111" s="13">
        <v>64</v>
      </c>
      <c r="C111" s="11" t="s">
        <v>133</v>
      </c>
      <c r="D111" s="6" t="s">
        <v>26</v>
      </c>
      <c r="E111" s="5">
        <v>1800000</v>
      </c>
      <c r="F111" s="5">
        <v>30</v>
      </c>
      <c r="G111" s="5">
        <f t="shared" si="61"/>
        <v>1800000</v>
      </c>
      <c r="H111" s="5"/>
      <c r="I111" s="5"/>
      <c r="J111" s="21"/>
      <c r="K111" s="5">
        <f t="shared" si="80"/>
        <v>1800000</v>
      </c>
      <c r="L111" s="5">
        <f t="shared" ref="L111" si="99">+G111*4%</f>
        <v>72000</v>
      </c>
      <c r="M111" s="5">
        <f t="shared" ref="M111" si="100">+G111*4%</f>
        <v>72000</v>
      </c>
      <c r="N111" s="5"/>
      <c r="O111" s="5"/>
      <c r="P111" s="5">
        <v>0</v>
      </c>
      <c r="Q111" s="5"/>
      <c r="R111" s="5"/>
      <c r="S111" s="5"/>
      <c r="T111" s="5">
        <f t="shared" ref="T111" si="101">SUM(L111:S111)</f>
        <v>144000</v>
      </c>
      <c r="U111" s="7">
        <f t="shared" si="98"/>
        <v>1656000</v>
      </c>
      <c r="V111" s="8"/>
      <c r="W111" s="9"/>
      <c r="X111" s="8">
        <f t="shared" si="62"/>
        <v>1656000</v>
      </c>
    </row>
    <row r="112" spans="1:24" ht="18.75" customHeight="1" x14ac:dyDescent="0.25">
      <c r="A112" s="108"/>
      <c r="B112" s="13">
        <v>65</v>
      </c>
      <c r="C112" s="11" t="s">
        <v>134</v>
      </c>
      <c r="D112" s="6" t="s">
        <v>26</v>
      </c>
      <c r="E112" s="5">
        <v>2000000</v>
      </c>
      <c r="F112" s="5">
        <v>30</v>
      </c>
      <c r="G112" s="5">
        <f t="shared" si="61"/>
        <v>2000000.0000000002</v>
      </c>
      <c r="H112" s="5"/>
      <c r="I112" s="5"/>
      <c r="J112" s="5">
        <f>+E112-G112</f>
        <v>0</v>
      </c>
      <c r="K112" s="5">
        <f t="shared" si="80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46"/>
        <v>160000</v>
      </c>
      <c r="U112" s="7">
        <f t="shared" si="98"/>
        <v>1840000.0000000002</v>
      </c>
      <c r="V112" s="8"/>
      <c r="W112" s="9"/>
      <c r="X112" s="8">
        <f t="shared" si="62"/>
        <v>1840000.0000000002</v>
      </c>
    </row>
    <row r="113" spans="1:28" ht="18.75" customHeight="1" x14ac:dyDescent="0.25">
      <c r="A113" s="108"/>
      <c r="B113" s="13">
        <v>66</v>
      </c>
      <c r="C113" s="11" t="s">
        <v>136</v>
      </c>
      <c r="D113" s="6"/>
      <c r="E113" s="5">
        <v>1070000</v>
      </c>
      <c r="F113" s="5">
        <v>30</v>
      </c>
      <c r="G113" s="5">
        <f t="shared" si="61"/>
        <v>1070000</v>
      </c>
      <c r="H113" s="5">
        <f t="shared" ref="H113" si="102">+(83140/30)*F113</f>
        <v>83140</v>
      </c>
      <c r="I113" s="5"/>
      <c r="J113" s="22"/>
      <c r="K113" s="5">
        <f t="shared" si="80"/>
        <v>1153140</v>
      </c>
      <c r="L113" s="5">
        <f t="shared" ref="L113" si="103">+G113*4%</f>
        <v>42800</v>
      </c>
      <c r="M113" s="5">
        <f t="shared" ref="M113" si="104">+G113*4%</f>
        <v>42800</v>
      </c>
      <c r="N113" s="5"/>
      <c r="O113" s="5"/>
      <c r="P113" s="5">
        <v>0</v>
      </c>
      <c r="Q113" s="5"/>
      <c r="R113" s="5"/>
      <c r="S113" s="5"/>
      <c r="T113" s="5">
        <f t="shared" ref="T113:T114" si="105">SUM(L113:S113)</f>
        <v>85600</v>
      </c>
      <c r="U113" s="7">
        <f t="shared" si="98"/>
        <v>1067540</v>
      </c>
      <c r="V113" s="8"/>
      <c r="W113" s="9"/>
      <c r="X113" s="8">
        <f t="shared" si="62"/>
        <v>1067540</v>
      </c>
    </row>
    <row r="114" spans="1:28" ht="18.75" customHeight="1" x14ac:dyDescent="0.25">
      <c r="A114" s="108"/>
      <c r="B114" s="13">
        <v>67</v>
      </c>
      <c r="C114" s="11" t="s">
        <v>159</v>
      </c>
      <c r="D114" s="6"/>
      <c r="E114" s="5">
        <v>368859</v>
      </c>
      <c r="F114" s="5">
        <v>30</v>
      </c>
      <c r="G114" s="5">
        <f t="shared" si="61"/>
        <v>368859</v>
      </c>
      <c r="H114" s="5"/>
      <c r="I114" s="5"/>
      <c r="J114" s="22"/>
      <c r="K114" s="5">
        <f t="shared" si="80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05"/>
        <v>0</v>
      </c>
      <c r="U114" s="7">
        <f t="shared" si="98"/>
        <v>368859</v>
      </c>
      <c r="V114" s="8"/>
      <c r="W114" s="9"/>
      <c r="X114" s="8"/>
    </row>
    <row r="115" spans="1:28" x14ac:dyDescent="0.25">
      <c r="A115" s="108"/>
      <c r="B115" s="13">
        <v>68</v>
      </c>
      <c r="C115" s="11" t="s">
        <v>137</v>
      </c>
      <c r="D115" s="6" t="s">
        <v>26</v>
      </c>
      <c r="E115" s="5">
        <v>4400000</v>
      </c>
      <c r="F115" s="5">
        <v>30</v>
      </c>
      <c r="G115" s="5">
        <f t="shared" si="61"/>
        <v>4400000</v>
      </c>
      <c r="H115" s="5"/>
      <c r="I115" s="5"/>
      <c r="J115" s="5"/>
      <c r="K115" s="5">
        <f t="shared" si="80"/>
        <v>4400000</v>
      </c>
      <c r="L115" s="5">
        <f>+G115*4%</f>
        <v>176000</v>
      </c>
      <c r="M115" s="5">
        <f>+G115*5%</f>
        <v>220000</v>
      </c>
      <c r="N115" s="5"/>
      <c r="O115" s="5"/>
      <c r="P115" s="5">
        <v>44000</v>
      </c>
      <c r="Q115" s="5"/>
      <c r="R115" s="5"/>
      <c r="S115" s="5">
        <v>286840</v>
      </c>
      <c r="T115" s="5">
        <f t="shared" si="46"/>
        <v>726840</v>
      </c>
      <c r="U115" s="7">
        <f t="shared" si="98"/>
        <v>3673160</v>
      </c>
      <c r="V115" s="8"/>
      <c r="W115" s="9"/>
      <c r="X115" s="8">
        <f t="shared" ref="X115" si="106">U115+V115-W115</f>
        <v>3673160</v>
      </c>
    </row>
    <row r="116" spans="1:28" x14ac:dyDescent="0.25">
      <c r="A116" s="13"/>
      <c r="B116" s="13"/>
      <c r="C116" s="23" t="s">
        <v>139</v>
      </c>
      <c r="D116" s="13"/>
      <c r="E116" s="18">
        <f>SUM(E5:E115)</f>
        <v>378435695</v>
      </c>
      <c r="F116" s="18" t="s">
        <v>1</v>
      </c>
      <c r="G116" s="8">
        <f t="shared" ref="G116:U116" si="107">SUM(G5:G115)</f>
        <v>363284985.19999999</v>
      </c>
      <c r="H116" s="8">
        <f t="shared" si="107"/>
        <v>1851250.6666666665</v>
      </c>
      <c r="I116" s="8">
        <f t="shared" si="107"/>
        <v>13043827</v>
      </c>
      <c r="J116" s="8">
        <f t="shared" si="107"/>
        <v>16059146</v>
      </c>
      <c r="K116" s="8">
        <f t="shared" si="107"/>
        <v>394239208.86666673</v>
      </c>
      <c r="L116" s="8">
        <f t="shared" si="107"/>
        <v>14939242.821333332</v>
      </c>
      <c r="M116" s="8">
        <f t="shared" si="107"/>
        <v>18257251.517999999</v>
      </c>
      <c r="N116" s="8">
        <f t="shared" si="107"/>
        <v>102400</v>
      </c>
      <c r="O116" s="8">
        <f t="shared" si="107"/>
        <v>16933</v>
      </c>
      <c r="P116" s="8">
        <f t="shared" si="107"/>
        <v>4592573</v>
      </c>
      <c r="Q116" s="8">
        <f t="shared" si="107"/>
        <v>13800000</v>
      </c>
      <c r="R116" s="8">
        <f t="shared" si="107"/>
        <v>2012816</v>
      </c>
      <c r="S116" s="8">
        <f t="shared" si="107"/>
        <v>10603542</v>
      </c>
      <c r="T116" s="8">
        <f t="shared" si="107"/>
        <v>64324758.339333333</v>
      </c>
      <c r="U116" s="8">
        <f t="shared" si="107"/>
        <v>329914450.52733338</v>
      </c>
      <c r="V116" s="8">
        <f>SUM(V6:V110)</f>
        <v>0</v>
      </c>
      <c r="W116" s="9">
        <f>SUM(W6:W110)</f>
        <v>0</v>
      </c>
      <c r="X116" s="8">
        <f>SUM(X5:X115)</f>
        <v>322899091.52733338</v>
      </c>
    </row>
    <row r="117" spans="1:28" x14ac:dyDescent="0.25">
      <c r="E117" s="26"/>
      <c r="F117" s="26"/>
      <c r="G117" s="26"/>
      <c r="U117" s="20"/>
      <c r="V117" s="20"/>
      <c r="X117" s="20"/>
    </row>
    <row r="118" spans="1:28" x14ac:dyDescent="0.25"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9"/>
      <c r="V118" s="25"/>
      <c r="W118" s="30"/>
      <c r="X118" s="29"/>
    </row>
    <row r="119" spans="1:28" x14ac:dyDescent="0.25"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5"/>
      <c r="V119" s="25"/>
      <c r="W119" s="30"/>
      <c r="X119" s="29"/>
    </row>
    <row r="120" spans="1:28" x14ac:dyDescent="0.25"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9"/>
    </row>
    <row r="121" spans="1:28" x14ac:dyDescent="0.25"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26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25"/>
      <c r="Z122" s="25"/>
      <c r="AA122" s="25"/>
      <c r="AB122" s="25"/>
    </row>
    <row r="123" spans="1:28" x14ac:dyDescent="0.25">
      <c r="B123" s="25"/>
      <c r="C123" s="31"/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5"/>
      <c r="V123" s="25"/>
      <c r="W123" s="30"/>
      <c r="X123" s="25"/>
      <c r="Y123" s="25"/>
      <c r="Z123" s="25"/>
      <c r="AA123" s="25"/>
      <c r="AB123" s="25"/>
    </row>
    <row r="124" spans="1:28" x14ac:dyDescent="0.25">
      <c r="B124" s="25"/>
      <c r="C124" s="31"/>
      <c r="D124" s="2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5"/>
      <c r="V124" s="25"/>
      <c r="W124" s="30"/>
      <c r="X124" s="25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6"/>
      <c r="C127" s="31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31"/>
      <c r="D128" s="25"/>
      <c r="E128" s="26"/>
      <c r="F128" s="26"/>
      <c r="G128" s="38"/>
      <c r="H128" s="26"/>
      <c r="I128" s="26"/>
      <c r="J128" s="26"/>
      <c r="K128" s="26"/>
      <c r="L128" s="26"/>
      <c r="M128" s="26"/>
      <c r="N128" s="39"/>
      <c r="O128" s="39"/>
      <c r="P128" s="39"/>
      <c r="Q128" s="39"/>
      <c r="R128" s="39"/>
      <c r="S128" s="26"/>
      <c r="T128" s="26"/>
      <c r="U128" s="25"/>
      <c r="V128" s="25"/>
      <c r="W128" s="30"/>
      <c r="X128" s="25"/>
      <c r="Y128" s="25"/>
      <c r="Z128" s="25"/>
      <c r="AA128" s="25"/>
      <c r="AB128" s="25"/>
    </row>
    <row r="129" spans="2:28" x14ac:dyDescent="0.25">
      <c r="B129" s="25"/>
      <c r="C129" s="40"/>
      <c r="D129" s="34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4"/>
      <c r="V129" s="34"/>
      <c r="W129" s="35"/>
      <c r="X129" s="34"/>
      <c r="Y129" s="25"/>
      <c r="Z129" s="25"/>
      <c r="AA129" s="25"/>
      <c r="AB129" s="25"/>
    </row>
    <row r="130" spans="2:28" x14ac:dyDescent="0.25">
      <c r="B130" s="34"/>
      <c r="C130" s="40"/>
      <c r="D130" s="34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4"/>
      <c r="V130" s="34"/>
      <c r="W130" s="35"/>
      <c r="X130" s="34"/>
      <c r="Y130" s="25"/>
      <c r="Z130" s="25"/>
      <c r="AA130" s="25"/>
      <c r="AB130" s="25"/>
    </row>
    <row r="131" spans="2:28" x14ac:dyDescent="0.25">
      <c r="B131" s="25"/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2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2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2:28" x14ac:dyDescent="0.25">
      <c r="C134" s="40"/>
      <c r="D134" s="34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2:28" x14ac:dyDescent="0.25">
      <c r="C135" s="40"/>
      <c r="D135" s="34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2:28" x14ac:dyDescent="0.25">
      <c r="C136" s="40"/>
      <c r="D136" s="34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2:28" x14ac:dyDescent="0.25">
      <c r="C137" s="31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2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2:28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2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2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2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2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2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40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9"/>
      <c r="V146" s="29"/>
      <c r="W146" s="30"/>
      <c r="X146" s="29"/>
      <c r="Y146" s="25"/>
      <c r="Z146" s="25"/>
      <c r="AA146" s="25"/>
      <c r="AB146" s="25"/>
    </row>
    <row r="147" spans="2:28" x14ac:dyDescent="0.25">
      <c r="C147" s="40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9"/>
      <c r="V147" s="29"/>
      <c r="W147" s="30"/>
      <c r="X147" s="29"/>
      <c r="Y147" s="25"/>
      <c r="Z147" s="25"/>
      <c r="AA147" s="25"/>
      <c r="AB147" s="25"/>
    </row>
    <row r="148" spans="2:28" x14ac:dyDescent="0.25">
      <c r="C148" s="40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9"/>
      <c r="V148" s="29"/>
      <c r="W148" s="30"/>
      <c r="X148" s="29"/>
      <c r="Y148" s="25"/>
      <c r="Z148" s="25"/>
      <c r="AA148" s="25"/>
      <c r="AB148" s="25"/>
    </row>
    <row r="149" spans="2:28" x14ac:dyDescent="0.25">
      <c r="C149" s="31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5"/>
      <c r="V149" s="25"/>
      <c r="W149" s="30"/>
      <c r="X149" s="25"/>
      <c r="Y149" s="25"/>
      <c r="Z149" s="25"/>
      <c r="AA149" s="25"/>
      <c r="AB149" s="25"/>
    </row>
    <row r="150" spans="2:28" x14ac:dyDescent="0.25">
      <c r="C150" s="31"/>
      <c r="D150" s="25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25"/>
      <c r="S150" s="26"/>
      <c r="T150" s="26"/>
      <c r="U150" s="25"/>
      <c r="V150" s="25"/>
      <c r="W150" s="30"/>
      <c r="X150" s="25"/>
      <c r="Y150" s="25"/>
      <c r="Z150" s="25"/>
      <c r="AA150" s="25"/>
      <c r="AB150" s="25"/>
    </row>
    <row r="151" spans="2:28" x14ac:dyDescent="0.25">
      <c r="B151" s="25"/>
      <c r="C151" s="31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25"/>
      <c r="Z151" s="25"/>
      <c r="AA151" s="25"/>
      <c r="AB151" s="25"/>
    </row>
    <row r="152" spans="2:28" x14ac:dyDescent="0.25">
      <c r="B152" s="25"/>
      <c r="C152" s="31"/>
      <c r="D152" s="2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4"/>
      <c r="V152" s="34"/>
      <c r="W152" s="35"/>
      <c r="X152" s="34"/>
      <c r="Y152" s="25"/>
      <c r="Z152" s="25"/>
      <c r="AA152" s="25"/>
      <c r="AB152" s="25"/>
    </row>
    <row r="153" spans="2:28" x14ac:dyDescent="0.25">
      <c r="B153" s="25"/>
      <c r="C153" s="40"/>
      <c r="D153" s="34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4"/>
      <c r="V153" s="34"/>
      <c r="W153" s="35"/>
      <c r="X153" s="34"/>
    </row>
    <row r="154" spans="2:28" x14ac:dyDescent="0.25">
      <c r="B154" s="41"/>
      <c r="C154" s="40"/>
      <c r="D154" s="34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4"/>
      <c r="V154" s="34"/>
      <c r="W154" s="35"/>
      <c r="X154" s="34"/>
    </row>
    <row r="155" spans="2:28" x14ac:dyDescent="0.25">
      <c r="C155" s="40"/>
      <c r="D155" s="34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3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40"/>
      <c r="D157" s="34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9"/>
      <c r="V157" s="29"/>
      <c r="W157" s="30"/>
      <c r="X157" s="29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C159" s="40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9"/>
      <c r="V159" s="29"/>
      <c r="W159" s="30"/>
      <c r="X159" s="29"/>
    </row>
    <row r="160" spans="2:28" x14ac:dyDescent="0.25"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9"/>
      <c r="V161" s="29"/>
      <c r="W161" s="30"/>
      <c r="X161" s="29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5"/>
      <c r="V162" s="25"/>
      <c r="W162" s="30"/>
      <c r="X162" s="25"/>
    </row>
    <row r="163" spans="2:24" x14ac:dyDescent="0.25">
      <c r="B163" s="25"/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B164" s="25"/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42"/>
      <c r="V164" s="42"/>
      <c r="W164" s="30"/>
      <c r="X164" s="42"/>
    </row>
    <row r="165" spans="2:24" x14ac:dyDescent="0.25">
      <c r="B165" s="25"/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43"/>
      <c r="V165" s="43"/>
      <c r="W165" s="30"/>
      <c r="X165" s="43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31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31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31"/>
      <c r="D173" s="25"/>
      <c r="E173" s="26"/>
      <c r="F173" s="26"/>
      <c r="G173" s="26"/>
      <c r="H173" s="26"/>
      <c r="I173" s="26"/>
      <c r="J173" s="26"/>
      <c r="K173" s="26"/>
      <c r="L173" s="26">
        <v>3003000</v>
      </c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40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5"/>
      <c r="V175" s="25"/>
      <c r="W175" s="30"/>
      <c r="X175" s="25"/>
    </row>
    <row r="176" spans="2:24" x14ac:dyDescent="0.25">
      <c r="C176" s="40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5"/>
      <c r="V176" s="25"/>
      <c r="W176" s="30"/>
      <c r="X176" s="25"/>
    </row>
    <row r="177" spans="3:24" x14ac:dyDescent="0.25">
      <c r="C177" s="40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v>42614840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>
        <v>412608</v>
      </c>
      <c r="U178" s="25"/>
      <c r="V178" s="25"/>
      <c r="W178" s="30"/>
      <c r="X178" s="25"/>
    </row>
    <row r="179" spans="3:24" x14ac:dyDescent="0.25">
      <c r="C179" s="31">
        <v>9675182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>
        <v>1880000</v>
      </c>
      <c r="U179" s="25"/>
      <c r="V179" s="25"/>
      <c r="W179" s="30"/>
      <c r="X179" s="25"/>
    </row>
    <row r="180" spans="3:24" x14ac:dyDescent="0.25">
      <c r="C180" s="31">
        <v>17903600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1" spans="3:24" x14ac:dyDescent="0.25">
      <c r="C181" s="31">
        <f>SUM(C178:C180)</f>
        <v>70193622</v>
      </c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5"/>
      <c r="V181" s="25"/>
      <c r="W181" s="30"/>
      <c r="X181" s="25"/>
    </row>
    <row r="182" spans="3:24" x14ac:dyDescent="0.25">
      <c r="C182" s="31">
        <v>400000</v>
      </c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5"/>
      <c r="V182" s="25"/>
      <c r="W182" s="30"/>
      <c r="X182" s="25"/>
    </row>
    <row r="183" spans="3:24" x14ac:dyDescent="0.25">
      <c r="C183" s="31">
        <f>+C181+C182</f>
        <v>70593622</v>
      </c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5"/>
      <c r="V183" s="25"/>
      <c r="W183" s="30"/>
      <c r="X183" s="25"/>
    </row>
    <row r="186" spans="3:24" x14ac:dyDescent="0.25">
      <c r="C186" s="24">
        <v>64000000</v>
      </c>
    </row>
    <row r="187" spans="3:24" x14ac:dyDescent="0.25">
      <c r="C187" s="24">
        <v>11000000</v>
      </c>
    </row>
    <row r="188" spans="3:24" x14ac:dyDescent="0.25">
      <c r="C188" s="24">
        <f>+C186+C187</f>
        <v>75000000</v>
      </c>
    </row>
    <row r="192" spans="3:24" x14ac:dyDescent="0.25">
      <c r="C192" s="24">
        <v>2745000</v>
      </c>
    </row>
    <row r="193" spans="3:3" x14ac:dyDescent="0.25">
      <c r="C193" s="24">
        <v>3185000</v>
      </c>
    </row>
    <row r="194" spans="3:3" x14ac:dyDescent="0.25">
      <c r="C194" s="24">
        <v>1080000</v>
      </c>
    </row>
    <row r="195" spans="3:3" x14ac:dyDescent="0.25">
      <c r="C195" s="24">
        <v>4850100</v>
      </c>
    </row>
    <row r="196" spans="3:3" x14ac:dyDescent="0.25">
      <c r="C196" s="24">
        <v>5027500</v>
      </c>
    </row>
    <row r="197" spans="3:3" x14ac:dyDescent="0.25">
      <c r="C197" s="24">
        <v>4566000</v>
      </c>
    </row>
    <row r="198" spans="3:3" x14ac:dyDescent="0.25">
      <c r="C198" s="24">
        <v>1050000</v>
      </c>
    </row>
    <row r="199" spans="3:3" x14ac:dyDescent="0.25">
      <c r="C199" s="24">
        <v>3877333</v>
      </c>
    </row>
    <row r="200" spans="3:3" x14ac:dyDescent="0.25">
      <c r="C200" s="24">
        <v>6732440</v>
      </c>
    </row>
    <row r="201" spans="3:3" x14ac:dyDescent="0.25">
      <c r="C201" s="24">
        <v>3460000</v>
      </c>
    </row>
    <row r="202" spans="3:3" x14ac:dyDescent="0.25">
      <c r="C202" s="24">
        <v>588800</v>
      </c>
    </row>
    <row r="203" spans="3:3" x14ac:dyDescent="0.25">
      <c r="C203" s="24">
        <v>1868000</v>
      </c>
    </row>
    <row r="204" spans="3:3" x14ac:dyDescent="0.25">
      <c r="C204" s="24">
        <v>10313000</v>
      </c>
    </row>
    <row r="205" spans="3:3" x14ac:dyDescent="0.25">
      <c r="C205" s="24">
        <v>3443800</v>
      </c>
    </row>
    <row r="206" spans="3:3" x14ac:dyDescent="0.25">
      <c r="C206" s="24">
        <v>8136400</v>
      </c>
    </row>
    <row r="207" spans="3:3" x14ac:dyDescent="0.25">
      <c r="C207" s="24">
        <v>9675183</v>
      </c>
    </row>
    <row r="208" spans="3:3" x14ac:dyDescent="0.25">
      <c r="C208" s="24">
        <f>SUM(C192:C207)</f>
        <v>70598556</v>
      </c>
    </row>
  </sheetData>
  <mergeCells count="7">
    <mergeCell ref="D151:X151"/>
    <mergeCell ref="C1:U1"/>
    <mergeCell ref="E2:K2"/>
    <mergeCell ref="L2:T2"/>
    <mergeCell ref="A3:A47"/>
    <mergeCell ref="A48:A115"/>
    <mergeCell ref="E150:Q15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376F-1928-4151-A614-05A315D4E943}">
  <dimension ref="A1:AD117"/>
  <sheetViews>
    <sheetView topLeftCell="N1" workbookViewId="0">
      <selection activeCell="O3" sqref="O3"/>
    </sheetView>
  </sheetViews>
  <sheetFormatPr baseColWidth="10" defaultRowHeight="15" x14ac:dyDescent="0.25"/>
  <cols>
    <col min="7" max="7" width="13.28515625" bestFit="1" customWidth="1"/>
    <col min="10" max="10" width="13" bestFit="1" customWidth="1"/>
    <col min="13" max="13" width="13.28515625" bestFit="1" customWidth="1"/>
    <col min="15" max="15" width="12.28515625" bestFit="1" customWidth="1"/>
    <col min="17" max="17" width="13.28515625" bestFit="1" customWidth="1"/>
    <col min="18" max="19" width="12.28515625" bestFit="1" customWidth="1"/>
    <col min="23" max="23" width="12.28515625" bestFit="1" customWidth="1"/>
    <col min="25" max="26" width="12.28515625" bestFit="1" customWidth="1"/>
    <col min="27" max="27" width="13.28515625" bestFit="1" customWidth="1"/>
    <col min="30" max="30" width="13.28515625" bestFit="1" customWidth="1"/>
  </cols>
  <sheetData>
    <row r="1" spans="1:30" x14ac:dyDescent="0.25">
      <c r="A1" s="10"/>
      <c r="B1" s="10"/>
      <c r="C1" s="105" t="s">
        <v>200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88"/>
      <c r="AC1" s="9"/>
      <c r="AD1" s="88"/>
    </row>
    <row r="2" spans="1:30" x14ac:dyDescent="0.25">
      <c r="A2" s="10"/>
      <c r="B2" s="10"/>
      <c r="C2" s="72" t="s">
        <v>1</v>
      </c>
      <c r="D2" s="88"/>
      <c r="E2" s="88"/>
      <c r="F2" s="88"/>
      <c r="G2" s="88"/>
      <c r="H2" s="88"/>
      <c r="I2" s="88"/>
      <c r="J2" s="88"/>
      <c r="K2" s="106" t="s">
        <v>2</v>
      </c>
      <c r="L2" s="106"/>
      <c r="M2" s="106"/>
      <c r="N2" s="106"/>
      <c r="O2" s="106"/>
      <c r="P2" s="106"/>
      <c r="Q2" s="106"/>
      <c r="R2" s="106" t="s">
        <v>3</v>
      </c>
      <c r="S2" s="106"/>
      <c r="T2" s="106"/>
      <c r="U2" s="106"/>
      <c r="V2" s="106"/>
      <c r="W2" s="106"/>
      <c r="X2" s="106"/>
      <c r="Y2" s="106"/>
      <c r="Z2" s="106"/>
      <c r="AA2" s="88"/>
      <c r="AB2" s="88"/>
      <c r="AC2" s="9"/>
      <c r="AD2" s="88"/>
    </row>
    <row r="3" spans="1:30" ht="36" x14ac:dyDescent="0.25">
      <c r="A3" s="107" t="s">
        <v>4</v>
      </c>
      <c r="B3" s="14" t="s">
        <v>5</v>
      </c>
      <c r="C3" s="14" t="s">
        <v>6</v>
      </c>
      <c r="D3" s="14" t="s">
        <v>7</v>
      </c>
      <c r="E3" s="14" t="s">
        <v>201</v>
      </c>
      <c r="F3" s="14" t="s">
        <v>202</v>
      </c>
      <c r="G3" s="14" t="s">
        <v>203</v>
      </c>
      <c r="H3" s="14" t="s">
        <v>204</v>
      </c>
      <c r="I3" s="14" t="s">
        <v>205</v>
      </c>
      <c r="J3" s="14" t="s">
        <v>206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199</v>
      </c>
      <c r="P3" s="15" t="s">
        <v>207</v>
      </c>
      <c r="Q3" s="15" t="s">
        <v>13</v>
      </c>
      <c r="R3" s="15" t="s">
        <v>14</v>
      </c>
      <c r="S3" s="15" t="s">
        <v>15</v>
      </c>
      <c r="T3" s="15" t="s">
        <v>16</v>
      </c>
      <c r="U3" s="15" t="s">
        <v>146</v>
      </c>
      <c r="V3" s="15" t="s">
        <v>18</v>
      </c>
      <c r="W3" s="15" t="s">
        <v>19</v>
      </c>
      <c r="X3" s="15" t="s">
        <v>20</v>
      </c>
      <c r="Y3" s="15" t="s">
        <v>21</v>
      </c>
      <c r="Z3" s="15" t="s">
        <v>22</v>
      </c>
      <c r="AA3" s="14" t="s">
        <v>23</v>
      </c>
      <c r="AB3" s="14"/>
      <c r="AC3" s="16"/>
      <c r="AD3" s="14" t="s">
        <v>147</v>
      </c>
    </row>
    <row r="4" spans="1:30" ht="48" x14ac:dyDescent="0.25">
      <c r="A4" s="108"/>
      <c r="B4" s="14">
        <v>1</v>
      </c>
      <c r="C4" s="11" t="s">
        <v>25</v>
      </c>
      <c r="D4" s="6" t="s">
        <v>26</v>
      </c>
      <c r="E4" s="6" t="s">
        <v>208</v>
      </c>
      <c r="F4" s="6" t="s">
        <v>209</v>
      </c>
      <c r="G4" s="12">
        <v>52515567</v>
      </c>
      <c r="H4" s="6" t="s">
        <v>210</v>
      </c>
      <c r="I4" s="6" t="s">
        <v>211</v>
      </c>
      <c r="J4" s="6">
        <v>1004911306</v>
      </c>
      <c r="K4" s="87">
        <v>5250000</v>
      </c>
      <c r="L4" s="12">
        <v>30</v>
      </c>
      <c r="M4" s="87">
        <f t="shared" ref="M4:M9" si="0">+K4/30*L4</f>
        <v>5250000</v>
      </c>
      <c r="N4" s="87"/>
      <c r="O4" s="87"/>
      <c r="P4" s="87"/>
      <c r="Q4" s="87">
        <f t="shared" ref="Q4:Q33" si="1">SUM(M4:O4)+P4</f>
        <v>5250000</v>
      </c>
      <c r="R4" s="87">
        <f>+M4*4%</f>
        <v>210000</v>
      </c>
      <c r="S4" s="87">
        <f>+M4*5%</f>
        <v>262500</v>
      </c>
      <c r="T4" s="87"/>
      <c r="U4" s="87"/>
      <c r="V4" s="87">
        <v>32000</v>
      </c>
      <c r="W4" s="87"/>
      <c r="X4" s="87"/>
      <c r="Y4" s="87"/>
      <c r="Z4" s="87">
        <f t="shared" ref="Z4:Z50" si="2">SUM(R4:Y4)</f>
        <v>504500</v>
      </c>
      <c r="AA4" s="7">
        <f t="shared" ref="AA4:AA9" si="3">+Q4-Z4</f>
        <v>4745500</v>
      </c>
      <c r="AB4" s="8"/>
      <c r="AC4" s="9"/>
      <c r="AD4" s="8">
        <f t="shared" ref="AD4:AD67" si="4">AA4+AB4-AC4</f>
        <v>4745500</v>
      </c>
    </row>
    <row r="5" spans="1:30" ht="48" x14ac:dyDescent="0.25">
      <c r="A5" s="108"/>
      <c r="B5" s="14">
        <v>2</v>
      </c>
      <c r="C5" s="11" t="s">
        <v>27</v>
      </c>
      <c r="D5" s="6" t="s">
        <v>26</v>
      </c>
      <c r="E5" s="6" t="s">
        <v>208</v>
      </c>
      <c r="F5" s="6" t="s">
        <v>212</v>
      </c>
      <c r="G5" s="12">
        <v>80810931</v>
      </c>
      <c r="H5" s="6" t="s">
        <v>213</v>
      </c>
      <c r="I5" s="6" t="s">
        <v>211</v>
      </c>
      <c r="J5" s="6">
        <v>24122977591</v>
      </c>
      <c r="K5" s="87">
        <v>4000000</v>
      </c>
      <c r="L5" s="12">
        <v>30</v>
      </c>
      <c r="M5" s="87">
        <f t="shared" si="0"/>
        <v>4000000.0000000005</v>
      </c>
      <c r="N5" s="87"/>
      <c r="O5" s="87">
        <v>800000</v>
      </c>
      <c r="P5" s="87"/>
      <c r="Q5" s="87">
        <f t="shared" si="1"/>
        <v>4800000</v>
      </c>
      <c r="R5" s="87">
        <f>+K5*4%</f>
        <v>160000</v>
      </c>
      <c r="S5" s="87">
        <f>+K5*5%</f>
        <v>200000</v>
      </c>
      <c r="T5" s="87"/>
      <c r="U5" s="87"/>
      <c r="V5" s="87">
        <v>31064</v>
      </c>
      <c r="W5" s="87"/>
      <c r="X5" s="87"/>
      <c r="Y5" s="87"/>
      <c r="Z5" s="87">
        <f t="shared" si="2"/>
        <v>391064</v>
      </c>
      <c r="AA5" s="7">
        <f t="shared" si="3"/>
        <v>4408936</v>
      </c>
      <c r="AB5" s="8"/>
      <c r="AC5" s="9"/>
      <c r="AD5" s="8">
        <f t="shared" si="4"/>
        <v>4408936</v>
      </c>
    </row>
    <row r="6" spans="1:30" ht="36" x14ac:dyDescent="0.25">
      <c r="A6" s="108"/>
      <c r="B6" s="14">
        <v>3</v>
      </c>
      <c r="C6" s="11" t="s">
        <v>28</v>
      </c>
      <c r="D6" s="6" t="s">
        <v>26</v>
      </c>
      <c r="E6" s="6" t="s">
        <v>214</v>
      </c>
      <c r="F6" s="6" t="s">
        <v>215</v>
      </c>
      <c r="G6" s="12">
        <v>79516585</v>
      </c>
      <c r="H6" s="111" t="s">
        <v>213</v>
      </c>
      <c r="I6" s="112" t="s">
        <v>216</v>
      </c>
      <c r="J6" s="113">
        <v>20105106398</v>
      </c>
      <c r="K6" s="87">
        <v>5500000</v>
      </c>
      <c r="L6" s="12">
        <v>30</v>
      </c>
      <c r="M6" s="87">
        <f>+K6-P6</f>
        <v>4033333</v>
      </c>
      <c r="N6" s="87"/>
      <c r="O6" s="87"/>
      <c r="P6" s="87">
        <v>1466667</v>
      </c>
      <c r="Q6" s="87">
        <f t="shared" si="1"/>
        <v>5500000</v>
      </c>
      <c r="R6" s="87">
        <f>5500000*4%</f>
        <v>220000</v>
      </c>
      <c r="S6" s="87">
        <f>5500000*5%</f>
        <v>275000</v>
      </c>
      <c r="T6" s="87"/>
      <c r="U6" s="87"/>
      <c r="V6" s="87">
        <v>102000</v>
      </c>
      <c r="W6" s="87"/>
      <c r="X6" s="87"/>
      <c r="Y6" s="87"/>
      <c r="Z6" s="87">
        <f t="shared" si="2"/>
        <v>597000</v>
      </c>
      <c r="AA6" s="7">
        <f t="shared" si="3"/>
        <v>4903000</v>
      </c>
      <c r="AB6" s="8"/>
      <c r="AC6" s="9"/>
      <c r="AD6" s="8">
        <f t="shared" si="4"/>
        <v>4903000</v>
      </c>
    </row>
    <row r="7" spans="1:30" ht="36" x14ac:dyDescent="0.25">
      <c r="A7" s="108"/>
      <c r="B7" s="14">
        <v>4</v>
      </c>
      <c r="C7" s="11" t="s">
        <v>29</v>
      </c>
      <c r="D7" s="6" t="s">
        <v>26</v>
      </c>
      <c r="E7" s="6" t="s">
        <v>208</v>
      </c>
      <c r="F7" s="6" t="s">
        <v>217</v>
      </c>
      <c r="G7" s="12">
        <v>51720027</v>
      </c>
      <c r="H7" s="6" t="s">
        <v>218</v>
      </c>
      <c r="I7" s="6" t="s">
        <v>211</v>
      </c>
      <c r="J7" s="114" t="s">
        <v>219</v>
      </c>
      <c r="K7" s="87">
        <v>5492319</v>
      </c>
      <c r="L7" s="12">
        <v>30</v>
      </c>
      <c r="M7" s="87">
        <f t="shared" ref="M7" si="5">+K7/30*L7</f>
        <v>5492319</v>
      </c>
      <c r="N7" s="87"/>
      <c r="O7" s="87"/>
      <c r="P7" s="87"/>
      <c r="Q7" s="87">
        <f t="shared" si="1"/>
        <v>5492319</v>
      </c>
      <c r="R7" s="87">
        <f>+Q7*4%</f>
        <v>219692.76</v>
      </c>
      <c r="S7" s="87">
        <f>+Q7*5%</f>
        <v>274615.95</v>
      </c>
      <c r="T7" s="87"/>
      <c r="U7" s="87"/>
      <c r="V7" s="17">
        <v>98000</v>
      </c>
      <c r="W7" s="87"/>
      <c r="X7" s="87"/>
      <c r="Y7" s="87">
        <v>726520</v>
      </c>
      <c r="Z7" s="87">
        <f t="shared" si="2"/>
        <v>1318828.71</v>
      </c>
      <c r="AA7" s="7">
        <f t="shared" si="3"/>
        <v>4173490.29</v>
      </c>
      <c r="AB7" s="8"/>
      <c r="AC7" s="9"/>
      <c r="AD7" s="8">
        <f t="shared" si="4"/>
        <v>4173490.29</v>
      </c>
    </row>
    <row r="8" spans="1:30" ht="36" x14ac:dyDescent="0.25">
      <c r="A8" s="108"/>
      <c r="B8" s="14">
        <v>5</v>
      </c>
      <c r="C8" s="11" t="s">
        <v>141</v>
      </c>
      <c r="D8" s="6" t="s">
        <v>26</v>
      </c>
      <c r="E8" s="6" t="s">
        <v>208</v>
      </c>
      <c r="F8" s="6" t="s">
        <v>217</v>
      </c>
      <c r="G8" s="12">
        <v>51720027</v>
      </c>
      <c r="H8" s="6" t="s">
        <v>218</v>
      </c>
      <c r="I8" s="6" t="s">
        <v>211</v>
      </c>
      <c r="J8" s="114" t="s">
        <v>219</v>
      </c>
      <c r="K8" s="87">
        <v>5000000</v>
      </c>
      <c r="L8" s="12">
        <v>30</v>
      </c>
      <c r="M8" s="87">
        <f t="shared" si="0"/>
        <v>5000000</v>
      </c>
      <c r="N8" s="87"/>
      <c r="O8" s="87"/>
      <c r="P8" s="87"/>
      <c r="Q8" s="87">
        <f t="shared" si="1"/>
        <v>5000000</v>
      </c>
      <c r="R8" s="87">
        <f>+Q8*4%</f>
        <v>200000</v>
      </c>
      <c r="S8" s="87">
        <f>+Q8*5%</f>
        <v>250000</v>
      </c>
      <c r="T8" s="87"/>
      <c r="U8" s="87"/>
      <c r="V8" s="17">
        <v>15000</v>
      </c>
      <c r="W8" s="87"/>
      <c r="X8" s="87">
        <v>111000</v>
      </c>
      <c r="Y8" s="87"/>
      <c r="Z8" s="87">
        <f t="shared" si="2"/>
        <v>576000</v>
      </c>
      <c r="AA8" s="7">
        <f t="shared" si="3"/>
        <v>4424000</v>
      </c>
      <c r="AB8" s="8"/>
      <c r="AC8" s="9"/>
      <c r="AD8" s="8">
        <f t="shared" si="4"/>
        <v>4424000</v>
      </c>
    </row>
    <row r="9" spans="1:30" ht="48" x14ac:dyDescent="0.25">
      <c r="A9" s="108"/>
      <c r="B9" s="14">
        <v>6</v>
      </c>
      <c r="C9" s="11" t="s">
        <v>30</v>
      </c>
      <c r="D9" s="6" t="s">
        <v>26</v>
      </c>
      <c r="E9" s="6" t="s">
        <v>208</v>
      </c>
      <c r="F9" s="6" t="s">
        <v>217</v>
      </c>
      <c r="G9" s="12">
        <v>80100078</v>
      </c>
      <c r="H9" s="6" t="s">
        <v>210</v>
      </c>
      <c r="I9" s="6" t="s">
        <v>211</v>
      </c>
      <c r="J9" s="6">
        <v>5551379029</v>
      </c>
      <c r="K9" s="87">
        <v>5000000</v>
      </c>
      <c r="L9" s="12">
        <v>30</v>
      </c>
      <c r="M9" s="87">
        <f t="shared" si="0"/>
        <v>5000000</v>
      </c>
      <c r="N9" s="87"/>
      <c r="O9" s="87">
        <v>2012670</v>
      </c>
      <c r="P9" s="87"/>
      <c r="Q9" s="87">
        <f t="shared" si="1"/>
        <v>7012670</v>
      </c>
      <c r="R9" s="87">
        <f>+M9*4%</f>
        <v>200000</v>
      </c>
      <c r="S9" s="87">
        <f t="shared" ref="S9:S32" si="6">+M9*5%</f>
        <v>250000</v>
      </c>
      <c r="T9" s="87"/>
      <c r="U9" s="87"/>
      <c r="V9" s="87">
        <v>50000</v>
      </c>
      <c r="W9" s="87">
        <v>700000</v>
      </c>
      <c r="X9" s="87"/>
      <c r="Y9" s="87"/>
      <c r="Z9" s="87">
        <f t="shared" si="2"/>
        <v>1200000</v>
      </c>
      <c r="AA9" s="7">
        <f t="shared" si="3"/>
        <v>5812670</v>
      </c>
      <c r="AB9" s="8"/>
      <c r="AC9" s="9"/>
      <c r="AD9" s="8">
        <f t="shared" si="4"/>
        <v>5812670</v>
      </c>
    </row>
    <row r="10" spans="1:30" ht="48" x14ac:dyDescent="0.25">
      <c r="A10" s="108"/>
      <c r="B10" s="14">
        <v>7</v>
      </c>
      <c r="C10" s="11" t="s">
        <v>31</v>
      </c>
      <c r="D10" s="6" t="s">
        <v>26</v>
      </c>
      <c r="E10" s="6" t="s">
        <v>220</v>
      </c>
      <c r="F10" s="6" t="s">
        <v>221</v>
      </c>
      <c r="G10" s="12">
        <v>1030525090</v>
      </c>
      <c r="H10" s="6" t="s">
        <v>218</v>
      </c>
      <c r="I10" s="6" t="s">
        <v>211</v>
      </c>
      <c r="J10" s="86">
        <v>5070194484</v>
      </c>
      <c r="K10" s="87">
        <v>4500000</v>
      </c>
      <c r="L10" s="12">
        <v>24</v>
      </c>
      <c r="M10" s="87">
        <f>K10/30*L10</f>
        <v>3600000</v>
      </c>
      <c r="N10" s="87"/>
      <c r="O10" s="87"/>
      <c r="P10" s="87">
        <v>900000</v>
      </c>
      <c r="Q10" s="87">
        <f t="shared" si="1"/>
        <v>4500000</v>
      </c>
      <c r="R10" s="87">
        <f>+Q10*4%</f>
        <v>180000</v>
      </c>
      <c r="S10" s="87">
        <f>+Q10*5%</f>
        <v>225000</v>
      </c>
      <c r="T10" s="87"/>
      <c r="U10" s="87"/>
      <c r="V10" s="87">
        <v>2545</v>
      </c>
      <c r="W10" s="87"/>
      <c r="X10" s="87"/>
      <c r="Y10" s="87">
        <f>945750+420786</f>
        <v>1366536</v>
      </c>
      <c r="Z10" s="87">
        <f t="shared" si="2"/>
        <v>1774081</v>
      </c>
      <c r="AA10" s="7">
        <f>Q10-Z10</f>
        <v>2725919</v>
      </c>
      <c r="AB10" s="8"/>
      <c r="AC10" s="9"/>
      <c r="AD10" s="8">
        <f t="shared" si="4"/>
        <v>2725919</v>
      </c>
    </row>
    <row r="11" spans="1:30" ht="36" x14ac:dyDescent="0.25">
      <c r="A11" s="108"/>
      <c r="B11" s="14">
        <v>8</v>
      </c>
      <c r="C11" s="11" t="s">
        <v>32</v>
      </c>
      <c r="D11" s="6" t="s">
        <v>26</v>
      </c>
      <c r="E11" s="6" t="s">
        <v>220</v>
      </c>
      <c r="F11" s="6" t="s">
        <v>221</v>
      </c>
      <c r="G11" s="12">
        <v>1030525090</v>
      </c>
      <c r="H11" s="6" t="s">
        <v>218</v>
      </c>
      <c r="I11" s="6" t="s">
        <v>211</v>
      </c>
      <c r="J11" s="86">
        <v>5070194484</v>
      </c>
      <c r="K11" s="87">
        <v>4500000</v>
      </c>
      <c r="L11" s="12">
        <v>30</v>
      </c>
      <c r="M11" s="87">
        <f>K11/30*L11</f>
        <v>4500000</v>
      </c>
      <c r="N11" s="87"/>
      <c r="O11" s="87"/>
      <c r="P11" s="87"/>
      <c r="Q11" s="87">
        <f t="shared" ref="Q11" si="7">SUM(M11:O11)+P11</f>
        <v>4500000</v>
      </c>
      <c r="R11" s="87">
        <f>+K11*4%</f>
        <v>180000</v>
      </c>
      <c r="S11" s="87">
        <f>+K11*5%</f>
        <v>225000</v>
      </c>
      <c r="T11" s="87"/>
      <c r="U11" s="87"/>
      <c r="V11" s="87">
        <v>10000</v>
      </c>
      <c r="W11" s="87"/>
      <c r="X11" s="87"/>
      <c r="Y11" s="87"/>
      <c r="Z11" s="87">
        <f t="shared" ref="Z11" si="8">SUM(R11:Y11)</f>
        <v>415000</v>
      </c>
      <c r="AA11" s="7">
        <f>Q11-Z11</f>
        <v>4085000</v>
      </c>
      <c r="AB11" s="8"/>
      <c r="AC11" s="9"/>
      <c r="AD11" s="8">
        <f t="shared" si="4"/>
        <v>4085000</v>
      </c>
    </row>
    <row r="12" spans="1:30" ht="48" x14ac:dyDescent="0.25">
      <c r="A12" s="108"/>
      <c r="B12" s="14">
        <v>9</v>
      </c>
      <c r="C12" s="11" t="s">
        <v>35</v>
      </c>
      <c r="D12" s="6" t="s">
        <v>26</v>
      </c>
      <c r="E12" s="6" t="s">
        <v>208</v>
      </c>
      <c r="F12" s="6" t="s">
        <v>217</v>
      </c>
      <c r="G12" s="12">
        <v>51638875</v>
      </c>
      <c r="H12" s="6" t="s">
        <v>213</v>
      </c>
      <c r="I12" s="6" t="s">
        <v>211</v>
      </c>
      <c r="J12" s="115">
        <v>20120731832</v>
      </c>
      <c r="K12" s="87">
        <v>5400000</v>
      </c>
      <c r="L12" s="12">
        <v>30</v>
      </c>
      <c r="M12" s="87">
        <f>K12/30*L12</f>
        <v>5400000</v>
      </c>
      <c r="N12" s="87"/>
      <c r="O12" s="87"/>
      <c r="P12" s="87"/>
      <c r="Q12" s="87">
        <f>SUM(M12:O12)+P12</f>
        <v>5400000</v>
      </c>
      <c r="R12" s="87">
        <f>+Q12*4%</f>
        <v>216000</v>
      </c>
      <c r="S12" s="87">
        <f>+Q12*5%</f>
        <v>270000</v>
      </c>
      <c r="T12" s="87"/>
      <c r="U12" s="87"/>
      <c r="V12" s="87">
        <v>6500</v>
      </c>
      <c r="W12" s="87"/>
      <c r="X12" s="87"/>
      <c r="Y12" s="87"/>
      <c r="Z12" s="87">
        <f t="shared" si="2"/>
        <v>492500</v>
      </c>
      <c r="AA12" s="7">
        <f t="shared" ref="AA12:AA18" si="9">+Q12-Z12</f>
        <v>4907500</v>
      </c>
      <c r="AB12" s="8"/>
      <c r="AC12" s="9"/>
      <c r="AD12" s="8">
        <f t="shared" si="4"/>
        <v>4907500</v>
      </c>
    </row>
    <row r="13" spans="1:30" ht="24" x14ac:dyDescent="0.25">
      <c r="A13" s="108"/>
      <c r="B13" s="14">
        <v>10</v>
      </c>
      <c r="C13" s="3" t="s">
        <v>36</v>
      </c>
      <c r="D13" s="86" t="s">
        <v>26</v>
      </c>
      <c r="E13" s="86" t="s">
        <v>208</v>
      </c>
      <c r="F13" s="86" t="s">
        <v>222</v>
      </c>
      <c r="G13" s="87">
        <v>80777868</v>
      </c>
      <c r="H13" s="86" t="s">
        <v>213</v>
      </c>
      <c r="I13" s="6" t="s">
        <v>223</v>
      </c>
      <c r="J13" s="86">
        <v>60155084823</v>
      </c>
      <c r="K13" s="87">
        <v>4500000</v>
      </c>
      <c r="L13" s="12">
        <v>30</v>
      </c>
      <c r="M13" s="87">
        <f t="shared" ref="M13:M18" si="10">+K13/30*L13</f>
        <v>4500000</v>
      </c>
      <c r="N13" s="87"/>
      <c r="O13" s="87"/>
      <c r="P13" s="87"/>
      <c r="Q13" s="87">
        <f t="shared" si="1"/>
        <v>4500000</v>
      </c>
      <c r="R13" s="87">
        <v>180000</v>
      </c>
      <c r="S13" s="87">
        <v>225000</v>
      </c>
      <c r="T13" s="87"/>
      <c r="U13" s="87"/>
      <c r="V13" s="87">
        <v>3000</v>
      </c>
      <c r="W13" s="87"/>
      <c r="X13" s="87"/>
      <c r="Y13" s="87"/>
      <c r="Z13" s="87">
        <f t="shared" si="2"/>
        <v>408000</v>
      </c>
      <c r="AA13" s="7">
        <f t="shared" si="9"/>
        <v>4092000</v>
      </c>
      <c r="AB13" s="8"/>
      <c r="AC13" s="9"/>
      <c r="AD13" s="8">
        <f t="shared" si="4"/>
        <v>4092000</v>
      </c>
    </row>
    <row r="14" spans="1:30" ht="24" x14ac:dyDescent="0.25">
      <c r="A14" s="108"/>
      <c r="B14" s="14">
        <v>11</v>
      </c>
      <c r="C14" s="3" t="s">
        <v>37</v>
      </c>
      <c r="D14" s="86" t="s">
        <v>26</v>
      </c>
      <c r="E14" s="86" t="s">
        <v>208</v>
      </c>
      <c r="F14" s="86" t="s">
        <v>222</v>
      </c>
      <c r="G14" s="87">
        <v>514908</v>
      </c>
      <c r="H14" s="86" t="s">
        <v>224</v>
      </c>
      <c r="I14" s="6" t="s">
        <v>211</v>
      </c>
      <c r="J14" s="86">
        <v>4572002960</v>
      </c>
      <c r="K14" s="87">
        <v>4200000</v>
      </c>
      <c r="L14" s="12">
        <v>30</v>
      </c>
      <c r="M14" s="87">
        <f t="shared" si="10"/>
        <v>4200000</v>
      </c>
      <c r="N14" s="87"/>
      <c r="O14" s="87"/>
      <c r="P14" s="87"/>
      <c r="Q14" s="87">
        <f t="shared" si="1"/>
        <v>4200000</v>
      </c>
      <c r="R14" s="87">
        <f>+M14*4%</f>
        <v>168000</v>
      </c>
      <c r="S14" s="87">
        <f>+M14*5%</f>
        <v>210000</v>
      </c>
      <c r="T14" s="87"/>
      <c r="U14" s="87"/>
      <c r="V14" s="87">
        <v>32000</v>
      </c>
      <c r="W14" s="87"/>
      <c r="X14" s="87"/>
      <c r="Y14" s="87">
        <v>838529</v>
      </c>
      <c r="Z14" s="87">
        <f t="shared" si="2"/>
        <v>1248529</v>
      </c>
      <c r="AA14" s="7">
        <f t="shared" si="9"/>
        <v>2951471</v>
      </c>
      <c r="AB14" s="8"/>
      <c r="AC14" s="9"/>
      <c r="AD14" s="8">
        <f t="shared" si="4"/>
        <v>2951471</v>
      </c>
    </row>
    <row r="15" spans="1:30" x14ac:dyDescent="0.25">
      <c r="A15" s="108"/>
      <c r="B15" s="14">
        <v>12</v>
      </c>
      <c r="C15" s="3" t="s">
        <v>38</v>
      </c>
      <c r="D15" s="86" t="s">
        <v>34</v>
      </c>
      <c r="E15" s="86"/>
      <c r="F15" s="86"/>
      <c r="G15" s="87"/>
      <c r="H15" s="86"/>
      <c r="I15" s="6"/>
      <c r="J15" s="86"/>
      <c r="K15" s="87">
        <v>4000000</v>
      </c>
      <c r="L15" s="12">
        <v>30</v>
      </c>
      <c r="M15" s="87">
        <f t="shared" si="10"/>
        <v>4000000.0000000005</v>
      </c>
      <c r="N15" s="87"/>
      <c r="O15" s="87"/>
      <c r="P15" s="87"/>
      <c r="Q15" s="87">
        <f t="shared" si="1"/>
        <v>4000000.0000000005</v>
      </c>
      <c r="R15" s="87">
        <v>160000</v>
      </c>
      <c r="S15" s="87">
        <v>200000</v>
      </c>
      <c r="T15" s="87"/>
      <c r="U15" s="87"/>
      <c r="V15" s="87">
        <v>4500</v>
      </c>
      <c r="W15" s="87"/>
      <c r="X15" s="87"/>
      <c r="Y15" s="87"/>
      <c r="Z15" s="87">
        <f t="shared" si="2"/>
        <v>364500</v>
      </c>
      <c r="AA15" s="7">
        <f t="shared" si="9"/>
        <v>3635500.0000000005</v>
      </c>
      <c r="AB15" s="8"/>
      <c r="AC15" s="9"/>
      <c r="AD15" s="8">
        <f t="shared" si="4"/>
        <v>3635500.0000000005</v>
      </c>
    </row>
    <row r="16" spans="1:30" x14ac:dyDescent="0.25">
      <c r="A16" s="108"/>
      <c r="B16" s="14">
        <v>13</v>
      </c>
      <c r="C16" s="3" t="s">
        <v>39</v>
      </c>
      <c r="D16" s="86" t="s">
        <v>34</v>
      </c>
      <c r="E16" s="86"/>
      <c r="F16" s="86"/>
      <c r="G16" s="87"/>
      <c r="H16" s="86"/>
      <c r="I16" s="6"/>
      <c r="J16" s="86"/>
      <c r="K16" s="87">
        <v>4500000</v>
      </c>
      <c r="L16" s="12">
        <v>30</v>
      </c>
      <c r="M16" s="87">
        <f t="shared" si="10"/>
        <v>4500000</v>
      </c>
      <c r="N16" s="87"/>
      <c r="O16" s="87"/>
      <c r="P16" s="87"/>
      <c r="Q16" s="87">
        <f t="shared" si="1"/>
        <v>4500000</v>
      </c>
      <c r="R16" s="87">
        <f>+M16*4%</f>
        <v>180000</v>
      </c>
      <c r="S16" s="87">
        <f>+M16*5%</f>
        <v>225000</v>
      </c>
      <c r="T16" s="87"/>
      <c r="U16" s="87"/>
      <c r="V16" s="87">
        <v>72000</v>
      </c>
      <c r="W16" s="87"/>
      <c r="X16" s="87"/>
      <c r="Y16" s="87"/>
      <c r="Z16" s="87">
        <f t="shared" si="2"/>
        <v>477000</v>
      </c>
      <c r="AA16" s="7">
        <f t="shared" si="9"/>
        <v>4023000</v>
      </c>
      <c r="AB16" s="8"/>
      <c r="AC16" s="9"/>
      <c r="AD16" s="8">
        <f t="shared" si="4"/>
        <v>4023000</v>
      </c>
    </row>
    <row r="17" spans="1:30" ht="48" x14ac:dyDescent="0.25">
      <c r="A17" s="108"/>
      <c r="B17" s="14">
        <v>14</v>
      </c>
      <c r="C17" s="11" t="s">
        <v>40</v>
      </c>
      <c r="D17" s="6" t="s">
        <v>26</v>
      </c>
      <c r="E17" s="86" t="s">
        <v>208</v>
      </c>
      <c r="F17" s="6" t="s">
        <v>225</v>
      </c>
      <c r="G17" s="12">
        <v>410002</v>
      </c>
      <c r="H17" s="6" t="s">
        <v>218</v>
      </c>
      <c r="I17" s="6" t="s">
        <v>211</v>
      </c>
      <c r="J17" s="86">
        <v>8700409835</v>
      </c>
      <c r="K17" s="87">
        <v>5500000</v>
      </c>
      <c r="L17" s="12">
        <v>30</v>
      </c>
      <c r="M17" s="87">
        <f t="shared" si="10"/>
        <v>5500000</v>
      </c>
      <c r="N17" s="87"/>
      <c r="O17" s="87">
        <v>450000</v>
      </c>
      <c r="P17" s="87"/>
      <c r="Q17" s="87">
        <f t="shared" si="1"/>
        <v>5950000</v>
      </c>
      <c r="R17" s="87">
        <f>+M17*4%</f>
        <v>220000</v>
      </c>
      <c r="S17" s="87">
        <f>+M17*5%</f>
        <v>275000</v>
      </c>
      <c r="T17" s="87"/>
      <c r="U17" s="87"/>
      <c r="V17" s="17">
        <v>150521</v>
      </c>
      <c r="W17" s="87">
        <v>1365000</v>
      </c>
      <c r="X17" s="87"/>
      <c r="Y17" s="87"/>
      <c r="Z17" s="87">
        <f t="shared" si="2"/>
        <v>2010521</v>
      </c>
      <c r="AA17" s="7">
        <f t="shared" si="9"/>
        <v>3939479</v>
      </c>
      <c r="AB17" s="8"/>
      <c r="AC17" s="9"/>
      <c r="AD17" s="8">
        <f t="shared" si="4"/>
        <v>3939479</v>
      </c>
    </row>
    <row r="18" spans="1:30" ht="36" x14ac:dyDescent="0.25">
      <c r="A18" s="108"/>
      <c r="B18" s="14">
        <v>15</v>
      </c>
      <c r="C18" s="11" t="s">
        <v>142</v>
      </c>
      <c r="D18" s="6" t="s">
        <v>26</v>
      </c>
      <c r="E18" s="86" t="s">
        <v>208</v>
      </c>
      <c r="F18" s="6" t="s">
        <v>225</v>
      </c>
      <c r="G18" s="12">
        <v>410002</v>
      </c>
      <c r="H18" s="6" t="s">
        <v>218</v>
      </c>
      <c r="I18" s="6" t="s">
        <v>211</v>
      </c>
      <c r="J18" s="86">
        <v>8700409835</v>
      </c>
      <c r="K18" s="87">
        <v>5000000</v>
      </c>
      <c r="L18" s="12">
        <v>30</v>
      </c>
      <c r="M18" s="87">
        <f t="shared" si="10"/>
        <v>5000000</v>
      </c>
      <c r="N18" s="87"/>
      <c r="O18" s="87"/>
      <c r="P18" s="87"/>
      <c r="Q18" s="87">
        <f t="shared" si="1"/>
        <v>5000000</v>
      </c>
      <c r="R18" s="87">
        <f>+M18*4%</f>
        <v>200000</v>
      </c>
      <c r="S18" s="87">
        <f>+M18*5%</f>
        <v>250000</v>
      </c>
      <c r="T18" s="87"/>
      <c r="U18" s="87"/>
      <c r="V18" s="17">
        <v>102000</v>
      </c>
      <c r="W18" s="87"/>
      <c r="X18" s="87"/>
      <c r="Y18" s="87"/>
      <c r="Z18" s="87">
        <f t="shared" si="2"/>
        <v>552000</v>
      </c>
      <c r="AA18" s="7">
        <f t="shared" si="9"/>
        <v>4448000</v>
      </c>
      <c r="AB18" s="8"/>
      <c r="AC18" s="9"/>
      <c r="AD18" s="8">
        <f t="shared" si="4"/>
        <v>4448000</v>
      </c>
    </row>
    <row r="19" spans="1:30" ht="48" x14ac:dyDescent="0.25">
      <c r="A19" s="108"/>
      <c r="B19" s="14">
        <v>16</v>
      </c>
      <c r="C19" s="11" t="s">
        <v>42</v>
      </c>
      <c r="D19" s="6" t="s">
        <v>26</v>
      </c>
      <c r="E19" s="6" t="s">
        <v>208</v>
      </c>
      <c r="F19" s="6" t="s">
        <v>217</v>
      </c>
      <c r="G19" s="12">
        <v>9529836</v>
      </c>
      <c r="H19" s="6" t="s">
        <v>226</v>
      </c>
      <c r="I19" s="6" t="s">
        <v>211</v>
      </c>
      <c r="J19" s="86">
        <v>5548521</v>
      </c>
      <c r="K19" s="87">
        <v>5350000</v>
      </c>
      <c r="L19" s="12">
        <v>30</v>
      </c>
      <c r="M19" s="87">
        <f>+K19-P19</f>
        <v>5350000</v>
      </c>
      <c r="N19" s="87"/>
      <c r="O19" s="87">
        <v>1000000</v>
      </c>
      <c r="P19" s="87"/>
      <c r="Q19" s="87">
        <f t="shared" si="1"/>
        <v>6350000</v>
      </c>
      <c r="R19" s="87">
        <f>+M19*4%</f>
        <v>214000</v>
      </c>
      <c r="S19" s="87">
        <f>+M19*5%</f>
        <v>267500</v>
      </c>
      <c r="T19" s="87"/>
      <c r="U19" s="87"/>
      <c r="V19" s="17">
        <v>121000</v>
      </c>
      <c r="W19" s="87"/>
      <c r="X19" s="87"/>
      <c r="Y19" s="87">
        <v>810005</v>
      </c>
      <c r="Z19" s="87">
        <f t="shared" si="2"/>
        <v>1412505</v>
      </c>
      <c r="AA19" s="7">
        <f>Q19-Z19</f>
        <v>4937495</v>
      </c>
      <c r="AB19" s="8"/>
      <c r="AC19" s="9"/>
      <c r="AD19" s="8">
        <f t="shared" si="4"/>
        <v>4937495</v>
      </c>
    </row>
    <row r="20" spans="1:30" ht="48" x14ac:dyDescent="0.25">
      <c r="A20" s="108"/>
      <c r="B20" s="14">
        <v>17</v>
      </c>
      <c r="C20" s="11" t="s">
        <v>43</v>
      </c>
      <c r="D20" s="6" t="s">
        <v>26</v>
      </c>
      <c r="E20" s="6" t="s">
        <v>208</v>
      </c>
      <c r="F20" s="6" t="s">
        <v>221</v>
      </c>
      <c r="G20" s="12">
        <v>1016064398</v>
      </c>
      <c r="H20" s="6" t="s">
        <v>213</v>
      </c>
      <c r="I20" s="6" t="s">
        <v>211</v>
      </c>
      <c r="J20" s="86">
        <v>22393159824</v>
      </c>
      <c r="K20" s="87">
        <v>6600000</v>
      </c>
      <c r="L20" s="12">
        <v>30</v>
      </c>
      <c r="M20" s="87">
        <f t="shared" ref="M20:M28" si="11">K20/30*L20</f>
        <v>6600000</v>
      </c>
      <c r="N20" s="87"/>
      <c r="O20" s="87"/>
      <c r="P20" s="87"/>
      <c r="Q20" s="87">
        <f t="shared" si="1"/>
        <v>6600000</v>
      </c>
      <c r="R20" s="87">
        <f>+M20*4%</f>
        <v>264000</v>
      </c>
      <c r="S20" s="87">
        <f>+M20*5%</f>
        <v>330000</v>
      </c>
      <c r="T20" s="87"/>
      <c r="U20" s="87"/>
      <c r="V20" s="17">
        <v>257000</v>
      </c>
      <c r="W20" s="87"/>
      <c r="X20" s="87"/>
      <c r="Y20" s="89"/>
      <c r="Z20" s="87">
        <f t="shared" si="2"/>
        <v>851000</v>
      </c>
      <c r="AA20" s="7">
        <f>Q20-Z20</f>
        <v>5749000</v>
      </c>
      <c r="AB20" s="8"/>
      <c r="AC20" s="9"/>
      <c r="AD20" s="8">
        <f t="shared" si="4"/>
        <v>5749000</v>
      </c>
    </row>
    <row r="21" spans="1:30" ht="48" x14ac:dyDescent="0.25">
      <c r="A21" s="108"/>
      <c r="B21" s="14">
        <v>18</v>
      </c>
      <c r="C21" s="11" t="s">
        <v>44</v>
      </c>
      <c r="D21" s="6" t="s">
        <v>26</v>
      </c>
      <c r="E21" s="6" t="s">
        <v>208</v>
      </c>
      <c r="F21" s="6" t="s">
        <v>221</v>
      </c>
      <c r="G21" s="12">
        <v>79352066</v>
      </c>
      <c r="H21" s="6" t="s">
        <v>218</v>
      </c>
      <c r="I21" s="6" t="s">
        <v>211</v>
      </c>
      <c r="J21" s="86">
        <v>6770152996</v>
      </c>
      <c r="K21" s="87">
        <v>6900000</v>
      </c>
      <c r="L21" s="12">
        <v>30</v>
      </c>
      <c r="M21" s="87">
        <f t="shared" si="11"/>
        <v>6900000</v>
      </c>
      <c r="N21" s="87"/>
      <c r="O21" s="87">
        <v>1400000</v>
      </c>
      <c r="P21" s="87"/>
      <c r="Q21" s="87">
        <f t="shared" ref="Q21" si="12">SUM(M21:O21)+P21</f>
        <v>8300000</v>
      </c>
      <c r="R21" s="87">
        <f t="shared" ref="R21" si="13">+M21*4%</f>
        <v>276000</v>
      </c>
      <c r="S21" s="87">
        <f t="shared" ref="S21" si="14">+M21*5%</f>
        <v>345000</v>
      </c>
      <c r="T21" s="87"/>
      <c r="U21" s="87"/>
      <c r="V21" s="17">
        <v>113000</v>
      </c>
      <c r="W21" s="87">
        <v>1300000</v>
      </c>
      <c r="X21" s="87"/>
      <c r="Y21" s="89"/>
      <c r="Z21" s="87">
        <f t="shared" si="2"/>
        <v>2034000</v>
      </c>
      <c r="AA21" s="7">
        <f>Q21-Z21</f>
        <v>6266000</v>
      </c>
      <c r="AB21" s="8"/>
      <c r="AC21" s="9"/>
      <c r="AD21" s="8">
        <f t="shared" si="4"/>
        <v>6266000</v>
      </c>
    </row>
    <row r="22" spans="1:30" ht="36" x14ac:dyDescent="0.25">
      <c r="A22" s="108"/>
      <c r="B22" s="14">
        <v>19</v>
      </c>
      <c r="C22" s="11" t="s">
        <v>45</v>
      </c>
      <c r="D22" s="6" t="s">
        <v>26</v>
      </c>
      <c r="E22" s="6"/>
      <c r="F22" s="6"/>
      <c r="G22" s="12"/>
      <c r="H22" s="6"/>
      <c r="I22" s="6"/>
      <c r="J22" s="114"/>
      <c r="K22" s="87">
        <v>3500000</v>
      </c>
      <c r="L22" s="12">
        <v>30</v>
      </c>
      <c r="M22" s="87">
        <f t="shared" ref="M22" si="15">+K22/30*L22</f>
        <v>3500000</v>
      </c>
      <c r="N22" s="87"/>
      <c r="O22" s="87"/>
      <c r="P22" s="87"/>
      <c r="Q22" s="87">
        <f t="shared" ref="Q22" si="16">SUM(M22:O22)+P22</f>
        <v>3500000</v>
      </c>
      <c r="R22" s="87">
        <v>140000</v>
      </c>
      <c r="S22" s="87">
        <v>175000</v>
      </c>
      <c r="T22" s="87"/>
      <c r="U22" s="87"/>
      <c r="V22" s="87"/>
      <c r="W22" s="87"/>
      <c r="X22" s="87"/>
      <c r="Y22" s="87"/>
      <c r="Z22" s="87">
        <f t="shared" si="2"/>
        <v>315000</v>
      </c>
      <c r="AA22" s="7">
        <f t="shared" ref="AA22" si="17">+Q22-Z22</f>
        <v>3185000</v>
      </c>
      <c r="AB22" s="8"/>
      <c r="AC22" s="9"/>
      <c r="AD22" s="8">
        <f t="shared" si="4"/>
        <v>3185000</v>
      </c>
    </row>
    <row r="23" spans="1:30" ht="36" x14ac:dyDescent="0.25">
      <c r="A23" s="108"/>
      <c r="B23" s="14">
        <v>20</v>
      </c>
      <c r="C23" s="11" t="s">
        <v>46</v>
      </c>
      <c r="D23" s="6" t="s">
        <v>26</v>
      </c>
      <c r="E23" s="6" t="s">
        <v>208</v>
      </c>
      <c r="F23" s="6" t="s">
        <v>217</v>
      </c>
      <c r="G23" s="12">
        <v>80007522</v>
      </c>
      <c r="H23" s="6" t="s">
        <v>210</v>
      </c>
      <c r="I23" s="6" t="s">
        <v>211</v>
      </c>
      <c r="J23" s="6">
        <v>1002892533</v>
      </c>
      <c r="K23" s="87">
        <v>5000000</v>
      </c>
      <c r="L23" s="12">
        <v>30</v>
      </c>
      <c r="M23" s="87">
        <f>+K23-P23</f>
        <v>4000000</v>
      </c>
      <c r="N23" s="87"/>
      <c r="O23" s="87">
        <v>1621317</v>
      </c>
      <c r="P23" s="87">
        <v>1000000</v>
      </c>
      <c r="Q23" s="87">
        <f t="shared" si="1"/>
        <v>6621317</v>
      </c>
      <c r="R23" s="87">
        <v>200000</v>
      </c>
      <c r="S23" s="87">
        <v>250000</v>
      </c>
      <c r="T23" s="87"/>
      <c r="U23" s="87"/>
      <c r="V23" s="17">
        <v>50000</v>
      </c>
      <c r="W23" s="87">
        <v>3000000</v>
      </c>
      <c r="X23" s="87"/>
      <c r="Y23" s="87">
        <f>884747</f>
        <v>884747</v>
      </c>
      <c r="Z23" s="87">
        <f t="shared" si="2"/>
        <v>4384747</v>
      </c>
      <c r="AA23" s="7">
        <f>+Q23-Z23</f>
        <v>2236570</v>
      </c>
      <c r="AB23" s="8"/>
      <c r="AC23" s="9"/>
      <c r="AD23" s="8">
        <f t="shared" si="4"/>
        <v>2236570</v>
      </c>
    </row>
    <row r="24" spans="1:30" ht="48" x14ac:dyDescent="0.25">
      <c r="A24" s="108"/>
      <c r="B24" s="14">
        <v>21</v>
      </c>
      <c r="C24" s="11" t="s">
        <v>47</v>
      </c>
      <c r="D24" s="6" t="s">
        <v>26</v>
      </c>
      <c r="E24" s="6" t="s">
        <v>208</v>
      </c>
      <c r="F24" s="6" t="s">
        <v>222</v>
      </c>
      <c r="G24" s="12">
        <v>1075227879</v>
      </c>
      <c r="H24" s="116" t="s">
        <v>213</v>
      </c>
      <c r="I24" s="117" t="s">
        <v>216</v>
      </c>
      <c r="J24" s="118">
        <v>61245381912</v>
      </c>
      <c r="K24" s="87">
        <v>4500000</v>
      </c>
      <c r="L24" s="12">
        <v>27</v>
      </c>
      <c r="M24" s="87">
        <f>+K24-P24</f>
        <v>4050000</v>
      </c>
      <c r="N24" s="87"/>
      <c r="O24" s="87"/>
      <c r="P24" s="87">
        <v>450000</v>
      </c>
      <c r="Q24" s="87">
        <f t="shared" si="1"/>
        <v>4500000</v>
      </c>
      <c r="R24" s="87">
        <v>180000</v>
      </c>
      <c r="S24" s="87">
        <v>225000</v>
      </c>
      <c r="T24" s="87"/>
      <c r="U24" s="87"/>
      <c r="V24" s="17">
        <v>31000</v>
      </c>
      <c r="W24" s="87"/>
      <c r="X24" s="87"/>
      <c r="Y24" s="87"/>
      <c r="Z24" s="87">
        <f t="shared" si="2"/>
        <v>436000</v>
      </c>
      <c r="AA24" s="7">
        <f>+Q24-Z24</f>
        <v>4064000</v>
      </c>
      <c r="AB24" s="8"/>
      <c r="AC24" s="9"/>
      <c r="AD24" s="8">
        <f t="shared" si="4"/>
        <v>4064000</v>
      </c>
    </row>
    <row r="25" spans="1:30" ht="48" x14ac:dyDescent="0.25">
      <c r="A25" s="108"/>
      <c r="B25" s="14">
        <v>22</v>
      </c>
      <c r="C25" s="11" t="s">
        <v>48</v>
      </c>
      <c r="D25" s="6" t="s">
        <v>26</v>
      </c>
      <c r="E25" s="6" t="s">
        <v>208</v>
      </c>
      <c r="F25" s="6" t="s">
        <v>222</v>
      </c>
      <c r="G25" s="12">
        <v>80738958</v>
      </c>
      <c r="H25" s="116" t="s">
        <v>218</v>
      </c>
      <c r="I25" s="6" t="s">
        <v>211</v>
      </c>
      <c r="J25" s="118">
        <v>7170390103</v>
      </c>
      <c r="K25" s="87">
        <v>5500000</v>
      </c>
      <c r="L25" s="12">
        <v>30</v>
      </c>
      <c r="M25" s="87">
        <f t="shared" si="11"/>
        <v>5500000</v>
      </c>
      <c r="N25" s="87"/>
      <c r="O25" s="87"/>
      <c r="P25" s="87"/>
      <c r="Q25" s="87">
        <f t="shared" ref="Q25" si="18">SUM(M25:O25)+P25</f>
        <v>5500000</v>
      </c>
      <c r="R25" s="87">
        <f>+K25*4%</f>
        <v>220000</v>
      </c>
      <c r="S25" s="87">
        <f>+K25*5%</f>
        <v>275000</v>
      </c>
      <c r="T25" s="87"/>
      <c r="U25" s="87"/>
      <c r="V25" s="17">
        <v>141000</v>
      </c>
      <c r="W25" s="87"/>
      <c r="X25" s="87"/>
      <c r="Y25" s="87"/>
      <c r="Z25" s="87">
        <f t="shared" ref="Z25" si="19">SUM(R25:Y25)</f>
        <v>636000</v>
      </c>
      <c r="AA25" s="7">
        <f>+Q25-Z25</f>
        <v>4864000</v>
      </c>
      <c r="AB25" s="8"/>
      <c r="AC25" s="9"/>
      <c r="AD25" s="8">
        <f t="shared" si="4"/>
        <v>4864000</v>
      </c>
    </row>
    <row r="26" spans="1:30" ht="48" x14ac:dyDescent="0.25">
      <c r="A26" s="108"/>
      <c r="B26" s="14">
        <v>23</v>
      </c>
      <c r="C26" s="11" t="s">
        <v>49</v>
      </c>
      <c r="D26" s="6" t="s">
        <v>26</v>
      </c>
      <c r="E26" s="6" t="s">
        <v>208</v>
      </c>
      <c r="F26" s="6" t="s">
        <v>222</v>
      </c>
      <c r="G26" s="12">
        <v>79507075</v>
      </c>
      <c r="H26" s="116" t="s">
        <v>213</v>
      </c>
      <c r="I26" s="6" t="s">
        <v>223</v>
      </c>
      <c r="J26" s="118">
        <v>20935824637</v>
      </c>
      <c r="K26" s="87">
        <v>4500000</v>
      </c>
      <c r="L26" s="12">
        <v>30</v>
      </c>
      <c r="M26" s="87">
        <f>K26/30*L26</f>
        <v>4500000</v>
      </c>
      <c r="N26" s="87" t="s">
        <v>153</v>
      </c>
      <c r="O26" s="87"/>
      <c r="P26" s="87"/>
      <c r="Q26" s="87">
        <f t="shared" ref="Q26" si="20">SUM(M26:O26)+P26</f>
        <v>4500000</v>
      </c>
      <c r="R26" s="87">
        <f>+M26*4%</f>
        <v>180000</v>
      </c>
      <c r="S26" s="87">
        <f>+M26*5%</f>
        <v>225000</v>
      </c>
      <c r="T26" s="87"/>
      <c r="U26" s="87"/>
      <c r="V26" s="17">
        <v>72000</v>
      </c>
      <c r="W26" s="87"/>
      <c r="X26" s="87"/>
      <c r="Y26" s="87"/>
      <c r="Z26" s="87">
        <f t="shared" ref="Z26" si="21">SUM(R26:Y26)</f>
        <v>477000</v>
      </c>
      <c r="AA26" s="7">
        <f>+Q26-Z26</f>
        <v>4023000</v>
      </c>
      <c r="AB26" s="8"/>
      <c r="AC26" s="9"/>
      <c r="AD26" s="8">
        <f t="shared" si="4"/>
        <v>4023000</v>
      </c>
    </row>
    <row r="27" spans="1:30" ht="48" x14ac:dyDescent="0.25">
      <c r="A27" s="108"/>
      <c r="B27" s="14">
        <v>24</v>
      </c>
      <c r="C27" s="11" t="s">
        <v>50</v>
      </c>
      <c r="D27" s="6" t="s">
        <v>26</v>
      </c>
      <c r="E27" s="6" t="s">
        <v>208</v>
      </c>
      <c r="F27" s="6" t="s">
        <v>217</v>
      </c>
      <c r="G27" s="12">
        <v>1032370759</v>
      </c>
      <c r="H27" s="6" t="s">
        <v>224</v>
      </c>
      <c r="I27" s="6" t="s">
        <v>211</v>
      </c>
      <c r="J27" s="6">
        <v>122032256</v>
      </c>
      <c r="K27" s="87">
        <v>6000000</v>
      </c>
      <c r="L27" s="12">
        <v>30</v>
      </c>
      <c r="M27" s="87">
        <f t="shared" si="11"/>
        <v>6000000</v>
      </c>
      <c r="N27" s="87"/>
      <c r="O27" s="2"/>
      <c r="P27" s="2"/>
      <c r="Q27" s="87">
        <f t="shared" si="1"/>
        <v>6000000</v>
      </c>
      <c r="R27" s="87">
        <f>+K27*4%</f>
        <v>240000</v>
      </c>
      <c r="S27" s="87">
        <f>K27*5%</f>
        <v>300000</v>
      </c>
      <c r="T27" s="87"/>
      <c r="U27" s="87"/>
      <c r="V27" s="17">
        <v>79000</v>
      </c>
      <c r="W27" s="87"/>
      <c r="X27" s="87"/>
      <c r="Y27" s="87"/>
      <c r="Z27" s="87">
        <f t="shared" si="2"/>
        <v>619000</v>
      </c>
      <c r="AA27" s="7">
        <f>Q27-Z27</f>
        <v>5381000</v>
      </c>
      <c r="AB27" s="8"/>
      <c r="AC27" s="9"/>
      <c r="AD27" s="8">
        <f t="shared" si="4"/>
        <v>5381000</v>
      </c>
    </row>
    <row r="28" spans="1:30" ht="36" x14ac:dyDescent="0.25">
      <c r="A28" s="108"/>
      <c r="B28" s="14">
        <v>25</v>
      </c>
      <c r="C28" s="11" t="s">
        <v>52</v>
      </c>
      <c r="D28" s="6" t="s">
        <v>26</v>
      </c>
      <c r="E28" s="6"/>
      <c r="F28" s="6"/>
      <c r="G28" s="12"/>
      <c r="H28" s="6"/>
      <c r="I28" s="6"/>
      <c r="J28" s="6"/>
      <c r="K28" s="87">
        <v>3500000</v>
      </c>
      <c r="L28" s="12">
        <v>30</v>
      </c>
      <c r="M28" s="87">
        <f t="shared" si="11"/>
        <v>3500000</v>
      </c>
      <c r="N28" s="87"/>
      <c r="O28" s="87"/>
      <c r="P28" s="87"/>
      <c r="Q28" s="87">
        <f>SUM(M28:O28)+P28</f>
        <v>3500000</v>
      </c>
      <c r="R28" s="87">
        <v>140000</v>
      </c>
      <c r="S28" s="87">
        <v>175000</v>
      </c>
      <c r="T28" s="87"/>
      <c r="U28" s="87"/>
      <c r="V28" s="17">
        <v>0</v>
      </c>
      <c r="W28" s="87"/>
      <c r="X28" s="87"/>
      <c r="Y28" s="87"/>
      <c r="Z28" s="87">
        <f t="shared" ref="Z28" si="22">SUM(R28:Y28)</f>
        <v>315000</v>
      </c>
      <c r="AA28" s="7">
        <f>Q28-Z28</f>
        <v>3185000</v>
      </c>
      <c r="AB28" s="8"/>
      <c r="AC28" s="9"/>
      <c r="AD28" s="8">
        <f t="shared" si="4"/>
        <v>3185000</v>
      </c>
    </row>
    <row r="29" spans="1:30" ht="48" x14ac:dyDescent="0.25">
      <c r="A29" s="108"/>
      <c r="B29" s="14">
        <v>26</v>
      </c>
      <c r="C29" s="11" t="s">
        <v>53</v>
      </c>
      <c r="D29" s="6" t="s">
        <v>26</v>
      </c>
      <c r="E29" s="6" t="s">
        <v>208</v>
      </c>
      <c r="F29" s="6" t="s">
        <v>217</v>
      </c>
      <c r="G29" s="12">
        <v>80271442</v>
      </c>
      <c r="H29" s="6" t="s">
        <v>226</v>
      </c>
      <c r="I29" s="6" t="s">
        <v>211</v>
      </c>
      <c r="J29" s="6">
        <v>5368691</v>
      </c>
      <c r="K29" s="87">
        <v>4800000</v>
      </c>
      <c r="L29" s="12">
        <v>30</v>
      </c>
      <c r="M29" s="87">
        <f t="shared" ref="M29:M59" si="23">+K29/30*L29</f>
        <v>4800000</v>
      </c>
      <c r="N29" s="87"/>
      <c r="O29" s="87"/>
      <c r="P29" s="87"/>
      <c r="Q29" s="87">
        <f t="shared" si="1"/>
        <v>4800000</v>
      </c>
      <c r="R29" s="87">
        <f>+M29*4%</f>
        <v>192000</v>
      </c>
      <c r="S29" s="87">
        <f>+M29*5%</f>
        <v>240000</v>
      </c>
      <c r="T29" s="87"/>
      <c r="U29" s="87"/>
      <c r="V29" s="87">
        <v>0</v>
      </c>
      <c r="W29" s="87">
        <v>1300000</v>
      </c>
      <c r="X29" s="87"/>
      <c r="Y29" s="87">
        <v>209579</v>
      </c>
      <c r="Z29" s="87">
        <f t="shared" si="2"/>
        <v>1941579</v>
      </c>
      <c r="AA29" s="7">
        <f>Q29-Z29</f>
        <v>2858421</v>
      </c>
      <c r="AB29" s="8"/>
      <c r="AC29" s="9"/>
      <c r="AD29" s="8">
        <f t="shared" si="4"/>
        <v>2858421</v>
      </c>
    </row>
    <row r="30" spans="1:30" ht="48" x14ac:dyDescent="0.25">
      <c r="A30" s="108"/>
      <c r="B30" s="14">
        <v>27</v>
      </c>
      <c r="C30" s="11" t="s">
        <v>54</v>
      </c>
      <c r="D30" s="6" t="s">
        <v>26</v>
      </c>
      <c r="E30" s="6" t="s">
        <v>214</v>
      </c>
      <c r="F30" s="6" t="s">
        <v>227</v>
      </c>
      <c r="G30" s="12">
        <v>79995836</v>
      </c>
      <c r="H30" s="6" t="s">
        <v>213</v>
      </c>
      <c r="I30" s="6" t="s">
        <v>211</v>
      </c>
      <c r="J30" s="86">
        <v>63874189172</v>
      </c>
      <c r="K30" s="87">
        <v>4280000</v>
      </c>
      <c r="L30" s="12">
        <v>30</v>
      </c>
      <c r="M30" s="87">
        <f>K30/30*L30</f>
        <v>4280000</v>
      </c>
      <c r="N30" s="87"/>
      <c r="O30" s="87"/>
      <c r="P30" s="87"/>
      <c r="Q30" s="87">
        <f t="shared" si="1"/>
        <v>4280000</v>
      </c>
      <c r="R30" s="87">
        <f>+Q30*4%</f>
        <v>171200</v>
      </c>
      <c r="S30" s="87">
        <f>+Q30*5%</f>
        <v>214000</v>
      </c>
      <c r="T30" s="87"/>
      <c r="U30" s="87"/>
      <c r="V30" s="17">
        <v>31064</v>
      </c>
      <c r="W30" s="87"/>
      <c r="X30" s="87"/>
      <c r="Y30" s="87"/>
      <c r="Z30" s="87">
        <f t="shared" si="2"/>
        <v>416264</v>
      </c>
      <c r="AA30" s="7">
        <f>Q30-Z30</f>
        <v>3863736</v>
      </c>
      <c r="AB30" s="8"/>
      <c r="AC30" s="9"/>
      <c r="AD30" s="8">
        <f t="shared" si="4"/>
        <v>3863736</v>
      </c>
    </row>
    <row r="31" spans="1:30" ht="36" x14ac:dyDescent="0.25">
      <c r="A31" s="108"/>
      <c r="B31" s="14">
        <v>28</v>
      </c>
      <c r="C31" s="11" t="s">
        <v>55</v>
      </c>
      <c r="D31" s="6" t="s">
        <v>26</v>
      </c>
      <c r="E31" s="6" t="s">
        <v>208</v>
      </c>
      <c r="F31" s="6" t="s">
        <v>217</v>
      </c>
      <c r="G31" s="12">
        <v>79712744</v>
      </c>
      <c r="H31" s="6" t="s">
        <v>210</v>
      </c>
      <c r="I31" s="6" t="s">
        <v>211</v>
      </c>
      <c r="J31" s="6">
        <v>1003060485</v>
      </c>
      <c r="K31" s="87">
        <v>6000000</v>
      </c>
      <c r="L31" s="12">
        <v>30</v>
      </c>
      <c r="M31" s="87">
        <f t="shared" si="23"/>
        <v>6000000</v>
      </c>
      <c r="N31" s="87"/>
      <c r="O31" s="87"/>
      <c r="P31" s="87"/>
      <c r="Q31" s="87">
        <f t="shared" si="1"/>
        <v>6000000</v>
      </c>
      <c r="R31" s="87">
        <f>+Q31*4%</f>
        <v>240000</v>
      </c>
      <c r="S31" s="87">
        <f>+Q31*5%</f>
        <v>300000</v>
      </c>
      <c r="T31" s="87"/>
      <c r="U31" s="87"/>
      <c r="V31" s="87">
        <v>208000</v>
      </c>
      <c r="W31" s="87"/>
      <c r="X31" s="87">
        <v>122614</v>
      </c>
      <c r="Y31" s="87"/>
      <c r="Z31" s="87">
        <f t="shared" si="2"/>
        <v>870614</v>
      </c>
      <c r="AA31" s="7">
        <f t="shared" ref="AA31:AA32" si="24">+Q31-Z31</f>
        <v>5129386</v>
      </c>
      <c r="AB31" s="8"/>
      <c r="AC31" s="9"/>
      <c r="AD31" s="8">
        <f t="shared" si="4"/>
        <v>5129386</v>
      </c>
    </row>
    <row r="32" spans="1:30" ht="48" x14ac:dyDescent="0.25">
      <c r="A32" s="108"/>
      <c r="B32" s="14">
        <v>29</v>
      </c>
      <c r="C32" s="11" t="s">
        <v>56</v>
      </c>
      <c r="D32" s="6" t="s">
        <v>26</v>
      </c>
      <c r="E32" s="6" t="s">
        <v>208</v>
      </c>
      <c r="F32" s="6" t="s">
        <v>225</v>
      </c>
      <c r="G32" s="12">
        <v>1032418081</v>
      </c>
      <c r="H32" s="6" t="s">
        <v>210</v>
      </c>
      <c r="I32" s="6" t="s">
        <v>211</v>
      </c>
      <c r="J32" s="6">
        <v>1003060469</v>
      </c>
      <c r="K32" s="87">
        <v>4500000</v>
      </c>
      <c r="L32" s="12">
        <v>30</v>
      </c>
      <c r="M32" s="87">
        <f t="shared" si="23"/>
        <v>4500000</v>
      </c>
      <c r="N32" s="87"/>
      <c r="O32" s="87">
        <v>500000</v>
      </c>
      <c r="P32" s="2"/>
      <c r="Q32" s="87">
        <f t="shared" si="1"/>
        <v>5000000</v>
      </c>
      <c r="R32" s="87">
        <f t="shared" ref="R32" si="25">+M32*4%</f>
        <v>180000</v>
      </c>
      <c r="S32" s="87">
        <f t="shared" si="6"/>
        <v>225000</v>
      </c>
      <c r="T32" s="87"/>
      <c r="U32" s="87"/>
      <c r="V32" s="87">
        <v>11000</v>
      </c>
      <c r="W32" s="87"/>
      <c r="X32" s="87"/>
      <c r="Y32" s="87">
        <v>551399</v>
      </c>
      <c r="Z32" s="87">
        <f t="shared" si="2"/>
        <v>967399</v>
      </c>
      <c r="AA32" s="7">
        <f t="shared" si="24"/>
        <v>4032601</v>
      </c>
      <c r="AB32" s="8"/>
      <c r="AC32" s="9"/>
      <c r="AD32" s="8">
        <f t="shared" si="4"/>
        <v>4032601</v>
      </c>
    </row>
    <row r="33" spans="1:30" ht="24" x14ac:dyDescent="0.25">
      <c r="A33" s="108"/>
      <c r="B33" s="14">
        <v>30</v>
      </c>
      <c r="C33" s="3" t="s">
        <v>57</v>
      </c>
      <c r="D33" s="86" t="s">
        <v>26</v>
      </c>
      <c r="E33" s="86" t="s">
        <v>208</v>
      </c>
      <c r="F33" s="86" t="s">
        <v>228</v>
      </c>
      <c r="G33" s="87">
        <v>79312565</v>
      </c>
      <c r="H33" s="86" t="s">
        <v>218</v>
      </c>
      <c r="I33" s="6" t="s">
        <v>211</v>
      </c>
      <c r="J33" s="119">
        <v>456400032409</v>
      </c>
      <c r="K33" s="87">
        <v>4815000</v>
      </c>
      <c r="L33" s="12">
        <v>30</v>
      </c>
      <c r="M33" s="87">
        <f>+K33-P33</f>
        <v>4815000</v>
      </c>
      <c r="N33" s="87"/>
      <c r="O33" s="87"/>
      <c r="P33" s="87"/>
      <c r="Q33" s="87">
        <f t="shared" si="1"/>
        <v>4815000</v>
      </c>
      <c r="R33" s="87">
        <f>+K33*4%</f>
        <v>192600</v>
      </c>
      <c r="S33" s="87">
        <f>+K33*5%</f>
        <v>240750</v>
      </c>
      <c r="T33" s="87"/>
      <c r="U33" s="87"/>
      <c r="V33" s="87">
        <v>34627</v>
      </c>
      <c r="W33" s="87"/>
      <c r="X33" s="87"/>
      <c r="Y33" s="87">
        <v>541379</v>
      </c>
      <c r="Z33" s="87">
        <f t="shared" si="2"/>
        <v>1009356</v>
      </c>
      <c r="AA33" s="7">
        <f>Q33-Z33</f>
        <v>3805644</v>
      </c>
      <c r="AB33" s="8"/>
      <c r="AC33" s="9"/>
      <c r="AD33" s="8">
        <f t="shared" si="4"/>
        <v>3805644</v>
      </c>
    </row>
    <row r="34" spans="1:30" ht="60" x14ac:dyDescent="0.25">
      <c r="A34" s="108"/>
      <c r="B34" s="14">
        <v>31</v>
      </c>
      <c r="C34" s="11" t="s">
        <v>58</v>
      </c>
      <c r="D34" s="6" t="s">
        <v>26</v>
      </c>
      <c r="E34" s="6" t="s">
        <v>208</v>
      </c>
      <c r="F34" s="6" t="s">
        <v>217</v>
      </c>
      <c r="G34" s="12">
        <v>79853277</v>
      </c>
      <c r="H34" s="6" t="s">
        <v>218</v>
      </c>
      <c r="I34" s="6" t="s">
        <v>211</v>
      </c>
      <c r="J34" s="114" t="s">
        <v>229</v>
      </c>
      <c r="K34" s="87">
        <v>6420000</v>
      </c>
      <c r="L34" s="12">
        <v>30</v>
      </c>
      <c r="M34" s="87">
        <f>+K34-P34</f>
        <v>6420000</v>
      </c>
      <c r="N34" s="87"/>
      <c r="O34" s="87"/>
      <c r="P34" s="87"/>
      <c r="Q34" s="87">
        <f t="shared" ref="Q34:Q79" si="26">SUM(M34:O34)+P34</f>
        <v>6420000</v>
      </c>
      <c r="R34" s="87">
        <f>+K34*4%</f>
        <v>256800</v>
      </c>
      <c r="S34" s="87">
        <f>+K34*5%</f>
        <v>321000</v>
      </c>
      <c r="T34" s="87"/>
      <c r="U34" s="87"/>
      <c r="V34" s="87">
        <v>231000</v>
      </c>
      <c r="W34" s="87"/>
      <c r="X34" s="87"/>
      <c r="Y34" s="87"/>
      <c r="Z34" s="87">
        <f t="shared" si="2"/>
        <v>808800</v>
      </c>
      <c r="AA34" s="7">
        <f>+Q34-Z34</f>
        <v>5611200</v>
      </c>
      <c r="AB34" s="8"/>
      <c r="AC34" s="9"/>
      <c r="AD34" s="8">
        <f t="shared" si="4"/>
        <v>5611200</v>
      </c>
    </row>
    <row r="35" spans="1:30" ht="24" x14ac:dyDescent="0.25">
      <c r="A35" s="108"/>
      <c r="B35" s="14">
        <v>32</v>
      </c>
      <c r="C35" s="3" t="s">
        <v>59</v>
      </c>
      <c r="D35" s="86" t="s">
        <v>26</v>
      </c>
      <c r="E35" s="86" t="s">
        <v>208</v>
      </c>
      <c r="F35" s="86" t="s">
        <v>217</v>
      </c>
      <c r="G35" s="87">
        <v>1017136558</v>
      </c>
      <c r="H35" s="6" t="s">
        <v>213</v>
      </c>
      <c r="I35" s="6" t="s">
        <v>211</v>
      </c>
      <c r="J35" s="119">
        <v>20442622745</v>
      </c>
      <c r="K35" s="87">
        <v>6900000</v>
      </c>
      <c r="L35" s="12">
        <v>30</v>
      </c>
      <c r="M35" s="87">
        <f t="shared" si="23"/>
        <v>6900000</v>
      </c>
      <c r="N35" s="87"/>
      <c r="O35" s="87">
        <v>1500000</v>
      </c>
      <c r="P35" s="2"/>
      <c r="Q35" s="87">
        <f t="shared" si="26"/>
        <v>8400000</v>
      </c>
      <c r="R35" s="87">
        <v>276000</v>
      </c>
      <c r="S35" s="87">
        <v>345000</v>
      </c>
      <c r="T35" s="87"/>
      <c r="U35" s="87"/>
      <c r="V35" s="87">
        <v>345000</v>
      </c>
      <c r="W35" s="87"/>
      <c r="X35" s="87"/>
      <c r="Y35" s="87"/>
      <c r="Z35" s="87">
        <f t="shared" si="2"/>
        <v>966000</v>
      </c>
      <c r="AA35" s="7">
        <f>Q35-Z35</f>
        <v>7434000</v>
      </c>
      <c r="AB35" s="8"/>
      <c r="AC35" s="9"/>
      <c r="AD35" s="8">
        <f t="shared" si="4"/>
        <v>7434000</v>
      </c>
    </row>
    <row r="36" spans="1:30" x14ac:dyDescent="0.25">
      <c r="A36" s="108"/>
      <c r="B36" s="14">
        <v>33</v>
      </c>
      <c r="C36" s="3" t="s">
        <v>61</v>
      </c>
      <c r="D36" s="86" t="s">
        <v>26</v>
      </c>
      <c r="E36" s="86"/>
      <c r="F36" s="86"/>
      <c r="G36" s="87"/>
      <c r="H36" s="6"/>
      <c r="I36" s="6"/>
      <c r="J36" s="119"/>
      <c r="K36" s="87">
        <v>5500000</v>
      </c>
      <c r="L36" s="12">
        <v>30</v>
      </c>
      <c r="M36" s="87">
        <f t="shared" si="23"/>
        <v>5500000</v>
      </c>
      <c r="N36" s="87"/>
      <c r="O36" s="87">
        <v>500000</v>
      </c>
      <c r="P36" s="87"/>
      <c r="Q36" s="87">
        <f t="shared" ref="Q36" si="27">SUM(M36:O36)+P36</f>
        <v>6000000</v>
      </c>
      <c r="R36" s="87">
        <f>+M36*4%</f>
        <v>220000</v>
      </c>
      <c r="S36" s="87">
        <f>+M36*5%</f>
        <v>275000</v>
      </c>
      <c r="T36" s="87"/>
      <c r="U36" s="87"/>
      <c r="V36" s="87">
        <v>144000</v>
      </c>
      <c r="W36" s="87"/>
      <c r="X36" s="87"/>
      <c r="Y36" s="87"/>
      <c r="Z36" s="87">
        <f t="shared" si="2"/>
        <v>639000</v>
      </c>
      <c r="AA36" s="7">
        <f t="shared" ref="AA36" si="28">Q36-Z36</f>
        <v>5361000</v>
      </c>
      <c r="AB36" s="8"/>
      <c r="AC36" s="9"/>
      <c r="AD36" s="8">
        <f t="shared" si="4"/>
        <v>5361000</v>
      </c>
    </row>
    <row r="37" spans="1:30" ht="36" x14ac:dyDescent="0.25">
      <c r="A37" s="108"/>
      <c r="B37" s="14">
        <v>34</v>
      </c>
      <c r="C37" s="11" t="s">
        <v>62</v>
      </c>
      <c r="D37" s="6" t="s">
        <v>26</v>
      </c>
      <c r="E37" s="6" t="s">
        <v>208</v>
      </c>
      <c r="F37" s="6" t="s">
        <v>230</v>
      </c>
      <c r="G37" s="12">
        <v>39544414</v>
      </c>
      <c r="H37" s="6" t="s">
        <v>210</v>
      </c>
      <c r="I37" s="6" t="s">
        <v>211</v>
      </c>
      <c r="J37" s="114">
        <v>1007103391</v>
      </c>
      <c r="K37" s="87">
        <v>5350000</v>
      </c>
      <c r="L37" s="12">
        <v>30</v>
      </c>
      <c r="M37" s="87">
        <f t="shared" si="23"/>
        <v>5350000</v>
      </c>
      <c r="N37" s="87"/>
      <c r="O37" s="87"/>
      <c r="P37" s="87"/>
      <c r="Q37" s="87">
        <f t="shared" si="26"/>
        <v>5350000</v>
      </c>
      <c r="R37" s="87">
        <f>+M37*4%</f>
        <v>214000</v>
      </c>
      <c r="S37" s="87">
        <f>+M37*5%</f>
        <v>267500</v>
      </c>
      <c r="T37" s="87"/>
      <c r="U37" s="87"/>
      <c r="V37" s="87">
        <v>121000</v>
      </c>
      <c r="W37" s="87"/>
      <c r="X37" s="87"/>
      <c r="Y37" s="87"/>
      <c r="Z37" s="87">
        <f>SUM(R37:Y37)</f>
        <v>602500</v>
      </c>
      <c r="AA37" s="7">
        <f t="shared" ref="AA37:AA43" si="29">+Q37-Z37</f>
        <v>4747500</v>
      </c>
      <c r="AB37" s="8"/>
      <c r="AC37" s="9"/>
      <c r="AD37" s="8">
        <f t="shared" si="4"/>
        <v>4747500</v>
      </c>
    </row>
    <row r="38" spans="1:30" ht="36" x14ac:dyDescent="0.25">
      <c r="A38" s="108"/>
      <c r="B38" s="14">
        <v>35</v>
      </c>
      <c r="C38" s="11" t="s">
        <v>148</v>
      </c>
      <c r="D38" s="6"/>
      <c r="E38" s="6"/>
      <c r="F38" s="6"/>
      <c r="G38" s="12"/>
      <c r="H38" s="6"/>
      <c r="I38" s="6"/>
      <c r="J38" s="114"/>
      <c r="K38" s="87">
        <v>4000000</v>
      </c>
      <c r="L38" s="12">
        <v>30</v>
      </c>
      <c r="M38" s="87">
        <f t="shared" si="23"/>
        <v>4000000.0000000005</v>
      </c>
      <c r="N38" s="87"/>
      <c r="O38" s="87"/>
      <c r="P38" s="87"/>
      <c r="Q38" s="87">
        <f t="shared" ref="Q38" si="30">SUM(M38:O38)+P38</f>
        <v>4000000.0000000005</v>
      </c>
      <c r="R38" s="87">
        <f>+M38*4%</f>
        <v>160000.00000000003</v>
      </c>
      <c r="S38" s="87">
        <f>+M38*5%</f>
        <v>200000.00000000003</v>
      </c>
      <c r="T38" s="87"/>
      <c r="U38" s="87"/>
      <c r="V38" s="87">
        <v>0</v>
      </c>
      <c r="W38" s="87"/>
      <c r="X38" s="87"/>
      <c r="Y38" s="87"/>
      <c r="Z38" s="87">
        <f>SUM(R38:Y38)</f>
        <v>360000.00000000006</v>
      </c>
      <c r="AA38" s="7">
        <f t="shared" si="29"/>
        <v>3640000.0000000005</v>
      </c>
      <c r="AB38" s="8"/>
      <c r="AC38" s="9"/>
      <c r="AD38" s="8">
        <f t="shared" si="4"/>
        <v>3640000.0000000005</v>
      </c>
    </row>
    <row r="39" spans="1:30" ht="36" x14ac:dyDescent="0.25">
      <c r="A39" s="108"/>
      <c r="B39" s="14">
        <v>36</v>
      </c>
      <c r="C39" s="11" t="s">
        <v>63</v>
      </c>
      <c r="D39" s="6" t="s">
        <v>26</v>
      </c>
      <c r="E39" s="6" t="s">
        <v>214</v>
      </c>
      <c r="F39" s="6" t="s">
        <v>231</v>
      </c>
      <c r="G39" s="12">
        <v>79342363</v>
      </c>
      <c r="H39" s="6" t="s">
        <v>218</v>
      </c>
      <c r="I39" s="6" t="s">
        <v>211</v>
      </c>
      <c r="J39" s="114" t="s">
        <v>232</v>
      </c>
      <c r="K39" s="87">
        <v>4500000</v>
      </c>
      <c r="L39" s="12">
        <v>30</v>
      </c>
      <c r="M39" s="87">
        <f t="shared" si="23"/>
        <v>4500000</v>
      </c>
      <c r="N39" s="87"/>
      <c r="O39" s="87"/>
      <c r="P39" s="87"/>
      <c r="Q39" s="87">
        <f t="shared" si="26"/>
        <v>4500000</v>
      </c>
      <c r="R39" s="87">
        <f>+K39*4%</f>
        <v>180000</v>
      </c>
      <c r="S39" s="87">
        <f>+K39*5%</f>
        <v>225000</v>
      </c>
      <c r="T39" s="87"/>
      <c r="U39" s="87"/>
      <c r="V39" s="87">
        <v>10000</v>
      </c>
      <c r="W39" s="87"/>
      <c r="X39" s="87"/>
      <c r="Y39" s="87">
        <v>317224</v>
      </c>
      <c r="Z39" s="87">
        <f>SUM(R39:Y39)</f>
        <v>732224</v>
      </c>
      <c r="AA39" s="7">
        <f t="shared" si="29"/>
        <v>3767776</v>
      </c>
      <c r="AB39" s="8"/>
      <c r="AC39" s="9"/>
      <c r="AD39" s="8">
        <f t="shared" si="4"/>
        <v>3767776</v>
      </c>
    </row>
    <row r="40" spans="1:30" ht="48" x14ac:dyDescent="0.25">
      <c r="A40" s="108"/>
      <c r="B40" s="14">
        <v>37</v>
      </c>
      <c r="C40" s="11" t="s">
        <v>65</v>
      </c>
      <c r="D40" s="6" t="s">
        <v>26</v>
      </c>
      <c r="E40" s="6" t="s">
        <v>220</v>
      </c>
      <c r="F40" s="6" t="s">
        <v>222</v>
      </c>
      <c r="G40" s="12">
        <v>569462</v>
      </c>
      <c r="H40" s="6"/>
      <c r="I40" s="6" t="s">
        <v>211</v>
      </c>
      <c r="J40" s="114"/>
      <c r="K40" s="87">
        <v>4800000</v>
      </c>
      <c r="L40" s="12">
        <v>30</v>
      </c>
      <c r="M40" s="87">
        <f t="shared" si="23"/>
        <v>4800000</v>
      </c>
      <c r="N40" s="87"/>
      <c r="O40" s="87"/>
      <c r="P40" s="87"/>
      <c r="Q40" s="87">
        <f t="shared" ref="Q40" si="31">SUM(M40:O40)+P40</f>
        <v>4800000</v>
      </c>
      <c r="R40" s="87">
        <f>+M40*4%</f>
        <v>192000</v>
      </c>
      <c r="S40" s="87">
        <f>+M40*5%</f>
        <v>240000</v>
      </c>
      <c r="T40" s="87"/>
      <c r="U40" s="87"/>
      <c r="V40" s="87">
        <v>51000</v>
      </c>
      <c r="W40" s="87"/>
      <c r="X40" s="87"/>
      <c r="Y40" s="87">
        <v>206720</v>
      </c>
      <c r="Z40" s="87">
        <f t="shared" ref="Z40" si="32">SUM(R40:Y40)</f>
        <v>689720</v>
      </c>
      <c r="AA40" s="7">
        <f t="shared" si="29"/>
        <v>4110280</v>
      </c>
      <c r="AB40" s="8"/>
      <c r="AC40" s="9"/>
      <c r="AD40" s="8">
        <f t="shared" si="4"/>
        <v>4110280</v>
      </c>
    </row>
    <row r="41" spans="1:30" ht="48" x14ac:dyDescent="0.25">
      <c r="A41" s="108"/>
      <c r="B41" s="14">
        <v>38</v>
      </c>
      <c r="C41" s="11" t="s">
        <v>66</v>
      </c>
      <c r="D41" s="6"/>
      <c r="E41" s="6"/>
      <c r="F41" s="6"/>
      <c r="G41" s="12"/>
      <c r="H41" s="6"/>
      <c r="I41" s="6"/>
      <c r="J41" s="114"/>
      <c r="K41" s="87">
        <v>4000000</v>
      </c>
      <c r="L41" s="12">
        <v>30</v>
      </c>
      <c r="M41" s="87">
        <f t="shared" si="23"/>
        <v>4000000.0000000005</v>
      </c>
      <c r="N41" s="87"/>
      <c r="O41" s="87"/>
      <c r="P41" s="87"/>
      <c r="Q41" s="87">
        <f t="shared" ref="Q41" si="33">SUM(M41:O41)+P41</f>
        <v>4000000.0000000005</v>
      </c>
      <c r="R41" s="87">
        <f>+M41*4%</f>
        <v>160000.00000000003</v>
      </c>
      <c r="S41" s="87">
        <f>+M41*5%</f>
        <v>200000.00000000003</v>
      </c>
      <c r="T41" s="87"/>
      <c r="U41" s="87"/>
      <c r="V41" s="87">
        <v>4500</v>
      </c>
      <c r="W41" s="87"/>
      <c r="X41" s="87"/>
      <c r="Y41" s="87"/>
      <c r="Z41" s="87">
        <f t="shared" ref="Z41" si="34">SUM(R41:Y41)</f>
        <v>364500.00000000006</v>
      </c>
      <c r="AA41" s="7">
        <f t="shared" si="29"/>
        <v>3635500.0000000005</v>
      </c>
      <c r="AB41" s="8"/>
      <c r="AC41" s="9"/>
      <c r="AD41" s="8">
        <f t="shared" si="4"/>
        <v>3635500.0000000005</v>
      </c>
    </row>
    <row r="42" spans="1:30" ht="60" x14ac:dyDescent="0.25">
      <c r="A42" s="108"/>
      <c r="B42" s="14">
        <v>39</v>
      </c>
      <c r="C42" s="11" t="s">
        <v>67</v>
      </c>
      <c r="D42" s="6" t="s">
        <v>26</v>
      </c>
      <c r="E42" s="6" t="s">
        <v>208</v>
      </c>
      <c r="F42" s="6" t="s">
        <v>233</v>
      </c>
      <c r="G42" s="12">
        <v>1020736546</v>
      </c>
      <c r="H42" s="6" t="s">
        <v>234</v>
      </c>
      <c r="I42" s="6" t="s">
        <v>211</v>
      </c>
      <c r="J42" s="114" t="s">
        <v>235</v>
      </c>
      <c r="K42" s="87">
        <v>3500000</v>
      </c>
      <c r="L42" s="12">
        <v>30</v>
      </c>
      <c r="M42" s="87">
        <f>+K42-P42</f>
        <v>3500000</v>
      </c>
      <c r="N42" s="87"/>
      <c r="O42" s="87" t="s">
        <v>1</v>
      </c>
      <c r="P42" s="87"/>
      <c r="Q42" s="87">
        <f t="shared" si="26"/>
        <v>3500000</v>
      </c>
      <c r="R42" s="87">
        <f>+Q42*4%</f>
        <v>140000</v>
      </c>
      <c r="S42" s="87">
        <f>+Q42*5%</f>
        <v>175000</v>
      </c>
      <c r="T42" s="87"/>
      <c r="U42" s="87"/>
      <c r="V42" s="87"/>
      <c r="W42" s="87"/>
      <c r="X42" s="87"/>
      <c r="Y42" s="87"/>
      <c r="Z42" s="87">
        <f t="shared" si="2"/>
        <v>315000</v>
      </c>
      <c r="AA42" s="7">
        <f t="shared" si="29"/>
        <v>3185000</v>
      </c>
      <c r="AB42" s="8"/>
      <c r="AC42" s="9"/>
      <c r="AD42" s="8">
        <f t="shared" si="4"/>
        <v>3185000</v>
      </c>
    </row>
    <row r="43" spans="1:30" ht="36" x14ac:dyDescent="0.25">
      <c r="A43" s="108"/>
      <c r="B43" s="14">
        <v>40</v>
      </c>
      <c r="C43" s="11" t="s">
        <v>68</v>
      </c>
      <c r="D43" s="6" t="s">
        <v>26</v>
      </c>
      <c r="E43" s="6" t="s">
        <v>208</v>
      </c>
      <c r="F43" s="6" t="s">
        <v>231</v>
      </c>
      <c r="G43" s="12">
        <v>80182894</v>
      </c>
      <c r="H43" s="6" t="s">
        <v>210</v>
      </c>
      <c r="I43" s="6" t="s">
        <v>211</v>
      </c>
      <c r="J43" s="114" t="s">
        <v>236</v>
      </c>
      <c r="K43" s="87">
        <v>5000000</v>
      </c>
      <c r="L43" s="12">
        <v>30</v>
      </c>
      <c r="M43" s="87">
        <f t="shared" si="23"/>
        <v>5000000</v>
      </c>
      <c r="N43" s="87"/>
      <c r="O43" s="87">
        <v>800000</v>
      </c>
      <c r="P43" s="87"/>
      <c r="Q43" s="87">
        <f t="shared" si="26"/>
        <v>5800000</v>
      </c>
      <c r="R43" s="87">
        <f>+M43*4%</f>
        <v>200000</v>
      </c>
      <c r="S43" s="87">
        <f>+M43*5%</f>
        <v>250000</v>
      </c>
      <c r="T43" s="87"/>
      <c r="U43" s="87"/>
      <c r="V43" s="87">
        <v>50000</v>
      </c>
      <c r="W43" s="87"/>
      <c r="X43" s="87"/>
      <c r="Y43" s="87"/>
      <c r="Z43" s="87">
        <f t="shared" si="2"/>
        <v>500000</v>
      </c>
      <c r="AA43" s="7">
        <f t="shared" si="29"/>
        <v>5300000</v>
      </c>
      <c r="AB43" s="8"/>
      <c r="AC43" s="9"/>
      <c r="AD43" s="8">
        <f t="shared" si="4"/>
        <v>5300000</v>
      </c>
    </row>
    <row r="44" spans="1:30" ht="48" x14ac:dyDescent="0.25">
      <c r="A44" s="108"/>
      <c r="B44" s="14">
        <v>41</v>
      </c>
      <c r="C44" s="11" t="s">
        <v>69</v>
      </c>
      <c r="D44" s="6" t="s">
        <v>26</v>
      </c>
      <c r="E44" s="6" t="s">
        <v>208</v>
      </c>
      <c r="F44" s="6" t="s">
        <v>237</v>
      </c>
      <c r="G44" s="12">
        <v>79344940</v>
      </c>
      <c r="H44" s="6" t="s">
        <v>218</v>
      </c>
      <c r="I44" s="6" t="s">
        <v>211</v>
      </c>
      <c r="J44" s="115">
        <v>466900016398</v>
      </c>
      <c r="K44" s="87">
        <v>5152050</v>
      </c>
      <c r="L44" s="12">
        <v>30</v>
      </c>
      <c r="M44" s="87">
        <f>+K44-P44</f>
        <v>5152050</v>
      </c>
      <c r="N44" s="87"/>
      <c r="O44" s="87">
        <v>350000</v>
      </c>
      <c r="P44" s="87"/>
      <c r="Q44" s="87">
        <f t="shared" si="26"/>
        <v>5502050</v>
      </c>
      <c r="R44" s="87">
        <f>+M44*4%</f>
        <v>206082</v>
      </c>
      <c r="S44" s="87">
        <f>+M44*5%</f>
        <v>257602.5</v>
      </c>
      <c r="T44" s="87"/>
      <c r="U44" s="87"/>
      <c r="V44" s="87">
        <v>93000</v>
      </c>
      <c r="W44" s="87"/>
      <c r="X44" s="87"/>
      <c r="Y44" s="87"/>
      <c r="Z44" s="87">
        <f t="shared" si="2"/>
        <v>556684.5</v>
      </c>
      <c r="AA44" s="7">
        <f>Q44-Z44</f>
        <v>4945365.5</v>
      </c>
      <c r="AB44" s="8"/>
      <c r="AC44" s="9"/>
      <c r="AD44" s="8">
        <f t="shared" si="4"/>
        <v>4945365.5</v>
      </c>
    </row>
    <row r="45" spans="1:30" ht="36" x14ac:dyDescent="0.25">
      <c r="A45" s="108"/>
      <c r="B45" s="14">
        <v>42</v>
      </c>
      <c r="C45" s="11" t="s">
        <v>70</v>
      </c>
      <c r="D45" s="6" t="s">
        <v>26</v>
      </c>
      <c r="E45" s="6" t="s">
        <v>208</v>
      </c>
      <c r="F45" s="6" t="s">
        <v>238</v>
      </c>
      <c r="G45" s="12">
        <v>44161192</v>
      </c>
      <c r="H45" s="6" t="s">
        <v>210</v>
      </c>
      <c r="I45" s="6" t="s">
        <v>211</v>
      </c>
      <c r="J45" s="6">
        <v>1005942957</v>
      </c>
      <c r="K45" s="87">
        <v>9590321</v>
      </c>
      <c r="L45" s="12">
        <v>30</v>
      </c>
      <c r="M45" s="87">
        <f t="shared" si="23"/>
        <v>9590321</v>
      </c>
      <c r="N45" s="87"/>
      <c r="O45" s="87">
        <v>433946</v>
      </c>
      <c r="P45" s="10"/>
      <c r="Q45" s="87">
        <f>SUM(M45:O45)+O45</f>
        <v>10458213</v>
      </c>
      <c r="R45" s="87">
        <v>268529</v>
      </c>
      <c r="S45" s="87">
        <v>335661</v>
      </c>
      <c r="T45" s="87"/>
      <c r="U45" s="87"/>
      <c r="V45" s="87">
        <v>205000</v>
      </c>
      <c r="W45" s="87">
        <v>2500000</v>
      </c>
      <c r="X45" s="87"/>
      <c r="Y45" s="87"/>
      <c r="Z45" s="87">
        <f t="shared" si="2"/>
        <v>3309190</v>
      </c>
      <c r="AA45" s="7">
        <f>Q45-Z45</f>
        <v>7149023</v>
      </c>
      <c r="AB45" s="8"/>
      <c r="AC45" s="9"/>
      <c r="AD45" s="8">
        <f t="shared" si="4"/>
        <v>7149023</v>
      </c>
    </row>
    <row r="46" spans="1:30" ht="36" x14ac:dyDescent="0.25">
      <c r="A46" s="109"/>
      <c r="B46" s="14">
        <v>43</v>
      </c>
      <c r="C46" s="11" t="s">
        <v>71</v>
      </c>
      <c r="D46" s="6" t="s">
        <v>26</v>
      </c>
      <c r="E46" s="6" t="s">
        <v>208</v>
      </c>
      <c r="F46" s="6" t="s">
        <v>222</v>
      </c>
      <c r="G46" s="12">
        <v>518375</v>
      </c>
      <c r="H46" s="116" t="s">
        <v>218</v>
      </c>
      <c r="I46" s="117" t="s">
        <v>216</v>
      </c>
      <c r="J46" s="118">
        <v>451870107039</v>
      </c>
      <c r="K46" s="87">
        <v>4500000</v>
      </c>
      <c r="L46" s="12">
        <v>30</v>
      </c>
      <c r="M46" s="87">
        <f>+K46-P46</f>
        <v>4500000</v>
      </c>
      <c r="N46" s="87"/>
      <c r="O46" s="87"/>
      <c r="P46" s="87"/>
      <c r="Q46" s="87">
        <f t="shared" si="26"/>
        <v>4500000</v>
      </c>
      <c r="R46" s="87">
        <v>180000</v>
      </c>
      <c r="S46" s="87">
        <v>225000</v>
      </c>
      <c r="T46" s="87"/>
      <c r="U46" s="87"/>
      <c r="V46" s="87">
        <v>31000</v>
      </c>
      <c r="W46" s="87"/>
      <c r="X46" s="87"/>
      <c r="Y46" s="87"/>
      <c r="Z46" s="87">
        <f t="shared" si="2"/>
        <v>436000</v>
      </c>
      <c r="AA46" s="7">
        <f>Q46-Z46</f>
        <v>4064000</v>
      </c>
      <c r="AB46" s="8"/>
      <c r="AC46" s="9"/>
      <c r="AD46" s="8">
        <f t="shared" si="4"/>
        <v>4064000</v>
      </c>
    </row>
    <row r="47" spans="1:30" ht="36" x14ac:dyDescent="0.25">
      <c r="A47" s="107" t="s">
        <v>143</v>
      </c>
      <c r="B47" s="88">
        <v>1</v>
      </c>
      <c r="C47" s="11" t="s">
        <v>144</v>
      </c>
      <c r="D47" s="6"/>
      <c r="E47" s="6"/>
      <c r="F47" s="6"/>
      <c r="G47" s="12"/>
      <c r="H47" s="116"/>
      <c r="I47" s="117"/>
      <c r="J47" s="118"/>
      <c r="K47" s="87">
        <v>737717</v>
      </c>
      <c r="L47" s="12">
        <v>5</v>
      </c>
      <c r="M47" s="87">
        <f t="shared" si="23"/>
        <v>122952.83333333333</v>
      </c>
      <c r="N47" s="87">
        <v>307382</v>
      </c>
      <c r="O47" s="87"/>
      <c r="P47" s="87"/>
      <c r="Q47" s="87">
        <f t="shared" si="26"/>
        <v>430334.83333333331</v>
      </c>
      <c r="R47" s="87"/>
      <c r="S47" s="87"/>
      <c r="T47" s="87"/>
      <c r="U47" s="87"/>
      <c r="V47" s="87"/>
      <c r="W47" s="87"/>
      <c r="X47" s="87"/>
      <c r="Y47" s="87"/>
      <c r="Z47" s="87"/>
      <c r="AA47" s="7">
        <f>Q47-Z47</f>
        <v>430334.83333333331</v>
      </c>
      <c r="AB47" s="8"/>
      <c r="AC47" s="9"/>
      <c r="AD47" s="8">
        <f t="shared" si="4"/>
        <v>430334.83333333331</v>
      </c>
    </row>
    <row r="48" spans="1:30" ht="36" x14ac:dyDescent="0.25">
      <c r="A48" s="108"/>
      <c r="B48" s="88">
        <v>2</v>
      </c>
      <c r="C48" s="11" t="s">
        <v>72</v>
      </c>
      <c r="D48" s="6" t="s">
        <v>26</v>
      </c>
      <c r="E48" s="6"/>
      <c r="F48" s="6"/>
      <c r="G48" s="12"/>
      <c r="H48" s="116"/>
      <c r="I48" s="117"/>
      <c r="J48" s="118"/>
      <c r="K48" s="87">
        <v>3000000</v>
      </c>
      <c r="L48" s="12">
        <v>30</v>
      </c>
      <c r="M48" s="87">
        <f t="shared" si="23"/>
        <v>3000000</v>
      </c>
      <c r="N48" s="87"/>
      <c r="O48" s="87"/>
      <c r="P48" s="87"/>
      <c r="Q48" s="87">
        <f t="shared" si="26"/>
        <v>3000000</v>
      </c>
      <c r="R48" s="87">
        <v>120000</v>
      </c>
      <c r="S48" s="87">
        <v>150000</v>
      </c>
      <c r="T48" s="87"/>
      <c r="U48" s="87"/>
      <c r="V48" s="87"/>
      <c r="W48" s="87"/>
      <c r="X48" s="87"/>
      <c r="Y48" s="87"/>
      <c r="Z48" s="87">
        <f t="shared" si="2"/>
        <v>270000</v>
      </c>
      <c r="AA48" s="7">
        <f>Q48-Z48</f>
        <v>2730000</v>
      </c>
      <c r="AB48" s="8"/>
      <c r="AC48" s="9"/>
      <c r="AD48" s="8">
        <f t="shared" si="4"/>
        <v>2730000</v>
      </c>
    </row>
    <row r="49" spans="1:30" ht="48" x14ac:dyDescent="0.25">
      <c r="A49" s="108"/>
      <c r="B49" s="88">
        <v>3</v>
      </c>
      <c r="C49" s="11" t="s">
        <v>74</v>
      </c>
      <c r="D49" s="6" t="s">
        <v>26</v>
      </c>
      <c r="E49" s="6" t="s">
        <v>239</v>
      </c>
      <c r="F49" s="6" t="s">
        <v>240</v>
      </c>
      <c r="G49" s="12">
        <v>1023962160</v>
      </c>
      <c r="H49" s="6" t="s">
        <v>234</v>
      </c>
      <c r="I49" s="6" t="s">
        <v>241</v>
      </c>
      <c r="J49" s="6">
        <v>627198914</v>
      </c>
      <c r="K49" s="87">
        <v>800000</v>
      </c>
      <c r="L49" s="12">
        <v>30</v>
      </c>
      <c r="M49" s="87">
        <f t="shared" si="23"/>
        <v>800000</v>
      </c>
      <c r="N49" s="87">
        <v>83140</v>
      </c>
      <c r="O49" s="87"/>
      <c r="P49" s="87"/>
      <c r="Q49" s="87">
        <f t="shared" si="26"/>
        <v>883140</v>
      </c>
      <c r="R49" s="87">
        <f>+M49*4%</f>
        <v>32000</v>
      </c>
      <c r="S49" s="87">
        <f>+M49*4%</f>
        <v>32000</v>
      </c>
      <c r="T49" s="87"/>
      <c r="U49" s="87"/>
      <c r="V49" s="17"/>
      <c r="W49" s="87"/>
      <c r="X49" s="87"/>
      <c r="Y49" s="87"/>
      <c r="Z49" s="87">
        <f t="shared" ref="Z49" si="35">SUM(R49:Y49)</f>
        <v>64000</v>
      </c>
      <c r="AA49" s="7">
        <f>+Q49-Z49</f>
        <v>819140</v>
      </c>
      <c r="AB49" s="8"/>
      <c r="AC49" s="9"/>
      <c r="AD49" s="8">
        <f t="shared" si="4"/>
        <v>819140</v>
      </c>
    </row>
    <row r="50" spans="1:30" ht="36" x14ac:dyDescent="0.25">
      <c r="A50" s="108"/>
      <c r="B50" s="88">
        <v>4</v>
      </c>
      <c r="C50" s="3" t="s">
        <v>75</v>
      </c>
      <c r="D50" s="86" t="s">
        <v>26</v>
      </c>
      <c r="E50" s="86" t="s">
        <v>208</v>
      </c>
      <c r="F50" s="6" t="s">
        <v>242</v>
      </c>
      <c r="G50" s="87">
        <v>1020770039</v>
      </c>
      <c r="H50" s="111" t="s">
        <v>234</v>
      </c>
      <c r="I50" s="120" t="s">
        <v>216</v>
      </c>
      <c r="J50" s="121">
        <v>627207962</v>
      </c>
      <c r="K50" s="87">
        <v>2500000</v>
      </c>
      <c r="L50" s="12">
        <v>30</v>
      </c>
      <c r="M50" s="87">
        <f t="shared" si="23"/>
        <v>2500000</v>
      </c>
      <c r="N50" s="87"/>
      <c r="O50" s="87"/>
      <c r="P50" s="87"/>
      <c r="Q50" s="87">
        <f t="shared" ref="Q50" si="36">SUM(M50:O50)+P50</f>
        <v>2500000</v>
      </c>
      <c r="R50" s="87">
        <f>+M50*4%</f>
        <v>100000</v>
      </c>
      <c r="S50" s="87">
        <f>+M50*4%</f>
        <v>100000</v>
      </c>
      <c r="T50" s="87"/>
      <c r="U50" s="87"/>
      <c r="V50" s="87"/>
      <c r="W50" s="87"/>
      <c r="X50" s="87"/>
      <c r="Y50" s="87"/>
      <c r="Z50" s="87">
        <f t="shared" si="2"/>
        <v>200000</v>
      </c>
      <c r="AA50" s="7">
        <f>Q50-Z50</f>
        <v>2300000</v>
      </c>
      <c r="AB50" s="8"/>
      <c r="AC50" s="9"/>
      <c r="AD50" s="8">
        <f t="shared" si="4"/>
        <v>2300000</v>
      </c>
    </row>
    <row r="51" spans="1:30" ht="48" x14ac:dyDescent="0.25">
      <c r="A51" s="108"/>
      <c r="B51" s="88">
        <v>5</v>
      </c>
      <c r="C51" s="11" t="s">
        <v>76</v>
      </c>
      <c r="D51" s="6" t="s">
        <v>26</v>
      </c>
      <c r="E51" s="86" t="s">
        <v>208</v>
      </c>
      <c r="F51" s="6" t="s">
        <v>243</v>
      </c>
      <c r="G51" s="12">
        <v>1019131071</v>
      </c>
      <c r="H51" s="116" t="s">
        <v>210</v>
      </c>
      <c r="I51" s="117" t="s">
        <v>216</v>
      </c>
      <c r="J51" s="121">
        <v>1008409559</v>
      </c>
      <c r="K51" s="87">
        <v>737717</v>
      </c>
      <c r="L51" s="12">
        <v>30</v>
      </c>
      <c r="M51" s="87">
        <f t="shared" si="23"/>
        <v>737717</v>
      </c>
      <c r="N51" s="87">
        <f t="shared" ref="N51:N53" si="37">+(83140/30)*L51</f>
        <v>83140</v>
      </c>
      <c r="O51" s="87"/>
      <c r="P51" s="87"/>
      <c r="Q51" s="87">
        <f>SUM(M51:O51)+P51</f>
        <v>820857</v>
      </c>
      <c r="R51" s="87">
        <v>29509</v>
      </c>
      <c r="S51" s="87">
        <v>29509</v>
      </c>
      <c r="T51" s="87"/>
      <c r="U51" s="87"/>
      <c r="V51" s="17"/>
      <c r="W51" s="87"/>
      <c r="X51" s="87"/>
      <c r="Y51" s="87">
        <v>107000</v>
      </c>
      <c r="Z51" s="87">
        <f>+R51+S51+Y51</f>
        <v>166018</v>
      </c>
      <c r="AA51" s="7">
        <f>+Q51-Z51</f>
        <v>654839</v>
      </c>
      <c r="AB51" s="8"/>
      <c r="AC51" s="9"/>
      <c r="AD51" s="8">
        <f t="shared" si="4"/>
        <v>654839</v>
      </c>
    </row>
    <row r="52" spans="1:30" ht="36" x14ac:dyDescent="0.25">
      <c r="A52" s="108"/>
      <c r="B52" s="88">
        <v>6</v>
      </c>
      <c r="C52" s="3" t="s">
        <v>77</v>
      </c>
      <c r="D52" s="86" t="s">
        <v>26</v>
      </c>
      <c r="E52" s="86" t="s">
        <v>208</v>
      </c>
      <c r="F52" s="6" t="s">
        <v>242</v>
      </c>
      <c r="G52" s="87">
        <v>1018464162</v>
      </c>
      <c r="H52" s="86" t="s">
        <v>234</v>
      </c>
      <c r="I52" s="6" t="s">
        <v>211</v>
      </c>
      <c r="J52" s="122" t="s">
        <v>244</v>
      </c>
      <c r="K52" s="87">
        <v>1500000</v>
      </c>
      <c r="L52" s="12">
        <v>22</v>
      </c>
      <c r="M52" s="87">
        <f t="shared" si="23"/>
        <v>1100000</v>
      </c>
      <c r="N52" s="87">
        <v>266680</v>
      </c>
      <c r="O52" s="87"/>
      <c r="P52" s="87"/>
      <c r="Q52" s="87">
        <f t="shared" ref="Q52" si="38">SUM(M52:O52)+P52</f>
        <v>1366680</v>
      </c>
      <c r="R52" s="87">
        <v>60000</v>
      </c>
      <c r="S52" s="87">
        <v>60000</v>
      </c>
      <c r="T52" s="87"/>
      <c r="U52" s="87"/>
      <c r="V52" s="87"/>
      <c r="W52" s="87"/>
      <c r="X52" s="87"/>
      <c r="Y52" s="87"/>
      <c r="Z52" s="87">
        <f t="shared" ref="Z52:Z115" si="39">SUM(R52:Y52)</f>
        <v>120000</v>
      </c>
      <c r="AA52" s="7">
        <f>Q52-Z52</f>
        <v>1246680</v>
      </c>
      <c r="AB52" s="8"/>
      <c r="AC52" s="9"/>
      <c r="AD52" s="8">
        <f t="shared" si="4"/>
        <v>1246680</v>
      </c>
    </row>
    <row r="53" spans="1:30" ht="48" x14ac:dyDescent="0.25">
      <c r="A53" s="108"/>
      <c r="B53" s="88">
        <v>7</v>
      </c>
      <c r="C53" s="11" t="s">
        <v>79</v>
      </c>
      <c r="D53" s="6" t="s">
        <v>26</v>
      </c>
      <c r="E53" s="6" t="s">
        <v>220</v>
      </c>
      <c r="F53" s="6" t="s">
        <v>242</v>
      </c>
      <c r="G53" s="12">
        <v>1023926436</v>
      </c>
      <c r="H53" s="116" t="s">
        <v>213</v>
      </c>
      <c r="I53" s="117" t="s">
        <v>216</v>
      </c>
      <c r="J53" s="116">
        <v>66756765095</v>
      </c>
      <c r="K53" s="87">
        <v>1200000</v>
      </c>
      <c r="L53" s="12">
        <v>30</v>
      </c>
      <c r="M53" s="87">
        <f t="shared" si="23"/>
        <v>1200000</v>
      </c>
      <c r="N53" s="87">
        <f t="shared" si="37"/>
        <v>83140</v>
      </c>
      <c r="O53" s="87"/>
      <c r="P53" s="87"/>
      <c r="Q53" s="87">
        <f t="shared" ref="Q53:Q54" si="40">SUM(M53:O53)+P53</f>
        <v>1283140</v>
      </c>
      <c r="R53" s="87">
        <f>+M53*4%</f>
        <v>48000</v>
      </c>
      <c r="S53" s="87">
        <v>48000</v>
      </c>
      <c r="T53" s="87"/>
      <c r="U53" s="87"/>
      <c r="V53" s="17"/>
      <c r="W53" s="87"/>
      <c r="X53" s="87"/>
      <c r="Y53" s="87"/>
      <c r="Z53" s="87">
        <f t="shared" ref="Z53:Z54" si="41">SUM(R53:Y53)</f>
        <v>96000</v>
      </c>
      <c r="AA53" s="7">
        <f t="shared" ref="AA53:AA63" si="42">+Q53-Z53</f>
        <v>1187140</v>
      </c>
      <c r="AB53" s="8"/>
      <c r="AC53" s="9"/>
      <c r="AD53" s="8">
        <f t="shared" si="4"/>
        <v>1187140</v>
      </c>
    </row>
    <row r="54" spans="1:30" ht="48" x14ac:dyDescent="0.25">
      <c r="A54" s="108"/>
      <c r="B54" s="88">
        <v>8</v>
      </c>
      <c r="C54" s="11" t="s">
        <v>80</v>
      </c>
      <c r="D54" s="6" t="s">
        <v>26</v>
      </c>
      <c r="E54" s="6" t="s">
        <v>220</v>
      </c>
      <c r="F54" s="6" t="s">
        <v>242</v>
      </c>
      <c r="G54" s="12">
        <v>1023926436</v>
      </c>
      <c r="H54" s="116" t="s">
        <v>213</v>
      </c>
      <c r="I54" s="117" t="s">
        <v>216</v>
      </c>
      <c r="J54" s="116">
        <v>66756765095</v>
      </c>
      <c r="K54" s="87">
        <v>1500000</v>
      </c>
      <c r="L54" s="12">
        <v>30</v>
      </c>
      <c r="M54" s="87">
        <f t="shared" si="23"/>
        <v>1500000</v>
      </c>
      <c r="N54" s="87"/>
      <c r="O54" s="87"/>
      <c r="P54" s="87"/>
      <c r="Q54" s="87">
        <f t="shared" si="40"/>
        <v>1500000</v>
      </c>
      <c r="R54" s="87">
        <f>+M54*4%</f>
        <v>60000</v>
      </c>
      <c r="S54" s="87">
        <f>+M54*4%</f>
        <v>60000</v>
      </c>
      <c r="T54" s="87"/>
      <c r="U54" s="87"/>
      <c r="V54" s="17"/>
      <c r="W54" s="87"/>
      <c r="X54" s="87"/>
      <c r="Y54" s="87"/>
      <c r="Z54" s="87">
        <f t="shared" si="41"/>
        <v>120000</v>
      </c>
      <c r="AA54" s="7">
        <f t="shared" si="42"/>
        <v>1380000</v>
      </c>
      <c r="AB54" s="8"/>
      <c r="AC54" s="9"/>
      <c r="AD54" s="8">
        <f t="shared" si="4"/>
        <v>1380000</v>
      </c>
    </row>
    <row r="55" spans="1:30" ht="48" x14ac:dyDescent="0.25">
      <c r="A55" s="108"/>
      <c r="B55" s="88">
        <v>9</v>
      </c>
      <c r="C55" s="11" t="s">
        <v>173</v>
      </c>
      <c r="D55" s="6" t="s">
        <v>26</v>
      </c>
      <c r="E55" s="6" t="s">
        <v>220</v>
      </c>
      <c r="F55" s="6" t="s">
        <v>242</v>
      </c>
      <c r="G55" s="12">
        <v>1023926436</v>
      </c>
      <c r="H55" s="116" t="s">
        <v>213</v>
      </c>
      <c r="I55" s="117" t="s">
        <v>216</v>
      </c>
      <c r="J55" s="116">
        <v>66756765095</v>
      </c>
      <c r="K55" s="87">
        <v>4500000</v>
      </c>
      <c r="L55" s="12">
        <v>27</v>
      </c>
      <c r="M55" s="87">
        <f t="shared" si="23"/>
        <v>4050000</v>
      </c>
      <c r="N55" s="87"/>
      <c r="O55" s="87"/>
      <c r="P55" s="87"/>
      <c r="Q55" s="87">
        <f t="shared" ref="Q55" si="43">SUM(M55:O55)+P55</f>
        <v>4050000</v>
      </c>
      <c r="R55" s="87">
        <f>+M55*4%</f>
        <v>162000</v>
      </c>
      <c r="S55" s="87">
        <f>+M55*5%</f>
        <v>202500</v>
      </c>
      <c r="T55" s="87"/>
      <c r="U55" s="87"/>
      <c r="V55" s="17">
        <v>2800</v>
      </c>
      <c r="W55" s="87"/>
      <c r="X55" s="87"/>
      <c r="Y55" s="87"/>
      <c r="Z55" s="87">
        <f t="shared" ref="Z55" si="44">SUM(R55:Y55)</f>
        <v>367300</v>
      </c>
      <c r="AA55" s="7">
        <f t="shared" si="42"/>
        <v>3682700</v>
      </c>
      <c r="AB55" s="8"/>
      <c r="AC55" s="9"/>
      <c r="AD55" s="8">
        <f t="shared" si="4"/>
        <v>3682700</v>
      </c>
    </row>
    <row r="56" spans="1:30" ht="60" x14ac:dyDescent="0.25">
      <c r="A56" s="108"/>
      <c r="B56" s="88">
        <v>10</v>
      </c>
      <c r="C56" s="11" t="s">
        <v>81</v>
      </c>
      <c r="D56" s="6" t="s">
        <v>26</v>
      </c>
      <c r="E56" s="6" t="s">
        <v>208</v>
      </c>
      <c r="F56" s="6" t="s">
        <v>245</v>
      </c>
      <c r="G56" s="12">
        <v>1013637271</v>
      </c>
      <c r="H56" s="6" t="s">
        <v>213</v>
      </c>
      <c r="I56" s="6" t="s">
        <v>211</v>
      </c>
      <c r="J56" s="6">
        <v>18031987110</v>
      </c>
      <c r="K56" s="87">
        <v>1450000</v>
      </c>
      <c r="L56" s="12">
        <v>30</v>
      </c>
      <c r="M56" s="87">
        <f t="shared" si="23"/>
        <v>1450000</v>
      </c>
      <c r="N56" s="87">
        <f>+(83140/30)*L56</f>
        <v>83140</v>
      </c>
      <c r="O56" s="87"/>
      <c r="P56" s="87"/>
      <c r="Q56" s="87">
        <f t="shared" si="26"/>
        <v>1533140</v>
      </c>
      <c r="R56" s="87">
        <f>+M56*4%</f>
        <v>58000</v>
      </c>
      <c r="S56" s="87">
        <f>+M56*4%</f>
        <v>58000</v>
      </c>
      <c r="T56" s="87"/>
      <c r="U56" s="87"/>
      <c r="V56" s="87">
        <v>0</v>
      </c>
      <c r="W56" s="87"/>
      <c r="X56" s="87"/>
      <c r="Y56" s="87"/>
      <c r="Z56" s="87">
        <f t="shared" si="39"/>
        <v>116000</v>
      </c>
      <c r="AA56" s="7">
        <f t="shared" si="42"/>
        <v>1417140</v>
      </c>
      <c r="AB56" s="8"/>
      <c r="AC56" s="9"/>
      <c r="AD56" s="8">
        <f t="shared" si="4"/>
        <v>1417140</v>
      </c>
    </row>
    <row r="57" spans="1:30" ht="48" x14ac:dyDescent="0.25">
      <c r="A57" s="108"/>
      <c r="B57" s="88">
        <v>11</v>
      </c>
      <c r="C57" s="11" t="s">
        <v>82</v>
      </c>
      <c r="D57" s="6" t="s">
        <v>26</v>
      </c>
      <c r="E57" s="6" t="s">
        <v>208</v>
      </c>
      <c r="F57" s="6" t="s">
        <v>246</v>
      </c>
      <c r="G57" s="12"/>
      <c r="H57" s="116" t="s">
        <v>210</v>
      </c>
      <c r="I57" s="117" t="s">
        <v>216</v>
      </c>
      <c r="J57" s="116">
        <v>1005360796</v>
      </c>
      <c r="K57" s="87">
        <v>737717</v>
      </c>
      <c r="L57" s="12">
        <v>30</v>
      </c>
      <c r="M57" s="87">
        <f t="shared" si="23"/>
        <v>737717</v>
      </c>
      <c r="N57" s="87">
        <v>83140</v>
      </c>
      <c r="O57" s="87"/>
      <c r="P57" s="87"/>
      <c r="Q57" s="87">
        <f t="shared" ref="Q57" si="45">SUM(M57:O57)+P57</f>
        <v>820857</v>
      </c>
      <c r="R57" s="87">
        <v>29509</v>
      </c>
      <c r="S57" s="87">
        <v>29509</v>
      </c>
      <c r="T57" s="87"/>
      <c r="U57" s="87"/>
      <c r="V57" s="17"/>
      <c r="W57" s="87"/>
      <c r="X57" s="87"/>
      <c r="Y57" s="87"/>
      <c r="Z57" s="87">
        <f t="shared" si="39"/>
        <v>59018</v>
      </c>
      <c r="AA57" s="7">
        <f t="shared" si="42"/>
        <v>761839</v>
      </c>
      <c r="AB57" s="8"/>
      <c r="AC57" s="9"/>
      <c r="AD57" s="8">
        <f t="shared" si="4"/>
        <v>761839</v>
      </c>
    </row>
    <row r="58" spans="1:30" ht="48" x14ac:dyDescent="0.25">
      <c r="A58" s="108"/>
      <c r="B58" s="88">
        <v>12</v>
      </c>
      <c r="C58" s="11" t="s">
        <v>83</v>
      </c>
      <c r="D58" s="6" t="s">
        <v>26</v>
      </c>
      <c r="E58" s="6" t="s">
        <v>208</v>
      </c>
      <c r="F58" s="6" t="s">
        <v>247</v>
      </c>
      <c r="G58" s="12">
        <v>1012317828</v>
      </c>
      <c r="H58" s="6" t="s">
        <v>224</v>
      </c>
      <c r="I58" s="6" t="s">
        <v>211</v>
      </c>
      <c r="J58" s="6">
        <v>122005749</v>
      </c>
      <c r="K58" s="87">
        <v>3500000</v>
      </c>
      <c r="L58" s="12">
        <v>30</v>
      </c>
      <c r="M58" s="87">
        <f>+K58-P58</f>
        <v>3500000</v>
      </c>
      <c r="N58" s="87"/>
      <c r="O58" s="87"/>
      <c r="P58" s="87"/>
      <c r="Q58" s="87">
        <f t="shared" ref="Q58" si="46">SUM(M58:O58)+P58</f>
        <v>3500000</v>
      </c>
      <c r="R58" s="87">
        <f>+K58*4%</f>
        <v>140000</v>
      </c>
      <c r="S58" s="87">
        <f>+K58*5%</f>
        <v>175000</v>
      </c>
      <c r="T58" s="87"/>
      <c r="U58" s="87"/>
      <c r="V58" s="87">
        <v>0</v>
      </c>
      <c r="W58" s="87"/>
      <c r="X58" s="87"/>
      <c r="Y58" s="87"/>
      <c r="Z58" s="87">
        <f t="shared" ref="Z58" si="47">SUM(R58:Y58)</f>
        <v>315000</v>
      </c>
      <c r="AA58" s="7">
        <f t="shared" si="42"/>
        <v>3185000</v>
      </c>
      <c r="AB58" s="8"/>
      <c r="AC58" s="9"/>
      <c r="AD58" s="8">
        <f t="shared" si="4"/>
        <v>3185000</v>
      </c>
    </row>
    <row r="59" spans="1:30" ht="48" x14ac:dyDescent="0.25">
      <c r="A59" s="108"/>
      <c r="B59" s="88">
        <v>13</v>
      </c>
      <c r="C59" s="11" t="s">
        <v>84</v>
      </c>
      <c r="D59" s="6" t="s">
        <v>26</v>
      </c>
      <c r="E59" s="6" t="s">
        <v>208</v>
      </c>
      <c r="F59" s="6" t="s">
        <v>225</v>
      </c>
      <c r="G59" s="12">
        <v>1019045571</v>
      </c>
      <c r="H59" s="6" t="s">
        <v>213</v>
      </c>
      <c r="I59" s="6" t="s">
        <v>211</v>
      </c>
      <c r="J59" s="6">
        <v>18031987110</v>
      </c>
      <c r="K59" s="87">
        <v>2500000</v>
      </c>
      <c r="L59" s="12">
        <v>30</v>
      </c>
      <c r="M59" s="87">
        <f t="shared" si="23"/>
        <v>2500000</v>
      </c>
      <c r="N59" s="87"/>
      <c r="O59" s="87"/>
      <c r="P59" s="87"/>
      <c r="Q59" s="87">
        <f t="shared" si="26"/>
        <v>2500000</v>
      </c>
      <c r="R59" s="87">
        <f>+Q59*4%</f>
        <v>100000</v>
      </c>
      <c r="S59" s="87">
        <f>+Q59*4%</f>
        <v>100000</v>
      </c>
      <c r="T59" s="87"/>
      <c r="U59" s="87"/>
      <c r="V59" s="87">
        <v>0</v>
      </c>
      <c r="W59" s="87"/>
      <c r="X59" s="87"/>
      <c r="Y59" s="87">
        <v>200210</v>
      </c>
      <c r="Z59" s="87">
        <f t="shared" si="39"/>
        <v>400210</v>
      </c>
      <c r="AA59" s="7">
        <f t="shared" si="42"/>
        <v>2099790</v>
      </c>
      <c r="AB59" s="8"/>
      <c r="AC59" s="9"/>
      <c r="AD59" s="8">
        <f t="shared" si="4"/>
        <v>2099790</v>
      </c>
    </row>
    <row r="60" spans="1:30" ht="36" x14ac:dyDescent="0.25">
      <c r="A60" s="108"/>
      <c r="B60" s="88">
        <v>14</v>
      </c>
      <c r="C60" s="11" t="s">
        <v>85</v>
      </c>
      <c r="D60" s="6" t="s">
        <v>26</v>
      </c>
      <c r="E60" s="6" t="s">
        <v>208</v>
      </c>
      <c r="F60" s="6" t="s">
        <v>248</v>
      </c>
      <c r="G60" s="12"/>
      <c r="H60" s="6" t="s">
        <v>234</v>
      </c>
      <c r="I60" s="6" t="s">
        <v>211</v>
      </c>
      <c r="J60" s="6"/>
      <c r="K60" s="87">
        <v>1200000</v>
      </c>
      <c r="L60" s="12">
        <v>30</v>
      </c>
      <c r="M60" s="87">
        <f>K60/30*L60</f>
        <v>1200000</v>
      </c>
      <c r="N60" s="87">
        <f>+(83140/30)*L60</f>
        <v>83140</v>
      </c>
      <c r="O60" s="87"/>
      <c r="P60" s="87"/>
      <c r="Q60" s="87">
        <f t="shared" ref="Q60" si="48">SUM(M60:O60)+P60</f>
        <v>1283140</v>
      </c>
      <c r="R60" s="87">
        <v>48000</v>
      </c>
      <c r="S60" s="87">
        <v>48000</v>
      </c>
      <c r="T60" s="87"/>
      <c r="U60" s="87"/>
      <c r="V60" s="87">
        <v>0</v>
      </c>
      <c r="W60" s="87"/>
      <c r="X60" s="87"/>
      <c r="Y60" s="87"/>
      <c r="Z60" s="87">
        <f t="shared" ref="Z60" si="49">SUM(R60:Y60)</f>
        <v>96000</v>
      </c>
      <c r="AA60" s="7">
        <f t="shared" si="42"/>
        <v>1187140</v>
      </c>
      <c r="AB60" s="8"/>
      <c r="AC60" s="9"/>
      <c r="AD60" s="8">
        <f t="shared" si="4"/>
        <v>1187140</v>
      </c>
    </row>
    <row r="61" spans="1:30" ht="36" x14ac:dyDescent="0.25">
      <c r="A61" s="108"/>
      <c r="B61" s="88">
        <v>15</v>
      </c>
      <c r="C61" s="11" t="s">
        <v>86</v>
      </c>
      <c r="D61" s="6" t="s">
        <v>26</v>
      </c>
      <c r="E61" s="6" t="s">
        <v>249</v>
      </c>
      <c r="F61" s="6" t="s">
        <v>250</v>
      </c>
      <c r="G61" s="12">
        <v>1019089282</v>
      </c>
      <c r="H61" s="6" t="s">
        <v>251</v>
      </c>
      <c r="I61" s="6" t="s">
        <v>211</v>
      </c>
      <c r="J61" s="6">
        <v>42837946438</v>
      </c>
      <c r="K61" s="87">
        <v>1500000</v>
      </c>
      <c r="L61" s="12">
        <v>30</v>
      </c>
      <c r="M61" s="87">
        <f>K61/30*L61</f>
        <v>1500000</v>
      </c>
      <c r="N61" s="87"/>
      <c r="O61" s="87"/>
      <c r="P61" s="87"/>
      <c r="Q61" s="87">
        <f t="shared" ref="Q61" si="50">SUM(M61:O61)+P61</f>
        <v>1500000</v>
      </c>
      <c r="R61" s="87">
        <f>+M61*4%</f>
        <v>60000</v>
      </c>
      <c r="S61" s="87">
        <f t="shared" ref="S61:S62" si="51">+M61*4%</f>
        <v>60000</v>
      </c>
      <c r="T61" s="87"/>
      <c r="U61" s="87"/>
      <c r="V61" s="87">
        <v>0</v>
      </c>
      <c r="W61" s="87"/>
      <c r="X61" s="87"/>
      <c r="Y61" s="87">
        <v>422966</v>
      </c>
      <c r="Z61" s="87">
        <f t="shared" ref="Z61" si="52">SUM(R61:Y61)</f>
        <v>542966</v>
      </c>
      <c r="AA61" s="7">
        <f t="shared" si="42"/>
        <v>957034</v>
      </c>
      <c r="AB61" s="8"/>
      <c r="AC61" s="9"/>
      <c r="AD61" s="8">
        <f t="shared" si="4"/>
        <v>957034</v>
      </c>
    </row>
    <row r="62" spans="1:30" ht="48" x14ac:dyDescent="0.25">
      <c r="A62" s="108"/>
      <c r="B62" s="88">
        <v>16</v>
      </c>
      <c r="C62" s="11" t="s">
        <v>174</v>
      </c>
      <c r="D62" s="6" t="s">
        <v>26</v>
      </c>
      <c r="E62" s="6" t="s">
        <v>249</v>
      </c>
      <c r="F62" s="6" t="s">
        <v>250</v>
      </c>
      <c r="G62" s="12">
        <v>1019089282</v>
      </c>
      <c r="H62" s="6" t="s">
        <v>251</v>
      </c>
      <c r="I62" s="6" t="s">
        <v>211</v>
      </c>
      <c r="J62" s="6">
        <v>42837946438</v>
      </c>
      <c r="K62" s="87">
        <v>737717</v>
      </c>
      <c r="L62" s="12">
        <v>14</v>
      </c>
      <c r="M62" s="87">
        <f>K62/30*L62</f>
        <v>344267.93333333335</v>
      </c>
      <c r="N62" s="87">
        <f>+(83140/30)*L62</f>
        <v>38798.666666666672</v>
      </c>
      <c r="O62" s="87"/>
      <c r="P62" s="87"/>
      <c r="Q62" s="87">
        <f t="shared" ref="Q62" si="53">SUM(M62:O62)+P62</f>
        <v>383066.60000000003</v>
      </c>
      <c r="R62" s="87">
        <f>+M62*4%</f>
        <v>13770.717333333334</v>
      </c>
      <c r="S62" s="87">
        <f t="shared" si="51"/>
        <v>13770.717333333334</v>
      </c>
      <c r="T62" s="87"/>
      <c r="U62" s="87"/>
      <c r="V62" s="87">
        <v>0</v>
      </c>
      <c r="W62" s="87"/>
      <c r="X62" s="87"/>
      <c r="Y62" s="87"/>
      <c r="Z62" s="87">
        <f t="shared" ref="Z62" si="54">SUM(R62:Y62)</f>
        <v>27541.434666666668</v>
      </c>
      <c r="AA62" s="7">
        <f t="shared" si="42"/>
        <v>355525.16533333337</v>
      </c>
      <c r="AB62" s="8"/>
      <c r="AC62" s="9"/>
      <c r="AD62" s="8">
        <f t="shared" si="4"/>
        <v>355525.16533333337</v>
      </c>
    </row>
    <row r="63" spans="1:30" ht="48" x14ac:dyDescent="0.25">
      <c r="A63" s="108"/>
      <c r="B63" s="88">
        <v>17</v>
      </c>
      <c r="C63" s="11" t="s">
        <v>87</v>
      </c>
      <c r="D63" s="6" t="s">
        <v>26</v>
      </c>
      <c r="E63" s="6" t="s">
        <v>208</v>
      </c>
      <c r="F63" s="6" t="s">
        <v>225</v>
      </c>
      <c r="G63" s="12">
        <v>1018444707</v>
      </c>
      <c r="H63" s="6" t="s">
        <v>213</v>
      </c>
      <c r="I63" s="6" t="s">
        <v>211</v>
      </c>
      <c r="J63" s="6">
        <v>64024070628</v>
      </c>
      <c r="K63" s="87">
        <v>2000000</v>
      </c>
      <c r="L63" s="12">
        <v>30</v>
      </c>
      <c r="M63" s="87">
        <f>K63/30*L63</f>
        <v>2000000.0000000002</v>
      </c>
      <c r="N63" s="87"/>
      <c r="O63" s="87"/>
      <c r="P63" s="87"/>
      <c r="Q63" s="87">
        <f t="shared" si="26"/>
        <v>2000000.0000000002</v>
      </c>
      <c r="R63" s="87">
        <f>+M63*4%</f>
        <v>80000.000000000015</v>
      </c>
      <c r="S63" s="87">
        <v>80000</v>
      </c>
      <c r="T63" s="87"/>
      <c r="U63" s="87"/>
      <c r="V63" s="87">
        <v>0</v>
      </c>
      <c r="W63" s="87"/>
      <c r="X63" s="87"/>
      <c r="Y63" s="87">
        <v>323803</v>
      </c>
      <c r="Z63" s="87">
        <f t="shared" si="39"/>
        <v>483803</v>
      </c>
      <c r="AA63" s="7">
        <f t="shared" si="42"/>
        <v>1516197.0000000002</v>
      </c>
      <c r="AB63" s="8"/>
      <c r="AC63" s="9"/>
      <c r="AD63" s="8">
        <f t="shared" si="4"/>
        <v>1516197.0000000002</v>
      </c>
    </row>
    <row r="64" spans="1:30" ht="24" x14ac:dyDescent="0.25">
      <c r="A64" s="108"/>
      <c r="B64" s="88">
        <v>18</v>
      </c>
      <c r="C64" s="3" t="s">
        <v>88</v>
      </c>
      <c r="D64" s="86" t="s">
        <v>26</v>
      </c>
      <c r="E64" s="86" t="s">
        <v>208</v>
      </c>
      <c r="F64" s="86" t="s">
        <v>252</v>
      </c>
      <c r="G64" s="87">
        <v>1016046175</v>
      </c>
      <c r="H64" s="86" t="s">
        <v>218</v>
      </c>
      <c r="I64" s="6" t="s">
        <v>211</v>
      </c>
      <c r="J64" s="122" t="s">
        <v>253</v>
      </c>
      <c r="K64" s="87">
        <v>3500000</v>
      </c>
      <c r="L64" s="12">
        <v>30</v>
      </c>
      <c r="M64" s="87">
        <f>K64/30*L64</f>
        <v>3500000</v>
      </c>
      <c r="N64" s="87"/>
      <c r="O64" s="87"/>
      <c r="P64" s="87"/>
      <c r="Q64" s="87">
        <f t="shared" si="26"/>
        <v>3500000</v>
      </c>
      <c r="R64" s="87">
        <f>+Q64*4%</f>
        <v>140000</v>
      </c>
      <c r="S64" s="87">
        <f>+Q64*5%</f>
        <v>175000</v>
      </c>
      <c r="T64" s="87"/>
      <c r="U64" s="87"/>
      <c r="V64" s="87">
        <v>0</v>
      </c>
      <c r="W64" s="87"/>
      <c r="X64" s="87"/>
      <c r="Y64" s="87"/>
      <c r="Z64" s="87">
        <f t="shared" si="39"/>
        <v>315000</v>
      </c>
      <c r="AA64" s="7">
        <f t="shared" ref="AA64:AA76" si="55">Q64-Z64</f>
        <v>3185000</v>
      </c>
      <c r="AB64" s="8"/>
      <c r="AC64" s="9"/>
      <c r="AD64" s="8">
        <f t="shared" si="4"/>
        <v>3185000</v>
      </c>
    </row>
    <row r="65" spans="1:30" ht="48" x14ac:dyDescent="0.25">
      <c r="A65" s="108"/>
      <c r="B65" s="88">
        <v>19</v>
      </c>
      <c r="C65" s="11" t="s">
        <v>89</v>
      </c>
      <c r="D65" s="6" t="s">
        <v>26</v>
      </c>
      <c r="E65" s="6" t="s">
        <v>208</v>
      </c>
      <c r="F65" s="6" t="s">
        <v>233</v>
      </c>
      <c r="G65" s="12">
        <v>1033729279</v>
      </c>
      <c r="H65" s="6" t="s">
        <v>213</v>
      </c>
      <c r="I65" s="6" t="s">
        <v>211</v>
      </c>
      <c r="J65" s="6">
        <v>60269021341</v>
      </c>
      <c r="K65" s="87">
        <v>4000000</v>
      </c>
      <c r="L65" s="12">
        <v>30</v>
      </c>
      <c r="M65" s="87">
        <f t="shared" ref="M65:M116" si="56">K65/30*L65</f>
        <v>4000000.0000000005</v>
      </c>
      <c r="N65" s="87"/>
      <c r="O65" s="87">
        <v>300000</v>
      </c>
      <c r="P65" s="87"/>
      <c r="Q65" s="87">
        <f t="shared" si="26"/>
        <v>4300000</v>
      </c>
      <c r="R65" s="87">
        <v>160000</v>
      </c>
      <c r="S65" s="87">
        <v>200000</v>
      </c>
      <c r="T65" s="87"/>
      <c r="U65" s="87"/>
      <c r="V65" s="87">
        <v>3000</v>
      </c>
      <c r="W65" s="87"/>
      <c r="X65" s="87"/>
      <c r="Y65" s="87">
        <v>766229</v>
      </c>
      <c r="Z65" s="87">
        <f t="shared" si="39"/>
        <v>1129229</v>
      </c>
      <c r="AA65" s="7">
        <f t="shared" si="55"/>
        <v>3170771</v>
      </c>
      <c r="AB65" s="8"/>
      <c r="AC65" s="9"/>
      <c r="AD65" s="8">
        <f t="shared" si="4"/>
        <v>3170771</v>
      </c>
    </row>
    <row r="66" spans="1:30" ht="36" x14ac:dyDescent="0.25">
      <c r="A66" s="108"/>
      <c r="B66" s="88">
        <v>20</v>
      </c>
      <c r="C66" s="11" t="s">
        <v>90</v>
      </c>
      <c r="D66" s="6" t="s">
        <v>26</v>
      </c>
      <c r="E66" s="6" t="s">
        <v>239</v>
      </c>
      <c r="F66" s="6" t="s">
        <v>240</v>
      </c>
      <c r="G66" s="12">
        <v>1023948338</v>
      </c>
      <c r="H66" s="6" t="s">
        <v>234</v>
      </c>
      <c r="I66" s="6" t="s">
        <v>211</v>
      </c>
      <c r="J66" s="6">
        <v>627198823</v>
      </c>
      <c r="K66" s="87">
        <v>800000</v>
      </c>
      <c r="L66" s="12">
        <v>30</v>
      </c>
      <c r="M66" s="87">
        <f t="shared" si="56"/>
        <v>800000</v>
      </c>
      <c r="N66" s="87">
        <f>+(83140/30)*L66</f>
        <v>83140</v>
      </c>
      <c r="O66" s="87"/>
      <c r="P66" s="87"/>
      <c r="Q66" s="87">
        <f t="shared" si="26"/>
        <v>883140</v>
      </c>
      <c r="R66" s="87">
        <f>+M66*4%</f>
        <v>32000</v>
      </c>
      <c r="S66" s="87">
        <f>+M66*4%</f>
        <v>32000</v>
      </c>
      <c r="T66" s="87"/>
      <c r="U66" s="87"/>
      <c r="V66" s="87"/>
      <c r="W66" s="87"/>
      <c r="X66" s="87"/>
      <c r="Y66" s="87"/>
      <c r="Z66" s="87">
        <f t="shared" si="39"/>
        <v>64000</v>
      </c>
      <c r="AA66" s="7">
        <f t="shared" si="55"/>
        <v>819140</v>
      </c>
      <c r="AB66" s="8"/>
      <c r="AC66" s="9"/>
      <c r="AD66" s="8">
        <f t="shared" si="4"/>
        <v>819140</v>
      </c>
    </row>
    <row r="67" spans="1:30" ht="48" x14ac:dyDescent="0.25">
      <c r="A67" s="108"/>
      <c r="B67" s="88">
        <v>21</v>
      </c>
      <c r="C67" s="11" t="s">
        <v>91</v>
      </c>
      <c r="D67" s="6" t="s">
        <v>26</v>
      </c>
      <c r="E67" s="6" t="s">
        <v>208</v>
      </c>
      <c r="F67" s="6" t="s">
        <v>252</v>
      </c>
      <c r="G67" s="12">
        <v>1014209294</v>
      </c>
      <c r="H67" s="6" t="s">
        <v>213</v>
      </c>
      <c r="I67" s="6" t="s">
        <v>211</v>
      </c>
      <c r="J67" s="114" t="s">
        <v>254</v>
      </c>
      <c r="K67" s="87">
        <v>3500000</v>
      </c>
      <c r="L67" s="12">
        <v>30</v>
      </c>
      <c r="M67" s="87">
        <f t="shared" si="56"/>
        <v>3500000</v>
      </c>
      <c r="N67" s="87">
        <v>0</v>
      </c>
      <c r="O67" s="87"/>
      <c r="P67" s="2"/>
      <c r="Q67" s="87">
        <f t="shared" si="26"/>
        <v>3500000</v>
      </c>
      <c r="R67" s="87">
        <v>140000</v>
      </c>
      <c r="S67" s="87">
        <v>175000</v>
      </c>
      <c r="T67" s="87"/>
      <c r="U67" s="87"/>
      <c r="V67" s="87">
        <v>0</v>
      </c>
      <c r="W67" s="87"/>
      <c r="X67" s="87"/>
      <c r="Y67" s="87"/>
      <c r="Z67" s="87">
        <f t="shared" si="39"/>
        <v>315000</v>
      </c>
      <c r="AA67" s="7">
        <f t="shared" si="55"/>
        <v>3185000</v>
      </c>
      <c r="AB67" s="8"/>
      <c r="AC67" s="9"/>
      <c r="AD67" s="8">
        <f t="shared" si="4"/>
        <v>3185000</v>
      </c>
    </row>
    <row r="68" spans="1:30" ht="36" x14ac:dyDescent="0.25">
      <c r="A68" s="108"/>
      <c r="B68" s="88">
        <v>22</v>
      </c>
      <c r="C68" s="11" t="s">
        <v>92</v>
      </c>
      <c r="D68" s="6" t="s">
        <v>26</v>
      </c>
      <c r="E68" s="6" t="s">
        <v>208</v>
      </c>
      <c r="F68" s="6" t="s">
        <v>242</v>
      </c>
      <c r="G68" s="12">
        <v>1012364276</v>
      </c>
      <c r="H68" s="6" t="s">
        <v>234</v>
      </c>
      <c r="I68" s="6" t="s">
        <v>211</v>
      </c>
      <c r="J68" s="114" t="s">
        <v>255</v>
      </c>
      <c r="K68" s="87">
        <v>1550000</v>
      </c>
      <c r="L68" s="12">
        <v>30</v>
      </c>
      <c r="M68" s="87">
        <f t="shared" si="56"/>
        <v>1550000</v>
      </c>
      <c r="N68" s="87"/>
      <c r="O68" s="87"/>
      <c r="P68" s="87"/>
      <c r="Q68" s="87">
        <f t="shared" ref="Q68:Q72" si="57">SUM(M68:O68)+P68</f>
        <v>1550000</v>
      </c>
      <c r="R68" s="87">
        <f>+K68*4%</f>
        <v>62000</v>
      </c>
      <c r="S68" s="87">
        <f>+K68*4%</f>
        <v>62000</v>
      </c>
      <c r="T68" s="87"/>
      <c r="U68" s="87"/>
      <c r="V68" s="87"/>
      <c r="W68" s="87"/>
      <c r="X68" s="87"/>
      <c r="Y68" s="87"/>
      <c r="Z68" s="87">
        <f t="shared" ref="Z68:Z72" si="58">SUM(R68:Y68)</f>
        <v>124000</v>
      </c>
      <c r="AA68" s="7">
        <f t="shared" si="55"/>
        <v>1426000</v>
      </c>
      <c r="AB68" s="8"/>
      <c r="AC68" s="9"/>
      <c r="AD68" s="8">
        <f t="shared" ref="AD68:AD113" si="59">AA68+AB68-AC68</f>
        <v>1426000</v>
      </c>
    </row>
    <row r="69" spans="1:30" ht="36" x14ac:dyDescent="0.25">
      <c r="A69" s="108"/>
      <c r="B69" s="88">
        <v>23</v>
      </c>
      <c r="C69" s="11" t="s">
        <v>164</v>
      </c>
      <c r="D69" s="6"/>
      <c r="E69" s="6"/>
      <c r="F69" s="6"/>
      <c r="G69" s="12"/>
      <c r="H69" s="6"/>
      <c r="I69" s="6"/>
      <c r="J69" s="114"/>
      <c r="K69" s="87">
        <v>2800000</v>
      </c>
      <c r="L69" s="12">
        <v>26</v>
      </c>
      <c r="M69" s="87">
        <f t="shared" si="56"/>
        <v>2426666.6666666665</v>
      </c>
      <c r="N69" s="87">
        <f>62225*4</f>
        <v>248900</v>
      </c>
      <c r="O69" s="87"/>
      <c r="P69" s="87"/>
      <c r="Q69" s="87">
        <f t="shared" ref="Q69:Q70" si="60">SUM(M69:O69)+P69</f>
        <v>2675566.6666666665</v>
      </c>
      <c r="R69" s="87">
        <v>112000</v>
      </c>
      <c r="S69" s="87">
        <v>112000</v>
      </c>
      <c r="T69" s="87"/>
      <c r="U69" s="87"/>
      <c r="V69" s="87"/>
      <c r="W69" s="87"/>
      <c r="X69" s="87"/>
      <c r="Y69" s="87"/>
      <c r="Z69" s="87">
        <f t="shared" si="58"/>
        <v>224000</v>
      </c>
      <c r="AA69" s="7">
        <f t="shared" si="55"/>
        <v>2451566.6666666665</v>
      </c>
      <c r="AB69" s="8"/>
      <c r="AC69" s="9"/>
      <c r="AD69" s="8">
        <f t="shared" si="59"/>
        <v>2451566.6666666665</v>
      </c>
    </row>
    <row r="70" spans="1:30" ht="48" x14ac:dyDescent="0.25">
      <c r="A70" s="108"/>
      <c r="B70" s="88">
        <v>24</v>
      </c>
      <c r="C70" s="11" t="s">
        <v>154</v>
      </c>
      <c r="D70" s="6"/>
      <c r="E70" s="6"/>
      <c r="F70" s="6"/>
      <c r="G70" s="12"/>
      <c r="H70" s="6"/>
      <c r="I70" s="6"/>
      <c r="J70" s="114"/>
      <c r="K70" s="87">
        <v>3500000</v>
      </c>
      <c r="L70" s="12">
        <v>30</v>
      </c>
      <c r="M70" s="87">
        <f t="shared" si="56"/>
        <v>3500000</v>
      </c>
      <c r="N70" s="87"/>
      <c r="O70" s="87"/>
      <c r="P70" s="87"/>
      <c r="Q70" s="87">
        <f t="shared" si="60"/>
        <v>3500000</v>
      </c>
      <c r="R70" s="87">
        <f>+M70*4%</f>
        <v>140000</v>
      </c>
      <c r="S70" s="87">
        <f>+M70*5%</f>
        <v>175000</v>
      </c>
      <c r="T70" s="87"/>
      <c r="U70" s="87"/>
      <c r="V70" s="87"/>
      <c r="W70" s="87"/>
      <c r="X70" s="87">
        <v>520000</v>
      </c>
      <c r="Y70" s="87"/>
      <c r="Z70" s="87">
        <f t="shared" si="58"/>
        <v>835000</v>
      </c>
      <c r="AA70" s="7">
        <f t="shared" si="55"/>
        <v>2665000</v>
      </c>
      <c r="AB70" s="8"/>
      <c r="AC70" s="9"/>
      <c r="AD70" s="8">
        <f t="shared" si="59"/>
        <v>2665000</v>
      </c>
    </row>
    <row r="71" spans="1:30" ht="48" x14ac:dyDescent="0.25">
      <c r="A71" s="108"/>
      <c r="B71" s="88">
        <v>25</v>
      </c>
      <c r="C71" s="11" t="s">
        <v>93</v>
      </c>
      <c r="D71" s="6"/>
      <c r="E71" s="6"/>
      <c r="F71" s="6"/>
      <c r="G71" s="12"/>
      <c r="H71" s="6"/>
      <c r="I71" s="6"/>
      <c r="J71" s="114"/>
      <c r="K71" s="87">
        <v>1200000</v>
      </c>
      <c r="L71" s="12">
        <v>30</v>
      </c>
      <c r="M71" s="87">
        <f t="shared" si="56"/>
        <v>1200000</v>
      </c>
      <c r="N71" s="87">
        <f>+(83140/30)*L71</f>
        <v>83140</v>
      </c>
      <c r="O71" s="87"/>
      <c r="P71" s="87"/>
      <c r="Q71" s="87">
        <f t="shared" ref="Q71" si="61">SUM(M71:O71)+P71</f>
        <v>1283140</v>
      </c>
      <c r="R71" s="87">
        <f>+M71*4%</f>
        <v>48000</v>
      </c>
      <c r="S71" s="87">
        <f>+M71*4%</f>
        <v>48000</v>
      </c>
      <c r="T71" s="87"/>
      <c r="U71" s="87"/>
      <c r="V71" s="87"/>
      <c r="W71" s="87"/>
      <c r="X71" s="87"/>
      <c r="Y71" s="87"/>
      <c r="Z71" s="87">
        <f t="shared" si="58"/>
        <v>96000</v>
      </c>
      <c r="AA71" s="7">
        <f t="shared" si="55"/>
        <v>1187140</v>
      </c>
      <c r="AB71" s="8"/>
      <c r="AC71" s="9"/>
      <c r="AD71" s="8">
        <f t="shared" si="59"/>
        <v>1187140</v>
      </c>
    </row>
    <row r="72" spans="1:30" ht="36" x14ac:dyDescent="0.25">
      <c r="A72" s="108"/>
      <c r="B72" s="88">
        <v>26</v>
      </c>
      <c r="C72" s="11" t="s">
        <v>165</v>
      </c>
      <c r="D72" s="6" t="s">
        <v>26</v>
      </c>
      <c r="E72" s="6" t="s">
        <v>250</v>
      </c>
      <c r="F72" s="6" t="s">
        <v>250</v>
      </c>
      <c r="G72" s="12">
        <v>1052395210</v>
      </c>
      <c r="H72" s="6" t="s">
        <v>234</v>
      </c>
      <c r="I72" s="6" t="s">
        <v>211</v>
      </c>
      <c r="J72" s="114" t="s">
        <v>256</v>
      </c>
      <c r="K72" s="87">
        <v>900000</v>
      </c>
      <c r="L72" s="12">
        <v>30</v>
      </c>
      <c r="M72" s="87">
        <f t="shared" si="56"/>
        <v>900000</v>
      </c>
      <c r="N72" s="87">
        <v>83140</v>
      </c>
      <c r="O72" s="87"/>
      <c r="P72" s="87"/>
      <c r="Q72" s="87">
        <f t="shared" si="57"/>
        <v>983140</v>
      </c>
      <c r="R72" s="87">
        <f>+M72*4%</f>
        <v>36000</v>
      </c>
      <c r="S72" s="87">
        <f>+M72*4%</f>
        <v>36000</v>
      </c>
      <c r="T72" s="87"/>
      <c r="U72" s="87"/>
      <c r="V72" s="87"/>
      <c r="W72" s="87"/>
      <c r="X72" s="87"/>
      <c r="Y72" s="87"/>
      <c r="Z72" s="87">
        <f t="shared" si="58"/>
        <v>72000</v>
      </c>
      <c r="AA72" s="7">
        <f>Q72-Z72</f>
        <v>911140</v>
      </c>
      <c r="AB72" s="8"/>
      <c r="AC72" s="9"/>
      <c r="AD72" s="8">
        <f t="shared" si="59"/>
        <v>911140</v>
      </c>
    </row>
    <row r="73" spans="1:30" ht="36" x14ac:dyDescent="0.25">
      <c r="A73" s="108"/>
      <c r="B73" s="88">
        <v>27</v>
      </c>
      <c r="C73" s="11" t="s">
        <v>166</v>
      </c>
      <c r="D73" s="6" t="s">
        <v>26</v>
      </c>
      <c r="E73" s="6" t="s">
        <v>208</v>
      </c>
      <c r="F73" s="6" t="s">
        <v>252</v>
      </c>
      <c r="G73" s="12">
        <v>1013621051</v>
      </c>
      <c r="H73" s="6" t="s">
        <v>234</v>
      </c>
      <c r="I73" s="6" t="s">
        <v>211</v>
      </c>
      <c r="J73" s="6">
        <v>633122064</v>
      </c>
      <c r="K73" s="87">
        <v>2000000</v>
      </c>
      <c r="L73" s="12">
        <v>30</v>
      </c>
      <c r="M73" s="87">
        <f>+K73-P73</f>
        <v>2000000</v>
      </c>
      <c r="N73" s="87"/>
      <c r="O73" s="87"/>
      <c r="P73" s="87"/>
      <c r="Q73" s="87">
        <f t="shared" si="26"/>
        <v>2000000</v>
      </c>
      <c r="R73" s="87">
        <f>+Q73*4%</f>
        <v>80000</v>
      </c>
      <c r="S73" s="87">
        <f>+Q73*4%</f>
        <v>80000</v>
      </c>
      <c r="T73" s="87"/>
      <c r="U73" s="87"/>
      <c r="V73" s="87">
        <v>0</v>
      </c>
      <c r="W73" s="87"/>
      <c r="X73" s="87"/>
      <c r="Y73" s="87">
        <v>363928</v>
      </c>
      <c r="Z73" s="87">
        <f t="shared" si="39"/>
        <v>523928</v>
      </c>
      <c r="AA73" s="7">
        <f t="shared" si="55"/>
        <v>1476072</v>
      </c>
      <c r="AB73" s="8"/>
      <c r="AC73" s="9"/>
      <c r="AD73" s="8">
        <f t="shared" si="59"/>
        <v>1476072</v>
      </c>
    </row>
    <row r="74" spans="1:30" ht="48" x14ac:dyDescent="0.25">
      <c r="A74" s="108"/>
      <c r="B74" s="88">
        <v>28</v>
      </c>
      <c r="C74" s="11" t="s">
        <v>155</v>
      </c>
      <c r="D74" s="6"/>
      <c r="E74" s="6"/>
      <c r="F74" s="6"/>
      <c r="G74" s="12"/>
      <c r="H74" s="6"/>
      <c r="I74" s="6"/>
      <c r="J74" s="6"/>
      <c r="K74" s="87">
        <v>368858</v>
      </c>
      <c r="L74" s="12">
        <v>30</v>
      </c>
      <c r="M74" s="87">
        <f t="shared" si="56"/>
        <v>368858</v>
      </c>
      <c r="N74" s="87"/>
      <c r="O74" s="87"/>
      <c r="P74" s="87"/>
      <c r="Q74" s="87">
        <f t="shared" ref="Q74" si="62">SUM(M74:O74)+P74</f>
        <v>368858</v>
      </c>
      <c r="R74" s="87"/>
      <c r="S74" s="87"/>
      <c r="T74" s="87"/>
      <c r="U74" s="87"/>
      <c r="V74" s="87"/>
      <c r="W74" s="87"/>
      <c r="X74" s="87"/>
      <c r="Y74" s="87"/>
      <c r="Z74" s="87">
        <f t="shared" ref="Z74" si="63">SUM(R74:Y74)</f>
        <v>0</v>
      </c>
      <c r="AA74" s="7">
        <f t="shared" si="55"/>
        <v>368858</v>
      </c>
      <c r="AB74" s="8"/>
      <c r="AC74" s="9"/>
      <c r="AD74" s="8">
        <f t="shared" si="59"/>
        <v>368858</v>
      </c>
    </row>
    <row r="75" spans="1:30" ht="24" x14ac:dyDescent="0.25">
      <c r="A75" s="108"/>
      <c r="B75" s="88">
        <v>29</v>
      </c>
      <c r="C75" s="3" t="s">
        <v>100</v>
      </c>
      <c r="D75" s="86" t="s">
        <v>26</v>
      </c>
      <c r="E75" s="6" t="s">
        <v>239</v>
      </c>
      <c r="F75" s="86" t="s">
        <v>239</v>
      </c>
      <c r="G75" s="87">
        <v>97101514700</v>
      </c>
      <c r="H75" s="86" t="s">
        <v>234</v>
      </c>
      <c r="I75" s="6" t="s">
        <v>211</v>
      </c>
      <c r="J75" s="119">
        <v>6271988150</v>
      </c>
      <c r="K75" s="87">
        <v>800000</v>
      </c>
      <c r="L75" s="12">
        <v>30</v>
      </c>
      <c r="M75" s="87">
        <f t="shared" si="56"/>
        <v>800000</v>
      </c>
      <c r="N75" s="87">
        <f>+(83140/30)*L75</f>
        <v>83140</v>
      </c>
      <c r="O75" s="87"/>
      <c r="P75" s="87"/>
      <c r="Q75" s="87">
        <f t="shared" si="26"/>
        <v>883140</v>
      </c>
      <c r="R75" s="87">
        <f>+M75*4%</f>
        <v>32000</v>
      </c>
      <c r="S75" s="87">
        <f>+M75*4%</f>
        <v>32000</v>
      </c>
      <c r="T75" s="87"/>
      <c r="U75" s="87"/>
      <c r="V75" s="87"/>
      <c r="W75" s="87"/>
      <c r="X75" s="87"/>
      <c r="Y75" s="87"/>
      <c r="Z75" s="87">
        <f t="shared" si="39"/>
        <v>64000</v>
      </c>
      <c r="AA75" s="7">
        <f t="shared" si="55"/>
        <v>819140</v>
      </c>
      <c r="AB75" s="8"/>
      <c r="AC75" s="9"/>
      <c r="AD75" s="8">
        <f t="shared" si="59"/>
        <v>819140</v>
      </c>
    </row>
    <row r="76" spans="1:30" ht="24" x14ac:dyDescent="0.25">
      <c r="A76" s="108"/>
      <c r="B76" s="88">
        <v>30</v>
      </c>
      <c r="C76" s="3" t="s">
        <v>175</v>
      </c>
      <c r="D76" s="86" t="s">
        <v>26</v>
      </c>
      <c r="E76" s="6" t="s">
        <v>239</v>
      </c>
      <c r="F76" s="86" t="s">
        <v>239</v>
      </c>
      <c r="G76" s="87">
        <v>97101514700</v>
      </c>
      <c r="H76" s="86" t="s">
        <v>234</v>
      </c>
      <c r="I76" s="6" t="s">
        <v>211</v>
      </c>
      <c r="J76" s="119">
        <v>6271988150</v>
      </c>
      <c r="K76" s="87">
        <v>1000000</v>
      </c>
      <c r="L76" s="12">
        <v>14</v>
      </c>
      <c r="M76" s="87">
        <f t="shared" si="56"/>
        <v>466666.66666666669</v>
      </c>
      <c r="N76" s="87">
        <f>+(83140/30)*L76</f>
        <v>38798.666666666672</v>
      </c>
      <c r="O76" s="87"/>
      <c r="P76" s="87"/>
      <c r="Q76" s="87">
        <f t="shared" ref="Q76" si="64">SUM(M76:O76)+P76</f>
        <v>505465.33333333337</v>
      </c>
      <c r="R76" s="87">
        <f>+M76*4%</f>
        <v>18666.666666666668</v>
      </c>
      <c r="S76" s="87">
        <f>+M76*4%</f>
        <v>18666.666666666668</v>
      </c>
      <c r="T76" s="87"/>
      <c r="U76" s="87"/>
      <c r="V76" s="87"/>
      <c r="W76" s="87"/>
      <c r="X76" s="87"/>
      <c r="Y76" s="87"/>
      <c r="Z76" s="87">
        <f t="shared" ref="Z76" si="65">SUM(R76:Y76)</f>
        <v>37333.333333333336</v>
      </c>
      <c r="AA76" s="7">
        <f t="shared" si="55"/>
        <v>468132.00000000006</v>
      </c>
      <c r="AB76" s="8"/>
      <c r="AC76" s="9"/>
      <c r="AD76" s="8">
        <f t="shared" si="59"/>
        <v>468132.00000000006</v>
      </c>
    </row>
    <row r="77" spans="1:30" ht="36" x14ac:dyDescent="0.25">
      <c r="A77" s="108"/>
      <c r="B77" s="88">
        <v>31</v>
      </c>
      <c r="C77" s="11" t="s">
        <v>104</v>
      </c>
      <c r="D77" s="6" t="s">
        <v>26</v>
      </c>
      <c r="E77" s="6" t="s">
        <v>208</v>
      </c>
      <c r="F77" s="6" t="s">
        <v>212</v>
      </c>
      <c r="G77" s="12">
        <v>1095798415</v>
      </c>
      <c r="H77" s="6" t="s">
        <v>213</v>
      </c>
      <c r="I77" s="6" t="s">
        <v>211</v>
      </c>
      <c r="J77" s="86">
        <v>64476648112</v>
      </c>
      <c r="K77" s="87">
        <v>4000000</v>
      </c>
      <c r="L77" s="12">
        <v>30</v>
      </c>
      <c r="M77" s="87">
        <f t="shared" si="56"/>
        <v>4000000.0000000005</v>
      </c>
      <c r="N77" s="87"/>
      <c r="O77" s="87"/>
      <c r="P77" s="87"/>
      <c r="Q77" s="87">
        <f t="shared" si="26"/>
        <v>4000000.0000000005</v>
      </c>
      <c r="R77" s="87">
        <f>+M77*4%</f>
        <v>160000.00000000003</v>
      </c>
      <c r="S77" s="87">
        <f>+M77*5%</f>
        <v>200000.00000000003</v>
      </c>
      <c r="T77" s="87"/>
      <c r="U77" s="87"/>
      <c r="V77" s="87">
        <v>3000</v>
      </c>
      <c r="W77" s="87"/>
      <c r="X77" s="87"/>
      <c r="Y77" s="87"/>
      <c r="Z77" s="87">
        <f t="shared" si="39"/>
        <v>363000.00000000006</v>
      </c>
      <c r="AA77" s="7">
        <f t="shared" ref="AA77:AA89" si="66">+Q77-Z77</f>
        <v>3637000.0000000005</v>
      </c>
      <c r="AB77" s="8"/>
      <c r="AC77" s="9"/>
      <c r="AD77" s="8">
        <f t="shared" si="59"/>
        <v>3637000.0000000005</v>
      </c>
    </row>
    <row r="78" spans="1:30" ht="48" x14ac:dyDescent="0.25">
      <c r="A78" s="108"/>
      <c r="B78" s="88">
        <v>32</v>
      </c>
      <c r="C78" s="11" t="s">
        <v>106</v>
      </c>
      <c r="D78" s="6" t="s">
        <v>26</v>
      </c>
      <c r="E78" s="6" t="s">
        <v>208</v>
      </c>
      <c r="F78" s="6" t="s">
        <v>242</v>
      </c>
      <c r="G78" s="12">
        <v>1024547288</v>
      </c>
      <c r="H78" s="6" t="s">
        <v>234</v>
      </c>
      <c r="I78" s="6" t="s">
        <v>211</v>
      </c>
      <c r="J78" s="86">
        <v>627215981</v>
      </c>
      <c r="K78" s="87">
        <v>1500000</v>
      </c>
      <c r="L78" s="12">
        <v>30</v>
      </c>
      <c r="M78" s="87">
        <f t="shared" si="56"/>
        <v>1500000</v>
      </c>
      <c r="N78" s="87"/>
      <c r="O78" s="87"/>
      <c r="P78" s="87"/>
      <c r="Q78" s="87">
        <f t="shared" ref="Q78" si="67">SUM(M78:O78)+P78</f>
        <v>1500000</v>
      </c>
      <c r="R78" s="87">
        <f>+M78*4%</f>
        <v>60000</v>
      </c>
      <c r="S78" s="87">
        <f>+M78*4%</f>
        <v>60000</v>
      </c>
      <c r="T78" s="87"/>
      <c r="U78" s="87"/>
      <c r="V78" s="87">
        <v>0</v>
      </c>
      <c r="W78" s="87"/>
      <c r="X78" s="87"/>
      <c r="Y78" s="87"/>
      <c r="Z78" s="87">
        <f t="shared" ref="Z78" si="68">SUM(R78:Y78)</f>
        <v>120000</v>
      </c>
      <c r="AA78" s="7">
        <f t="shared" si="66"/>
        <v>1380000</v>
      </c>
      <c r="AB78" s="8"/>
      <c r="AC78" s="9"/>
      <c r="AD78" s="8">
        <f t="shared" si="59"/>
        <v>1380000</v>
      </c>
    </row>
    <row r="79" spans="1:30" ht="36" x14ac:dyDescent="0.25">
      <c r="A79" s="108"/>
      <c r="B79" s="88">
        <v>33</v>
      </c>
      <c r="C79" s="11" t="s">
        <v>107</v>
      </c>
      <c r="D79" s="6" t="s">
        <v>26</v>
      </c>
      <c r="E79" s="6" t="s">
        <v>208</v>
      </c>
      <c r="F79" s="6" t="s">
        <v>225</v>
      </c>
      <c r="G79" s="12">
        <v>1019025121</v>
      </c>
      <c r="H79" s="6" t="s">
        <v>234</v>
      </c>
      <c r="I79" s="6" t="s">
        <v>211</v>
      </c>
      <c r="J79" s="6">
        <v>627168396</v>
      </c>
      <c r="K79" s="87">
        <v>3000000</v>
      </c>
      <c r="L79" s="12">
        <v>30</v>
      </c>
      <c r="M79" s="87">
        <f t="shared" si="56"/>
        <v>3000000</v>
      </c>
      <c r="N79" s="87"/>
      <c r="O79" s="87"/>
      <c r="P79" s="87"/>
      <c r="Q79" s="87">
        <f t="shared" si="26"/>
        <v>3000000</v>
      </c>
      <c r="R79" s="87">
        <f>+K79*4%</f>
        <v>120000</v>
      </c>
      <c r="S79" s="87">
        <f>+K79*5%</f>
        <v>150000</v>
      </c>
      <c r="T79" s="87"/>
      <c r="U79" s="87"/>
      <c r="V79" s="17">
        <v>0</v>
      </c>
      <c r="W79" s="87"/>
      <c r="X79" s="87"/>
      <c r="Y79" s="87">
        <v>586000</v>
      </c>
      <c r="Z79" s="87">
        <f t="shared" si="39"/>
        <v>856000</v>
      </c>
      <c r="AA79" s="7">
        <f t="shared" si="66"/>
        <v>2144000</v>
      </c>
      <c r="AB79" s="8"/>
      <c r="AC79" s="9"/>
      <c r="AD79" s="8">
        <f t="shared" si="59"/>
        <v>2144000</v>
      </c>
    </row>
    <row r="80" spans="1:30" ht="48" x14ac:dyDescent="0.25">
      <c r="A80" s="108"/>
      <c r="B80" s="88">
        <v>34</v>
      </c>
      <c r="C80" s="11" t="s">
        <v>167</v>
      </c>
      <c r="D80" s="6"/>
      <c r="E80" s="6"/>
      <c r="F80" s="6"/>
      <c r="G80" s="12"/>
      <c r="H80" s="6"/>
      <c r="I80" s="6"/>
      <c r="J80" s="6"/>
      <c r="K80" s="87">
        <v>4500000</v>
      </c>
      <c r="L80" s="12">
        <v>30</v>
      </c>
      <c r="M80" s="87">
        <f t="shared" si="56"/>
        <v>4500000</v>
      </c>
      <c r="N80" s="87"/>
      <c r="O80" s="87"/>
      <c r="P80" s="87"/>
      <c r="Q80" s="87">
        <f t="shared" ref="Q80:Q86" si="69">SUM(M80:O80)+P80</f>
        <v>4500000</v>
      </c>
      <c r="R80" s="87">
        <f>+M80*4%</f>
        <v>180000</v>
      </c>
      <c r="S80" s="87">
        <f>+M80*5%</f>
        <v>225000</v>
      </c>
      <c r="T80" s="87"/>
      <c r="U80" s="87"/>
      <c r="V80" s="17">
        <v>18000</v>
      </c>
      <c r="W80" s="87"/>
      <c r="X80" s="87"/>
      <c r="Y80" s="87"/>
      <c r="Z80" s="87">
        <f t="shared" ref="Z80:Z86" si="70">SUM(R80:Y80)</f>
        <v>423000</v>
      </c>
      <c r="AA80" s="7">
        <f t="shared" si="66"/>
        <v>4077000</v>
      </c>
      <c r="AB80" s="8"/>
      <c r="AC80" s="9"/>
      <c r="AD80" s="8">
        <f t="shared" si="59"/>
        <v>4077000</v>
      </c>
    </row>
    <row r="81" spans="1:30" ht="24" x14ac:dyDescent="0.25">
      <c r="A81" s="108"/>
      <c r="B81" s="88">
        <v>35</v>
      </c>
      <c r="C81" s="11" t="s">
        <v>108</v>
      </c>
      <c r="D81" s="6"/>
      <c r="E81" s="6"/>
      <c r="F81" s="6"/>
      <c r="G81" s="12"/>
      <c r="H81" s="6"/>
      <c r="I81" s="6"/>
      <c r="J81" s="6"/>
      <c r="K81" s="87">
        <v>4500000</v>
      </c>
      <c r="L81" s="12">
        <v>30</v>
      </c>
      <c r="M81" s="87">
        <f t="shared" si="56"/>
        <v>4500000</v>
      </c>
      <c r="N81" s="87"/>
      <c r="O81" s="87"/>
      <c r="P81" s="87"/>
      <c r="Q81" s="87">
        <f t="shared" si="69"/>
        <v>4500000</v>
      </c>
      <c r="R81" s="87">
        <f>+M81*4%</f>
        <v>180000</v>
      </c>
      <c r="S81" s="87">
        <f>+M81*5%</f>
        <v>225000</v>
      </c>
      <c r="T81" s="87"/>
      <c r="U81" s="87"/>
      <c r="V81" s="17">
        <v>72000</v>
      </c>
      <c r="W81" s="87"/>
      <c r="X81" s="87"/>
      <c r="Y81" s="87"/>
      <c r="Z81" s="87">
        <f t="shared" si="70"/>
        <v>477000</v>
      </c>
      <c r="AA81" s="7">
        <f t="shared" si="66"/>
        <v>4023000</v>
      </c>
      <c r="AB81" s="8"/>
      <c r="AC81" s="9"/>
      <c r="AD81" s="8">
        <f t="shared" si="59"/>
        <v>4023000</v>
      </c>
    </row>
    <row r="82" spans="1:30" ht="48" x14ac:dyDescent="0.25">
      <c r="A82" s="108"/>
      <c r="B82" s="88">
        <v>36</v>
      </c>
      <c r="C82" s="11" t="s">
        <v>168</v>
      </c>
      <c r="D82" s="6"/>
      <c r="E82" s="6"/>
      <c r="F82" s="6"/>
      <c r="G82" s="12"/>
      <c r="H82" s="6"/>
      <c r="I82" s="6"/>
      <c r="J82" s="6"/>
      <c r="K82" s="87">
        <v>737717</v>
      </c>
      <c r="L82" s="12">
        <v>30</v>
      </c>
      <c r="M82" s="87">
        <f t="shared" si="56"/>
        <v>737717</v>
      </c>
      <c r="N82" s="87">
        <f t="shared" ref="N82:N83" si="71">+(83140/30)*L82</f>
        <v>83140</v>
      </c>
      <c r="O82" s="87"/>
      <c r="P82" s="87"/>
      <c r="Q82" s="87">
        <f t="shared" si="69"/>
        <v>820857</v>
      </c>
      <c r="R82" s="87">
        <f t="shared" ref="R82:R84" si="72">+M82*4%</f>
        <v>29508.68</v>
      </c>
      <c r="S82" s="87">
        <f>+M82*4%</f>
        <v>29508.68</v>
      </c>
      <c r="T82" s="87"/>
      <c r="U82" s="87"/>
      <c r="V82" s="17"/>
      <c r="W82" s="87"/>
      <c r="X82" s="87"/>
      <c r="Y82" s="87"/>
      <c r="Z82" s="87">
        <f t="shared" si="70"/>
        <v>59017.36</v>
      </c>
      <c r="AA82" s="7">
        <f t="shared" si="66"/>
        <v>761839.64</v>
      </c>
      <c r="AB82" s="8"/>
      <c r="AC82" s="9"/>
      <c r="AD82" s="8">
        <f t="shared" si="59"/>
        <v>761839.64</v>
      </c>
    </row>
    <row r="83" spans="1:30" ht="48" x14ac:dyDescent="0.25">
      <c r="A83" s="108"/>
      <c r="B83" s="88">
        <v>37</v>
      </c>
      <c r="C83" s="11" t="s">
        <v>169</v>
      </c>
      <c r="D83" s="6"/>
      <c r="E83" s="6"/>
      <c r="F83" s="6"/>
      <c r="G83" s="12"/>
      <c r="H83" s="6"/>
      <c r="I83" s="6"/>
      <c r="J83" s="6"/>
      <c r="K83" s="87">
        <v>737717</v>
      </c>
      <c r="L83" s="12">
        <v>30</v>
      </c>
      <c r="M83" s="87">
        <f t="shared" si="56"/>
        <v>737717</v>
      </c>
      <c r="N83" s="87">
        <f t="shared" si="71"/>
        <v>83140</v>
      </c>
      <c r="O83" s="87"/>
      <c r="P83" s="87"/>
      <c r="Q83" s="87">
        <f t="shared" si="69"/>
        <v>820857</v>
      </c>
      <c r="R83" s="87">
        <f t="shared" si="72"/>
        <v>29508.68</v>
      </c>
      <c r="S83" s="87">
        <f>+M83*4%</f>
        <v>29508.68</v>
      </c>
      <c r="T83" s="87"/>
      <c r="U83" s="87"/>
      <c r="V83" s="17"/>
      <c r="W83" s="87"/>
      <c r="X83" s="87"/>
      <c r="Y83" s="87"/>
      <c r="Z83" s="87">
        <f t="shared" si="70"/>
        <v>59017.36</v>
      </c>
      <c r="AA83" s="7">
        <f t="shared" si="66"/>
        <v>761839.64</v>
      </c>
      <c r="AB83" s="8"/>
      <c r="AC83" s="9"/>
      <c r="AD83" s="8">
        <f t="shared" si="59"/>
        <v>761839.64</v>
      </c>
    </row>
    <row r="84" spans="1:30" ht="48" x14ac:dyDescent="0.25">
      <c r="A84" s="108"/>
      <c r="B84" s="88">
        <v>38</v>
      </c>
      <c r="C84" s="11" t="s">
        <v>170</v>
      </c>
      <c r="D84" s="6"/>
      <c r="E84" s="6"/>
      <c r="F84" s="6"/>
      <c r="G84" s="12"/>
      <c r="H84" s="6"/>
      <c r="I84" s="6"/>
      <c r="J84" s="6"/>
      <c r="K84" s="87">
        <v>2500000</v>
      </c>
      <c r="L84" s="12">
        <v>30</v>
      </c>
      <c r="M84" s="87">
        <f t="shared" si="56"/>
        <v>2500000</v>
      </c>
      <c r="N84" s="87"/>
      <c r="O84" s="87"/>
      <c r="P84" s="87"/>
      <c r="Q84" s="87">
        <f t="shared" si="69"/>
        <v>2500000</v>
      </c>
      <c r="R84" s="87">
        <f t="shared" si="72"/>
        <v>100000</v>
      </c>
      <c r="S84" s="87">
        <f>+M84*4%</f>
        <v>100000</v>
      </c>
      <c r="T84" s="87"/>
      <c r="U84" s="87"/>
      <c r="V84" s="17"/>
      <c r="W84" s="87"/>
      <c r="X84" s="87"/>
      <c r="Y84" s="87"/>
      <c r="Z84" s="87">
        <f t="shared" si="70"/>
        <v>200000</v>
      </c>
      <c r="AA84" s="7">
        <f t="shared" si="66"/>
        <v>2300000</v>
      </c>
      <c r="AB84" s="8"/>
      <c r="AC84" s="9"/>
      <c r="AD84" s="8">
        <f t="shared" si="59"/>
        <v>2300000</v>
      </c>
    </row>
    <row r="85" spans="1:30" ht="60" x14ac:dyDescent="0.25">
      <c r="A85" s="108"/>
      <c r="B85" s="88">
        <v>39</v>
      </c>
      <c r="C85" s="11" t="s">
        <v>109</v>
      </c>
      <c r="D85" s="6" t="s">
        <v>26</v>
      </c>
      <c r="E85" s="6" t="s">
        <v>208</v>
      </c>
      <c r="F85" s="6" t="s">
        <v>242</v>
      </c>
      <c r="G85" s="12">
        <v>1022387073</v>
      </c>
      <c r="H85" s="6" t="s">
        <v>234</v>
      </c>
      <c r="I85" s="6" t="s">
        <v>211</v>
      </c>
      <c r="J85" s="6">
        <v>627215965</v>
      </c>
      <c r="K85" s="87">
        <v>1500000</v>
      </c>
      <c r="L85" s="12">
        <v>30</v>
      </c>
      <c r="M85" s="87">
        <f t="shared" si="56"/>
        <v>1500000</v>
      </c>
      <c r="N85" s="87"/>
      <c r="O85" s="87"/>
      <c r="P85" s="87"/>
      <c r="Q85" s="87">
        <f t="shared" si="69"/>
        <v>1500000</v>
      </c>
      <c r="R85" s="87">
        <f>+M85*4%</f>
        <v>60000</v>
      </c>
      <c r="S85" s="87">
        <f>+M85*4%</f>
        <v>60000</v>
      </c>
      <c r="T85" s="87"/>
      <c r="U85" s="87"/>
      <c r="V85" s="17">
        <v>0</v>
      </c>
      <c r="W85" s="87"/>
      <c r="X85" s="87"/>
      <c r="Y85" s="87"/>
      <c r="Z85" s="87">
        <f t="shared" si="70"/>
        <v>120000</v>
      </c>
      <c r="AA85" s="7">
        <f t="shared" si="66"/>
        <v>1380000</v>
      </c>
      <c r="AB85" s="8"/>
      <c r="AC85" s="9"/>
      <c r="AD85" s="8">
        <f t="shared" si="59"/>
        <v>1380000</v>
      </c>
    </row>
    <row r="86" spans="1:30" ht="36" x14ac:dyDescent="0.25">
      <c r="A86" s="108"/>
      <c r="B86" s="88">
        <v>40</v>
      </c>
      <c r="C86" s="11" t="s">
        <v>149</v>
      </c>
      <c r="D86" s="6"/>
      <c r="E86" s="6"/>
      <c r="F86" s="6"/>
      <c r="G86" s="12"/>
      <c r="H86" s="6"/>
      <c r="I86" s="6"/>
      <c r="J86" s="6"/>
      <c r="K86" s="87">
        <v>2000000</v>
      </c>
      <c r="L86" s="12">
        <v>30</v>
      </c>
      <c r="M86" s="87">
        <f t="shared" si="56"/>
        <v>2000000.0000000002</v>
      </c>
      <c r="N86" s="87"/>
      <c r="O86" s="87"/>
      <c r="P86" s="87"/>
      <c r="Q86" s="87">
        <f t="shared" si="69"/>
        <v>2000000.0000000002</v>
      </c>
      <c r="R86" s="87">
        <f>+M86*4%</f>
        <v>80000.000000000015</v>
      </c>
      <c r="S86" s="87">
        <f>+M86*4%</f>
        <v>80000.000000000015</v>
      </c>
      <c r="T86" s="87"/>
      <c r="U86" s="87"/>
      <c r="V86" s="87">
        <v>0</v>
      </c>
      <c r="W86" s="87"/>
      <c r="X86" s="87"/>
      <c r="Y86" s="87"/>
      <c r="Z86" s="87">
        <f t="shared" si="70"/>
        <v>160000.00000000003</v>
      </c>
      <c r="AA86" s="7">
        <f t="shared" si="66"/>
        <v>1840000.0000000002</v>
      </c>
      <c r="AB86" s="8"/>
      <c r="AC86" s="9"/>
      <c r="AD86" s="8">
        <f t="shared" si="59"/>
        <v>1840000.0000000002</v>
      </c>
    </row>
    <row r="87" spans="1:30" ht="48" x14ac:dyDescent="0.25">
      <c r="A87" s="108"/>
      <c r="B87" s="88">
        <v>41</v>
      </c>
      <c r="C87" s="11" t="s">
        <v>171</v>
      </c>
      <c r="D87" s="6"/>
      <c r="E87" s="6"/>
      <c r="F87" s="6"/>
      <c r="G87" s="12"/>
      <c r="H87" s="6"/>
      <c r="I87" s="6"/>
      <c r="J87" s="6"/>
      <c r="K87" s="87">
        <v>3500000</v>
      </c>
      <c r="L87" s="12">
        <v>30</v>
      </c>
      <c r="M87" s="87">
        <f t="shared" si="56"/>
        <v>3500000</v>
      </c>
      <c r="N87" s="87"/>
      <c r="O87" s="87"/>
      <c r="P87" s="87"/>
      <c r="Q87" s="87">
        <f t="shared" ref="Q87" si="73">SUM(M87:O87)+P87</f>
        <v>3500000</v>
      </c>
      <c r="R87" s="87">
        <f>+M87*4%</f>
        <v>140000</v>
      </c>
      <c r="S87" s="87">
        <f>+M87*5%</f>
        <v>175000</v>
      </c>
      <c r="T87" s="87"/>
      <c r="U87" s="87"/>
      <c r="V87" s="87">
        <v>0</v>
      </c>
      <c r="W87" s="87"/>
      <c r="X87" s="87"/>
      <c r="Y87" s="87"/>
      <c r="Z87" s="87">
        <f t="shared" ref="Z87" si="74">SUM(R87:Y87)</f>
        <v>315000</v>
      </c>
      <c r="AA87" s="7">
        <f t="shared" si="66"/>
        <v>3185000</v>
      </c>
      <c r="AB87" s="8"/>
      <c r="AC87" s="9"/>
      <c r="AD87" s="8">
        <f t="shared" si="59"/>
        <v>3185000</v>
      </c>
    </row>
    <row r="88" spans="1:30" ht="36" x14ac:dyDescent="0.25">
      <c r="A88" s="108"/>
      <c r="B88" s="88">
        <v>42</v>
      </c>
      <c r="C88" s="11" t="s">
        <v>110</v>
      </c>
      <c r="D88" s="6" t="s">
        <v>26</v>
      </c>
      <c r="E88" s="6" t="s">
        <v>208</v>
      </c>
      <c r="F88" s="6" t="s">
        <v>257</v>
      </c>
      <c r="G88" s="12">
        <v>1014229394</v>
      </c>
      <c r="H88" s="6" t="s">
        <v>210</v>
      </c>
      <c r="I88" s="6" t="s">
        <v>211</v>
      </c>
      <c r="J88" s="6">
        <v>1004236633</v>
      </c>
      <c r="K88" s="87">
        <v>2500000</v>
      </c>
      <c r="L88" s="12">
        <v>8</v>
      </c>
      <c r="M88" s="87">
        <f t="shared" si="56"/>
        <v>666666.66666666663</v>
      </c>
      <c r="N88" s="87"/>
      <c r="O88" s="87"/>
      <c r="P88" s="87">
        <f>+K88-M88</f>
        <v>1833333.3333333335</v>
      </c>
      <c r="Q88" s="87">
        <f t="shared" ref="Q88:Q116" si="75">SUM(M88:O88)+P88</f>
        <v>2500000</v>
      </c>
      <c r="R88" s="87">
        <v>100000</v>
      </c>
      <c r="S88" s="87">
        <v>100000</v>
      </c>
      <c r="T88" s="87"/>
      <c r="U88" s="87"/>
      <c r="V88" s="87">
        <v>0</v>
      </c>
      <c r="W88" s="87"/>
      <c r="X88" s="87"/>
      <c r="Y88" s="87">
        <v>257196</v>
      </c>
      <c r="Z88" s="87">
        <f t="shared" si="39"/>
        <v>457196</v>
      </c>
      <c r="AA88" s="7">
        <f t="shared" si="66"/>
        <v>2042804</v>
      </c>
      <c r="AB88" s="8"/>
      <c r="AC88" s="9"/>
      <c r="AD88" s="8">
        <f t="shared" si="59"/>
        <v>2042804</v>
      </c>
    </row>
    <row r="89" spans="1:30" ht="36" x14ac:dyDescent="0.25">
      <c r="A89" s="108"/>
      <c r="B89" s="88">
        <v>43</v>
      </c>
      <c r="C89" s="11" t="s">
        <v>111</v>
      </c>
      <c r="D89" s="6" t="s">
        <v>26</v>
      </c>
      <c r="E89" s="6" t="s">
        <v>208</v>
      </c>
      <c r="F89" s="6"/>
      <c r="G89" s="12">
        <v>1018432859</v>
      </c>
      <c r="H89" s="116" t="s">
        <v>213</v>
      </c>
      <c r="I89" s="117" t="s">
        <v>216</v>
      </c>
      <c r="J89" s="118">
        <v>38827119587</v>
      </c>
      <c r="K89" s="87">
        <v>4500000</v>
      </c>
      <c r="L89" s="12">
        <v>30</v>
      </c>
      <c r="M89" s="87">
        <f t="shared" si="56"/>
        <v>4500000</v>
      </c>
      <c r="N89" s="87"/>
      <c r="O89" s="87"/>
      <c r="P89" s="87"/>
      <c r="Q89" s="87">
        <f t="shared" ref="Q89:Q90" si="76">SUM(M89:O89)+P89</f>
        <v>4500000</v>
      </c>
      <c r="R89" s="87">
        <v>180000</v>
      </c>
      <c r="S89" s="87">
        <v>225000</v>
      </c>
      <c r="T89" s="87"/>
      <c r="U89" s="87"/>
      <c r="V89" s="87">
        <v>72000</v>
      </c>
      <c r="W89" s="87"/>
      <c r="X89" s="87"/>
      <c r="Y89" s="87">
        <v>610699</v>
      </c>
      <c r="Z89" s="87">
        <f t="shared" ref="Z89" si="77">SUM(R89:Y89)</f>
        <v>1087699</v>
      </c>
      <c r="AA89" s="7">
        <f t="shared" si="66"/>
        <v>3412301</v>
      </c>
      <c r="AB89" s="8"/>
      <c r="AC89" s="9"/>
      <c r="AD89" s="8">
        <f t="shared" si="59"/>
        <v>3412301</v>
      </c>
    </row>
    <row r="90" spans="1:30" ht="48" x14ac:dyDescent="0.25">
      <c r="A90" s="108"/>
      <c r="B90" s="88">
        <v>44</v>
      </c>
      <c r="C90" s="11" t="s">
        <v>112</v>
      </c>
      <c r="D90" s="6" t="s">
        <v>26</v>
      </c>
      <c r="E90" s="6" t="s">
        <v>208</v>
      </c>
      <c r="F90" s="6" t="s">
        <v>258</v>
      </c>
      <c r="G90" s="12">
        <v>1024501945</v>
      </c>
      <c r="H90" s="6" t="s">
        <v>210</v>
      </c>
      <c r="I90" s="6" t="s">
        <v>211</v>
      </c>
      <c r="J90" s="6">
        <v>1003821966</v>
      </c>
      <c r="K90" s="87">
        <v>4500000</v>
      </c>
      <c r="L90" s="12">
        <v>30</v>
      </c>
      <c r="M90" s="87">
        <f>+K90-P90</f>
        <v>4500000</v>
      </c>
      <c r="N90" s="87"/>
      <c r="O90" s="87"/>
      <c r="P90" s="87"/>
      <c r="Q90" s="87">
        <f t="shared" si="76"/>
        <v>4500000</v>
      </c>
      <c r="R90" s="87">
        <f>+Q90*4%</f>
        <v>180000</v>
      </c>
      <c r="S90" s="87">
        <f>+Q90*5%</f>
        <v>225000</v>
      </c>
      <c r="T90" s="87"/>
      <c r="U90" s="87"/>
      <c r="V90" s="87">
        <v>8500</v>
      </c>
      <c r="W90" s="87"/>
      <c r="X90" s="87"/>
      <c r="Y90" s="87"/>
      <c r="Z90" s="87">
        <f>SUM(R90:Y90)</f>
        <v>413500</v>
      </c>
      <c r="AA90" s="7">
        <f t="shared" ref="AA90:AA97" si="78">Q90-Z90</f>
        <v>4086500</v>
      </c>
      <c r="AB90" s="8"/>
      <c r="AC90" s="9"/>
      <c r="AD90" s="8">
        <f t="shared" si="59"/>
        <v>4086500</v>
      </c>
    </row>
    <row r="91" spans="1:30" ht="48" x14ac:dyDescent="0.25">
      <c r="A91" s="108"/>
      <c r="B91" s="88">
        <v>45</v>
      </c>
      <c r="C91" s="11" t="s">
        <v>113</v>
      </c>
      <c r="D91" s="6" t="s">
        <v>26</v>
      </c>
      <c r="E91" s="6" t="s">
        <v>208</v>
      </c>
      <c r="F91" s="6" t="s">
        <v>259</v>
      </c>
      <c r="G91" s="12">
        <v>1091654089</v>
      </c>
      <c r="H91" s="6" t="s">
        <v>260</v>
      </c>
      <c r="I91" s="6" t="s">
        <v>211</v>
      </c>
      <c r="J91" s="6">
        <v>24044638575</v>
      </c>
      <c r="K91" s="87">
        <v>3200000</v>
      </c>
      <c r="L91" s="12">
        <v>30</v>
      </c>
      <c r="M91" s="87">
        <f t="shared" si="56"/>
        <v>3200000</v>
      </c>
      <c r="N91" s="87"/>
      <c r="O91" s="87"/>
      <c r="P91" s="87"/>
      <c r="Q91" s="87">
        <f t="shared" si="75"/>
        <v>3200000</v>
      </c>
      <c r="R91" s="87">
        <f>+M91*4%</f>
        <v>128000</v>
      </c>
      <c r="S91" s="87">
        <f>+M91*4%</f>
        <v>128000</v>
      </c>
      <c r="T91" s="87"/>
      <c r="U91" s="87"/>
      <c r="V91" s="87">
        <v>0</v>
      </c>
      <c r="W91" s="87"/>
      <c r="X91" s="87"/>
      <c r="Y91" s="87"/>
      <c r="Z91" s="87">
        <f t="shared" si="39"/>
        <v>256000</v>
      </c>
      <c r="AA91" s="7">
        <f t="shared" si="78"/>
        <v>2944000</v>
      </c>
      <c r="AB91" s="8"/>
      <c r="AC91" s="9"/>
      <c r="AD91" s="8">
        <f t="shared" si="59"/>
        <v>2944000</v>
      </c>
    </row>
    <row r="92" spans="1:30" ht="48" x14ac:dyDescent="0.25">
      <c r="A92" s="108"/>
      <c r="B92" s="88">
        <v>46</v>
      </c>
      <c r="C92" s="11" t="s">
        <v>115</v>
      </c>
      <c r="D92" s="6" t="s">
        <v>26</v>
      </c>
      <c r="E92" s="6" t="s">
        <v>208</v>
      </c>
      <c r="F92" s="6" t="s">
        <v>242</v>
      </c>
      <c r="G92" s="12">
        <v>1019077896</v>
      </c>
      <c r="H92" s="6" t="s">
        <v>234</v>
      </c>
      <c r="I92" s="6" t="s">
        <v>211</v>
      </c>
      <c r="J92" s="6">
        <v>627215767</v>
      </c>
      <c r="K92" s="87">
        <v>1500000</v>
      </c>
      <c r="L92" s="12">
        <v>30</v>
      </c>
      <c r="M92" s="87">
        <f t="shared" si="56"/>
        <v>1500000</v>
      </c>
      <c r="N92" s="87"/>
      <c r="O92" s="87"/>
      <c r="P92" s="87"/>
      <c r="Q92" s="87">
        <f t="shared" si="75"/>
        <v>1500000</v>
      </c>
      <c r="R92" s="87">
        <f>+M92*4%</f>
        <v>60000</v>
      </c>
      <c r="S92" s="87">
        <f>+M92*4%</f>
        <v>60000</v>
      </c>
      <c r="T92" s="87"/>
      <c r="U92" s="87"/>
      <c r="V92" s="87"/>
      <c r="W92" s="87"/>
      <c r="X92" s="87"/>
      <c r="Y92" s="87"/>
      <c r="Z92" s="87">
        <f t="shared" ref="Z92" si="79">SUM(R92:Y92)</f>
        <v>120000</v>
      </c>
      <c r="AA92" s="7">
        <f t="shared" si="78"/>
        <v>1380000</v>
      </c>
      <c r="AB92" s="8"/>
      <c r="AC92" s="9"/>
      <c r="AD92" s="8">
        <f t="shared" si="59"/>
        <v>1380000</v>
      </c>
    </row>
    <row r="93" spans="1:30" ht="24" x14ac:dyDescent="0.25">
      <c r="A93" s="108"/>
      <c r="B93" s="88">
        <v>47</v>
      </c>
      <c r="C93" s="3" t="s">
        <v>116</v>
      </c>
      <c r="D93" s="86" t="s">
        <v>26</v>
      </c>
      <c r="E93" s="86" t="s">
        <v>208</v>
      </c>
      <c r="F93" s="6" t="s">
        <v>261</v>
      </c>
      <c r="G93" s="87">
        <v>35334477</v>
      </c>
      <c r="H93" s="86" t="s">
        <v>234</v>
      </c>
      <c r="I93" s="6" t="s">
        <v>211</v>
      </c>
      <c r="J93" s="119">
        <v>633119383</v>
      </c>
      <c r="K93" s="87">
        <v>737717</v>
      </c>
      <c r="L93" s="12">
        <v>30</v>
      </c>
      <c r="M93" s="87">
        <f t="shared" si="56"/>
        <v>737717</v>
      </c>
      <c r="N93" s="87">
        <v>83140</v>
      </c>
      <c r="O93" s="87">
        <v>99840</v>
      </c>
      <c r="P93" s="87"/>
      <c r="Q93" s="87">
        <f t="shared" si="75"/>
        <v>920697</v>
      </c>
      <c r="R93" s="87">
        <v>29509</v>
      </c>
      <c r="S93" s="87">
        <v>29509</v>
      </c>
      <c r="T93" s="87"/>
      <c r="U93" s="87"/>
      <c r="V93" s="87">
        <v>0</v>
      </c>
      <c r="W93" s="87"/>
      <c r="X93" s="87"/>
      <c r="Y93" s="87"/>
      <c r="Z93" s="87">
        <f t="shared" si="39"/>
        <v>59018</v>
      </c>
      <c r="AA93" s="7">
        <f t="shared" si="78"/>
        <v>861679</v>
      </c>
      <c r="AB93" s="8"/>
      <c r="AC93" s="9"/>
      <c r="AD93" s="8">
        <f t="shared" si="59"/>
        <v>861679</v>
      </c>
    </row>
    <row r="94" spans="1:30" x14ac:dyDescent="0.25">
      <c r="A94" s="108"/>
      <c r="B94" s="88">
        <v>48</v>
      </c>
      <c r="C94" s="3" t="s">
        <v>117</v>
      </c>
      <c r="D94" s="86"/>
      <c r="E94" s="86"/>
      <c r="F94" s="6"/>
      <c r="G94" s="87"/>
      <c r="H94" s="86"/>
      <c r="I94" s="6"/>
      <c r="J94" s="119"/>
      <c r="K94" s="87">
        <v>5000000</v>
      </c>
      <c r="L94" s="12">
        <v>30</v>
      </c>
      <c r="M94" s="87">
        <f t="shared" si="56"/>
        <v>5000000</v>
      </c>
      <c r="N94" s="87"/>
      <c r="O94" s="87"/>
      <c r="P94" s="87"/>
      <c r="Q94" s="87">
        <f t="shared" ref="Q94" si="80">SUM(M94:O94)+P94</f>
        <v>5000000</v>
      </c>
      <c r="R94" s="87">
        <f>+M94*4%</f>
        <v>200000</v>
      </c>
      <c r="S94" s="87">
        <f>+M94*5%</f>
        <v>250000</v>
      </c>
      <c r="T94" s="87"/>
      <c r="U94" s="87"/>
      <c r="V94" s="87">
        <v>102000</v>
      </c>
      <c r="W94" s="87"/>
      <c r="X94" s="87"/>
      <c r="Y94" s="87"/>
      <c r="Z94" s="87">
        <f t="shared" ref="Z94" si="81">SUM(R94:Y94)</f>
        <v>552000</v>
      </c>
      <c r="AA94" s="7">
        <f t="shared" si="78"/>
        <v>4448000</v>
      </c>
      <c r="AB94" s="8"/>
      <c r="AC94" s="9"/>
      <c r="AD94" s="8">
        <f t="shared" si="59"/>
        <v>4448000</v>
      </c>
    </row>
    <row r="95" spans="1:30" x14ac:dyDescent="0.25">
      <c r="A95" s="108"/>
      <c r="B95" s="88">
        <v>49</v>
      </c>
      <c r="C95" s="3" t="s">
        <v>157</v>
      </c>
      <c r="D95" s="86"/>
      <c r="E95" s="86"/>
      <c r="F95" s="6"/>
      <c r="G95" s="87"/>
      <c r="H95" s="86"/>
      <c r="I95" s="6"/>
      <c r="J95" s="119"/>
      <c r="K95" s="87">
        <v>1500000</v>
      </c>
      <c r="L95" s="12">
        <v>30</v>
      </c>
      <c r="M95" s="87">
        <f t="shared" si="56"/>
        <v>1500000</v>
      </c>
      <c r="N95" s="87"/>
      <c r="O95" s="87"/>
      <c r="P95" s="87"/>
      <c r="Q95" s="87">
        <f t="shared" ref="Q95:Q96" si="82">SUM(M95:O95)+P95</f>
        <v>1500000</v>
      </c>
      <c r="R95" s="87">
        <f>+M95*4%</f>
        <v>60000</v>
      </c>
      <c r="S95" s="87">
        <f>+M95*4%</f>
        <v>60000</v>
      </c>
      <c r="T95" s="87"/>
      <c r="U95" s="87"/>
      <c r="V95" s="87"/>
      <c r="W95" s="87"/>
      <c r="X95" s="87"/>
      <c r="Y95" s="87"/>
      <c r="Z95" s="87">
        <f t="shared" ref="Z95:Z97" si="83">SUM(R95:Y95)</f>
        <v>120000</v>
      </c>
      <c r="AA95" s="7">
        <f t="shared" si="78"/>
        <v>1380000</v>
      </c>
      <c r="AB95" s="8"/>
      <c r="AC95" s="9"/>
      <c r="AD95" s="8"/>
    </row>
    <row r="96" spans="1:30" x14ac:dyDescent="0.25">
      <c r="A96" s="108"/>
      <c r="B96" s="88">
        <v>50</v>
      </c>
      <c r="C96" s="3" t="s">
        <v>176</v>
      </c>
      <c r="D96" s="86"/>
      <c r="E96" s="86"/>
      <c r="F96" s="6"/>
      <c r="G96" s="87"/>
      <c r="H96" s="86"/>
      <c r="I96" s="6"/>
      <c r="J96" s="119"/>
      <c r="K96" s="87">
        <v>737717</v>
      </c>
      <c r="L96" s="12">
        <v>14</v>
      </c>
      <c r="M96" s="87">
        <f t="shared" si="56"/>
        <v>344267.93333333335</v>
      </c>
      <c r="N96" s="87">
        <f t="shared" ref="N96" si="84">+(83140/30)*L96</f>
        <v>38798.666666666672</v>
      </c>
      <c r="O96" s="87"/>
      <c r="P96" s="87"/>
      <c r="Q96" s="87">
        <f t="shared" si="82"/>
        <v>383066.60000000003</v>
      </c>
      <c r="R96" s="87">
        <f>+M96*4%</f>
        <v>13770.717333333334</v>
      </c>
      <c r="S96" s="87">
        <f>+M96*4%</f>
        <v>13770.717333333334</v>
      </c>
      <c r="T96" s="87"/>
      <c r="U96" s="87"/>
      <c r="V96" s="87"/>
      <c r="W96" s="87"/>
      <c r="X96" s="87"/>
      <c r="Y96" s="87"/>
      <c r="Z96" s="87">
        <f t="shared" si="83"/>
        <v>27541.434666666668</v>
      </c>
      <c r="AA96" s="7">
        <f t="shared" si="78"/>
        <v>355525.16533333337</v>
      </c>
      <c r="AB96" s="8"/>
      <c r="AC96" s="9"/>
      <c r="AD96" s="8"/>
    </row>
    <row r="97" spans="1:30" ht="24" x14ac:dyDescent="0.25">
      <c r="A97" s="108"/>
      <c r="B97" s="88">
        <v>51</v>
      </c>
      <c r="C97" s="3" t="s">
        <v>118</v>
      </c>
      <c r="D97" s="86" t="s">
        <v>26</v>
      </c>
      <c r="E97" s="86" t="s">
        <v>208</v>
      </c>
      <c r="F97" s="6" t="s">
        <v>261</v>
      </c>
      <c r="G97" s="87">
        <v>35334477</v>
      </c>
      <c r="H97" s="86" t="s">
        <v>234</v>
      </c>
      <c r="I97" s="6" t="s">
        <v>211</v>
      </c>
      <c r="J97" s="119">
        <v>633119383</v>
      </c>
      <c r="K97" s="87">
        <v>1400000</v>
      </c>
      <c r="L97" s="12">
        <v>28</v>
      </c>
      <c r="M97" s="87">
        <f t="shared" si="56"/>
        <v>1306666.6666666665</v>
      </c>
      <c r="N97" s="87">
        <f>+(83140/30)*L97</f>
        <v>77597.333333333343</v>
      </c>
      <c r="O97" s="87">
        <f>+K97/30*2</f>
        <v>93333.333333333328</v>
      </c>
      <c r="P97" s="87"/>
      <c r="Q97" s="87">
        <f t="shared" ref="Q97" si="85">SUM(M97:O97)+P97</f>
        <v>1477597.333333333</v>
      </c>
      <c r="R97" s="87">
        <f>+K97*4%</f>
        <v>56000</v>
      </c>
      <c r="S97" s="87">
        <f>+K97*4%</f>
        <v>56000</v>
      </c>
      <c r="T97" s="87"/>
      <c r="U97" s="87"/>
      <c r="V97" s="87">
        <v>0</v>
      </c>
      <c r="W97" s="87"/>
      <c r="X97" s="87"/>
      <c r="Y97" s="87">
        <v>317224</v>
      </c>
      <c r="Z97" s="87">
        <f t="shared" si="83"/>
        <v>429224</v>
      </c>
      <c r="AA97" s="7">
        <f t="shared" si="78"/>
        <v>1048373.333333333</v>
      </c>
      <c r="AB97" s="8"/>
      <c r="AC97" s="9"/>
      <c r="AD97" s="8">
        <f t="shared" si="59"/>
        <v>1048373.333333333</v>
      </c>
    </row>
    <row r="98" spans="1:30" ht="48" x14ac:dyDescent="0.25">
      <c r="A98" s="108"/>
      <c r="B98" s="88">
        <v>52</v>
      </c>
      <c r="C98" s="11" t="s">
        <v>119</v>
      </c>
      <c r="D98" s="6" t="s">
        <v>26</v>
      </c>
      <c r="E98" s="6" t="s">
        <v>208</v>
      </c>
      <c r="F98" s="6" t="s">
        <v>262</v>
      </c>
      <c r="G98" s="12">
        <v>79297381</v>
      </c>
      <c r="H98" s="6" t="s">
        <v>210</v>
      </c>
      <c r="I98" s="6" t="s">
        <v>211</v>
      </c>
      <c r="J98" s="122" t="s">
        <v>263</v>
      </c>
      <c r="K98" s="87">
        <v>15400000</v>
      </c>
      <c r="L98" s="12">
        <v>30</v>
      </c>
      <c r="M98" s="87">
        <f t="shared" si="56"/>
        <v>15400000</v>
      </c>
      <c r="N98" s="87"/>
      <c r="O98" s="87">
        <v>600000</v>
      </c>
      <c r="P98" s="87"/>
      <c r="Q98" s="87">
        <f t="shared" si="75"/>
        <v>16000000</v>
      </c>
      <c r="R98" s="87">
        <v>616000</v>
      </c>
      <c r="S98" s="87">
        <f>616000+308000</f>
        <v>924000</v>
      </c>
      <c r="T98" s="87">
        <v>102400</v>
      </c>
      <c r="U98" s="87"/>
      <c r="V98" s="87">
        <v>916000</v>
      </c>
      <c r="W98" s="87">
        <v>5000000</v>
      </c>
      <c r="X98" s="87">
        <v>180180</v>
      </c>
      <c r="Y98" s="87">
        <v>2314715</v>
      </c>
      <c r="Z98" s="87">
        <f t="shared" si="39"/>
        <v>10053295</v>
      </c>
      <c r="AA98" s="7">
        <f>+Q98-Z98</f>
        <v>5946705</v>
      </c>
      <c r="AB98" s="8"/>
      <c r="AC98" s="9"/>
      <c r="AD98" s="8">
        <f t="shared" si="59"/>
        <v>5946705</v>
      </c>
    </row>
    <row r="99" spans="1:30" ht="36" x14ac:dyDescent="0.25">
      <c r="A99" s="108"/>
      <c r="B99" s="88">
        <v>53</v>
      </c>
      <c r="C99" s="11" t="s">
        <v>120</v>
      </c>
      <c r="D99" s="6" t="s">
        <v>26</v>
      </c>
      <c r="E99" s="6" t="s">
        <v>208</v>
      </c>
      <c r="F99" s="6" t="s">
        <v>225</v>
      </c>
      <c r="G99" s="12">
        <v>1032427441</v>
      </c>
      <c r="H99" s="6" t="s">
        <v>210</v>
      </c>
      <c r="I99" s="6" t="s">
        <v>211</v>
      </c>
      <c r="J99" s="6">
        <v>1004721744</v>
      </c>
      <c r="K99" s="87">
        <v>4500000</v>
      </c>
      <c r="L99" s="12">
        <v>30</v>
      </c>
      <c r="M99" s="87">
        <f>+K99-P99</f>
        <v>3450000</v>
      </c>
      <c r="N99" s="87"/>
      <c r="O99" s="87">
        <v>0</v>
      </c>
      <c r="P99" s="87">
        <v>1050000</v>
      </c>
      <c r="Q99" s="87">
        <f t="shared" si="75"/>
        <v>4500000</v>
      </c>
      <c r="R99" s="87">
        <v>180000</v>
      </c>
      <c r="S99" s="87">
        <v>225000</v>
      </c>
      <c r="T99" s="87"/>
      <c r="U99" s="87"/>
      <c r="V99" s="87">
        <v>72000</v>
      </c>
      <c r="W99" s="87"/>
      <c r="X99" s="87"/>
      <c r="Y99" s="87">
        <v>1138458</v>
      </c>
      <c r="Z99" s="87">
        <f t="shared" si="39"/>
        <v>1615458</v>
      </c>
      <c r="AA99" s="7">
        <f>+Q99-Z99</f>
        <v>2884542</v>
      </c>
      <c r="AB99" s="8"/>
      <c r="AC99" s="9"/>
      <c r="AD99" s="8">
        <f t="shared" si="59"/>
        <v>2884542</v>
      </c>
    </row>
    <row r="100" spans="1:30" ht="48" x14ac:dyDescent="0.25">
      <c r="A100" s="108"/>
      <c r="B100" s="88">
        <v>54</v>
      </c>
      <c r="C100" s="11" t="s">
        <v>158</v>
      </c>
      <c r="D100" s="6"/>
      <c r="E100" s="6"/>
      <c r="F100" s="6"/>
      <c r="G100" s="12"/>
      <c r="H100" s="6"/>
      <c r="I100" s="6"/>
      <c r="J100" s="6"/>
      <c r="K100" s="87">
        <v>1600000</v>
      </c>
      <c r="L100" s="12">
        <v>30</v>
      </c>
      <c r="M100" s="87">
        <f t="shared" si="56"/>
        <v>1600000</v>
      </c>
      <c r="N100" s="87"/>
      <c r="O100" s="87"/>
      <c r="P100" s="87"/>
      <c r="Q100" s="87">
        <f t="shared" ref="Q100" si="86">SUM(M100:O100)+P100</f>
        <v>1600000</v>
      </c>
      <c r="R100" s="87">
        <f t="shared" ref="R100" si="87">+M100*4%</f>
        <v>64000</v>
      </c>
      <c r="S100" s="87">
        <f>+M100*4%</f>
        <v>64000</v>
      </c>
      <c r="T100" s="87"/>
      <c r="U100" s="87"/>
      <c r="V100" s="87"/>
      <c r="W100" s="87"/>
      <c r="X100" s="87"/>
      <c r="Y100" s="87"/>
      <c r="Z100" s="87">
        <f t="shared" ref="Z100" si="88">SUM(R100:Y100)</f>
        <v>128000</v>
      </c>
      <c r="AA100" s="7">
        <f>+Q100-Z100</f>
        <v>1472000</v>
      </c>
      <c r="AB100" s="8"/>
      <c r="AC100" s="9"/>
      <c r="AD100" s="8"/>
    </row>
    <row r="101" spans="1:30" ht="48" x14ac:dyDescent="0.25">
      <c r="A101" s="108"/>
      <c r="B101" s="88">
        <v>55</v>
      </c>
      <c r="C101" s="11" t="s">
        <v>121</v>
      </c>
      <c r="D101" s="6" t="s">
        <v>26</v>
      </c>
      <c r="E101" s="6" t="s">
        <v>208</v>
      </c>
      <c r="F101" s="6" t="s">
        <v>225</v>
      </c>
      <c r="G101" s="12">
        <v>1072651147</v>
      </c>
      <c r="H101" s="6" t="s">
        <v>218</v>
      </c>
      <c r="I101" s="6" t="s">
        <v>211</v>
      </c>
      <c r="J101" s="123">
        <v>451700047967</v>
      </c>
      <c r="K101" s="87">
        <v>2500000</v>
      </c>
      <c r="L101" s="12">
        <v>30</v>
      </c>
      <c r="M101" s="87">
        <f>+K101-P101</f>
        <v>2083333</v>
      </c>
      <c r="N101" s="87"/>
      <c r="O101" s="87"/>
      <c r="P101" s="87">
        <v>416667</v>
      </c>
      <c r="Q101" s="87">
        <f t="shared" si="75"/>
        <v>2500000</v>
      </c>
      <c r="R101" s="87">
        <v>100000</v>
      </c>
      <c r="S101" s="87">
        <v>100000</v>
      </c>
      <c r="T101" s="87"/>
      <c r="U101" s="87"/>
      <c r="V101" s="87">
        <v>0</v>
      </c>
      <c r="W101" s="87"/>
      <c r="X101" s="87"/>
      <c r="Y101" s="87"/>
      <c r="Z101" s="87">
        <f t="shared" si="39"/>
        <v>200000</v>
      </c>
      <c r="AA101" s="7">
        <f>+Q101-Z101</f>
        <v>2300000</v>
      </c>
      <c r="AB101" s="8"/>
      <c r="AC101" s="9"/>
      <c r="AD101" s="8">
        <f t="shared" si="59"/>
        <v>2300000</v>
      </c>
    </row>
    <row r="102" spans="1:30" ht="24" x14ac:dyDescent="0.25">
      <c r="A102" s="108"/>
      <c r="B102" s="88">
        <v>56</v>
      </c>
      <c r="C102" s="3" t="s">
        <v>122</v>
      </c>
      <c r="D102" s="86" t="s">
        <v>26</v>
      </c>
      <c r="E102" s="86" t="s">
        <v>208</v>
      </c>
      <c r="F102" s="86" t="s">
        <v>264</v>
      </c>
      <c r="G102" s="87">
        <v>1030590506</v>
      </c>
      <c r="H102" s="86" t="s">
        <v>234</v>
      </c>
      <c r="I102" s="6" t="s">
        <v>211</v>
      </c>
      <c r="J102" s="122" t="s">
        <v>265</v>
      </c>
      <c r="K102" s="87">
        <v>3000000</v>
      </c>
      <c r="L102" s="12">
        <v>30</v>
      </c>
      <c r="M102" s="87">
        <f t="shared" si="56"/>
        <v>3000000</v>
      </c>
      <c r="N102" s="87"/>
      <c r="O102" s="87">
        <v>270000</v>
      </c>
      <c r="P102" s="87"/>
      <c r="Q102" s="87">
        <f t="shared" si="75"/>
        <v>3270000</v>
      </c>
      <c r="R102" s="87">
        <f>+K102*4%</f>
        <v>120000</v>
      </c>
      <c r="S102" s="87">
        <f>+M102*5%</f>
        <v>150000</v>
      </c>
      <c r="T102" s="87"/>
      <c r="U102" s="87"/>
      <c r="V102" s="87">
        <v>0</v>
      </c>
      <c r="W102" s="87"/>
      <c r="X102" s="87"/>
      <c r="Y102" s="87"/>
      <c r="Z102" s="87">
        <f t="shared" si="39"/>
        <v>270000</v>
      </c>
      <c r="AA102" s="7">
        <f>Q102-Z102</f>
        <v>3000000</v>
      </c>
      <c r="AB102" s="8"/>
      <c r="AC102" s="9"/>
      <c r="AD102" s="8">
        <f t="shared" si="59"/>
        <v>3000000</v>
      </c>
    </row>
    <row r="103" spans="1:30" ht="36" x14ac:dyDescent="0.25">
      <c r="A103" s="108"/>
      <c r="B103" s="88">
        <v>57</v>
      </c>
      <c r="C103" s="3" t="s">
        <v>123</v>
      </c>
      <c r="D103" s="86" t="s">
        <v>26</v>
      </c>
      <c r="E103" s="86" t="s">
        <v>208</v>
      </c>
      <c r="F103" s="6" t="s">
        <v>242</v>
      </c>
      <c r="G103" s="87">
        <v>1018436225</v>
      </c>
      <c r="H103" s="86" t="s">
        <v>234</v>
      </c>
      <c r="I103" s="6" t="s">
        <v>211</v>
      </c>
      <c r="J103" s="122" t="s">
        <v>266</v>
      </c>
      <c r="K103" s="87">
        <v>1600000</v>
      </c>
      <c r="L103" s="12">
        <v>30</v>
      </c>
      <c r="M103" s="87">
        <f t="shared" si="56"/>
        <v>1600000</v>
      </c>
      <c r="N103" s="87"/>
      <c r="O103" s="87">
        <v>200000</v>
      </c>
      <c r="P103" s="87"/>
      <c r="Q103" s="87">
        <f>SUM(M103:O103)+P103</f>
        <v>1800000</v>
      </c>
      <c r="R103" s="87">
        <f>+M103*4%</f>
        <v>64000</v>
      </c>
      <c r="S103" s="87">
        <f>+M103*4%</f>
        <v>64000</v>
      </c>
      <c r="T103" s="87"/>
      <c r="U103" s="87"/>
      <c r="V103" s="87"/>
      <c r="W103" s="87"/>
      <c r="X103" s="87"/>
      <c r="Y103" s="87"/>
      <c r="Z103" s="87">
        <f>SUM(R103:Y103)</f>
        <v>128000</v>
      </c>
      <c r="AA103" s="7">
        <f>Q103-Z103</f>
        <v>1672000</v>
      </c>
      <c r="AB103" s="8"/>
      <c r="AC103" s="9"/>
      <c r="AD103" s="8">
        <f t="shared" si="59"/>
        <v>1672000</v>
      </c>
    </row>
    <row r="104" spans="1:30" x14ac:dyDescent="0.25">
      <c r="A104" s="108"/>
      <c r="B104" s="88">
        <v>58</v>
      </c>
      <c r="C104" s="3" t="s">
        <v>125</v>
      </c>
      <c r="D104" s="86"/>
      <c r="E104" s="86"/>
      <c r="F104" s="6"/>
      <c r="G104" s="87"/>
      <c r="H104" s="86"/>
      <c r="I104" s="6"/>
      <c r="J104" s="122"/>
      <c r="K104" s="87">
        <v>4500000</v>
      </c>
      <c r="L104" s="12">
        <v>30</v>
      </c>
      <c r="M104" s="87">
        <f t="shared" si="56"/>
        <v>4500000</v>
      </c>
      <c r="N104" s="87"/>
      <c r="O104" s="87"/>
      <c r="P104" s="87"/>
      <c r="Q104" s="87">
        <f t="shared" ref="Q104" si="89">SUM(M104:O104)+P104</f>
        <v>4500000</v>
      </c>
      <c r="R104" s="87">
        <f>+M104*4%</f>
        <v>180000</v>
      </c>
      <c r="S104" s="87">
        <f>+M104*5%</f>
        <v>225000</v>
      </c>
      <c r="T104" s="87"/>
      <c r="U104" s="87"/>
      <c r="V104" s="87">
        <v>34000</v>
      </c>
      <c r="W104" s="87"/>
      <c r="X104" s="87"/>
      <c r="Y104" s="87"/>
      <c r="Z104" s="87">
        <f>SUM(R104:Y104)</f>
        <v>439000</v>
      </c>
      <c r="AA104" s="7">
        <f>Q104-Z104</f>
        <v>4061000</v>
      </c>
      <c r="AB104" s="8"/>
      <c r="AC104" s="9"/>
      <c r="AD104" s="8">
        <f t="shared" si="59"/>
        <v>4061000</v>
      </c>
    </row>
    <row r="105" spans="1:30" ht="48" x14ac:dyDescent="0.25">
      <c r="A105" s="108"/>
      <c r="B105" s="88">
        <v>59</v>
      </c>
      <c r="C105" s="11" t="s">
        <v>127</v>
      </c>
      <c r="D105" s="6" t="s">
        <v>26</v>
      </c>
      <c r="E105" s="6" t="s">
        <v>208</v>
      </c>
      <c r="F105" s="6" t="s">
        <v>252</v>
      </c>
      <c r="G105" s="12">
        <v>1030565925</v>
      </c>
      <c r="H105" s="6" t="s">
        <v>267</v>
      </c>
      <c r="I105" s="6" t="s">
        <v>211</v>
      </c>
      <c r="J105" s="114" t="s">
        <v>268</v>
      </c>
      <c r="K105" s="87">
        <v>3000000</v>
      </c>
      <c r="L105" s="12">
        <v>30</v>
      </c>
      <c r="M105" s="87">
        <f t="shared" si="56"/>
        <v>3000000</v>
      </c>
      <c r="N105" s="87"/>
      <c r="O105" s="87"/>
      <c r="P105" s="87"/>
      <c r="Q105" s="87">
        <f t="shared" si="75"/>
        <v>3000000</v>
      </c>
      <c r="R105" s="87">
        <f>+K105*4%</f>
        <v>120000</v>
      </c>
      <c r="S105" s="87">
        <f>+K105*5%</f>
        <v>150000</v>
      </c>
      <c r="T105" s="87"/>
      <c r="U105" s="87"/>
      <c r="V105" s="87"/>
      <c r="W105" s="87"/>
      <c r="X105" s="87"/>
      <c r="Y105" s="87"/>
      <c r="Z105" s="87">
        <f t="shared" si="39"/>
        <v>270000</v>
      </c>
      <c r="AA105" s="7">
        <f>+Q105-Z105</f>
        <v>2730000</v>
      </c>
      <c r="AB105" s="8"/>
      <c r="AC105" s="9"/>
      <c r="AD105" s="8">
        <f t="shared" si="59"/>
        <v>2730000</v>
      </c>
    </row>
    <row r="106" spans="1:30" ht="48" x14ac:dyDescent="0.25">
      <c r="A106" s="108"/>
      <c r="B106" s="88">
        <v>60</v>
      </c>
      <c r="C106" s="11" t="s">
        <v>128</v>
      </c>
      <c r="D106" s="6" t="s">
        <v>26</v>
      </c>
      <c r="E106" s="6" t="s">
        <v>208</v>
      </c>
      <c r="F106" s="6" t="s">
        <v>222</v>
      </c>
      <c r="G106" s="12">
        <v>94332160</v>
      </c>
      <c r="H106" s="116" t="s">
        <v>269</v>
      </c>
      <c r="I106" s="117" t="s">
        <v>216</v>
      </c>
      <c r="J106" s="116">
        <v>4282001039</v>
      </c>
      <c r="K106" s="87">
        <v>3700000</v>
      </c>
      <c r="L106" s="12">
        <v>30</v>
      </c>
      <c r="M106" s="87">
        <f t="shared" si="56"/>
        <v>3700000</v>
      </c>
      <c r="N106" s="87"/>
      <c r="O106" s="87">
        <v>650000</v>
      </c>
      <c r="P106" s="87"/>
      <c r="Q106" s="87">
        <f t="shared" si="75"/>
        <v>4350000</v>
      </c>
      <c r="R106" s="87">
        <f t="shared" ref="R106" si="90">+M106*4%</f>
        <v>148000</v>
      </c>
      <c r="S106" s="87">
        <f>+M106*5%</f>
        <v>185000</v>
      </c>
      <c r="T106" s="87"/>
      <c r="U106" s="87"/>
      <c r="V106" s="87"/>
      <c r="W106" s="87"/>
      <c r="X106" s="87"/>
      <c r="Y106" s="87"/>
      <c r="Z106" s="87">
        <f t="shared" ref="Z106" si="91">SUM(R106:Y106)</f>
        <v>333000</v>
      </c>
      <c r="AA106" s="7">
        <f>+Q106-Z106</f>
        <v>4017000</v>
      </c>
      <c r="AB106" s="8"/>
      <c r="AC106" s="9"/>
      <c r="AD106" s="8">
        <f t="shared" si="59"/>
        <v>4017000</v>
      </c>
    </row>
    <row r="107" spans="1:30" ht="48" x14ac:dyDescent="0.25">
      <c r="A107" s="108"/>
      <c r="B107" s="88">
        <v>61</v>
      </c>
      <c r="C107" s="11" t="s">
        <v>129</v>
      </c>
      <c r="D107" s="6" t="s">
        <v>34</v>
      </c>
      <c r="E107" s="6" t="s">
        <v>208</v>
      </c>
      <c r="F107" s="6" t="s">
        <v>252</v>
      </c>
      <c r="G107" s="12">
        <v>1019047592</v>
      </c>
      <c r="H107" s="116" t="s">
        <v>234</v>
      </c>
      <c r="I107" s="117" t="s">
        <v>216</v>
      </c>
      <c r="J107" s="116">
        <v>268064490</v>
      </c>
      <c r="K107" s="87">
        <v>2000000</v>
      </c>
      <c r="L107" s="12">
        <v>30</v>
      </c>
      <c r="M107" s="87">
        <f t="shared" si="56"/>
        <v>2000000.0000000002</v>
      </c>
      <c r="N107" s="87"/>
      <c r="O107" s="87"/>
      <c r="P107" s="87"/>
      <c r="Q107" s="87">
        <f t="shared" si="75"/>
        <v>2000000.0000000002</v>
      </c>
      <c r="R107" s="87">
        <f>+K107*4%</f>
        <v>80000</v>
      </c>
      <c r="S107" s="87">
        <f>+K107*4%</f>
        <v>80000</v>
      </c>
      <c r="T107" s="87"/>
      <c r="U107" s="87"/>
      <c r="V107" s="17"/>
      <c r="W107" s="87"/>
      <c r="X107" s="87"/>
      <c r="Y107" s="87">
        <v>136805</v>
      </c>
      <c r="Z107" s="87">
        <f t="shared" si="39"/>
        <v>296805</v>
      </c>
      <c r="AA107" s="7">
        <f>+Q107-Z107</f>
        <v>1703195.0000000002</v>
      </c>
      <c r="AB107" s="8"/>
      <c r="AC107" s="9"/>
      <c r="AD107" s="8">
        <f t="shared" si="59"/>
        <v>1703195.0000000002</v>
      </c>
    </row>
    <row r="108" spans="1:30" ht="36" x14ac:dyDescent="0.25">
      <c r="A108" s="108"/>
      <c r="B108" s="88">
        <v>62</v>
      </c>
      <c r="C108" s="11" t="s">
        <v>172</v>
      </c>
      <c r="D108" s="6"/>
      <c r="E108" s="6"/>
      <c r="F108" s="6"/>
      <c r="G108" s="12"/>
      <c r="H108" s="116"/>
      <c r="I108" s="117"/>
      <c r="J108" s="116"/>
      <c r="K108" s="87">
        <v>1500000</v>
      </c>
      <c r="L108" s="12">
        <v>30</v>
      </c>
      <c r="M108" s="87">
        <f t="shared" si="56"/>
        <v>1500000</v>
      </c>
      <c r="N108" s="87"/>
      <c r="O108" s="87"/>
      <c r="P108" s="87"/>
      <c r="Q108" s="87">
        <f t="shared" si="75"/>
        <v>1500000</v>
      </c>
      <c r="R108" s="87">
        <f>+M108*4%</f>
        <v>60000</v>
      </c>
      <c r="S108" s="87">
        <f>+M108*4%</f>
        <v>60000</v>
      </c>
      <c r="T108" s="87"/>
      <c r="U108" s="87"/>
      <c r="V108" s="17"/>
      <c r="W108" s="87"/>
      <c r="X108" s="87"/>
      <c r="Y108" s="87"/>
      <c r="Z108" s="87">
        <f t="shared" ref="Z108" si="92">SUM(R108:Y108)</f>
        <v>120000</v>
      </c>
      <c r="AA108" s="7">
        <f>+Q108-Z108</f>
        <v>1380000</v>
      </c>
      <c r="AB108" s="8"/>
      <c r="AC108" s="9"/>
      <c r="AD108" s="8">
        <f t="shared" si="59"/>
        <v>1380000</v>
      </c>
    </row>
    <row r="109" spans="1:30" ht="24" x14ac:dyDescent="0.25">
      <c r="A109" s="108"/>
      <c r="B109" s="88">
        <v>63</v>
      </c>
      <c r="C109" s="3" t="s">
        <v>130</v>
      </c>
      <c r="D109" s="86" t="s">
        <v>26</v>
      </c>
      <c r="E109" s="86" t="s">
        <v>208</v>
      </c>
      <c r="F109" s="124" t="s">
        <v>270</v>
      </c>
      <c r="G109" s="87">
        <v>1022390411</v>
      </c>
      <c r="H109" s="86" t="s">
        <v>234</v>
      </c>
      <c r="I109" s="6" t="s">
        <v>211</v>
      </c>
      <c r="J109" s="122" t="s">
        <v>271</v>
      </c>
      <c r="K109" s="87">
        <v>1600000</v>
      </c>
      <c r="L109" s="12">
        <v>30</v>
      </c>
      <c r="M109" s="87">
        <f t="shared" si="56"/>
        <v>1600000</v>
      </c>
      <c r="N109" s="87"/>
      <c r="O109" s="87"/>
      <c r="P109" s="87">
        <v>500000</v>
      </c>
      <c r="Q109" s="87">
        <f t="shared" si="75"/>
        <v>2100000</v>
      </c>
      <c r="R109" s="87">
        <f>+Q109*4%</f>
        <v>84000</v>
      </c>
      <c r="S109" s="87">
        <v>64000</v>
      </c>
      <c r="T109" s="87"/>
      <c r="U109" s="87"/>
      <c r="V109" s="87">
        <v>0</v>
      </c>
      <c r="W109" s="87"/>
      <c r="X109" s="87"/>
      <c r="Y109" s="87">
        <v>249127</v>
      </c>
      <c r="Z109" s="87">
        <f t="shared" si="39"/>
        <v>397127</v>
      </c>
      <c r="AA109" s="7">
        <f>Q109-Z109</f>
        <v>1702873</v>
      </c>
      <c r="AB109" s="8"/>
      <c r="AC109" s="9"/>
      <c r="AD109" s="8">
        <f t="shared" si="59"/>
        <v>1702873</v>
      </c>
    </row>
    <row r="110" spans="1:30" ht="36" x14ac:dyDescent="0.25">
      <c r="A110" s="108"/>
      <c r="B110" s="88">
        <v>64</v>
      </c>
      <c r="C110" s="11" t="s">
        <v>131</v>
      </c>
      <c r="D110" s="6" t="s">
        <v>26</v>
      </c>
      <c r="E110" s="6" t="s">
        <v>208</v>
      </c>
      <c r="F110" s="6" t="s">
        <v>243</v>
      </c>
      <c r="G110" s="12">
        <v>1015452282</v>
      </c>
      <c r="H110" s="6" t="s">
        <v>234</v>
      </c>
      <c r="I110" s="6" t="s">
        <v>211</v>
      </c>
      <c r="J110" s="6">
        <v>318091051</v>
      </c>
      <c r="K110" s="87">
        <v>737717</v>
      </c>
      <c r="L110" s="12">
        <v>30</v>
      </c>
      <c r="M110" s="87">
        <f t="shared" si="56"/>
        <v>737717</v>
      </c>
      <c r="N110" s="87">
        <f t="shared" ref="N110" si="93">+(83140/30)*L110</f>
        <v>83140</v>
      </c>
      <c r="O110" s="87"/>
      <c r="P110" s="87"/>
      <c r="Q110" s="87">
        <f t="shared" si="75"/>
        <v>820857</v>
      </c>
      <c r="R110" s="87">
        <v>29509</v>
      </c>
      <c r="S110" s="87">
        <v>29509</v>
      </c>
      <c r="T110" s="87"/>
      <c r="U110" s="87"/>
      <c r="V110" s="87">
        <v>0</v>
      </c>
      <c r="W110" s="87"/>
      <c r="X110" s="87"/>
      <c r="Y110" s="87"/>
      <c r="Z110" s="87">
        <f t="shared" si="39"/>
        <v>59018</v>
      </c>
      <c r="AA110" s="7">
        <f t="shared" ref="AA110:AA116" si="94">+Q110-Z110</f>
        <v>761839</v>
      </c>
      <c r="AB110" s="8"/>
      <c r="AC110" s="9"/>
      <c r="AD110" s="8">
        <f t="shared" si="59"/>
        <v>761839</v>
      </c>
    </row>
    <row r="111" spans="1:30" ht="48" x14ac:dyDescent="0.25">
      <c r="A111" s="108"/>
      <c r="B111" s="88">
        <v>65</v>
      </c>
      <c r="C111" s="11" t="s">
        <v>133</v>
      </c>
      <c r="D111" s="6" t="s">
        <v>26</v>
      </c>
      <c r="E111" s="6" t="s">
        <v>208</v>
      </c>
      <c r="F111" s="6" t="s">
        <v>225</v>
      </c>
      <c r="G111" s="12">
        <v>1030605238</v>
      </c>
      <c r="H111" s="6" t="s">
        <v>213</v>
      </c>
      <c r="I111" s="6" t="s">
        <v>211</v>
      </c>
      <c r="J111" s="6">
        <v>4516774903</v>
      </c>
      <c r="K111" s="87">
        <v>1800000</v>
      </c>
      <c r="L111" s="12">
        <v>30</v>
      </c>
      <c r="M111" s="87">
        <f t="shared" si="56"/>
        <v>1800000</v>
      </c>
      <c r="N111" s="87"/>
      <c r="O111" s="87"/>
      <c r="P111" s="21"/>
      <c r="Q111" s="87">
        <f t="shared" si="75"/>
        <v>1800000</v>
      </c>
      <c r="R111" s="87">
        <f t="shared" ref="R111" si="95">+M111*4%</f>
        <v>72000</v>
      </c>
      <c r="S111" s="87">
        <f t="shared" ref="S111" si="96">+M111*4%</f>
        <v>72000</v>
      </c>
      <c r="T111" s="87"/>
      <c r="U111" s="87"/>
      <c r="V111" s="87">
        <v>0</v>
      </c>
      <c r="W111" s="87"/>
      <c r="X111" s="87"/>
      <c r="Y111" s="87"/>
      <c r="Z111" s="87">
        <f t="shared" ref="Z111" si="97">SUM(R111:Y111)</f>
        <v>144000</v>
      </c>
      <c r="AA111" s="7">
        <f t="shared" si="94"/>
        <v>1656000</v>
      </c>
      <c r="AB111" s="8"/>
      <c r="AC111" s="9"/>
      <c r="AD111" s="8">
        <f t="shared" si="59"/>
        <v>1656000</v>
      </c>
    </row>
    <row r="112" spans="1:30" ht="48" x14ac:dyDescent="0.25">
      <c r="A112" s="108"/>
      <c r="B112" s="88">
        <v>66</v>
      </c>
      <c r="C112" s="11" t="s">
        <v>134</v>
      </c>
      <c r="D112" s="6" t="s">
        <v>26</v>
      </c>
      <c r="E112" s="6" t="s">
        <v>208</v>
      </c>
      <c r="F112" s="6" t="s">
        <v>233</v>
      </c>
      <c r="G112" s="12">
        <v>1013642982</v>
      </c>
      <c r="H112" s="6" t="s">
        <v>234</v>
      </c>
      <c r="I112" s="6" t="s">
        <v>211</v>
      </c>
      <c r="J112" s="6">
        <v>627168404</v>
      </c>
      <c r="K112" s="87">
        <v>2000000</v>
      </c>
      <c r="L112" s="12">
        <v>30</v>
      </c>
      <c r="M112" s="87">
        <f t="shared" si="56"/>
        <v>2000000.0000000002</v>
      </c>
      <c r="N112" s="87"/>
      <c r="O112" s="87"/>
      <c r="P112" s="87"/>
      <c r="Q112" s="87">
        <f t="shared" si="75"/>
        <v>2000000.0000000002</v>
      </c>
      <c r="R112" s="87">
        <v>80000</v>
      </c>
      <c r="S112" s="87">
        <v>80000</v>
      </c>
      <c r="T112" s="87"/>
      <c r="U112" s="87"/>
      <c r="V112" s="87"/>
      <c r="W112" s="87"/>
      <c r="X112" s="87"/>
      <c r="Y112" s="87"/>
      <c r="Z112" s="87">
        <f t="shared" si="39"/>
        <v>160000</v>
      </c>
      <c r="AA112" s="7">
        <f t="shared" si="94"/>
        <v>1840000.0000000002</v>
      </c>
      <c r="AB112" s="8"/>
      <c r="AC112" s="9"/>
      <c r="AD112" s="8">
        <f t="shared" si="59"/>
        <v>1840000.0000000002</v>
      </c>
    </row>
    <row r="113" spans="1:30" ht="48" x14ac:dyDescent="0.25">
      <c r="A113" s="108"/>
      <c r="B113" s="88">
        <v>67</v>
      </c>
      <c r="C113" s="11" t="s">
        <v>136</v>
      </c>
      <c r="D113" s="6"/>
      <c r="E113" s="6"/>
      <c r="F113" s="6"/>
      <c r="G113" s="12"/>
      <c r="H113" s="6"/>
      <c r="I113" s="6"/>
      <c r="J113" s="6"/>
      <c r="K113" s="87">
        <v>1200000</v>
      </c>
      <c r="L113" s="12">
        <v>30</v>
      </c>
      <c r="M113" s="87">
        <f t="shared" si="56"/>
        <v>1200000</v>
      </c>
      <c r="N113" s="87">
        <f t="shared" ref="N113" si="98">+(83140/30)*L113</f>
        <v>83140</v>
      </c>
      <c r="O113" s="87"/>
      <c r="P113" s="22"/>
      <c r="Q113" s="87">
        <f t="shared" si="75"/>
        <v>1283140</v>
      </c>
      <c r="R113" s="87">
        <f t="shared" ref="R113" si="99">+M113*4%</f>
        <v>48000</v>
      </c>
      <c r="S113" s="87">
        <f t="shared" ref="S113" si="100">+M113*4%</f>
        <v>48000</v>
      </c>
      <c r="T113" s="87"/>
      <c r="U113" s="87"/>
      <c r="V113" s="87">
        <v>0</v>
      </c>
      <c r="W113" s="87"/>
      <c r="X113" s="87"/>
      <c r="Y113" s="87"/>
      <c r="Z113" s="87">
        <f t="shared" ref="Z113:Z114" si="101">SUM(R113:Y113)</f>
        <v>96000</v>
      </c>
      <c r="AA113" s="7">
        <f t="shared" si="94"/>
        <v>1187140</v>
      </c>
      <c r="AB113" s="8"/>
      <c r="AC113" s="9"/>
      <c r="AD113" s="8">
        <f t="shared" si="59"/>
        <v>1187140</v>
      </c>
    </row>
    <row r="114" spans="1:30" ht="36" x14ac:dyDescent="0.25">
      <c r="A114" s="108"/>
      <c r="B114" s="88">
        <v>68</v>
      </c>
      <c r="C114" s="11" t="s">
        <v>159</v>
      </c>
      <c r="D114" s="6"/>
      <c r="E114" s="6"/>
      <c r="F114" s="6"/>
      <c r="G114" s="12"/>
      <c r="H114" s="6"/>
      <c r="I114" s="6"/>
      <c r="J114" s="6"/>
      <c r="K114" s="87">
        <v>368859</v>
      </c>
      <c r="L114" s="12">
        <v>30</v>
      </c>
      <c r="M114" s="87">
        <f t="shared" si="56"/>
        <v>368859</v>
      </c>
      <c r="N114" s="87"/>
      <c r="O114" s="87"/>
      <c r="P114" s="22"/>
      <c r="Q114" s="87">
        <f t="shared" si="75"/>
        <v>368859</v>
      </c>
      <c r="R114" s="87"/>
      <c r="S114" s="87"/>
      <c r="T114" s="87"/>
      <c r="U114" s="87"/>
      <c r="V114" s="87"/>
      <c r="W114" s="87"/>
      <c r="X114" s="87"/>
      <c r="Y114" s="87"/>
      <c r="Z114" s="87">
        <f t="shared" si="101"/>
        <v>0</v>
      </c>
      <c r="AA114" s="7">
        <f t="shared" si="94"/>
        <v>368859</v>
      </c>
      <c r="AB114" s="8"/>
      <c r="AC114" s="9"/>
      <c r="AD114" s="8"/>
    </row>
    <row r="115" spans="1:30" ht="48" x14ac:dyDescent="0.25">
      <c r="A115" s="108"/>
      <c r="B115" s="88">
        <v>69</v>
      </c>
      <c r="C115" s="11" t="s">
        <v>137</v>
      </c>
      <c r="D115" s="6" t="s">
        <v>26</v>
      </c>
      <c r="E115" s="6" t="s">
        <v>208</v>
      </c>
      <c r="F115" s="6" t="s">
        <v>238</v>
      </c>
      <c r="G115" s="125">
        <v>492108</v>
      </c>
      <c r="H115" s="116" t="s">
        <v>213</v>
      </c>
      <c r="I115" s="117" t="s">
        <v>216</v>
      </c>
      <c r="J115" s="116">
        <v>60230331114</v>
      </c>
      <c r="K115" s="87">
        <v>4400000</v>
      </c>
      <c r="L115" s="12">
        <v>30</v>
      </c>
      <c r="M115" s="87">
        <f t="shared" si="56"/>
        <v>4400000</v>
      </c>
      <c r="N115" s="87"/>
      <c r="O115" s="87"/>
      <c r="P115" s="87"/>
      <c r="Q115" s="87">
        <f t="shared" si="75"/>
        <v>4400000</v>
      </c>
      <c r="R115" s="87">
        <f>+M115*4%</f>
        <v>176000</v>
      </c>
      <c r="S115" s="87">
        <f>+M115*5%</f>
        <v>220000</v>
      </c>
      <c r="T115" s="87"/>
      <c r="U115" s="87"/>
      <c r="V115" s="87">
        <v>44000</v>
      </c>
      <c r="W115" s="87"/>
      <c r="X115" s="87"/>
      <c r="Y115" s="87"/>
      <c r="Z115" s="87">
        <f t="shared" si="39"/>
        <v>440000</v>
      </c>
      <c r="AA115" s="7">
        <f t="shared" si="94"/>
        <v>3960000</v>
      </c>
      <c r="AB115" s="8"/>
      <c r="AC115" s="9"/>
      <c r="AD115" s="8">
        <f t="shared" ref="AD115:AD116" si="102">AA115+AB115-AC115</f>
        <v>3960000</v>
      </c>
    </row>
    <row r="116" spans="1:30" ht="36" x14ac:dyDescent="0.25">
      <c r="A116" s="90"/>
      <c r="B116" s="88">
        <v>70</v>
      </c>
      <c r="C116" s="11" t="s">
        <v>272</v>
      </c>
      <c r="D116" s="6"/>
      <c r="E116" s="6"/>
      <c r="F116" s="6"/>
      <c r="G116" s="12"/>
      <c r="H116" s="6"/>
      <c r="I116" s="6"/>
      <c r="J116" s="6"/>
      <c r="K116" s="87">
        <v>1200000</v>
      </c>
      <c r="L116" s="12">
        <v>27</v>
      </c>
      <c r="M116" s="87">
        <f t="shared" si="56"/>
        <v>1080000</v>
      </c>
      <c r="N116" s="87">
        <f t="shared" ref="N116" si="103">+(83140/30)*L116</f>
        <v>74826</v>
      </c>
      <c r="O116" s="87"/>
      <c r="P116" s="22"/>
      <c r="Q116" s="87">
        <f t="shared" si="75"/>
        <v>1154826</v>
      </c>
      <c r="R116" s="87">
        <f>+M116*4%</f>
        <v>43200</v>
      </c>
      <c r="S116" s="87">
        <f t="shared" ref="S116" si="104">+M116*4%</f>
        <v>43200</v>
      </c>
      <c r="T116" s="87"/>
      <c r="U116" s="87"/>
      <c r="V116" s="87">
        <v>0</v>
      </c>
      <c r="W116" s="87"/>
      <c r="X116" s="87"/>
      <c r="Y116" s="87"/>
      <c r="Z116" s="87">
        <f t="shared" ref="Z116" si="105">SUM(R116:Y116)</f>
        <v>86400</v>
      </c>
      <c r="AA116" s="7">
        <f t="shared" si="94"/>
        <v>1068426</v>
      </c>
      <c r="AB116" s="8"/>
      <c r="AC116" s="9"/>
      <c r="AD116" s="8">
        <f t="shared" si="102"/>
        <v>1068426</v>
      </c>
    </row>
    <row r="117" spans="1:30" x14ac:dyDescent="0.25">
      <c r="A117" s="88"/>
      <c r="B117" s="88"/>
      <c r="C117" s="23" t="s">
        <v>139</v>
      </c>
      <c r="D117" s="88"/>
      <c r="E117" s="88"/>
      <c r="F117" s="88"/>
      <c r="G117" s="88"/>
      <c r="H117" s="88"/>
      <c r="I117" s="88"/>
      <c r="J117" s="88"/>
      <c r="K117" s="89">
        <f>SUM(K4:K115)</f>
        <v>382776860</v>
      </c>
      <c r="L117" s="89" t="s">
        <v>1</v>
      </c>
      <c r="M117" s="8">
        <f t="shared" ref="M117:Z117" si="106">SUM(M4:M115)</f>
        <v>372408530.36666673</v>
      </c>
      <c r="N117" s="8">
        <f t="shared" si="106"/>
        <v>2264055.3333333335</v>
      </c>
      <c r="O117" s="8">
        <f t="shared" si="106"/>
        <v>13581106.333333334</v>
      </c>
      <c r="P117" s="8">
        <f t="shared" si="106"/>
        <v>7616667.333333334</v>
      </c>
      <c r="Q117" s="8">
        <f t="shared" si="106"/>
        <v>396304305.36666667</v>
      </c>
      <c r="R117" s="8">
        <f t="shared" si="106"/>
        <v>15086165.221333332</v>
      </c>
      <c r="S117" s="8">
        <f t="shared" si="106"/>
        <v>18334890.91133333</v>
      </c>
      <c r="T117" s="8">
        <f t="shared" si="106"/>
        <v>102400</v>
      </c>
      <c r="U117" s="8">
        <f t="shared" si="106"/>
        <v>0</v>
      </c>
      <c r="V117" s="8">
        <f t="shared" si="106"/>
        <v>4492621</v>
      </c>
      <c r="W117" s="8">
        <f t="shared" si="106"/>
        <v>15165000</v>
      </c>
      <c r="X117" s="8">
        <f t="shared" si="106"/>
        <v>933794</v>
      </c>
      <c r="Y117" s="8">
        <f t="shared" si="106"/>
        <v>14246998</v>
      </c>
      <c r="Z117" s="8">
        <f t="shared" si="106"/>
        <v>68361869.132666662</v>
      </c>
      <c r="AA117" s="8">
        <f>SUM(AA4:AA116)</f>
        <v>329010862.23399997</v>
      </c>
      <c r="AB117" s="8">
        <f>SUM(AB5:AB110)</f>
        <v>0</v>
      </c>
      <c r="AC117" s="9">
        <f>SUM(AC5:AC110)</f>
        <v>0</v>
      </c>
      <c r="AD117" s="8">
        <f>SUM(AD4:AD115)</f>
        <v>324366052.06866664</v>
      </c>
    </row>
  </sheetData>
  <mergeCells count="5">
    <mergeCell ref="C1:AA1"/>
    <mergeCell ref="K2:Q2"/>
    <mergeCell ref="R2:Z2"/>
    <mergeCell ref="A3:A46"/>
    <mergeCell ref="A47:A1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4300-7C4C-4655-BE63-76C57F6174B3}">
  <dimension ref="A1:AD116"/>
  <sheetViews>
    <sheetView tabSelected="1" workbookViewId="0">
      <selection activeCell="O3" sqref="O3"/>
    </sheetView>
  </sheetViews>
  <sheetFormatPr baseColWidth="10" defaultRowHeight="15" x14ac:dyDescent="0.25"/>
  <cols>
    <col min="7" max="7" width="13.28515625" bestFit="1" customWidth="1"/>
    <col min="10" max="10" width="13" bestFit="1" customWidth="1"/>
  </cols>
  <sheetData>
    <row r="1" spans="1:30" x14ac:dyDescent="0.25">
      <c r="A1" s="10"/>
      <c r="B1" s="10"/>
      <c r="C1" s="105" t="s">
        <v>273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88"/>
      <c r="AC1" s="9"/>
      <c r="AD1" s="88"/>
    </row>
    <row r="2" spans="1:30" x14ac:dyDescent="0.25">
      <c r="A2" s="10"/>
      <c r="B2" s="10"/>
      <c r="C2" s="72" t="s">
        <v>1</v>
      </c>
      <c r="D2" s="88"/>
      <c r="E2" s="88"/>
      <c r="F2" s="88"/>
      <c r="G2" s="88"/>
      <c r="H2" s="88"/>
      <c r="I2" s="88"/>
      <c r="J2" s="88"/>
      <c r="K2" s="106" t="s">
        <v>2</v>
      </c>
      <c r="L2" s="106"/>
      <c r="M2" s="106"/>
      <c r="N2" s="106"/>
      <c r="O2" s="106"/>
      <c r="P2" s="106"/>
      <c r="Q2" s="106"/>
      <c r="R2" s="106" t="s">
        <v>3</v>
      </c>
      <c r="S2" s="106"/>
      <c r="T2" s="106"/>
      <c r="U2" s="106"/>
      <c r="V2" s="106"/>
      <c r="W2" s="106"/>
      <c r="X2" s="106"/>
      <c r="Y2" s="106"/>
      <c r="Z2" s="106"/>
      <c r="AA2" s="88"/>
      <c r="AB2" s="88"/>
      <c r="AC2" s="9"/>
      <c r="AD2" s="88"/>
    </row>
    <row r="3" spans="1:30" ht="48" x14ac:dyDescent="0.25">
      <c r="A3" s="107" t="s">
        <v>4</v>
      </c>
      <c r="B3" s="14" t="s">
        <v>5</v>
      </c>
      <c r="C3" s="14" t="s">
        <v>6</v>
      </c>
      <c r="D3" s="14" t="s">
        <v>7</v>
      </c>
      <c r="E3" s="14" t="s">
        <v>201</v>
      </c>
      <c r="F3" s="14" t="s">
        <v>202</v>
      </c>
      <c r="G3" s="14" t="s">
        <v>203</v>
      </c>
      <c r="H3" s="14" t="s">
        <v>204</v>
      </c>
      <c r="I3" s="14" t="s">
        <v>205</v>
      </c>
      <c r="J3" s="14" t="s">
        <v>206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199</v>
      </c>
      <c r="P3" s="15" t="s">
        <v>161</v>
      </c>
      <c r="Q3" s="15" t="s">
        <v>13</v>
      </c>
      <c r="R3" s="15" t="s">
        <v>14</v>
      </c>
      <c r="S3" s="15" t="s">
        <v>15</v>
      </c>
      <c r="T3" s="15" t="s">
        <v>16</v>
      </c>
      <c r="U3" s="15" t="s">
        <v>146</v>
      </c>
      <c r="V3" s="15" t="s">
        <v>18</v>
      </c>
      <c r="W3" s="15" t="s">
        <v>19</v>
      </c>
      <c r="X3" s="15" t="s">
        <v>20</v>
      </c>
      <c r="Y3" s="15" t="s">
        <v>21</v>
      </c>
      <c r="Z3" s="15" t="s">
        <v>22</v>
      </c>
      <c r="AA3" s="14" t="s">
        <v>23</v>
      </c>
      <c r="AB3" s="14"/>
      <c r="AC3" s="16"/>
      <c r="AD3" s="14" t="s">
        <v>147</v>
      </c>
    </row>
    <row r="4" spans="1:30" ht="48" x14ac:dyDescent="0.25">
      <c r="A4" s="108"/>
      <c r="B4" s="14">
        <v>1</v>
      </c>
      <c r="C4" s="11" t="s">
        <v>25</v>
      </c>
      <c r="D4" s="6" t="s">
        <v>26</v>
      </c>
      <c r="E4" s="6" t="s">
        <v>208</v>
      </c>
      <c r="F4" s="6" t="s">
        <v>209</v>
      </c>
      <c r="G4" s="12">
        <v>52515567</v>
      </c>
      <c r="H4" s="6" t="s">
        <v>210</v>
      </c>
      <c r="I4" s="6" t="s">
        <v>211</v>
      </c>
      <c r="J4" s="6">
        <v>1004911306</v>
      </c>
      <c r="K4" s="87">
        <v>5250000</v>
      </c>
      <c r="L4" s="12">
        <v>30</v>
      </c>
      <c r="M4" s="87">
        <f t="shared" ref="M4:M9" si="0">+K4/30*L4</f>
        <v>5250000</v>
      </c>
      <c r="N4" s="87"/>
      <c r="O4" s="87"/>
      <c r="P4" s="87"/>
      <c r="Q4" s="87">
        <f t="shared" ref="Q4:Q33" si="1">SUM(M4:O4)+P4</f>
        <v>5250000</v>
      </c>
      <c r="R4" s="87">
        <f>+M4*4%</f>
        <v>210000</v>
      </c>
      <c r="S4" s="87">
        <f>+M4*5%</f>
        <v>262500</v>
      </c>
      <c r="T4" s="87">
        <v>73000</v>
      </c>
      <c r="U4" s="87"/>
      <c r="V4" s="87">
        <v>32000</v>
      </c>
      <c r="W4" s="87"/>
      <c r="X4" s="87"/>
      <c r="Y4" s="87"/>
      <c r="Z4" s="87">
        <f t="shared" ref="Z4:Z50" si="2">SUM(R4:Y4)</f>
        <v>577500</v>
      </c>
      <c r="AA4" s="7">
        <f t="shared" ref="AA4:AA9" si="3">+Q4-Z4</f>
        <v>4672500</v>
      </c>
      <c r="AB4" s="8"/>
      <c r="AC4" s="9"/>
      <c r="AD4" s="8">
        <f t="shared" ref="AD4:AD67" si="4">AA4+AB4-AC4</f>
        <v>4672500</v>
      </c>
    </row>
    <row r="5" spans="1:30" ht="48" x14ac:dyDescent="0.25">
      <c r="A5" s="108"/>
      <c r="B5" s="14">
        <v>2</v>
      </c>
      <c r="C5" s="11" t="s">
        <v>27</v>
      </c>
      <c r="D5" s="6" t="s">
        <v>26</v>
      </c>
      <c r="E5" s="6" t="s">
        <v>208</v>
      </c>
      <c r="F5" s="6" t="s">
        <v>212</v>
      </c>
      <c r="G5" s="12">
        <v>80810931</v>
      </c>
      <c r="H5" s="6" t="s">
        <v>213</v>
      </c>
      <c r="I5" s="6" t="s">
        <v>211</v>
      </c>
      <c r="J5" s="6">
        <v>24122977591</v>
      </c>
      <c r="K5" s="87">
        <v>4000000</v>
      </c>
      <c r="L5" s="12">
        <v>30</v>
      </c>
      <c r="M5" s="87">
        <f t="shared" si="0"/>
        <v>4000000.0000000005</v>
      </c>
      <c r="N5" s="87"/>
      <c r="O5" s="87">
        <v>800000</v>
      </c>
      <c r="P5" s="87"/>
      <c r="Q5" s="87">
        <f t="shared" si="1"/>
        <v>4800000</v>
      </c>
      <c r="R5" s="87">
        <f>+K5*4%</f>
        <v>160000</v>
      </c>
      <c r="S5" s="87">
        <f>+K5*5%</f>
        <v>200000</v>
      </c>
      <c r="T5" s="87"/>
      <c r="U5" s="87"/>
      <c r="V5" s="87">
        <v>31064</v>
      </c>
      <c r="W5" s="87"/>
      <c r="X5" s="87"/>
      <c r="Y5" s="87"/>
      <c r="Z5" s="87">
        <f t="shared" si="2"/>
        <v>391064</v>
      </c>
      <c r="AA5" s="7">
        <f t="shared" si="3"/>
        <v>4408936</v>
      </c>
      <c r="AB5" s="8"/>
      <c r="AC5" s="9"/>
      <c r="AD5" s="8">
        <f t="shared" si="4"/>
        <v>4408936</v>
      </c>
    </row>
    <row r="6" spans="1:30" ht="36" x14ac:dyDescent="0.25">
      <c r="A6" s="108"/>
      <c r="B6" s="14">
        <v>3</v>
      </c>
      <c r="C6" s="11" t="s">
        <v>28</v>
      </c>
      <c r="D6" s="6" t="s">
        <v>26</v>
      </c>
      <c r="E6" s="6" t="s">
        <v>214</v>
      </c>
      <c r="F6" s="6" t="s">
        <v>215</v>
      </c>
      <c r="G6" s="12">
        <v>79516585</v>
      </c>
      <c r="H6" s="111" t="s">
        <v>213</v>
      </c>
      <c r="I6" s="112" t="s">
        <v>216</v>
      </c>
      <c r="J6" s="113">
        <v>20105106398</v>
      </c>
      <c r="K6" s="87">
        <v>5500000</v>
      </c>
      <c r="L6" s="12">
        <v>30</v>
      </c>
      <c r="M6" s="87">
        <f>+K6-P6</f>
        <v>5500000</v>
      </c>
      <c r="N6" s="87"/>
      <c r="O6" s="87"/>
      <c r="P6" s="87">
        <v>0</v>
      </c>
      <c r="Q6" s="87">
        <f t="shared" si="1"/>
        <v>5500000</v>
      </c>
      <c r="R6" s="87">
        <f>5500000*4%</f>
        <v>220000</v>
      </c>
      <c r="S6" s="87">
        <f>5500000*5%</f>
        <v>275000</v>
      </c>
      <c r="T6" s="87"/>
      <c r="U6" s="87"/>
      <c r="V6" s="87">
        <v>102000</v>
      </c>
      <c r="W6" s="87"/>
      <c r="X6" s="87"/>
      <c r="Y6" s="87"/>
      <c r="Z6" s="87">
        <f t="shared" si="2"/>
        <v>597000</v>
      </c>
      <c r="AA6" s="7">
        <f t="shared" si="3"/>
        <v>4903000</v>
      </c>
      <c r="AB6" s="8"/>
      <c r="AC6" s="9"/>
      <c r="AD6" s="8">
        <f t="shared" si="4"/>
        <v>4903000</v>
      </c>
    </row>
    <row r="7" spans="1:30" ht="36" x14ac:dyDescent="0.25">
      <c r="A7" s="108"/>
      <c r="B7" s="14">
        <v>4</v>
      </c>
      <c r="C7" s="11" t="s">
        <v>29</v>
      </c>
      <c r="D7" s="6" t="s">
        <v>26</v>
      </c>
      <c r="E7" s="6" t="s">
        <v>208</v>
      </c>
      <c r="F7" s="6" t="s">
        <v>217</v>
      </c>
      <c r="G7" s="12">
        <v>51720027</v>
      </c>
      <c r="H7" s="6" t="s">
        <v>218</v>
      </c>
      <c r="I7" s="6" t="s">
        <v>211</v>
      </c>
      <c r="J7" s="114" t="s">
        <v>219</v>
      </c>
      <c r="K7" s="87">
        <v>5492319</v>
      </c>
      <c r="L7" s="12">
        <v>30</v>
      </c>
      <c r="M7" s="87">
        <f t="shared" ref="M7" si="5">+K7/30*L7</f>
        <v>5492319</v>
      </c>
      <c r="N7" s="87"/>
      <c r="O7" s="87"/>
      <c r="P7" s="87"/>
      <c r="Q7" s="87">
        <f t="shared" si="1"/>
        <v>5492319</v>
      </c>
      <c r="R7" s="87">
        <f>+Q7*4%</f>
        <v>219692.76</v>
      </c>
      <c r="S7" s="87">
        <f>+Q7*5%</f>
        <v>274615.95</v>
      </c>
      <c r="T7" s="87">
        <v>109500</v>
      </c>
      <c r="U7" s="87"/>
      <c r="V7" s="17">
        <v>98000</v>
      </c>
      <c r="W7" s="87"/>
      <c r="X7" s="87"/>
      <c r="Y7" s="87">
        <v>726520</v>
      </c>
      <c r="Z7" s="87">
        <f t="shared" si="2"/>
        <v>1428328.71</v>
      </c>
      <c r="AA7" s="7">
        <f t="shared" si="3"/>
        <v>4063990.29</v>
      </c>
      <c r="AB7" s="8"/>
      <c r="AC7" s="9"/>
      <c r="AD7" s="8">
        <f t="shared" si="4"/>
        <v>4063990.29</v>
      </c>
    </row>
    <row r="8" spans="1:30" ht="36" x14ac:dyDescent="0.25">
      <c r="A8" s="108"/>
      <c r="B8" s="14">
        <v>5</v>
      </c>
      <c r="C8" s="11" t="s">
        <v>141</v>
      </c>
      <c r="D8" s="6" t="s">
        <v>26</v>
      </c>
      <c r="E8" s="6" t="s">
        <v>208</v>
      </c>
      <c r="F8" s="6" t="s">
        <v>217</v>
      </c>
      <c r="G8" s="12">
        <v>51720027</v>
      </c>
      <c r="H8" s="6" t="s">
        <v>218</v>
      </c>
      <c r="I8" s="6" t="s">
        <v>211</v>
      </c>
      <c r="J8" s="114" t="s">
        <v>219</v>
      </c>
      <c r="K8" s="87">
        <v>5000000</v>
      </c>
      <c r="L8" s="12">
        <v>30</v>
      </c>
      <c r="M8" s="87">
        <f t="shared" si="0"/>
        <v>5000000</v>
      </c>
      <c r="N8" s="87"/>
      <c r="O8" s="87"/>
      <c r="P8" s="87"/>
      <c r="Q8" s="87">
        <f t="shared" si="1"/>
        <v>5000000</v>
      </c>
      <c r="R8" s="87">
        <f>+Q8*4%</f>
        <v>200000</v>
      </c>
      <c r="S8" s="87">
        <f>+Q8*5%</f>
        <v>250000</v>
      </c>
      <c r="T8" s="87"/>
      <c r="U8" s="87"/>
      <c r="V8" s="17">
        <v>15000</v>
      </c>
      <c r="W8" s="87"/>
      <c r="X8" s="87">
        <v>111000</v>
      </c>
      <c r="Y8" s="87"/>
      <c r="Z8" s="87">
        <f t="shared" si="2"/>
        <v>576000</v>
      </c>
      <c r="AA8" s="7">
        <f t="shared" si="3"/>
        <v>4424000</v>
      </c>
      <c r="AB8" s="8"/>
      <c r="AC8" s="9"/>
      <c r="AD8" s="8">
        <f t="shared" si="4"/>
        <v>4424000</v>
      </c>
    </row>
    <row r="9" spans="1:30" ht="48" x14ac:dyDescent="0.25">
      <c r="A9" s="108"/>
      <c r="B9" s="14">
        <v>6</v>
      </c>
      <c r="C9" s="11" t="s">
        <v>30</v>
      </c>
      <c r="D9" s="6" t="s">
        <v>26</v>
      </c>
      <c r="E9" s="6" t="s">
        <v>208</v>
      </c>
      <c r="F9" s="6" t="s">
        <v>217</v>
      </c>
      <c r="G9" s="12">
        <v>80100078</v>
      </c>
      <c r="H9" s="6" t="s">
        <v>210</v>
      </c>
      <c r="I9" s="6" t="s">
        <v>211</v>
      </c>
      <c r="J9" s="6">
        <v>5551379029</v>
      </c>
      <c r="K9" s="87">
        <v>5000000</v>
      </c>
      <c r="L9" s="12">
        <v>30</v>
      </c>
      <c r="M9" s="87">
        <f t="shared" si="0"/>
        <v>5000000</v>
      </c>
      <c r="N9" s="87"/>
      <c r="O9" s="87">
        <v>2012670</v>
      </c>
      <c r="P9" s="87"/>
      <c r="Q9" s="87">
        <f t="shared" si="1"/>
        <v>7012670</v>
      </c>
      <c r="R9" s="87">
        <f>+M9*4%</f>
        <v>200000</v>
      </c>
      <c r="S9" s="87">
        <f t="shared" ref="S9:S32" si="6">+M9*5%</f>
        <v>250000</v>
      </c>
      <c r="T9" s="87"/>
      <c r="U9" s="87"/>
      <c r="V9" s="87">
        <v>50000</v>
      </c>
      <c r="W9" s="87">
        <v>700000</v>
      </c>
      <c r="X9" s="87"/>
      <c r="Y9" s="87"/>
      <c r="Z9" s="87">
        <f t="shared" si="2"/>
        <v>1200000</v>
      </c>
      <c r="AA9" s="7">
        <f t="shared" si="3"/>
        <v>5812670</v>
      </c>
      <c r="AB9" s="8"/>
      <c r="AC9" s="9"/>
      <c r="AD9" s="8">
        <f t="shared" si="4"/>
        <v>5812670</v>
      </c>
    </row>
    <row r="10" spans="1:30" ht="48" x14ac:dyDescent="0.25">
      <c r="A10" s="108"/>
      <c r="B10" s="14">
        <v>7</v>
      </c>
      <c r="C10" s="11" t="s">
        <v>31</v>
      </c>
      <c r="D10" s="6" t="s">
        <v>26</v>
      </c>
      <c r="E10" s="6" t="s">
        <v>220</v>
      </c>
      <c r="F10" s="6" t="s">
        <v>221</v>
      </c>
      <c r="G10" s="12">
        <v>1030525090</v>
      </c>
      <c r="H10" s="6" t="s">
        <v>218</v>
      </c>
      <c r="I10" s="6" t="s">
        <v>211</v>
      </c>
      <c r="J10" s="86">
        <v>5070194484</v>
      </c>
      <c r="K10" s="87">
        <v>4500000</v>
      </c>
      <c r="L10" s="12">
        <v>30</v>
      </c>
      <c r="M10" s="87">
        <f>K10/30*L10</f>
        <v>4500000</v>
      </c>
      <c r="N10" s="87"/>
      <c r="O10" s="87"/>
      <c r="P10" s="87">
        <v>0</v>
      </c>
      <c r="Q10" s="87">
        <f t="shared" si="1"/>
        <v>4500000</v>
      </c>
      <c r="R10" s="87">
        <f>+Q10*4%</f>
        <v>180000</v>
      </c>
      <c r="S10" s="87">
        <f>+Q10*5%</f>
        <v>225000</v>
      </c>
      <c r="T10" s="87">
        <v>140000</v>
      </c>
      <c r="U10" s="87"/>
      <c r="V10" s="87">
        <v>2545</v>
      </c>
      <c r="W10" s="87"/>
      <c r="X10" s="87"/>
      <c r="Y10" s="87">
        <f>945750+420786</f>
        <v>1366536</v>
      </c>
      <c r="Z10" s="87">
        <f t="shared" si="2"/>
        <v>1914081</v>
      </c>
      <c r="AA10" s="7">
        <f>Q10-Z10</f>
        <v>2585919</v>
      </c>
      <c r="AB10" s="8"/>
      <c r="AC10" s="9"/>
      <c r="AD10" s="8">
        <f t="shared" si="4"/>
        <v>2585919</v>
      </c>
    </row>
    <row r="11" spans="1:30" ht="36" x14ac:dyDescent="0.25">
      <c r="A11" s="108"/>
      <c r="B11" s="14">
        <v>8</v>
      </c>
      <c r="C11" s="11" t="s">
        <v>32</v>
      </c>
      <c r="D11" s="6" t="s">
        <v>26</v>
      </c>
      <c r="E11" s="6" t="s">
        <v>220</v>
      </c>
      <c r="F11" s="6" t="s">
        <v>221</v>
      </c>
      <c r="G11" s="12">
        <v>1030525090</v>
      </c>
      <c r="H11" s="6" t="s">
        <v>218</v>
      </c>
      <c r="I11" s="6" t="s">
        <v>211</v>
      </c>
      <c r="J11" s="86">
        <v>5070194484</v>
      </c>
      <c r="K11" s="87">
        <v>4500000</v>
      </c>
      <c r="L11" s="12">
        <v>30</v>
      </c>
      <c r="M11" s="87">
        <f>K11/30*L11</f>
        <v>4500000</v>
      </c>
      <c r="N11" s="87"/>
      <c r="O11" s="87"/>
      <c r="P11" s="87"/>
      <c r="Q11" s="87">
        <f t="shared" ref="Q11" si="7">SUM(M11:O11)+P11</f>
        <v>4500000</v>
      </c>
      <c r="R11" s="87">
        <f>+K11*4%</f>
        <v>180000</v>
      </c>
      <c r="S11" s="87">
        <f>+K11*5%</f>
        <v>225000</v>
      </c>
      <c r="T11" s="87"/>
      <c r="U11" s="87"/>
      <c r="V11" s="87">
        <v>10000</v>
      </c>
      <c r="W11" s="87"/>
      <c r="X11" s="87"/>
      <c r="Y11" s="87"/>
      <c r="Z11" s="87">
        <f t="shared" ref="Z11" si="8">SUM(R11:Y11)</f>
        <v>415000</v>
      </c>
      <c r="AA11" s="7">
        <f>Q11-Z11</f>
        <v>4085000</v>
      </c>
      <c r="AB11" s="8"/>
      <c r="AC11" s="9"/>
      <c r="AD11" s="8">
        <f t="shared" si="4"/>
        <v>4085000</v>
      </c>
    </row>
    <row r="12" spans="1:30" ht="48" x14ac:dyDescent="0.25">
      <c r="A12" s="108"/>
      <c r="B12" s="14">
        <v>9</v>
      </c>
      <c r="C12" s="11" t="s">
        <v>35</v>
      </c>
      <c r="D12" s="6" t="s">
        <v>26</v>
      </c>
      <c r="E12" s="6" t="s">
        <v>208</v>
      </c>
      <c r="F12" s="6" t="s">
        <v>217</v>
      </c>
      <c r="G12" s="12">
        <v>51638875</v>
      </c>
      <c r="H12" s="6" t="s">
        <v>213</v>
      </c>
      <c r="I12" s="6" t="s">
        <v>211</v>
      </c>
      <c r="J12" s="115">
        <v>20120731832</v>
      </c>
      <c r="K12" s="87">
        <v>5400000</v>
      </c>
      <c r="L12" s="12">
        <v>30</v>
      </c>
      <c r="M12" s="87">
        <f>K12/30*L12</f>
        <v>5400000</v>
      </c>
      <c r="N12" s="87"/>
      <c r="O12" s="87"/>
      <c r="P12" s="87"/>
      <c r="Q12" s="87">
        <f>SUM(M12:O12)+P12</f>
        <v>5400000</v>
      </c>
      <c r="R12" s="87">
        <f>+Q12*4%</f>
        <v>216000</v>
      </c>
      <c r="S12" s="87">
        <f>+Q12*5%</f>
        <v>270000</v>
      </c>
      <c r="T12" s="87"/>
      <c r="U12" s="87"/>
      <c r="V12" s="87">
        <v>6500</v>
      </c>
      <c r="W12" s="87"/>
      <c r="X12" s="87"/>
      <c r="Y12" s="87"/>
      <c r="Z12" s="87">
        <f t="shared" si="2"/>
        <v>492500</v>
      </c>
      <c r="AA12" s="7">
        <f t="shared" ref="AA12:AA18" si="9">+Q12-Z12</f>
        <v>4907500</v>
      </c>
      <c r="AB12" s="8"/>
      <c r="AC12" s="9"/>
      <c r="AD12" s="8">
        <f t="shared" si="4"/>
        <v>4907500</v>
      </c>
    </row>
    <row r="13" spans="1:30" ht="24" x14ac:dyDescent="0.25">
      <c r="A13" s="108"/>
      <c r="B13" s="14">
        <v>10</v>
      </c>
      <c r="C13" s="3" t="s">
        <v>36</v>
      </c>
      <c r="D13" s="86" t="s">
        <v>26</v>
      </c>
      <c r="E13" s="86" t="s">
        <v>208</v>
      </c>
      <c r="F13" s="86" t="s">
        <v>222</v>
      </c>
      <c r="G13" s="87">
        <v>80777868</v>
      </c>
      <c r="H13" s="86" t="s">
        <v>213</v>
      </c>
      <c r="I13" s="6" t="s">
        <v>223</v>
      </c>
      <c r="J13" s="86">
        <v>60155084823</v>
      </c>
      <c r="K13" s="87">
        <v>4500000</v>
      </c>
      <c r="L13" s="12">
        <v>30</v>
      </c>
      <c r="M13" s="87">
        <f t="shared" ref="M13:M18" si="10">+K13/30*L13</f>
        <v>4500000</v>
      </c>
      <c r="N13" s="87"/>
      <c r="O13" s="87"/>
      <c r="P13" s="87"/>
      <c r="Q13" s="87">
        <f t="shared" si="1"/>
        <v>4500000</v>
      </c>
      <c r="R13" s="87">
        <v>180000</v>
      </c>
      <c r="S13" s="87">
        <v>225000</v>
      </c>
      <c r="T13" s="87"/>
      <c r="U13" s="87"/>
      <c r="V13" s="87">
        <v>3000</v>
      </c>
      <c r="W13" s="87"/>
      <c r="X13" s="87"/>
      <c r="Y13" s="87"/>
      <c r="Z13" s="87">
        <f t="shared" si="2"/>
        <v>408000</v>
      </c>
      <c r="AA13" s="7">
        <f t="shared" si="9"/>
        <v>4092000</v>
      </c>
      <c r="AB13" s="8"/>
      <c r="AC13" s="9"/>
      <c r="AD13" s="8">
        <f t="shared" si="4"/>
        <v>4092000</v>
      </c>
    </row>
    <row r="14" spans="1:30" ht="24" x14ac:dyDescent="0.25">
      <c r="A14" s="108"/>
      <c r="B14" s="14">
        <v>11</v>
      </c>
      <c r="C14" s="3" t="s">
        <v>37</v>
      </c>
      <c r="D14" s="86" t="s">
        <v>26</v>
      </c>
      <c r="E14" s="86" t="s">
        <v>208</v>
      </c>
      <c r="F14" s="86" t="s">
        <v>222</v>
      </c>
      <c r="G14" s="87">
        <v>514908</v>
      </c>
      <c r="H14" s="86" t="s">
        <v>224</v>
      </c>
      <c r="I14" s="6" t="s">
        <v>211</v>
      </c>
      <c r="J14" s="86">
        <v>4572002960</v>
      </c>
      <c r="K14" s="87">
        <v>4200000</v>
      </c>
      <c r="L14" s="12">
        <v>30</v>
      </c>
      <c r="M14" s="87">
        <f t="shared" si="10"/>
        <v>4200000</v>
      </c>
      <c r="N14" s="87"/>
      <c r="O14" s="87"/>
      <c r="P14" s="87"/>
      <c r="Q14" s="87">
        <f t="shared" si="1"/>
        <v>4200000</v>
      </c>
      <c r="R14" s="87">
        <f>+M14*4%</f>
        <v>168000</v>
      </c>
      <c r="S14" s="87">
        <f>+M14*5%</f>
        <v>210000</v>
      </c>
      <c r="T14" s="87"/>
      <c r="U14" s="87"/>
      <c r="V14" s="87">
        <v>32000</v>
      </c>
      <c r="W14" s="87"/>
      <c r="X14" s="87"/>
      <c r="Y14" s="87">
        <v>838529</v>
      </c>
      <c r="Z14" s="87">
        <f t="shared" si="2"/>
        <v>1248529</v>
      </c>
      <c r="AA14" s="7">
        <f t="shared" si="9"/>
        <v>2951471</v>
      </c>
      <c r="AB14" s="8"/>
      <c r="AC14" s="9"/>
      <c r="AD14" s="8">
        <f t="shared" si="4"/>
        <v>2951471</v>
      </c>
    </row>
    <row r="15" spans="1:30" x14ac:dyDescent="0.25">
      <c r="A15" s="108"/>
      <c r="B15" s="14">
        <v>12</v>
      </c>
      <c r="C15" s="3" t="s">
        <v>38</v>
      </c>
      <c r="D15" s="86" t="s">
        <v>34</v>
      </c>
      <c r="E15" s="86"/>
      <c r="F15" s="86"/>
      <c r="G15" s="87"/>
      <c r="H15" s="86"/>
      <c r="I15" s="6"/>
      <c r="J15" s="86"/>
      <c r="K15" s="87">
        <v>4000000</v>
      </c>
      <c r="L15" s="12">
        <v>30</v>
      </c>
      <c r="M15" s="87">
        <f t="shared" si="10"/>
        <v>4000000.0000000005</v>
      </c>
      <c r="N15" s="87"/>
      <c r="O15" s="87"/>
      <c r="P15" s="87"/>
      <c r="Q15" s="87">
        <f t="shared" si="1"/>
        <v>4000000.0000000005</v>
      </c>
      <c r="R15" s="87">
        <v>160000</v>
      </c>
      <c r="S15" s="87">
        <v>200000</v>
      </c>
      <c r="T15" s="87"/>
      <c r="U15" s="87"/>
      <c r="V15" s="87">
        <v>4500</v>
      </c>
      <c r="W15" s="87"/>
      <c r="X15" s="87"/>
      <c r="Y15" s="87"/>
      <c r="Z15" s="87">
        <f t="shared" si="2"/>
        <v>364500</v>
      </c>
      <c r="AA15" s="7">
        <f t="shared" si="9"/>
        <v>3635500.0000000005</v>
      </c>
      <c r="AB15" s="8"/>
      <c r="AC15" s="9"/>
      <c r="AD15" s="8">
        <f t="shared" si="4"/>
        <v>3635500.0000000005</v>
      </c>
    </row>
    <row r="16" spans="1:30" x14ac:dyDescent="0.25">
      <c r="A16" s="108"/>
      <c r="B16" s="14">
        <v>13</v>
      </c>
      <c r="C16" s="3" t="s">
        <v>39</v>
      </c>
      <c r="D16" s="86" t="s">
        <v>34</v>
      </c>
      <c r="E16" s="86"/>
      <c r="F16" s="86"/>
      <c r="G16" s="87"/>
      <c r="H16" s="86"/>
      <c r="I16" s="6"/>
      <c r="J16" s="86"/>
      <c r="K16" s="87">
        <v>4500000</v>
      </c>
      <c r="L16" s="12">
        <v>30</v>
      </c>
      <c r="M16" s="87">
        <f t="shared" si="10"/>
        <v>4500000</v>
      </c>
      <c r="N16" s="87"/>
      <c r="O16" s="87"/>
      <c r="P16" s="87"/>
      <c r="Q16" s="87">
        <f t="shared" si="1"/>
        <v>4500000</v>
      </c>
      <c r="R16" s="87">
        <f>+M16*4%</f>
        <v>180000</v>
      </c>
      <c r="S16" s="87">
        <f>+M16*5%</f>
        <v>225000</v>
      </c>
      <c r="T16" s="87">
        <v>36500</v>
      </c>
      <c r="U16" s="87"/>
      <c r="V16" s="87">
        <v>72000</v>
      </c>
      <c r="W16" s="87"/>
      <c r="X16" s="87"/>
      <c r="Y16" s="87"/>
      <c r="Z16" s="87">
        <f t="shared" si="2"/>
        <v>513500</v>
      </c>
      <c r="AA16" s="7">
        <f t="shared" si="9"/>
        <v>3986500</v>
      </c>
      <c r="AB16" s="8"/>
      <c r="AC16" s="9"/>
      <c r="AD16" s="8">
        <f t="shared" si="4"/>
        <v>3986500</v>
      </c>
    </row>
    <row r="17" spans="1:30" ht="48" x14ac:dyDescent="0.25">
      <c r="A17" s="108"/>
      <c r="B17" s="14">
        <v>14</v>
      </c>
      <c r="C17" s="11" t="s">
        <v>40</v>
      </c>
      <c r="D17" s="6" t="s">
        <v>26</v>
      </c>
      <c r="E17" s="86" t="s">
        <v>208</v>
      </c>
      <c r="F17" s="6" t="s">
        <v>225</v>
      </c>
      <c r="G17" s="12">
        <v>410002</v>
      </c>
      <c r="H17" s="6" t="s">
        <v>218</v>
      </c>
      <c r="I17" s="6" t="s">
        <v>211</v>
      </c>
      <c r="J17" s="86">
        <v>8700409835</v>
      </c>
      <c r="K17" s="87">
        <v>5500000</v>
      </c>
      <c r="L17" s="12">
        <v>30</v>
      </c>
      <c r="M17" s="87">
        <f t="shared" si="10"/>
        <v>5500000</v>
      </c>
      <c r="N17" s="87"/>
      <c r="O17" s="87">
        <v>450000</v>
      </c>
      <c r="P17" s="87"/>
      <c r="Q17" s="87">
        <f t="shared" si="1"/>
        <v>5950000</v>
      </c>
      <c r="R17" s="87">
        <f>+M17*4%</f>
        <v>220000</v>
      </c>
      <c r="S17" s="87">
        <f>+M17*5%</f>
        <v>275000</v>
      </c>
      <c r="T17" s="87"/>
      <c r="U17" s="87"/>
      <c r="V17" s="17">
        <v>150521</v>
      </c>
      <c r="W17" s="87">
        <v>1365000</v>
      </c>
      <c r="X17" s="87"/>
      <c r="Y17" s="87"/>
      <c r="Z17" s="87">
        <f t="shared" si="2"/>
        <v>2010521</v>
      </c>
      <c r="AA17" s="7">
        <f t="shared" si="9"/>
        <v>3939479</v>
      </c>
      <c r="AB17" s="8"/>
      <c r="AC17" s="9"/>
      <c r="AD17" s="8">
        <f t="shared" si="4"/>
        <v>3939479</v>
      </c>
    </row>
    <row r="18" spans="1:30" ht="36" x14ac:dyDescent="0.25">
      <c r="A18" s="108"/>
      <c r="B18" s="14">
        <v>15</v>
      </c>
      <c r="C18" s="11" t="s">
        <v>142</v>
      </c>
      <c r="D18" s="6" t="s">
        <v>26</v>
      </c>
      <c r="E18" s="86" t="s">
        <v>208</v>
      </c>
      <c r="F18" s="6" t="s">
        <v>225</v>
      </c>
      <c r="G18" s="12">
        <v>410002</v>
      </c>
      <c r="H18" s="6" t="s">
        <v>218</v>
      </c>
      <c r="I18" s="6" t="s">
        <v>211</v>
      </c>
      <c r="J18" s="86">
        <v>8700409835</v>
      </c>
      <c r="K18" s="87">
        <v>5000000</v>
      </c>
      <c r="L18" s="12">
        <v>30</v>
      </c>
      <c r="M18" s="87">
        <f t="shared" si="10"/>
        <v>5000000</v>
      </c>
      <c r="N18" s="87"/>
      <c r="O18" s="87"/>
      <c r="P18" s="87"/>
      <c r="Q18" s="87">
        <f t="shared" si="1"/>
        <v>5000000</v>
      </c>
      <c r="R18" s="87">
        <f>+M18*4%</f>
        <v>200000</v>
      </c>
      <c r="S18" s="87">
        <f>+M18*5%</f>
        <v>250000</v>
      </c>
      <c r="T18" s="87"/>
      <c r="U18" s="87"/>
      <c r="V18" s="17">
        <v>102000</v>
      </c>
      <c r="W18" s="87"/>
      <c r="X18" s="87"/>
      <c r="Y18" s="87"/>
      <c r="Z18" s="87">
        <f t="shared" si="2"/>
        <v>552000</v>
      </c>
      <c r="AA18" s="7">
        <f t="shared" si="9"/>
        <v>4448000</v>
      </c>
      <c r="AB18" s="8"/>
      <c r="AC18" s="9"/>
      <c r="AD18" s="8">
        <f t="shared" si="4"/>
        <v>4448000</v>
      </c>
    </row>
    <row r="19" spans="1:30" ht="48" x14ac:dyDescent="0.25">
      <c r="A19" s="108"/>
      <c r="B19" s="14">
        <v>16</v>
      </c>
      <c r="C19" s="11" t="s">
        <v>42</v>
      </c>
      <c r="D19" s="6" t="s">
        <v>26</v>
      </c>
      <c r="E19" s="6" t="s">
        <v>208</v>
      </c>
      <c r="F19" s="6" t="s">
        <v>217</v>
      </c>
      <c r="G19" s="12">
        <v>9529836</v>
      </c>
      <c r="H19" s="6" t="s">
        <v>226</v>
      </c>
      <c r="I19" s="6" t="s">
        <v>211</v>
      </c>
      <c r="J19" s="86">
        <v>5548521</v>
      </c>
      <c r="K19" s="87">
        <v>5350000</v>
      </c>
      <c r="L19" s="12">
        <v>30</v>
      </c>
      <c r="M19" s="87">
        <f>+K19-P19</f>
        <v>5350000</v>
      </c>
      <c r="N19" s="87"/>
      <c r="O19" s="87">
        <v>1000000</v>
      </c>
      <c r="P19" s="87"/>
      <c r="Q19" s="87">
        <f t="shared" si="1"/>
        <v>6350000</v>
      </c>
      <c r="R19" s="87">
        <f>+M19*4%</f>
        <v>214000</v>
      </c>
      <c r="S19" s="87">
        <f>+M19*5%</f>
        <v>267500</v>
      </c>
      <c r="T19" s="87"/>
      <c r="U19" s="87"/>
      <c r="V19" s="17">
        <v>121000</v>
      </c>
      <c r="W19" s="87"/>
      <c r="X19" s="87"/>
      <c r="Y19" s="87">
        <v>810005</v>
      </c>
      <c r="Z19" s="87">
        <f t="shared" si="2"/>
        <v>1412505</v>
      </c>
      <c r="AA19" s="7">
        <f>Q19-Z19</f>
        <v>4937495</v>
      </c>
      <c r="AB19" s="8"/>
      <c r="AC19" s="9"/>
      <c r="AD19" s="8">
        <f t="shared" si="4"/>
        <v>4937495</v>
      </c>
    </row>
    <row r="20" spans="1:30" ht="48" x14ac:dyDescent="0.25">
      <c r="A20" s="108"/>
      <c r="B20" s="14">
        <v>17</v>
      </c>
      <c r="C20" s="11" t="s">
        <v>43</v>
      </c>
      <c r="D20" s="6" t="s">
        <v>26</v>
      </c>
      <c r="E20" s="6" t="s">
        <v>208</v>
      </c>
      <c r="F20" s="6" t="s">
        <v>221</v>
      </c>
      <c r="G20" s="12">
        <v>1016064398</v>
      </c>
      <c r="H20" s="6" t="s">
        <v>213</v>
      </c>
      <c r="I20" s="6" t="s">
        <v>211</v>
      </c>
      <c r="J20" s="86">
        <v>22393159824</v>
      </c>
      <c r="K20" s="87">
        <v>6600000</v>
      </c>
      <c r="L20" s="12">
        <v>30</v>
      </c>
      <c r="M20" s="87">
        <f t="shared" ref="M20:M28" si="11">K20/30*L20</f>
        <v>6600000</v>
      </c>
      <c r="N20" s="87"/>
      <c r="O20" s="87"/>
      <c r="P20" s="87"/>
      <c r="Q20" s="87">
        <f t="shared" si="1"/>
        <v>6600000</v>
      </c>
      <c r="R20" s="87">
        <f>+M20*4%</f>
        <v>264000</v>
      </c>
      <c r="S20" s="87">
        <f>+M20*5%</f>
        <v>330000</v>
      </c>
      <c r="T20" s="87"/>
      <c r="U20" s="87"/>
      <c r="V20" s="17">
        <v>180000</v>
      </c>
      <c r="W20" s="87"/>
      <c r="X20" s="87"/>
      <c r="Y20" s="89"/>
      <c r="Z20" s="87">
        <f t="shared" si="2"/>
        <v>774000</v>
      </c>
      <c r="AA20" s="7">
        <f>Q20-Z20</f>
        <v>5826000</v>
      </c>
      <c r="AB20" s="8"/>
      <c r="AC20" s="9"/>
      <c r="AD20" s="8">
        <f t="shared" si="4"/>
        <v>5826000</v>
      </c>
    </row>
    <row r="21" spans="1:30" ht="48" x14ac:dyDescent="0.25">
      <c r="A21" s="108"/>
      <c r="B21" s="14">
        <v>18</v>
      </c>
      <c r="C21" s="11" t="s">
        <v>44</v>
      </c>
      <c r="D21" s="6" t="s">
        <v>26</v>
      </c>
      <c r="E21" s="6" t="s">
        <v>208</v>
      </c>
      <c r="F21" s="6" t="s">
        <v>221</v>
      </c>
      <c r="G21" s="12">
        <v>79352066</v>
      </c>
      <c r="H21" s="6" t="s">
        <v>218</v>
      </c>
      <c r="I21" s="6" t="s">
        <v>211</v>
      </c>
      <c r="J21" s="86">
        <v>6770152996</v>
      </c>
      <c r="K21" s="87">
        <v>6900000</v>
      </c>
      <c r="L21" s="12">
        <v>30</v>
      </c>
      <c r="M21" s="87">
        <f t="shared" si="11"/>
        <v>6900000</v>
      </c>
      <c r="N21" s="87"/>
      <c r="O21" s="87">
        <v>1400000</v>
      </c>
      <c r="P21" s="87"/>
      <c r="Q21" s="87">
        <f t="shared" ref="Q21" si="12">SUM(M21:O21)+P21</f>
        <v>8300000</v>
      </c>
      <c r="R21" s="87">
        <f t="shared" ref="R21" si="13">+M21*4%</f>
        <v>276000</v>
      </c>
      <c r="S21" s="87">
        <f t="shared" ref="S21" si="14">+M21*5%</f>
        <v>345000</v>
      </c>
      <c r="T21" s="87"/>
      <c r="U21" s="87"/>
      <c r="V21" s="17">
        <v>113000</v>
      </c>
      <c r="W21" s="87">
        <v>1300000</v>
      </c>
      <c r="X21" s="87"/>
      <c r="Y21" s="89"/>
      <c r="Z21" s="87">
        <f t="shared" si="2"/>
        <v>2034000</v>
      </c>
      <c r="AA21" s="7">
        <f>Q21-Z21</f>
        <v>6266000</v>
      </c>
      <c r="AB21" s="8"/>
      <c r="AC21" s="9"/>
      <c r="AD21" s="8">
        <f t="shared" si="4"/>
        <v>6266000</v>
      </c>
    </row>
    <row r="22" spans="1:30" ht="36" x14ac:dyDescent="0.25">
      <c r="A22" s="108"/>
      <c r="B22" s="14">
        <v>19</v>
      </c>
      <c r="C22" s="11" t="s">
        <v>45</v>
      </c>
      <c r="D22" s="6" t="s">
        <v>26</v>
      </c>
      <c r="E22" s="6"/>
      <c r="F22" s="6"/>
      <c r="G22" s="12"/>
      <c r="H22" s="6"/>
      <c r="I22" s="6"/>
      <c r="J22" s="114"/>
      <c r="K22" s="87">
        <v>3500000</v>
      </c>
      <c r="L22" s="12">
        <v>30</v>
      </c>
      <c r="M22" s="87">
        <f t="shared" ref="M22" si="15">+K22/30*L22</f>
        <v>3500000</v>
      </c>
      <c r="N22" s="87"/>
      <c r="O22" s="87"/>
      <c r="P22" s="87"/>
      <c r="Q22" s="87">
        <f t="shared" ref="Q22" si="16">SUM(M22:O22)+P22</f>
        <v>3500000</v>
      </c>
      <c r="R22" s="87">
        <v>140000</v>
      </c>
      <c r="S22" s="87">
        <v>175000</v>
      </c>
      <c r="T22" s="87"/>
      <c r="U22" s="87"/>
      <c r="V22" s="87"/>
      <c r="W22" s="87"/>
      <c r="X22" s="87"/>
      <c r="Y22" s="87"/>
      <c r="Z22" s="87">
        <f t="shared" si="2"/>
        <v>315000</v>
      </c>
      <c r="AA22" s="7">
        <f t="shared" ref="AA22" si="17">+Q22-Z22</f>
        <v>3185000</v>
      </c>
      <c r="AB22" s="8"/>
      <c r="AC22" s="9"/>
      <c r="AD22" s="8">
        <f t="shared" si="4"/>
        <v>3185000</v>
      </c>
    </row>
    <row r="23" spans="1:30" ht="36" x14ac:dyDescent="0.25">
      <c r="A23" s="108"/>
      <c r="B23" s="14">
        <v>20</v>
      </c>
      <c r="C23" s="11" t="s">
        <v>46</v>
      </c>
      <c r="D23" s="6" t="s">
        <v>26</v>
      </c>
      <c r="E23" s="6" t="s">
        <v>208</v>
      </c>
      <c r="F23" s="6" t="s">
        <v>217</v>
      </c>
      <c r="G23" s="12">
        <v>80007522</v>
      </c>
      <c r="H23" s="6" t="s">
        <v>210</v>
      </c>
      <c r="I23" s="6" t="s">
        <v>211</v>
      </c>
      <c r="J23" s="6">
        <v>1002892533</v>
      </c>
      <c r="K23" s="87">
        <v>5000000</v>
      </c>
      <c r="L23" s="12">
        <v>30</v>
      </c>
      <c r="M23" s="87">
        <f>+K23-P23</f>
        <v>5000000</v>
      </c>
      <c r="N23" s="87"/>
      <c r="O23" s="87">
        <v>1621317</v>
      </c>
      <c r="P23" s="87">
        <v>0</v>
      </c>
      <c r="Q23" s="87">
        <f t="shared" si="1"/>
        <v>6621317</v>
      </c>
      <c r="R23" s="87">
        <v>200000</v>
      </c>
      <c r="S23" s="87">
        <v>250000</v>
      </c>
      <c r="T23" s="87"/>
      <c r="U23" s="87"/>
      <c r="V23" s="17">
        <v>50000</v>
      </c>
      <c r="W23" s="87">
        <v>3000000</v>
      </c>
      <c r="X23" s="87"/>
      <c r="Y23" s="87">
        <f>884747</f>
        <v>884747</v>
      </c>
      <c r="Z23" s="87">
        <f t="shared" si="2"/>
        <v>4384747</v>
      </c>
      <c r="AA23" s="7">
        <f>+Q23-Z23</f>
        <v>2236570</v>
      </c>
      <c r="AB23" s="8"/>
      <c r="AC23" s="9"/>
      <c r="AD23" s="8">
        <f t="shared" si="4"/>
        <v>2236570</v>
      </c>
    </row>
    <row r="24" spans="1:30" ht="48" x14ac:dyDescent="0.25">
      <c r="A24" s="108"/>
      <c r="B24" s="14">
        <v>21</v>
      </c>
      <c r="C24" s="11" t="s">
        <v>47</v>
      </c>
      <c r="D24" s="6" t="s">
        <v>26</v>
      </c>
      <c r="E24" s="6" t="s">
        <v>208</v>
      </c>
      <c r="F24" s="6" t="s">
        <v>222</v>
      </c>
      <c r="G24" s="12">
        <v>1075227879</v>
      </c>
      <c r="H24" s="116" t="s">
        <v>213</v>
      </c>
      <c r="I24" s="117" t="s">
        <v>216</v>
      </c>
      <c r="J24" s="118">
        <v>61245381912</v>
      </c>
      <c r="K24" s="87">
        <v>4500000</v>
      </c>
      <c r="L24" s="12">
        <v>30</v>
      </c>
      <c r="M24" s="87">
        <f>+K24-P24</f>
        <v>4500000</v>
      </c>
      <c r="N24" s="87"/>
      <c r="O24" s="87"/>
      <c r="P24" s="87">
        <v>0</v>
      </c>
      <c r="Q24" s="87">
        <f t="shared" si="1"/>
        <v>4500000</v>
      </c>
      <c r="R24" s="87">
        <v>180000</v>
      </c>
      <c r="S24" s="87">
        <v>225000</v>
      </c>
      <c r="T24" s="87">
        <f>70000+36500</f>
        <v>106500</v>
      </c>
      <c r="U24" s="87"/>
      <c r="V24" s="17">
        <v>31000</v>
      </c>
      <c r="W24" s="87"/>
      <c r="X24" s="87"/>
      <c r="Y24" s="87"/>
      <c r="Z24" s="87">
        <f t="shared" si="2"/>
        <v>542500</v>
      </c>
      <c r="AA24" s="7">
        <f>+Q24-Z24</f>
        <v>3957500</v>
      </c>
      <c r="AB24" s="8"/>
      <c r="AC24" s="9"/>
      <c r="AD24" s="8">
        <f t="shared" si="4"/>
        <v>3957500</v>
      </c>
    </row>
    <row r="25" spans="1:30" ht="48" x14ac:dyDescent="0.25">
      <c r="A25" s="108"/>
      <c r="B25" s="14">
        <v>22</v>
      </c>
      <c r="C25" s="11" t="s">
        <v>48</v>
      </c>
      <c r="D25" s="6" t="s">
        <v>26</v>
      </c>
      <c r="E25" s="6" t="s">
        <v>208</v>
      </c>
      <c r="F25" s="6" t="s">
        <v>222</v>
      </c>
      <c r="G25" s="12">
        <v>80738958</v>
      </c>
      <c r="H25" s="116" t="s">
        <v>218</v>
      </c>
      <c r="I25" s="6" t="s">
        <v>211</v>
      </c>
      <c r="J25" s="118">
        <v>7170390103</v>
      </c>
      <c r="K25" s="87">
        <v>5500000</v>
      </c>
      <c r="L25" s="12">
        <v>30</v>
      </c>
      <c r="M25" s="87">
        <f t="shared" si="11"/>
        <v>5500000</v>
      </c>
      <c r="N25" s="87"/>
      <c r="O25" s="87"/>
      <c r="P25" s="87"/>
      <c r="Q25" s="87">
        <f t="shared" ref="Q25" si="18">SUM(M25:O25)+P25</f>
        <v>5500000</v>
      </c>
      <c r="R25" s="87">
        <f>+K25*4%</f>
        <v>220000</v>
      </c>
      <c r="S25" s="87">
        <f>+K25*5%</f>
        <v>275000</v>
      </c>
      <c r="T25" s="87"/>
      <c r="U25" s="87"/>
      <c r="V25" s="17">
        <v>141000</v>
      </c>
      <c r="W25" s="87"/>
      <c r="X25" s="87"/>
      <c r="Y25" s="87"/>
      <c r="Z25" s="87">
        <f t="shared" ref="Z25" si="19">SUM(R25:Y25)</f>
        <v>636000</v>
      </c>
      <c r="AA25" s="7">
        <f>+Q25-Z25</f>
        <v>4864000</v>
      </c>
      <c r="AB25" s="8"/>
      <c r="AC25" s="9"/>
      <c r="AD25" s="8">
        <f t="shared" si="4"/>
        <v>4864000</v>
      </c>
    </row>
    <row r="26" spans="1:30" ht="48" x14ac:dyDescent="0.25">
      <c r="A26" s="108"/>
      <c r="B26" s="14">
        <v>23</v>
      </c>
      <c r="C26" s="11" t="s">
        <v>49</v>
      </c>
      <c r="D26" s="6" t="s">
        <v>26</v>
      </c>
      <c r="E26" s="6" t="s">
        <v>208</v>
      </c>
      <c r="F26" s="6" t="s">
        <v>222</v>
      </c>
      <c r="G26" s="12">
        <v>79507075</v>
      </c>
      <c r="H26" s="116" t="s">
        <v>213</v>
      </c>
      <c r="I26" s="6" t="s">
        <v>223</v>
      </c>
      <c r="J26" s="118">
        <v>20935824637</v>
      </c>
      <c r="K26" s="87">
        <v>4500000</v>
      </c>
      <c r="L26" s="12">
        <v>30</v>
      </c>
      <c r="M26" s="87">
        <f>K26/30*L26</f>
        <v>4500000</v>
      </c>
      <c r="N26" s="87" t="s">
        <v>153</v>
      </c>
      <c r="O26" s="87"/>
      <c r="P26" s="87"/>
      <c r="Q26" s="87">
        <f t="shared" ref="Q26" si="20">SUM(M26:O26)+P26</f>
        <v>4500000</v>
      </c>
      <c r="R26" s="87">
        <f>+M26*4%</f>
        <v>180000</v>
      </c>
      <c r="S26" s="87">
        <f>+M26*5%</f>
        <v>225000</v>
      </c>
      <c r="T26" s="87"/>
      <c r="U26" s="87"/>
      <c r="V26" s="17">
        <v>72000</v>
      </c>
      <c r="W26" s="87"/>
      <c r="X26" s="87"/>
      <c r="Y26" s="87"/>
      <c r="Z26" s="87">
        <f t="shared" ref="Z26" si="21">SUM(R26:Y26)</f>
        <v>477000</v>
      </c>
      <c r="AA26" s="7">
        <f>+Q26-Z26</f>
        <v>4023000</v>
      </c>
      <c r="AB26" s="8"/>
      <c r="AC26" s="9"/>
      <c r="AD26" s="8">
        <f t="shared" si="4"/>
        <v>4023000</v>
      </c>
    </row>
    <row r="27" spans="1:30" ht="48" x14ac:dyDescent="0.25">
      <c r="A27" s="108"/>
      <c r="B27" s="14">
        <v>24</v>
      </c>
      <c r="C27" s="11" t="s">
        <v>50</v>
      </c>
      <c r="D27" s="6" t="s">
        <v>26</v>
      </c>
      <c r="E27" s="6" t="s">
        <v>208</v>
      </c>
      <c r="F27" s="6" t="s">
        <v>217</v>
      </c>
      <c r="G27" s="12">
        <v>1032370759</v>
      </c>
      <c r="H27" s="6" t="s">
        <v>224</v>
      </c>
      <c r="I27" s="6" t="s">
        <v>211</v>
      </c>
      <c r="J27" s="6">
        <v>122032256</v>
      </c>
      <c r="K27" s="87">
        <v>6000000</v>
      </c>
      <c r="L27" s="12">
        <v>30</v>
      </c>
      <c r="M27" s="87">
        <f t="shared" si="11"/>
        <v>6000000</v>
      </c>
      <c r="N27" s="87"/>
      <c r="O27" s="2"/>
      <c r="P27" s="2"/>
      <c r="Q27" s="87">
        <f t="shared" si="1"/>
        <v>6000000</v>
      </c>
      <c r="R27" s="87">
        <f>+K27*4%</f>
        <v>240000</v>
      </c>
      <c r="S27" s="87">
        <f>K27*5%</f>
        <v>300000</v>
      </c>
      <c r="T27" s="87"/>
      <c r="U27" s="87"/>
      <c r="V27" s="17">
        <v>79000</v>
      </c>
      <c r="W27" s="87"/>
      <c r="X27" s="87"/>
      <c r="Y27" s="87"/>
      <c r="Z27" s="87">
        <f t="shared" si="2"/>
        <v>619000</v>
      </c>
      <c r="AA27" s="7">
        <f>Q27-Z27</f>
        <v>5381000</v>
      </c>
      <c r="AB27" s="8"/>
      <c r="AC27" s="9"/>
      <c r="AD27" s="8">
        <f t="shared" si="4"/>
        <v>5381000</v>
      </c>
    </row>
    <row r="28" spans="1:30" ht="36" x14ac:dyDescent="0.25">
      <c r="A28" s="108"/>
      <c r="B28" s="14">
        <v>25</v>
      </c>
      <c r="C28" s="11" t="s">
        <v>52</v>
      </c>
      <c r="D28" s="6" t="s">
        <v>26</v>
      </c>
      <c r="E28" s="6"/>
      <c r="F28" s="6"/>
      <c r="G28" s="12"/>
      <c r="H28" s="6"/>
      <c r="I28" s="6"/>
      <c r="J28" s="6"/>
      <c r="K28" s="87">
        <v>3500000</v>
      </c>
      <c r="L28" s="12">
        <v>30</v>
      </c>
      <c r="M28" s="87">
        <f t="shared" si="11"/>
        <v>3500000</v>
      </c>
      <c r="N28" s="87"/>
      <c r="O28" s="87"/>
      <c r="P28" s="87"/>
      <c r="Q28" s="87">
        <f>SUM(M28:O28)+P28</f>
        <v>3500000</v>
      </c>
      <c r="R28" s="87">
        <v>140000</v>
      </c>
      <c r="S28" s="87">
        <v>175000</v>
      </c>
      <c r="T28" s="87">
        <f>36900+340000</f>
        <v>376900</v>
      </c>
      <c r="U28" s="87"/>
      <c r="V28" s="17">
        <v>0</v>
      </c>
      <c r="W28" s="87"/>
      <c r="X28" s="87">
        <v>111000</v>
      </c>
      <c r="Y28" s="87"/>
      <c r="Z28" s="87">
        <f t="shared" ref="Z28" si="22">SUM(R28:Y28)</f>
        <v>802900</v>
      </c>
      <c r="AA28" s="7">
        <f>Q28-Z28</f>
        <v>2697100</v>
      </c>
      <c r="AB28" s="8"/>
      <c r="AC28" s="9"/>
      <c r="AD28" s="8">
        <f t="shared" si="4"/>
        <v>2697100</v>
      </c>
    </row>
    <row r="29" spans="1:30" ht="48" x14ac:dyDescent="0.25">
      <c r="A29" s="108"/>
      <c r="B29" s="14">
        <v>26</v>
      </c>
      <c r="C29" s="11" t="s">
        <v>53</v>
      </c>
      <c r="D29" s="6" t="s">
        <v>26</v>
      </c>
      <c r="E29" s="6" t="s">
        <v>208</v>
      </c>
      <c r="F29" s="6" t="s">
        <v>217</v>
      </c>
      <c r="G29" s="12">
        <v>80271442</v>
      </c>
      <c r="H29" s="6" t="s">
        <v>226</v>
      </c>
      <c r="I29" s="6" t="s">
        <v>211</v>
      </c>
      <c r="J29" s="6">
        <v>5368691</v>
      </c>
      <c r="K29" s="87">
        <v>4800000</v>
      </c>
      <c r="L29" s="12">
        <v>30</v>
      </c>
      <c r="M29" s="87">
        <f t="shared" ref="M29:M59" si="23">+K29/30*L29</f>
        <v>4800000</v>
      </c>
      <c r="N29" s="87"/>
      <c r="O29" s="87"/>
      <c r="P29" s="87"/>
      <c r="Q29" s="87">
        <f t="shared" si="1"/>
        <v>4800000</v>
      </c>
      <c r="R29" s="87">
        <f>+M29*4%</f>
        <v>192000</v>
      </c>
      <c r="S29" s="87">
        <f>+M29*5%</f>
        <v>240000</v>
      </c>
      <c r="T29" s="87"/>
      <c r="U29" s="87"/>
      <c r="V29" s="87">
        <v>0</v>
      </c>
      <c r="W29" s="87">
        <v>1300000</v>
      </c>
      <c r="X29" s="87"/>
      <c r="Y29" s="87">
        <v>209579</v>
      </c>
      <c r="Z29" s="87">
        <f t="shared" si="2"/>
        <v>1941579</v>
      </c>
      <c r="AA29" s="7">
        <f>Q29-Z29</f>
        <v>2858421</v>
      </c>
      <c r="AB29" s="8"/>
      <c r="AC29" s="9"/>
      <c r="AD29" s="8">
        <f t="shared" si="4"/>
        <v>2858421</v>
      </c>
    </row>
    <row r="30" spans="1:30" ht="48" x14ac:dyDescent="0.25">
      <c r="A30" s="108"/>
      <c r="B30" s="14">
        <v>27</v>
      </c>
      <c r="C30" s="11" t="s">
        <v>54</v>
      </c>
      <c r="D30" s="6" t="s">
        <v>26</v>
      </c>
      <c r="E30" s="6" t="s">
        <v>214</v>
      </c>
      <c r="F30" s="6" t="s">
        <v>227</v>
      </c>
      <c r="G30" s="12">
        <v>79995836</v>
      </c>
      <c r="H30" s="6" t="s">
        <v>213</v>
      </c>
      <c r="I30" s="6" t="s">
        <v>211</v>
      </c>
      <c r="J30" s="86">
        <v>63874189172</v>
      </c>
      <c r="K30" s="87">
        <v>4280000</v>
      </c>
      <c r="L30" s="12">
        <v>30</v>
      </c>
      <c r="M30" s="87">
        <f>K30/30*L30</f>
        <v>4280000</v>
      </c>
      <c r="N30" s="87"/>
      <c r="O30" s="87"/>
      <c r="P30" s="87"/>
      <c r="Q30" s="87">
        <f t="shared" si="1"/>
        <v>4280000</v>
      </c>
      <c r="R30" s="87">
        <f>+Q30*4%</f>
        <v>171200</v>
      </c>
      <c r="S30" s="87">
        <f>+Q30*5%</f>
        <v>214000</v>
      </c>
      <c r="T30" s="87"/>
      <c r="U30" s="87"/>
      <c r="V30" s="17">
        <v>31064</v>
      </c>
      <c r="W30" s="87"/>
      <c r="X30" s="87"/>
      <c r="Y30" s="87"/>
      <c r="Z30" s="87">
        <f t="shared" si="2"/>
        <v>416264</v>
      </c>
      <c r="AA30" s="7">
        <f>Q30-Z30</f>
        <v>3863736</v>
      </c>
      <c r="AB30" s="8"/>
      <c r="AC30" s="9"/>
      <c r="AD30" s="8">
        <f t="shared" si="4"/>
        <v>3863736</v>
      </c>
    </row>
    <row r="31" spans="1:30" ht="36" x14ac:dyDescent="0.25">
      <c r="A31" s="108"/>
      <c r="B31" s="14">
        <v>28</v>
      </c>
      <c r="C31" s="11" t="s">
        <v>55</v>
      </c>
      <c r="D31" s="6" t="s">
        <v>26</v>
      </c>
      <c r="E31" s="6" t="s">
        <v>208</v>
      </c>
      <c r="F31" s="6" t="s">
        <v>217</v>
      </c>
      <c r="G31" s="12">
        <v>79712744</v>
      </c>
      <c r="H31" s="6" t="s">
        <v>210</v>
      </c>
      <c r="I31" s="6" t="s">
        <v>211</v>
      </c>
      <c r="J31" s="6">
        <v>1003060485</v>
      </c>
      <c r="K31" s="87">
        <v>6000000</v>
      </c>
      <c r="L31" s="12">
        <v>30</v>
      </c>
      <c r="M31" s="87">
        <f t="shared" si="23"/>
        <v>6000000</v>
      </c>
      <c r="N31" s="87"/>
      <c r="O31" s="87"/>
      <c r="P31" s="87"/>
      <c r="Q31" s="87">
        <f t="shared" si="1"/>
        <v>6000000</v>
      </c>
      <c r="R31" s="87">
        <f>+Q31*4%</f>
        <v>240000</v>
      </c>
      <c r="S31" s="87">
        <f>+Q31*5%</f>
        <v>300000</v>
      </c>
      <c r="T31" s="87"/>
      <c r="U31" s="87"/>
      <c r="V31" s="87">
        <v>208000</v>
      </c>
      <c r="W31" s="87"/>
      <c r="X31" s="87">
        <v>122614</v>
      </c>
      <c r="Y31" s="87"/>
      <c r="Z31" s="87">
        <f t="shared" si="2"/>
        <v>870614</v>
      </c>
      <c r="AA31" s="7">
        <f t="shared" ref="AA31:AA32" si="24">+Q31-Z31</f>
        <v>5129386</v>
      </c>
      <c r="AB31" s="8"/>
      <c r="AC31" s="9"/>
      <c r="AD31" s="8">
        <f t="shared" si="4"/>
        <v>5129386</v>
      </c>
    </row>
    <row r="32" spans="1:30" ht="48" x14ac:dyDescent="0.25">
      <c r="A32" s="108"/>
      <c r="B32" s="14">
        <v>29</v>
      </c>
      <c r="C32" s="11" t="s">
        <v>56</v>
      </c>
      <c r="D32" s="6" t="s">
        <v>26</v>
      </c>
      <c r="E32" s="6" t="s">
        <v>208</v>
      </c>
      <c r="F32" s="6" t="s">
        <v>225</v>
      </c>
      <c r="G32" s="12">
        <v>1032418081</v>
      </c>
      <c r="H32" s="6" t="s">
        <v>210</v>
      </c>
      <c r="I32" s="6" t="s">
        <v>211</v>
      </c>
      <c r="J32" s="6">
        <v>1003060469</v>
      </c>
      <c r="K32" s="87">
        <v>4500000</v>
      </c>
      <c r="L32" s="12">
        <v>30</v>
      </c>
      <c r="M32" s="87">
        <f t="shared" si="23"/>
        <v>4500000</v>
      </c>
      <c r="N32" s="87"/>
      <c r="O32" s="87">
        <v>500000</v>
      </c>
      <c r="P32" s="87">
        <v>281250</v>
      </c>
      <c r="Q32" s="87">
        <f t="shared" si="1"/>
        <v>5281250</v>
      </c>
      <c r="R32" s="87">
        <f t="shared" ref="R32" si="25">+M32*4%</f>
        <v>180000</v>
      </c>
      <c r="S32" s="87">
        <f t="shared" si="6"/>
        <v>225000</v>
      </c>
      <c r="T32" s="87"/>
      <c r="U32" s="87"/>
      <c r="V32" s="87">
        <v>11000</v>
      </c>
      <c r="W32" s="87"/>
      <c r="X32" s="87"/>
      <c r="Y32" s="87">
        <v>551399</v>
      </c>
      <c r="Z32" s="87">
        <f t="shared" si="2"/>
        <v>967399</v>
      </c>
      <c r="AA32" s="7">
        <f t="shared" si="24"/>
        <v>4313851</v>
      </c>
      <c r="AB32" s="8"/>
      <c r="AC32" s="9"/>
      <c r="AD32" s="8">
        <f t="shared" si="4"/>
        <v>4313851</v>
      </c>
    </row>
    <row r="33" spans="1:30" ht="24" x14ac:dyDescent="0.25">
      <c r="A33" s="108"/>
      <c r="B33" s="14">
        <v>30</v>
      </c>
      <c r="C33" s="3" t="s">
        <v>57</v>
      </c>
      <c r="D33" s="86" t="s">
        <v>26</v>
      </c>
      <c r="E33" s="86" t="s">
        <v>208</v>
      </c>
      <c r="F33" s="86" t="s">
        <v>228</v>
      </c>
      <c r="G33" s="87">
        <v>79312565</v>
      </c>
      <c r="H33" s="86" t="s">
        <v>218</v>
      </c>
      <c r="I33" s="6" t="s">
        <v>211</v>
      </c>
      <c r="J33" s="119">
        <v>456400032409</v>
      </c>
      <c r="K33" s="87">
        <v>4815000</v>
      </c>
      <c r="L33" s="12">
        <v>30</v>
      </c>
      <c r="M33" s="87">
        <f>+K33-P33</f>
        <v>4815000</v>
      </c>
      <c r="N33" s="87"/>
      <c r="O33" s="87"/>
      <c r="P33" s="87"/>
      <c r="Q33" s="87">
        <f t="shared" si="1"/>
        <v>4815000</v>
      </c>
      <c r="R33" s="87">
        <f>+K33*4%</f>
        <v>192600</v>
      </c>
      <c r="S33" s="87">
        <f>+K33*5%</f>
        <v>240750</v>
      </c>
      <c r="T33" s="87"/>
      <c r="U33" s="87"/>
      <c r="V33" s="87">
        <v>34627</v>
      </c>
      <c r="W33" s="87"/>
      <c r="X33" s="87"/>
      <c r="Y33" s="87">
        <v>541379</v>
      </c>
      <c r="Z33" s="87">
        <f t="shared" si="2"/>
        <v>1009356</v>
      </c>
      <c r="AA33" s="7">
        <f>Q33-Z33</f>
        <v>3805644</v>
      </c>
      <c r="AB33" s="8"/>
      <c r="AC33" s="9"/>
      <c r="AD33" s="8">
        <f t="shared" si="4"/>
        <v>3805644</v>
      </c>
    </row>
    <row r="34" spans="1:30" ht="60" x14ac:dyDescent="0.25">
      <c r="A34" s="108"/>
      <c r="B34" s="14">
        <v>31</v>
      </c>
      <c r="C34" s="11" t="s">
        <v>58</v>
      </c>
      <c r="D34" s="6" t="s">
        <v>26</v>
      </c>
      <c r="E34" s="6" t="s">
        <v>208</v>
      </c>
      <c r="F34" s="6" t="s">
        <v>217</v>
      </c>
      <c r="G34" s="12">
        <v>79853277</v>
      </c>
      <c r="H34" s="6" t="s">
        <v>218</v>
      </c>
      <c r="I34" s="6" t="s">
        <v>211</v>
      </c>
      <c r="J34" s="114" t="s">
        <v>229</v>
      </c>
      <c r="K34" s="87">
        <v>6420000</v>
      </c>
      <c r="L34" s="12">
        <v>30</v>
      </c>
      <c r="M34" s="87">
        <f>+K34-P34</f>
        <v>6420000</v>
      </c>
      <c r="N34" s="87"/>
      <c r="O34" s="87"/>
      <c r="P34" s="87"/>
      <c r="Q34" s="87">
        <f t="shared" ref="Q34:Q80" si="26">SUM(M34:O34)+P34</f>
        <v>6420000</v>
      </c>
      <c r="R34" s="87">
        <f>+K34*4%</f>
        <v>256800</v>
      </c>
      <c r="S34" s="87">
        <f>+K34*5%</f>
        <v>321000</v>
      </c>
      <c r="T34" s="87"/>
      <c r="U34" s="87"/>
      <c r="V34" s="87">
        <v>231000</v>
      </c>
      <c r="W34" s="87"/>
      <c r="X34" s="87"/>
      <c r="Y34" s="87"/>
      <c r="Z34" s="87">
        <f t="shared" si="2"/>
        <v>808800</v>
      </c>
      <c r="AA34" s="7">
        <f>+Q34-Z34</f>
        <v>5611200</v>
      </c>
      <c r="AB34" s="8"/>
      <c r="AC34" s="9"/>
      <c r="AD34" s="8">
        <f t="shared" si="4"/>
        <v>5611200</v>
      </c>
    </row>
    <row r="35" spans="1:30" ht="24" x14ac:dyDescent="0.25">
      <c r="A35" s="108"/>
      <c r="B35" s="14">
        <v>32</v>
      </c>
      <c r="C35" s="3" t="s">
        <v>59</v>
      </c>
      <c r="D35" s="86" t="s">
        <v>26</v>
      </c>
      <c r="E35" s="86" t="s">
        <v>208</v>
      </c>
      <c r="F35" s="86" t="s">
        <v>217</v>
      </c>
      <c r="G35" s="87">
        <v>1017136558</v>
      </c>
      <c r="H35" s="6" t="s">
        <v>213</v>
      </c>
      <c r="I35" s="6" t="s">
        <v>211</v>
      </c>
      <c r="J35" s="119">
        <v>20442622745</v>
      </c>
      <c r="K35" s="87">
        <v>6900000</v>
      </c>
      <c r="L35" s="12">
        <v>30</v>
      </c>
      <c r="M35" s="87">
        <f t="shared" si="23"/>
        <v>6900000</v>
      </c>
      <c r="N35" s="87"/>
      <c r="O35" s="87">
        <v>1500000</v>
      </c>
      <c r="P35" s="126"/>
      <c r="Q35" s="87">
        <f t="shared" si="26"/>
        <v>8400000</v>
      </c>
      <c r="R35" s="87">
        <v>276000</v>
      </c>
      <c r="S35" s="87">
        <v>345000</v>
      </c>
      <c r="T35" s="87"/>
      <c r="U35" s="87"/>
      <c r="V35" s="87">
        <v>345000</v>
      </c>
      <c r="W35" s="87"/>
      <c r="X35" s="87"/>
      <c r="Y35" s="87"/>
      <c r="Z35" s="87">
        <f t="shared" si="2"/>
        <v>966000</v>
      </c>
      <c r="AA35" s="7">
        <f>Q35-Z35</f>
        <v>7434000</v>
      </c>
      <c r="AB35" s="8"/>
      <c r="AC35" s="9"/>
      <c r="AD35" s="8">
        <f t="shared" si="4"/>
        <v>7434000</v>
      </c>
    </row>
    <row r="36" spans="1:30" x14ac:dyDescent="0.25">
      <c r="A36" s="108"/>
      <c r="B36" s="14">
        <v>33</v>
      </c>
      <c r="C36" s="3" t="s">
        <v>61</v>
      </c>
      <c r="D36" s="86" t="s">
        <v>26</v>
      </c>
      <c r="E36" s="86"/>
      <c r="F36" s="86"/>
      <c r="G36" s="87"/>
      <c r="H36" s="6"/>
      <c r="I36" s="6"/>
      <c r="J36" s="119"/>
      <c r="K36" s="87">
        <v>5500000</v>
      </c>
      <c r="L36" s="12">
        <v>30</v>
      </c>
      <c r="M36" s="87">
        <f t="shared" si="23"/>
        <v>5500000</v>
      </c>
      <c r="N36" s="87"/>
      <c r="O36" s="87">
        <v>500000</v>
      </c>
      <c r="P36" s="87"/>
      <c r="Q36" s="87">
        <f t="shared" ref="Q36" si="27">SUM(M36:O36)+P36</f>
        <v>6000000</v>
      </c>
      <c r="R36" s="87">
        <f>+M36*4%</f>
        <v>220000</v>
      </c>
      <c r="S36" s="87">
        <f>+M36*5%</f>
        <v>275000</v>
      </c>
      <c r="T36" s="87"/>
      <c r="U36" s="87"/>
      <c r="V36" s="87">
        <v>144000</v>
      </c>
      <c r="W36" s="87"/>
      <c r="X36" s="87"/>
      <c r="Y36" s="87"/>
      <c r="Z36" s="87">
        <f t="shared" si="2"/>
        <v>639000</v>
      </c>
      <c r="AA36" s="7">
        <f t="shared" ref="AA36" si="28">Q36-Z36</f>
        <v>5361000</v>
      </c>
      <c r="AB36" s="8"/>
      <c r="AC36" s="9"/>
      <c r="AD36" s="8">
        <f t="shared" si="4"/>
        <v>5361000</v>
      </c>
    </row>
    <row r="37" spans="1:30" ht="36" x14ac:dyDescent="0.25">
      <c r="A37" s="108"/>
      <c r="B37" s="14">
        <v>34</v>
      </c>
      <c r="C37" s="11" t="s">
        <v>62</v>
      </c>
      <c r="D37" s="6" t="s">
        <v>26</v>
      </c>
      <c r="E37" s="6" t="s">
        <v>208</v>
      </c>
      <c r="F37" s="6" t="s">
        <v>230</v>
      </c>
      <c r="G37" s="12">
        <v>39544414</v>
      </c>
      <c r="H37" s="6" t="s">
        <v>210</v>
      </c>
      <c r="I37" s="6" t="s">
        <v>211</v>
      </c>
      <c r="J37" s="114">
        <v>1007103391</v>
      </c>
      <c r="K37" s="87">
        <v>5350000</v>
      </c>
      <c r="L37" s="12">
        <v>30</v>
      </c>
      <c r="M37" s="87">
        <f t="shared" si="23"/>
        <v>5350000</v>
      </c>
      <c r="N37" s="87"/>
      <c r="O37" s="87"/>
      <c r="P37" s="87"/>
      <c r="Q37" s="87">
        <f t="shared" si="26"/>
        <v>5350000</v>
      </c>
      <c r="R37" s="87">
        <f>+M37*4%</f>
        <v>214000</v>
      </c>
      <c r="S37" s="87">
        <f>+M37*5%</f>
        <v>267500</v>
      </c>
      <c r="T37" s="87"/>
      <c r="U37" s="87"/>
      <c r="V37" s="87">
        <v>121000</v>
      </c>
      <c r="W37" s="87"/>
      <c r="X37" s="87"/>
      <c r="Y37" s="87"/>
      <c r="Z37" s="87">
        <f>SUM(R37:Y37)</f>
        <v>602500</v>
      </c>
      <c r="AA37" s="7">
        <f t="shared" ref="AA37:AA43" si="29">+Q37-Z37</f>
        <v>4747500</v>
      </c>
      <c r="AB37" s="8"/>
      <c r="AC37" s="9"/>
      <c r="AD37" s="8">
        <f t="shared" si="4"/>
        <v>4747500</v>
      </c>
    </row>
    <row r="38" spans="1:30" ht="36" x14ac:dyDescent="0.25">
      <c r="A38" s="108"/>
      <c r="B38" s="14">
        <v>35</v>
      </c>
      <c r="C38" s="11" t="s">
        <v>148</v>
      </c>
      <c r="D38" s="6"/>
      <c r="E38" s="6"/>
      <c r="F38" s="6"/>
      <c r="G38" s="12"/>
      <c r="H38" s="6"/>
      <c r="I38" s="6"/>
      <c r="J38" s="114"/>
      <c r="K38" s="87">
        <v>4000000</v>
      </c>
      <c r="L38" s="12">
        <v>30</v>
      </c>
      <c r="M38" s="87">
        <f t="shared" si="23"/>
        <v>4000000.0000000005</v>
      </c>
      <c r="N38" s="87"/>
      <c r="O38" s="87"/>
      <c r="P38" s="87"/>
      <c r="Q38" s="87">
        <f t="shared" ref="Q38" si="30">SUM(M38:O38)+P38</f>
        <v>4000000.0000000005</v>
      </c>
      <c r="R38" s="87">
        <f>+M38*4%</f>
        <v>160000.00000000003</v>
      </c>
      <c r="S38" s="87">
        <f>+M38*5%</f>
        <v>200000.00000000003</v>
      </c>
      <c r="T38" s="87"/>
      <c r="U38" s="87"/>
      <c r="V38" s="87">
        <v>0</v>
      </c>
      <c r="W38" s="87"/>
      <c r="X38" s="87"/>
      <c r="Y38" s="87"/>
      <c r="Z38" s="87">
        <f>SUM(R38:Y38)</f>
        <v>360000.00000000006</v>
      </c>
      <c r="AA38" s="7">
        <f t="shared" si="29"/>
        <v>3640000.0000000005</v>
      </c>
      <c r="AB38" s="8"/>
      <c r="AC38" s="9"/>
      <c r="AD38" s="8">
        <f t="shared" si="4"/>
        <v>3640000.0000000005</v>
      </c>
    </row>
    <row r="39" spans="1:30" ht="36" x14ac:dyDescent="0.25">
      <c r="A39" s="108"/>
      <c r="B39" s="14">
        <v>36</v>
      </c>
      <c r="C39" s="11" t="s">
        <v>63</v>
      </c>
      <c r="D39" s="6" t="s">
        <v>26</v>
      </c>
      <c r="E39" s="6" t="s">
        <v>214</v>
      </c>
      <c r="F39" s="6" t="s">
        <v>231</v>
      </c>
      <c r="G39" s="12">
        <v>79342363</v>
      </c>
      <c r="H39" s="6" t="s">
        <v>218</v>
      </c>
      <c r="I39" s="6" t="s">
        <v>211</v>
      </c>
      <c r="J39" s="114" t="s">
        <v>232</v>
      </c>
      <c r="K39" s="87">
        <v>4500000</v>
      </c>
      <c r="L39" s="12">
        <v>29</v>
      </c>
      <c r="M39" s="87">
        <f t="shared" si="23"/>
        <v>4350000</v>
      </c>
      <c r="N39" s="87">
        <v>100005</v>
      </c>
      <c r="O39" s="87"/>
      <c r="P39" s="87"/>
      <c r="Q39" s="87">
        <f t="shared" si="26"/>
        <v>4450005</v>
      </c>
      <c r="R39" s="87">
        <f>+K39*4%</f>
        <v>180000</v>
      </c>
      <c r="S39" s="87">
        <f>+K39*5%</f>
        <v>225000</v>
      </c>
      <c r="T39" s="87"/>
      <c r="U39" s="87"/>
      <c r="V39" s="87">
        <v>10000</v>
      </c>
      <c r="W39" s="87"/>
      <c r="X39" s="87"/>
      <c r="Y39" s="87">
        <v>317224</v>
      </c>
      <c r="Z39" s="87">
        <f>SUM(R39:Y39)</f>
        <v>732224</v>
      </c>
      <c r="AA39" s="7">
        <f t="shared" si="29"/>
        <v>3717781</v>
      </c>
      <c r="AB39" s="8"/>
      <c r="AC39" s="9"/>
      <c r="AD39" s="8">
        <f t="shared" si="4"/>
        <v>3717781</v>
      </c>
    </row>
    <row r="40" spans="1:30" ht="48" x14ac:dyDescent="0.25">
      <c r="A40" s="108"/>
      <c r="B40" s="14">
        <v>37</v>
      </c>
      <c r="C40" s="11" t="s">
        <v>65</v>
      </c>
      <c r="D40" s="6" t="s">
        <v>26</v>
      </c>
      <c r="E40" s="6" t="s">
        <v>220</v>
      </c>
      <c r="F40" s="6" t="s">
        <v>222</v>
      </c>
      <c r="G40" s="12">
        <v>569462</v>
      </c>
      <c r="H40" s="6"/>
      <c r="I40" s="6" t="s">
        <v>211</v>
      </c>
      <c r="J40" s="114"/>
      <c r="K40" s="87">
        <v>4800000</v>
      </c>
      <c r="L40" s="12">
        <v>30</v>
      </c>
      <c r="M40" s="87">
        <f t="shared" si="23"/>
        <v>4800000</v>
      </c>
      <c r="N40" s="87"/>
      <c r="O40" s="87"/>
      <c r="P40" s="87"/>
      <c r="Q40" s="87">
        <f t="shared" ref="Q40" si="31">SUM(M40:O40)+P40</f>
        <v>4800000</v>
      </c>
      <c r="R40" s="87">
        <f>+M40*4%</f>
        <v>192000</v>
      </c>
      <c r="S40" s="87">
        <f>+M40*5%</f>
        <v>240000</v>
      </c>
      <c r="T40" s="87"/>
      <c r="U40" s="87"/>
      <c r="V40" s="87">
        <v>51000</v>
      </c>
      <c r="W40" s="87"/>
      <c r="X40" s="87"/>
      <c r="Y40" s="87">
        <v>206720</v>
      </c>
      <c r="Z40" s="87">
        <f t="shared" ref="Z40" si="32">SUM(R40:Y40)</f>
        <v>689720</v>
      </c>
      <c r="AA40" s="7">
        <f t="shared" si="29"/>
        <v>4110280</v>
      </c>
      <c r="AB40" s="8"/>
      <c r="AC40" s="9"/>
      <c r="AD40" s="8">
        <f t="shared" si="4"/>
        <v>4110280</v>
      </c>
    </row>
    <row r="41" spans="1:30" ht="48" x14ac:dyDescent="0.25">
      <c r="A41" s="108"/>
      <c r="B41" s="14">
        <v>38</v>
      </c>
      <c r="C41" s="11" t="s">
        <v>66</v>
      </c>
      <c r="D41" s="6"/>
      <c r="E41" s="6"/>
      <c r="F41" s="6"/>
      <c r="G41" s="12"/>
      <c r="H41" s="6"/>
      <c r="I41" s="6"/>
      <c r="J41" s="114"/>
      <c r="K41" s="87">
        <v>4000000</v>
      </c>
      <c r="L41" s="12">
        <v>30</v>
      </c>
      <c r="M41" s="87">
        <f t="shared" si="23"/>
        <v>4000000.0000000005</v>
      </c>
      <c r="N41" s="87"/>
      <c r="O41" s="87"/>
      <c r="P41" s="87"/>
      <c r="Q41" s="87">
        <f t="shared" ref="Q41" si="33">SUM(M41:O41)+P41</f>
        <v>4000000.0000000005</v>
      </c>
      <c r="R41" s="87">
        <f>+M41*4%</f>
        <v>160000.00000000003</v>
      </c>
      <c r="S41" s="87">
        <f>+M41*5%</f>
        <v>200000.00000000003</v>
      </c>
      <c r="T41" s="87"/>
      <c r="U41" s="87"/>
      <c r="V41" s="87">
        <v>4500</v>
      </c>
      <c r="W41" s="87"/>
      <c r="X41" s="87"/>
      <c r="Y41" s="87"/>
      <c r="Z41" s="87">
        <f t="shared" ref="Z41" si="34">SUM(R41:Y41)</f>
        <v>364500.00000000006</v>
      </c>
      <c r="AA41" s="7">
        <f t="shared" si="29"/>
        <v>3635500.0000000005</v>
      </c>
      <c r="AB41" s="8"/>
      <c r="AC41" s="9"/>
      <c r="AD41" s="8">
        <f t="shared" si="4"/>
        <v>3635500.0000000005</v>
      </c>
    </row>
    <row r="42" spans="1:30" ht="60" x14ac:dyDescent="0.25">
      <c r="A42" s="108"/>
      <c r="B42" s="14">
        <v>39</v>
      </c>
      <c r="C42" s="11" t="s">
        <v>67</v>
      </c>
      <c r="D42" s="6" t="s">
        <v>26</v>
      </c>
      <c r="E42" s="6" t="s">
        <v>208</v>
      </c>
      <c r="F42" s="6" t="s">
        <v>233</v>
      </c>
      <c r="G42" s="12">
        <v>1020736546</v>
      </c>
      <c r="H42" s="6" t="s">
        <v>234</v>
      </c>
      <c r="I42" s="6" t="s">
        <v>211</v>
      </c>
      <c r="J42" s="114" t="s">
        <v>235</v>
      </c>
      <c r="K42" s="87">
        <v>3500000</v>
      </c>
      <c r="L42" s="12">
        <v>30</v>
      </c>
      <c r="M42" s="87">
        <f>+K42-P42</f>
        <v>3500000</v>
      </c>
      <c r="N42" s="87"/>
      <c r="O42" s="87" t="s">
        <v>1</v>
      </c>
      <c r="P42" s="87"/>
      <c r="Q42" s="87">
        <f t="shared" si="26"/>
        <v>3500000</v>
      </c>
      <c r="R42" s="87">
        <f>+Q42*4%</f>
        <v>140000</v>
      </c>
      <c r="S42" s="87">
        <f>+Q42*5%</f>
        <v>175000</v>
      </c>
      <c r="T42" s="87"/>
      <c r="U42" s="87"/>
      <c r="V42" s="87"/>
      <c r="W42" s="87"/>
      <c r="X42" s="87"/>
      <c r="Y42" s="87"/>
      <c r="Z42" s="87">
        <f t="shared" si="2"/>
        <v>315000</v>
      </c>
      <c r="AA42" s="7">
        <f t="shared" si="29"/>
        <v>3185000</v>
      </c>
      <c r="AB42" s="8"/>
      <c r="AC42" s="9"/>
      <c r="AD42" s="8">
        <f t="shared" si="4"/>
        <v>3185000</v>
      </c>
    </row>
    <row r="43" spans="1:30" ht="36" x14ac:dyDescent="0.25">
      <c r="A43" s="108"/>
      <c r="B43" s="14">
        <v>40</v>
      </c>
      <c r="C43" s="11" t="s">
        <v>68</v>
      </c>
      <c r="D43" s="6" t="s">
        <v>26</v>
      </c>
      <c r="E43" s="6" t="s">
        <v>208</v>
      </c>
      <c r="F43" s="6" t="s">
        <v>231</v>
      </c>
      <c r="G43" s="12">
        <v>80182894</v>
      </c>
      <c r="H43" s="6" t="s">
        <v>210</v>
      </c>
      <c r="I43" s="6" t="s">
        <v>211</v>
      </c>
      <c r="J43" s="114" t="s">
        <v>236</v>
      </c>
      <c r="K43" s="87">
        <v>5000000</v>
      </c>
      <c r="L43" s="12">
        <v>30</v>
      </c>
      <c r="M43" s="87">
        <f t="shared" si="23"/>
        <v>5000000</v>
      </c>
      <c r="N43" s="87"/>
      <c r="O43" s="87">
        <v>800000</v>
      </c>
      <c r="P43" s="87"/>
      <c r="Q43" s="87">
        <f t="shared" si="26"/>
        <v>5800000</v>
      </c>
      <c r="R43" s="87">
        <f>+M43*4%</f>
        <v>200000</v>
      </c>
      <c r="S43" s="87">
        <f>+M43*5%</f>
        <v>250000</v>
      </c>
      <c r="T43" s="87"/>
      <c r="U43" s="87"/>
      <c r="V43" s="87">
        <v>50000</v>
      </c>
      <c r="W43" s="87"/>
      <c r="X43" s="87"/>
      <c r="Y43" s="87"/>
      <c r="Z43" s="87">
        <f t="shared" si="2"/>
        <v>500000</v>
      </c>
      <c r="AA43" s="7">
        <f t="shared" si="29"/>
        <v>5300000</v>
      </c>
      <c r="AB43" s="8"/>
      <c r="AC43" s="9"/>
      <c r="AD43" s="8">
        <f t="shared" si="4"/>
        <v>5300000</v>
      </c>
    </row>
    <row r="44" spans="1:30" ht="48" x14ac:dyDescent="0.25">
      <c r="A44" s="108"/>
      <c r="B44" s="14">
        <v>41</v>
      </c>
      <c r="C44" s="11" t="s">
        <v>69</v>
      </c>
      <c r="D44" s="6" t="s">
        <v>26</v>
      </c>
      <c r="E44" s="6" t="s">
        <v>208</v>
      </c>
      <c r="F44" s="6" t="s">
        <v>237</v>
      </c>
      <c r="G44" s="12">
        <v>79344940</v>
      </c>
      <c r="H44" s="6" t="s">
        <v>218</v>
      </c>
      <c r="I44" s="6" t="s">
        <v>211</v>
      </c>
      <c r="J44" s="115">
        <v>466900016398</v>
      </c>
      <c r="K44" s="87">
        <v>5152050</v>
      </c>
      <c r="L44" s="12">
        <v>30</v>
      </c>
      <c r="M44" s="87">
        <f>+K44-P44</f>
        <v>5152050</v>
      </c>
      <c r="N44" s="87"/>
      <c r="O44" s="87">
        <v>350000</v>
      </c>
      <c r="P44" s="87"/>
      <c r="Q44" s="87">
        <f t="shared" si="26"/>
        <v>5502050</v>
      </c>
      <c r="R44" s="87">
        <f>+M44*4%</f>
        <v>206082</v>
      </c>
      <c r="S44" s="87">
        <f>+M44*5%</f>
        <v>257602.5</v>
      </c>
      <c r="T44" s="87"/>
      <c r="U44" s="87"/>
      <c r="V44" s="87">
        <v>93000</v>
      </c>
      <c r="W44" s="87"/>
      <c r="X44" s="87"/>
      <c r="Y44" s="87"/>
      <c r="Z44" s="87">
        <f t="shared" si="2"/>
        <v>556684.5</v>
      </c>
      <c r="AA44" s="7">
        <f>Q44-Z44</f>
        <v>4945365.5</v>
      </c>
      <c r="AB44" s="8"/>
      <c r="AC44" s="9"/>
      <c r="AD44" s="8">
        <f t="shared" si="4"/>
        <v>4945365.5</v>
      </c>
    </row>
    <row r="45" spans="1:30" ht="36" x14ac:dyDescent="0.25">
      <c r="A45" s="108"/>
      <c r="B45" s="14">
        <v>42</v>
      </c>
      <c r="C45" s="11" t="s">
        <v>70</v>
      </c>
      <c r="D45" s="6" t="s">
        <v>26</v>
      </c>
      <c r="E45" s="6" t="s">
        <v>208</v>
      </c>
      <c r="F45" s="6" t="s">
        <v>238</v>
      </c>
      <c r="G45" s="12">
        <v>44161192</v>
      </c>
      <c r="H45" s="6" t="s">
        <v>210</v>
      </c>
      <c r="I45" s="6" t="s">
        <v>211</v>
      </c>
      <c r="J45" s="6">
        <v>1005942957</v>
      </c>
      <c r="K45" s="87">
        <v>9590321</v>
      </c>
      <c r="L45" s="12">
        <v>30</v>
      </c>
      <c r="M45" s="87">
        <f t="shared" si="23"/>
        <v>9590321</v>
      </c>
      <c r="N45" s="87"/>
      <c r="O45" s="87"/>
      <c r="P45" s="87">
        <v>8241612</v>
      </c>
      <c r="Q45" s="87">
        <f t="shared" si="26"/>
        <v>17831933</v>
      </c>
      <c r="R45" s="87">
        <v>598193</v>
      </c>
      <c r="S45" s="87">
        <v>747742</v>
      </c>
      <c r="T45" s="87"/>
      <c r="U45" s="87"/>
      <c r="V45" s="87">
        <f>205000+205000</f>
        <v>410000</v>
      </c>
      <c r="W45" s="87">
        <v>2500000</v>
      </c>
      <c r="X45" s="87"/>
      <c r="Y45" s="87"/>
      <c r="Z45" s="87">
        <f t="shared" si="2"/>
        <v>4255935</v>
      </c>
      <c r="AA45" s="7">
        <f>Q45-Z45</f>
        <v>13575998</v>
      </c>
      <c r="AB45" s="8"/>
      <c r="AC45" s="9"/>
      <c r="AD45" s="8">
        <f t="shared" si="4"/>
        <v>13575998</v>
      </c>
    </row>
    <row r="46" spans="1:30" ht="36" x14ac:dyDescent="0.25">
      <c r="A46" s="109"/>
      <c r="B46" s="14">
        <v>43</v>
      </c>
      <c r="C46" s="11" t="s">
        <v>71</v>
      </c>
      <c r="D46" s="6" t="s">
        <v>26</v>
      </c>
      <c r="E46" s="6" t="s">
        <v>208</v>
      </c>
      <c r="F46" s="6" t="s">
        <v>222</v>
      </c>
      <c r="G46" s="12">
        <v>518375</v>
      </c>
      <c r="H46" s="116" t="s">
        <v>218</v>
      </c>
      <c r="I46" s="117" t="s">
        <v>216</v>
      </c>
      <c r="J46" s="118">
        <v>451870107039</v>
      </c>
      <c r="K46" s="87">
        <v>4500000</v>
      </c>
      <c r="L46" s="12">
        <v>30</v>
      </c>
      <c r="M46" s="87">
        <f>+K46-P46</f>
        <v>4500000</v>
      </c>
      <c r="N46" s="87"/>
      <c r="O46" s="87"/>
      <c r="P46" s="87"/>
      <c r="Q46" s="87">
        <f t="shared" si="26"/>
        <v>4500000</v>
      </c>
      <c r="R46" s="87">
        <v>180000</v>
      </c>
      <c r="S46" s="87">
        <v>225000</v>
      </c>
      <c r="T46" s="87">
        <v>36500</v>
      </c>
      <c r="U46" s="87"/>
      <c r="V46" s="87">
        <v>31000</v>
      </c>
      <c r="W46" s="87"/>
      <c r="X46" s="87"/>
      <c r="Y46" s="87"/>
      <c r="Z46" s="87">
        <f t="shared" si="2"/>
        <v>472500</v>
      </c>
      <c r="AA46" s="7">
        <f>Q46-Z46</f>
        <v>4027500</v>
      </c>
      <c r="AB46" s="8"/>
      <c r="AC46" s="9"/>
      <c r="AD46" s="8">
        <f t="shared" si="4"/>
        <v>4027500</v>
      </c>
    </row>
    <row r="47" spans="1:30" ht="36" x14ac:dyDescent="0.25">
      <c r="A47" s="107" t="s">
        <v>143</v>
      </c>
      <c r="B47" s="14">
        <v>1</v>
      </c>
      <c r="C47" s="11" t="s">
        <v>144</v>
      </c>
      <c r="D47" s="6"/>
      <c r="E47" s="6"/>
      <c r="F47" s="6"/>
      <c r="G47" s="12"/>
      <c r="H47" s="116"/>
      <c r="I47" s="117"/>
      <c r="J47" s="118"/>
      <c r="K47" s="87">
        <v>737717</v>
      </c>
      <c r="L47" s="12">
        <v>30</v>
      </c>
      <c r="M47" s="87">
        <f t="shared" si="23"/>
        <v>737717</v>
      </c>
      <c r="N47" s="87"/>
      <c r="O47" s="87"/>
      <c r="P47" s="87"/>
      <c r="Q47" s="87">
        <f t="shared" si="26"/>
        <v>737717</v>
      </c>
      <c r="R47" s="87"/>
      <c r="S47" s="87"/>
      <c r="T47" s="87"/>
      <c r="U47" s="87"/>
      <c r="V47" s="87"/>
      <c r="W47" s="87"/>
      <c r="X47" s="87"/>
      <c r="Y47" s="87"/>
      <c r="Z47" s="87"/>
      <c r="AA47" s="7">
        <f>Q47-Z47</f>
        <v>737717</v>
      </c>
      <c r="AB47" s="8"/>
      <c r="AC47" s="9"/>
      <c r="AD47" s="8">
        <f t="shared" si="4"/>
        <v>737717</v>
      </c>
    </row>
    <row r="48" spans="1:30" ht="36" x14ac:dyDescent="0.25">
      <c r="A48" s="108"/>
      <c r="B48" s="14">
        <v>2</v>
      </c>
      <c r="C48" s="11" t="s">
        <v>72</v>
      </c>
      <c r="D48" s="6" t="s">
        <v>26</v>
      </c>
      <c r="E48" s="6"/>
      <c r="F48" s="6"/>
      <c r="G48" s="12"/>
      <c r="H48" s="116"/>
      <c r="I48" s="117"/>
      <c r="J48" s="118"/>
      <c r="K48" s="87">
        <v>3000000</v>
      </c>
      <c r="L48" s="12">
        <v>30</v>
      </c>
      <c r="M48" s="87">
        <f>+K48-P48</f>
        <v>2200000</v>
      </c>
      <c r="N48" s="87"/>
      <c r="O48" s="87"/>
      <c r="P48" s="87">
        <v>800000</v>
      </c>
      <c r="Q48" s="87">
        <f t="shared" si="26"/>
        <v>3000000</v>
      </c>
      <c r="R48" s="87">
        <v>120000</v>
      </c>
      <c r="S48" s="87">
        <v>150000</v>
      </c>
      <c r="T48" s="87">
        <v>108333</v>
      </c>
      <c r="U48" s="87"/>
      <c r="V48" s="87"/>
      <c r="W48" s="87"/>
      <c r="X48" s="87"/>
      <c r="Y48" s="87"/>
      <c r="Z48" s="87">
        <f t="shared" si="2"/>
        <v>378333</v>
      </c>
      <c r="AA48" s="7">
        <f>Q48-Z48</f>
        <v>2621667</v>
      </c>
      <c r="AB48" s="8"/>
      <c r="AC48" s="9"/>
      <c r="AD48" s="8">
        <f t="shared" si="4"/>
        <v>2621667</v>
      </c>
    </row>
    <row r="49" spans="1:30" ht="48" x14ac:dyDescent="0.25">
      <c r="A49" s="108"/>
      <c r="B49" s="14">
        <v>3</v>
      </c>
      <c r="C49" s="11" t="s">
        <v>74</v>
      </c>
      <c r="D49" s="6" t="s">
        <v>26</v>
      </c>
      <c r="E49" s="6" t="s">
        <v>239</v>
      </c>
      <c r="F49" s="6" t="s">
        <v>240</v>
      </c>
      <c r="G49" s="12">
        <v>1023962160</v>
      </c>
      <c r="H49" s="6" t="s">
        <v>234</v>
      </c>
      <c r="I49" s="6" t="s">
        <v>241</v>
      </c>
      <c r="J49" s="6">
        <v>627198914</v>
      </c>
      <c r="K49" s="87">
        <v>800000</v>
      </c>
      <c r="L49" s="12">
        <v>30</v>
      </c>
      <c r="M49" s="87">
        <f t="shared" si="23"/>
        <v>800000</v>
      </c>
      <c r="N49" s="87">
        <v>77597</v>
      </c>
      <c r="O49" s="87"/>
      <c r="P49" s="87"/>
      <c r="Q49" s="87">
        <f t="shared" si="26"/>
        <v>877597</v>
      </c>
      <c r="R49" s="87">
        <f>+M49*4%</f>
        <v>32000</v>
      </c>
      <c r="S49" s="87">
        <f>+M49*4%</f>
        <v>32000</v>
      </c>
      <c r="T49" s="87">
        <v>36500</v>
      </c>
      <c r="U49" s="87"/>
      <c r="V49" s="17"/>
      <c r="W49" s="87"/>
      <c r="X49" s="87"/>
      <c r="Y49" s="87"/>
      <c r="Z49" s="87">
        <f t="shared" ref="Z49" si="35">SUM(R49:Y49)</f>
        <v>100500</v>
      </c>
      <c r="AA49" s="7">
        <f>+Q49-Z49</f>
        <v>777097</v>
      </c>
      <c r="AB49" s="8"/>
      <c r="AC49" s="9"/>
      <c r="AD49" s="8">
        <f t="shared" si="4"/>
        <v>777097</v>
      </c>
    </row>
    <row r="50" spans="1:30" ht="36" x14ac:dyDescent="0.25">
      <c r="A50" s="108"/>
      <c r="B50" s="14">
        <v>4</v>
      </c>
      <c r="C50" s="3" t="s">
        <v>75</v>
      </c>
      <c r="D50" s="86" t="s">
        <v>26</v>
      </c>
      <c r="E50" s="86" t="s">
        <v>208</v>
      </c>
      <c r="F50" s="6" t="s">
        <v>242</v>
      </c>
      <c r="G50" s="87">
        <v>1020770039</v>
      </c>
      <c r="H50" s="111" t="s">
        <v>234</v>
      </c>
      <c r="I50" s="120" t="s">
        <v>216</v>
      </c>
      <c r="J50" s="121">
        <v>627207962</v>
      </c>
      <c r="K50" s="87">
        <v>2500000</v>
      </c>
      <c r="L50" s="12">
        <v>30</v>
      </c>
      <c r="M50" s="87">
        <f t="shared" si="23"/>
        <v>2500000</v>
      </c>
      <c r="N50" s="87"/>
      <c r="O50" s="87">
        <v>312500</v>
      </c>
      <c r="P50" s="10"/>
      <c r="Q50" s="87">
        <f>SUM(M50:O50)+O50</f>
        <v>3125000</v>
      </c>
      <c r="R50" s="87">
        <f>+M50*4%</f>
        <v>100000</v>
      </c>
      <c r="S50" s="87">
        <f>+M50*4%</f>
        <v>100000</v>
      </c>
      <c r="T50" s="87"/>
      <c r="U50" s="87"/>
      <c r="V50" s="87"/>
      <c r="W50" s="87"/>
      <c r="X50" s="87"/>
      <c r="Y50" s="87"/>
      <c r="Z50" s="87">
        <f t="shared" si="2"/>
        <v>200000</v>
      </c>
      <c r="AA50" s="7">
        <f>Q50-Z50</f>
        <v>2925000</v>
      </c>
      <c r="AB50" s="8"/>
      <c r="AC50" s="9"/>
      <c r="AD50" s="8">
        <f t="shared" si="4"/>
        <v>2925000</v>
      </c>
    </row>
    <row r="51" spans="1:30" ht="48" x14ac:dyDescent="0.25">
      <c r="A51" s="108"/>
      <c r="B51" s="14">
        <v>5</v>
      </c>
      <c r="C51" s="11" t="s">
        <v>76</v>
      </c>
      <c r="D51" s="6" t="s">
        <v>26</v>
      </c>
      <c r="E51" s="86" t="s">
        <v>208</v>
      </c>
      <c r="F51" s="6" t="s">
        <v>243</v>
      </c>
      <c r="G51" s="12">
        <v>1019131071</v>
      </c>
      <c r="H51" s="116" t="s">
        <v>210</v>
      </c>
      <c r="I51" s="117" t="s">
        <v>216</v>
      </c>
      <c r="J51" s="121">
        <v>1008409559</v>
      </c>
      <c r="K51" s="87">
        <v>737717</v>
      </c>
      <c r="L51" s="12">
        <v>30</v>
      </c>
      <c r="M51" s="87">
        <f t="shared" si="23"/>
        <v>737717</v>
      </c>
      <c r="N51" s="87">
        <f t="shared" ref="N51:N53" si="36">+(83140/30)*L51</f>
        <v>83140</v>
      </c>
      <c r="O51" s="87"/>
      <c r="P51" s="87"/>
      <c r="Q51" s="87">
        <f>SUM(M51:O51)+P51</f>
        <v>820857</v>
      </c>
      <c r="R51" s="87">
        <v>29509</v>
      </c>
      <c r="S51" s="87">
        <v>29509</v>
      </c>
      <c r="T51" s="87"/>
      <c r="U51" s="87"/>
      <c r="V51" s="17"/>
      <c r="W51" s="87"/>
      <c r="X51" s="87"/>
      <c r="Y51" s="87">
        <v>660000</v>
      </c>
      <c r="Z51" s="87">
        <f>+R51+S51+Y51</f>
        <v>719018</v>
      </c>
      <c r="AA51" s="7">
        <f>+Q51-Z51</f>
        <v>101839</v>
      </c>
      <c r="AB51" s="8"/>
      <c r="AC51" s="9"/>
      <c r="AD51" s="8">
        <f t="shared" si="4"/>
        <v>101839</v>
      </c>
    </row>
    <row r="52" spans="1:30" ht="36" x14ac:dyDescent="0.25">
      <c r="A52" s="108"/>
      <c r="B52" s="14">
        <v>6</v>
      </c>
      <c r="C52" s="3" t="s">
        <v>77</v>
      </c>
      <c r="D52" s="86" t="s">
        <v>26</v>
      </c>
      <c r="E52" s="86" t="s">
        <v>208</v>
      </c>
      <c r="F52" s="6" t="s">
        <v>242</v>
      </c>
      <c r="G52" s="87">
        <v>1018464162</v>
      </c>
      <c r="H52" s="86" t="s">
        <v>234</v>
      </c>
      <c r="I52" s="6" t="s">
        <v>211</v>
      </c>
      <c r="J52" s="122" t="s">
        <v>244</v>
      </c>
      <c r="K52" s="87">
        <v>1500000</v>
      </c>
      <c r="L52" s="12">
        <v>30</v>
      </c>
      <c r="M52" s="87">
        <f>+K52*66.67%</f>
        <v>1000050.0000000001</v>
      </c>
      <c r="N52" s="87"/>
      <c r="O52" s="87"/>
      <c r="P52" s="87"/>
      <c r="Q52" s="87">
        <f t="shared" ref="Q52" si="37">SUM(M52:O52)+P52</f>
        <v>1000050.0000000001</v>
      </c>
      <c r="R52" s="87">
        <v>60000</v>
      </c>
      <c r="S52" s="87">
        <v>60000</v>
      </c>
      <c r="T52" s="87"/>
      <c r="U52" s="87"/>
      <c r="V52" s="87"/>
      <c r="W52" s="87"/>
      <c r="X52" s="87"/>
      <c r="Y52" s="87"/>
      <c r="Z52" s="87">
        <f t="shared" ref="Z52:Z112" si="38">SUM(R52:Y52)</f>
        <v>120000</v>
      </c>
      <c r="AA52" s="7">
        <f>Q52-Z52</f>
        <v>880050.00000000012</v>
      </c>
      <c r="AB52" s="8"/>
      <c r="AC52" s="9"/>
      <c r="AD52" s="8">
        <f t="shared" si="4"/>
        <v>880050.00000000012</v>
      </c>
    </row>
    <row r="53" spans="1:30" ht="48" x14ac:dyDescent="0.25">
      <c r="A53" s="108"/>
      <c r="B53" s="14">
        <v>7</v>
      </c>
      <c r="C53" s="11" t="s">
        <v>79</v>
      </c>
      <c r="D53" s="6" t="s">
        <v>26</v>
      </c>
      <c r="E53" s="6" t="s">
        <v>220</v>
      </c>
      <c r="F53" s="6" t="s">
        <v>242</v>
      </c>
      <c r="G53" s="12">
        <v>1023926436</v>
      </c>
      <c r="H53" s="116" t="s">
        <v>213</v>
      </c>
      <c r="I53" s="117" t="s">
        <v>216</v>
      </c>
      <c r="J53" s="116">
        <v>66756765095</v>
      </c>
      <c r="K53" s="87">
        <v>1200000</v>
      </c>
      <c r="L53" s="12">
        <v>30</v>
      </c>
      <c r="M53" s="87">
        <f t="shared" si="23"/>
        <v>1200000</v>
      </c>
      <c r="N53" s="87">
        <f t="shared" si="36"/>
        <v>83140</v>
      </c>
      <c r="O53" s="87"/>
      <c r="P53" s="87"/>
      <c r="Q53" s="87">
        <f t="shared" ref="Q53:Q54" si="39">SUM(M53:O53)+P53</f>
        <v>1283140</v>
      </c>
      <c r="R53" s="87">
        <f>+M53*4%</f>
        <v>48000</v>
      </c>
      <c r="S53" s="87">
        <v>48000</v>
      </c>
      <c r="T53" s="87"/>
      <c r="U53" s="87"/>
      <c r="V53" s="17"/>
      <c r="W53" s="87"/>
      <c r="X53" s="87"/>
      <c r="Y53" s="87"/>
      <c r="Z53" s="87">
        <f t="shared" ref="Z53:Z54" si="40">SUM(R53:Y53)</f>
        <v>96000</v>
      </c>
      <c r="AA53" s="7">
        <f t="shared" ref="AA53:AA63" si="41">+Q53-Z53</f>
        <v>1187140</v>
      </c>
      <c r="AB53" s="8"/>
      <c r="AC53" s="9"/>
      <c r="AD53" s="8">
        <f t="shared" si="4"/>
        <v>1187140</v>
      </c>
    </row>
    <row r="54" spans="1:30" ht="48" x14ac:dyDescent="0.25">
      <c r="A54" s="108"/>
      <c r="B54" s="14">
        <v>8</v>
      </c>
      <c r="C54" s="11" t="s">
        <v>80</v>
      </c>
      <c r="D54" s="6" t="s">
        <v>26</v>
      </c>
      <c r="E54" s="6" t="s">
        <v>220</v>
      </c>
      <c r="F54" s="6" t="s">
        <v>242</v>
      </c>
      <c r="G54" s="12">
        <v>1023926436</v>
      </c>
      <c r="H54" s="116" t="s">
        <v>213</v>
      </c>
      <c r="I54" s="117" t="s">
        <v>216</v>
      </c>
      <c r="J54" s="116">
        <v>66756765095</v>
      </c>
      <c r="K54" s="87">
        <v>1500000</v>
      </c>
      <c r="L54" s="12">
        <v>30</v>
      </c>
      <c r="M54" s="87">
        <f t="shared" si="23"/>
        <v>1500000</v>
      </c>
      <c r="N54" s="87"/>
      <c r="O54" s="87"/>
      <c r="P54" s="87"/>
      <c r="Q54" s="87">
        <f t="shared" si="39"/>
        <v>1500000</v>
      </c>
      <c r="R54" s="87">
        <f>+M54*4%</f>
        <v>60000</v>
      </c>
      <c r="S54" s="87">
        <f>+M54*4%</f>
        <v>60000</v>
      </c>
      <c r="T54" s="87">
        <f>42600+130000</f>
        <v>172600</v>
      </c>
      <c r="U54" s="87"/>
      <c r="V54" s="17"/>
      <c r="W54" s="87"/>
      <c r="X54" s="87"/>
      <c r="Y54" s="87"/>
      <c r="Z54" s="87">
        <f t="shared" si="40"/>
        <v>292600</v>
      </c>
      <c r="AA54" s="7">
        <f t="shared" si="41"/>
        <v>1207400</v>
      </c>
      <c r="AB54" s="8"/>
      <c r="AC54" s="9"/>
      <c r="AD54" s="8">
        <f t="shared" si="4"/>
        <v>1207400</v>
      </c>
    </row>
    <row r="55" spans="1:30" ht="48" x14ac:dyDescent="0.25">
      <c r="A55" s="108"/>
      <c r="B55" s="14">
        <v>9</v>
      </c>
      <c r="C55" s="11" t="s">
        <v>173</v>
      </c>
      <c r="D55" s="6" t="s">
        <v>26</v>
      </c>
      <c r="E55" s="6" t="s">
        <v>220</v>
      </c>
      <c r="F55" s="6" t="s">
        <v>242</v>
      </c>
      <c r="G55" s="12">
        <v>1023926436</v>
      </c>
      <c r="H55" s="116" t="s">
        <v>213</v>
      </c>
      <c r="I55" s="117" t="s">
        <v>216</v>
      </c>
      <c r="J55" s="116">
        <v>66756765095</v>
      </c>
      <c r="K55" s="87">
        <v>4500000</v>
      </c>
      <c r="L55" s="12">
        <v>30</v>
      </c>
      <c r="M55" s="87">
        <f t="shared" si="23"/>
        <v>4500000</v>
      </c>
      <c r="N55" s="87"/>
      <c r="O55" s="87"/>
      <c r="P55" s="87"/>
      <c r="Q55" s="87">
        <f t="shared" ref="Q55" si="42">SUM(M55:O55)+P55</f>
        <v>4500000</v>
      </c>
      <c r="R55" s="87">
        <f>+M55*4%</f>
        <v>180000</v>
      </c>
      <c r="S55" s="87">
        <f>+M55*5%</f>
        <v>225000</v>
      </c>
      <c r="T55" s="87"/>
      <c r="U55" s="87"/>
      <c r="V55" s="17">
        <v>2800</v>
      </c>
      <c r="W55" s="87"/>
      <c r="X55" s="87"/>
      <c r="Y55" s="87"/>
      <c r="Z55" s="87">
        <f t="shared" ref="Z55" si="43">SUM(R55:Y55)</f>
        <v>407800</v>
      </c>
      <c r="AA55" s="7">
        <f t="shared" si="41"/>
        <v>4092200</v>
      </c>
      <c r="AB55" s="8"/>
      <c r="AC55" s="9"/>
      <c r="AD55" s="8">
        <f t="shared" si="4"/>
        <v>4092200</v>
      </c>
    </row>
    <row r="56" spans="1:30" ht="60" x14ac:dyDescent="0.25">
      <c r="A56" s="108"/>
      <c r="B56" s="14">
        <v>10</v>
      </c>
      <c r="C56" s="11" t="s">
        <v>81</v>
      </c>
      <c r="D56" s="6" t="s">
        <v>26</v>
      </c>
      <c r="E56" s="6" t="s">
        <v>208</v>
      </c>
      <c r="F56" s="6" t="s">
        <v>245</v>
      </c>
      <c r="G56" s="12">
        <v>1013637271</v>
      </c>
      <c r="H56" s="6" t="s">
        <v>213</v>
      </c>
      <c r="I56" s="6" t="s">
        <v>211</v>
      </c>
      <c r="J56" s="6">
        <v>18031987110</v>
      </c>
      <c r="K56" s="87">
        <v>1450000</v>
      </c>
      <c r="L56" s="12">
        <v>30</v>
      </c>
      <c r="M56" s="87">
        <f t="shared" si="23"/>
        <v>1450000</v>
      </c>
      <c r="N56" s="87">
        <f>+(83140/30)*L56</f>
        <v>83140</v>
      </c>
      <c r="O56" s="87"/>
      <c r="P56" s="87"/>
      <c r="Q56" s="87">
        <f t="shared" si="26"/>
        <v>1533140</v>
      </c>
      <c r="R56" s="87">
        <f>+M56*4%</f>
        <v>58000</v>
      </c>
      <c r="S56" s="87">
        <f>+M56*4%</f>
        <v>58000</v>
      </c>
      <c r="T56" s="87">
        <f>124550+36500+47500</f>
        <v>208550</v>
      </c>
      <c r="U56" s="87"/>
      <c r="V56" s="87">
        <v>0</v>
      </c>
      <c r="W56" s="87"/>
      <c r="X56" s="87"/>
      <c r="Y56" s="87"/>
      <c r="Z56" s="87">
        <f t="shared" si="38"/>
        <v>324550</v>
      </c>
      <c r="AA56" s="7">
        <f t="shared" si="41"/>
        <v>1208590</v>
      </c>
      <c r="AB56" s="8"/>
      <c r="AC56" s="9"/>
      <c r="AD56" s="8">
        <f t="shared" si="4"/>
        <v>1208590</v>
      </c>
    </row>
    <row r="57" spans="1:30" ht="48" x14ac:dyDescent="0.25">
      <c r="A57" s="108"/>
      <c r="B57" s="14">
        <v>11</v>
      </c>
      <c r="C57" s="11" t="s">
        <v>82</v>
      </c>
      <c r="D57" s="6" t="s">
        <v>26</v>
      </c>
      <c r="E57" s="6" t="s">
        <v>208</v>
      </c>
      <c r="F57" s="6" t="s">
        <v>246</v>
      </c>
      <c r="G57" s="12"/>
      <c r="H57" s="116" t="s">
        <v>210</v>
      </c>
      <c r="I57" s="117" t="s">
        <v>216</v>
      </c>
      <c r="J57" s="116">
        <v>1005360796</v>
      </c>
      <c r="K57" s="87">
        <v>737717</v>
      </c>
      <c r="L57" s="12">
        <v>30</v>
      </c>
      <c r="M57" s="87">
        <f t="shared" si="23"/>
        <v>737717</v>
      </c>
      <c r="N57" s="87">
        <v>83140</v>
      </c>
      <c r="O57" s="87"/>
      <c r="P57" s="87"/>
      <c r="Q57" s="87">
        <f t="shared" ref="Q57" si="44">SUM(M57:O57)+P57</f>
        <v>820857</v>
      </c>
      <c r="R57" s="87">
        <v>29509</v>
      </c>
      <c r="S57" s="87">
        <v>29509</v>
      </c>
      <c r="T57" s="87"/>
      <c r="U57" s="87"/>
      <c r="V57" s="17"/>
      <c r="W57" s="87"/>
      <c r="X57" s="87"/>
      <c r="Y57" s="87"/>
      <c r="Z57" s="87">
        <f t="shared" si="38"/>
        <v>59018</v>
      </c>
      <c r="AA57" s="7">
        <f t="shared" si="41"/>
        <v>761839</v>
      </c>
      <c r="AB57" s="8"/>
      <c r="AC57" s="9"/>
      <c r="AD57" s="8">
        <f t="shared" si="4"/>
        <v>761839</v>
      </c>
    </row>
    <row r="58" spans="1:30" ht="48" x14ac:dyDescent="0.25">
      <c r="A58" s="108"/>
      <c r="B58" s="14">
        <v>12</v>
      </c>
      <c r="C58" s="11" t="s">
        <v>83</v>
      </c>
      <c r="D58" s="6" t="s">
        <v>26</v>
      </c>
      <c r="E58" s="6" t="s">
        <v>208</v>
      </c>
      <c r="F58" s="6" t="s">
        <v>247</v>
      </c>
      <c r="G58" s="12">
        <v>1012317828</v>
      </c>
      <c r="H58" s="6" t="s">
        <v>224</v>
      </c>
      <c r="I58" s="6" t="s">
        <v>211</v>
      </c>
      <c r="J58" s="6">
        <v>122005749</v>
      </c>
      <c r="K58" s="87">
        <v>3500000</v>
      </c>
      <c r="L58" s="12">
        <v>30</v>
      </c>
      <c r="M58" s="87">
        <f>+K58-P58</f>
        <v>3500000</v>
      </c>
      <c r="N58" s="87"/>
      <c r="O58" s="87"/>
      <c r="P58" s="87"/>
      <c r="Q58" s="87">
        <f t="shared" ref="Q58" si="45">SUM(M58:O58)+P58</f>
        <v>3500000</v>
      </c>
      <c r="R58" s="87">
        <f>+K58*4%</f>
        <v>140000</v>
      </c>
      <c r="S58" s="87">
        <f>+K58*5%</f>
        <v>175000</v>
      </c>
      <c r="T58" s="87"/>
      <c r="U58" s="87"/>
      <c r="V58" s="87">
        <v>0</v>
      </c>
      <c r="W58" s="87"/>
      <c r="X58" s="87"/>
      <c r="Y58" s="87"/>
      <c r="Z58" s="87">
        <f t="shared" ref="Z58" si="46">SUM(R58:Y58)</f>
        <v>315000</v>
      </c>
      <c r="AA58" s="7">
        <f t="shared" si="41"/>
        <v>3185000</v>
      </c>
      <c r="AB58" s="8"/>
      <c r="AC58" s="9"/>
      <c r="AD58" s="8">
        <f t="shared" si="4"/>
        <v>3185000</v>
      </c>
    </row>
    <row r="59" spans="1:30" ht="48" x14ac:dyDescent="0.25">
      <c r="A59" s="108"/>
      <c r="B59" s="14">
        <v>13</v>
      </c>
      <c r="C59" s="11" t="s">
        <v>84</v>
      </c>
      <c r="D59" s="6" t="s">
        <v>26</v>
      </c>
      <c r="E59" s="6" t="s">
        <v>208</v>
      </c>
      <c r="F59" s="6" t="s">
        <v>225</v>
      </c>
      <c r="G59" s="12">
        <v>1019045571</v>
      </c>
      <c r="H59" s="6" t="s">
        <v>213</v>
      </c>
      <c r="I59" s="6" t="s">
        <v>211</v>
      </c>
      <c r="J59" s="6">
        <v>18031987110</v>
      </c>
      <c r="K59" s="87">
        <v>2500000</v>
      </c>
      <c r="L59" s="12">
        <v>30</v>
      </c>
      <c r="M59" s="87">
        <f t="shared" si="23"/>
        <v>2500000</v>
      </c>
      <c r="N59" s="87"/>
      <c r="O59" s="87"/>
      <c r="P59" s="87"/>
      <c r="Q59" s="87">
        <f t="shared" si="26"/>
        <v>2500000</v>
      </c>
      <c r="R59" s="87">
        <f>+Q59*4%</f>
        <v>100000</v>
      </c>
      <c r="S59" s="87">
        <f>+Q59*4%</f>
        <v>100000</v>
      </c>
      <c r="T59" s="87">
        <v>120000</v>
      </c>
      <c r="U59" s="87"/>
      <c r="V59" s="87">
        <v>0</v>
      </c>
      <c r="W59" s="87"/>
      <c r="X59" s="87"/>
      <c r="Y59" s="87">
        <v>200210</v>
      </c>
      <c r="Z59" s="87">
        <f t="shared" si="38"/>
        <v>520210</v>
      </c>
      <c r="AA59" s="7">
        <f t="shared" si="41"/>
        <v>1979790</v>
      </c>
      <c r="AB59" s="8"/>
      <c r="AC59" s="9"/>
      <c r="AD59" s="8">
        <f t="shared" si="4"/>
        <v>1979790</v>
      </c>
    </row>
    <row r="60" spans="1:30" ht="36" x14ac:dyDescent="0.25">
      <c r="A60" s="108"/>
      <c r="B60" s="14">
        <v>14</v>
      </c>
      <c r="C60" s="11" t="s">
        <v>85</v>
      </c>
      <c r="D60" s="6" t="s">
        <v>26</v>
      </c>
      <c r="E60" s="6" t="s">
        <v>208</v>
      </c>
      <c r="F60" s="6" t="s">
        <v>248</v>
      </c>
      <c r="G60" s="12"/>
      <c r="H60" s="6" t="s">
        <v>234</v>
      </c>
      <c r="I60" s="6" t="s">
        <v>211</v>
      </c>
      <c r="J60" s="6"/>
      <c r="K60" s="87">
        <v>1200000</v>
      </c>
      <c r="L60" s="12">
        <v>30</v>
      </c>
      <c r="M60" s="87">
        <f>K60/30*L60</f>
        <v>1200000</v>
      </c>
      <c r="N60" s="87">
        <f>+(83140/30)*L60</f>
        <v>83140</v>
      </c>
      <c r="O60" s="87"/>
      <c r="P60" s="87"/>
      <c r="Q60" s="87">
        <f t="shared" ref="Q60" si="47">SUM(M60:O60)+P60</f>
        <v>1283140</v>
      </c>
      <c r="R60" s="87">
        <v>48000</v>
      </c>
      <c r="S60" s="87">
        <v>48000</v>
      </c>
      <c r="T60" s="87">
        <f>42238+95000</f>
        <v>137238</v>
      </c>
      <c r="U60" s="87"/>
      <c r="V60" s="87">
        <v>0</v>
      </c>
      <c r="W60" s="87"/>
      <c r="X60" s="87"/>
      <c r="Y60" s="87"/>
      <c r="Z60" s="87">
        <f t="shared" ref="Z60" si="48">SUM(R60:Y60)</f>
        <v>233238</v>
      </c>
      <c r="AA60" s="7">
        <f t="shared" si="41"/>
        <v>1049902</v>
      </c>
      <c r="AB60" s="8"/>
      <c r="AC60" s="9"/>
      <c r="AD60" s="8">
        <f t="shared" si="4"/>
        <v>1049902</v>
      </c>
    </row>
    <row r="61" spans="1:30" ht="36" x14ac:dyDescent="0.25">
      <c r="A61" s="108"/>
      <c r="B61" s="14">
        <v>15</v>
      </c>
      <c r="C61" s="11" t="s">
        <v>86</v>
      </c>
      <c r="D61" s="6" t="s">
        <v>26</v>
      </c>
      <c r="E61" s="6" t="s">
        <v>249</v>
      </c>
      <c r="F61" s="6" t="s">
        <v>250</v>
      </c>
      <c r="G61" s="12">
        <v>1019089282</v>
      </c>
      <c r="H61" s="6" t="s">
        <v>251</v>
      </c>
      <c r="I61" s="6" t="s">
        <v>211</v>
      </c>
      <c r="J61" s="6">
        <v>42837946438</v>
      </c>
      <c r="K61" s="87">
        <v>1500000</v>
      </c>
      <c r="L61" s="12">
        <v>30</v>
      </c>
      <c r="M61" s="87">
        <f>K61/30*L61</f>
        <v>1500000</v>
      </c>
      <c r="N61" s="87"/>
      <c r="O61" s="87"/>
      <c r="P61" s="87">
        <v>187500</v>
      </c>
      <c r="Q61" s="87">
        <f t="shared" ref="Q61" si="49">SUM(M61:O61)+P61</f>
        <v>1687500</v>
      </c>
      <c r="R61" s="87">
        <f>+M61*4%</f>
        <v>60000</v>
      </c>
      <c r="S61" s="87">
        <f t="shared" ref="S61:S62" si="50">+M61*4%</f>
        <v>60000</v>
      </c>
      <c r="T61" s="87">
        <v>270000</v>
      </c>
      <c r="U61" s="87"/>
      <c r="V61" s="87">
        <v>0</v>
      </c>
      <c r="W61" s="87"/>
      <c r="X61" s="87"/>
      <c r="Y61" s="87">
        <v>422966</v>
      </c>
      <c r="Z61" s="87">
        <f t="shared" ref="Z61" si="51">SUM(R61:Y61)</f>
        <v>812966</v>
      </c>
      <c r="AA61" s="7">
        <f t="shared" si="41"/>
        <v>874534</v>
      </c>
      <c r="AB61" s="8"/>
      <c r="AC61" s="9"/>
      <c r="AD61" s="8">
        <f t="shared" si="4"/>
        <v>874534</v>
      </c>
    </row>
    <row r="62" spans="1:30" ht="48" x14ac:dyDescent="0.25">
      <c r="A62" s="108"/>
      <c r="B62" s="14">
        <v>16</v>
      </c>
      <c r="C62" s="11" t="s">
        <v>174</v>
      </c>
      <c r="D62" s="6" t="s">
        <v>26</v>
      </c>
      <c r="E62" s="6" t="s">
        <v>249</v>
      </c>
      <c r="F62" s="6" t="s">
        <v>250</v>
      </c>
      <c r="G62" s="12">
        <v>1019089282</v>
      </c>
      <c r="H62" s="6" t="s">
        <v>251</v>
      </c>
      <c r="I62" s="6" t="s">
        <v>211</v>
      </c>
      <c r="J62" s="6">
        <v>42837946438</v>
      </c>
      <c r="K62" s="87">
        <v>737717</v>
      </c>
      <c r="L62" s="12">
        <v>30</v>
      </c>
      <c r="M62" s="87">
        <f>K62/30*L62</f>
        <v>737717</v>
      </c>
      <c r="N62" s="87">
        <f>+(83140/30)*L62</f>
        <v>83140</v>
      </c>
      <c r="O62" s="87"/>
      <c r="P62" s="87"/>
      <c r="Q62" s="87">
        <f t="shared" ref="Q62" si="52">SUM(M62:O62)+P62</f>
        <v>820857</v>
      </c>
      <c r="R62" s="87">
        <f>+M62*4%</f>
        <v>29508.68</v>
      </c>
      <c r="S62" s="87">
        <f t="shared" si="50"/>
        <v>29508.68</v>
      </c>
      <c r="T62" s="87"/>
      <c r="U62" s="87"/>
      <c r="V62" s="87">
        <v>0</v>
      </c>
      <c r="W62" s="87"/>
      <c r="X62" s="87"/>
      <c r="Y62" s="87"/>
      <c r="Z62" s="87">
        <f t="shared" ref="Z62" si="53">SUM(R62:Y62)</f>
        <v>59017.36</v>
      </c>
      <c r="AA62" s="7">
        <f t="shared" si="41"/>
        <v>761839.64</v>
      </c>
      <c r="AB62" s="8"/>
      <c r="AC62" s="9"/>
      <c r="AD62" s="8">
        <f t="shared" si="4"/>
        <v>761839.64</v>
      </c>
    </row>
    <row r="63" spans="1:30" ht="48" x14ac:dyDescent="0.25">
      <c r="A63" s="108"/>
      <c r="B63" s="14">
        <v>17</v>
      </c>
      <c r="C63" s="11" t="s">
        <v>87</v>
      </c>
      <c r="D63" s="6" t="s">
        <v>26</v>
      </c>
      <c r="E63" s="6" t="s">
        <v>208</v>
      </c>
      <c r="F63" s="6" t="s">
        <v>225</v>
      </c>
      <c r="G63" s="12">
        <v>1018444707</v>
      </c>
      <c r="H63" s="6" t="s">
        <v>213</v>
      </c>
      <c r="I63" s="6" t="s">
        <v>211</v>
      </c>
      <c r="J63" s="6">
        <v>64024070628</v>
      </c>
      <c r="K63" s="87">
        <v>2000000</v>
      </c>
      <c r="L63" s="12">
        <v>30</v>
      </c>
      <c r="M63" s="87">
        <f>K63/30*L63</f>
        <v>2000000.0000000002</v>
      </c>
      <c r="N63" s="87"/>
      <c r="O63" s="87"/>
      <c r="P63" s="87"/>
      <c r="Q63" s="87">
        <f t="shared" si="26"/>
        <v>2000000.0000000002</v>
      </c>
      <c r="R63" s="87">
        <f>+M63*4%</f>
        <v>80000.000000000015</v>
      </c>
      <c r="S63" s="87">
        <v>80000</v>
      </c>
      <c r="T63" s="87"/>
      <c r="U63" s="87"/>
      <c r="V63" s="87">
        <v>0</v>
      </c>
      <c r="W63" s="87"/>
      <c r="X63" s="87"/>
      <c r="Y63" s="87">
        <v>323803</v>
      </c>
      <c r="Z63" s="87">
        <f t="shared" si="38"/>
        <v>483803</v>
      </c>
      <c r="AA63" s="7">
        <f t="shared" si="41"/>
        <v>1516197.0000000002</v>
      </c>
      <c r="AB63" s="8"/>
      <c r="AC63" s="9"/>
      <c r="AD63" s="8">
        <f t="shared" si="4"/>
        <v>1516197.0000000002</v>
      </c>
    </row>
    <row r="64" spans="1:30" ht="24" x14ac:dyDescent="0.25">
      <c r="A64" s="108"/>
      <c r="B64" s="14">
        <v>18</v>
      </c>
      <c r="C64" s="3" t="s">
        <v>88</v>
      </c>
      <c r="D64" s="86" t="s">
        <v>26</v>
      </c>
      <c r="E64" s="86" t="s">
        <v>208</v>
      </c>
      <c r="F64" s="86" t="s">
        <v>252</v>
      </c>
      <c r="G64" s="87">
        <v>1016046175</v>
      </c>
      <c r="H64" s="86" t="s">
        <v>218</v>
      </c>
      <c r="I64" s="6" t="s">
        <v>211</v>
      </c>
      <c r="J64" s="122" t="s">
        <v>253</v>
      </c>
      <c r="K64" s="87">
        <v>3500000</v>
      </c>
      <c r="L64" s="12">
        <v>30</v>
      </c>
      <c r="M64" s="87">
        <f>K64/30*L64</f>
        <v>3500000</v>
      </c>
      <c r="N64" s="87"/>
      <c r="O64" s="87"/>
      <c r="P64" s="87"/>
      <c r="Q64" s="87">
        <f t="shared" si="26"/>
        <v>3500000</v>
      </c>
      <c r="R64" s="87">
        <f>+Q64*4%</f>
        <v>140000</v>
      </c>
      <c r="S64" s="87">
        <f>+Q64*5%</f>
        <v>175000</v>
      </c>
      <c r="T64" s="87"/>
      <c r="U64" s="87"/>
      <c r="V64" s="87">
        <v>0</v>
      </c>
      <c r="W64" s="87"/>
      <c r="X64" s="87"/>
      <c r="Y64" s="87"/>
      <c r="Z64" s="87">
        <f t="shared" si="38"/>
        <v>315000</v>
      </c>
      <c r="AA64" s="7">
        <f t="shared" ref="AA64:AA76" si="54">Q64-Z64</f>
        <v>3185000</v>
      </c>
      <c r="AB64" s="8"/>
      <c r="AC64" s="9"/>
      <c r="AD64" s="8">
        <f t="shared" si="4"/>
        <v>3185000</v>
      </c>
    </row>
    <row r="65" spans="1:30" ht="48" x14ac:dyDescent="0.25">
      <c r="A65" s="108"/>
      <c r="B65" s="14">
        <v>19</v>
      </c>
      <c r="C65" s="11" t="s">
        <v>89</v>
      </c>
      <c r="D65" s="6" t="s">
        <v>26</v>
      </c>
      <c r="E65" s="6" t="s">
        <v>208</v>
      </c>
      <c r="F65" s="6" t="s">
        <v>233</v>
      </c>
      <c r="G65" s="12">
        <v>1033729279</v>
      </c>
      <c r="H65" s="6" t="s">
        <v>213</v>
      </c>
      <c r="I65" s="6" t="s">
        <v>211</v>
      </c>
      <c r="J65" s="6">
        <v>60269021341</v>
      </c>
      <c r="K65" s="87">
        <v>4000000</v>
      </c>
      <c r="L65" s="12">
        <v>30</v>
      </c>
      <c r="M65" s="87">
        <f t="shared" ref="M65:M115" si="55">K65/30*L65</f>
        <v>4000000.0000000005</v>
      </c>
      <c r="N65" s="87"/>
      <c r="O65" s="87">
        <v>300000</v>
      </c>
      <c r="P65" s="87"/>
      <c r="Q65" s="87">
        <f t="shared" si="26"/>
        <v>4300000</v>
      </c>
      <c r="R65" s="87">
        <v>160000</v>
      </c>
      <c r="S65" s="87">
        <v>200000</v>
      </c>
      <c r="T65" s="87"/>
      <c r="U65" s="87"/>
      <c r="V65" s="87">
        <v>3000</v>
      </c>
      <c r="W65" s="87"/>
      <c r="X65" s="87"/>
      <c r="Y65" s="87">
        <v>766229</v>
      </c>
      <c r="Z65" s="87">
        <f t="shared" si="38"/>
        <v>1129229</v>
      </c>
      <c r="AA65" s="7">
        <f t="shared" si="54"/>
        <v>3170771</v>
      </c>
      <c r="AB65" s="8"/>
      <c r="AC65" s="9"/>
      <c r="AD65" s="8">
        <f t="shared" si="4"/>
        <v>3170771</v>
      </c>
    </row>
    <row r="66" spans="1:30" ht="36" x14ac:dyDescent="0.25">
      <c r="A66" s="108"/>
      <c r="B66" s="14">
        <v>20</v>
      </c>
      <c r="C66" s="11" t="s">
        <v>90</v>
      </c>
      <c r="D66" s="6" t="s">
        <v>26</v>
      </c>
      <c r="E66" s="6" t="s">
        <v>239</v>
      </c>
      <c r="F66" s="6" t="s">
        <v>240</v>
      </c>
      <c r="G66" s="12">
        <v>1023948338</v>
      </c>
      <c r="H66" s="6" t="s">
        <v>234</v>
      </c>
      <c r="I66" s="6" t="s">
        <v>211</v>
      </c>
      <c r="J66" s="6">
        <v>627198823</v>
      </c>
      <c r="K66" s="87">
        <v>800000</v>
      </c>
      <c r="L66" s="12">
        <v>30</v>
      </c>
      <c r="M66" s="87">
        <f t="shared" si="55"/>
        <v>800000</v>
      </c>
      <c r="N66" s="87">
        <f>+(83140/30)*L66</f>
        <v>83140</v>
      </c>
      <c r="O66" s="87"/>
      <c r="P66" s="87"/>
      <c r="Q66" s="87">
        <f t="shared" si="26"/>
        <v>883140</v>
      </c>
      <c r="R66" s="87">
        <f>+M66*4%</f>
        <v>32000</v>
      </c>
      <c r="S66" s="87">
        <f>+M66*4%</f>
        <v>32000</v>
      </c>
      <c r="T66" s="87">
        <f>74413+83333</f>
        <v>157746</v>
      </c>
      <c r="U66" s="87"/>
      <c r="V66" s="87"/>
      <c r="W66" s="87"/>
      <c r="X66" s="87"/>
      <c r="Y66" s="87"/>
      <c r="Z66" s="87">
        <f t="shared" si="38"/>
        <v>221746</v>
      </c>
      <c r="AA66" s="7">
        <f t="shared" si="54"/>
        <v>661394</v>
      </c>
      <c r="AB66" s="8"/>
      <c r="AC66" s="9"/>
      <c r="AD66" s="8">
        <f t="shared" si="4"/>
        <v>661394</v>
      </c>
    </row>
    <row r="67" spans="1:30" ht="48" x14ac:dyDescent="0.25">
      <c r="A67" s="108"/>
      <c r="B67" s="14">
        <v>21</v>
      </c>
      <c r="C67" s="11" t="s">
        <v>91</v>
      </c>
      <c r="D67" s="6" t="s">
        <v>26</v>
      </c>
      <c r="E67" s="6" t="s">
        <v>208</v>
      </c>
      <c r="F67" s="6" t="s">
        <v>252</v>
      </c>
      <c r="G67" s="12">
        <v>1014209294</v>
      </c>
      <c r="H67" s="6" t="s">
        <v>213</v>
      </c>
      <c r="I67" s="6" t="s">
        <v>211</v>
      </c>
      <c r="J67" s="114" t="s">
        <v>254</v>
      </c>
      <c r="K67" s="87">
        <v>3500000</v>
      </c>
      <c r="L67" s="12">
        <v>30</v>
      </c>
      <c r="M67" s="87">
        <f t="shared" si="55"/>
        <v>3500000</v>
      </c>
      <c r="N67" s="87">
        <v>0</v>
      </c>
      <c r="O67" s="87"/>
      <c r="P67" s="87">
        <v>82031</v>
      </c>
      <c r="Q67" s="87">
        <f t="shared" si="26"/>
        <v>3582031</v>
      </c>
      <c r="R67" s="87">
        <v>140000</v>
      </c>
      <c r="S67" s="87">
        <v>175000</v>
      </c>
      <c r="T67" s="87">
        <v>60000</v>
      </c>
      <c r="U67" s="87"/>
      <c r="V67" s="87">
        <v>0</v>
      </c>
      <c r="W67" s="87"/>
      <c r="X67" s="87"/>
      <c r="Y67" s="87"/>
      <c r="Z67" s="87">
        <f t="shared" si="38"/>
        <v>375000</v>
      </c>
      <c r="AA67" s="7">
        <f t="shared" si="54"/>
        <v>3207031</v>
      </c>
      <c r="AB67" s="8"/>
      <c r="AC67" s="9"/>
      <c r="AD67" s="8">
        <f t="shared" si="4"/>
        <v>3207031</v>
      </c>
    </row>
    <row r="68" spans="1:30" ht="36" x14ac:dyDescent="0.25">
      <c r="A68" s="108"/>
      <c r="B68" s="14">
        <v>22</v>
      </c>
      <c r="C68" s="11" t="s">
        <v>92</v>
      </c>
      <c r="D68" s="6" t="s">
        <v>26</v>
      </c>
      <c r="E68" s="6" t="s">
        <v>208</v>
      </c>
      <c r="F68" s="6" t="s">
        <v>242</v>
      </c>
      <c r="G68" s="12">
        <v>1012364276</v>
      </c>
      <c r="H68" s="6" t="s">
        <v>234</v>
      </c>
      <c r="I68" s="6" t="s">
        <v>211</v>
      </c>
      <c r="J68" s="114" t="s">
        <v>255</v>
      </c>
      <c r="K68" s="87">
        <v>1550000</v>
      </c>
      <c r="L68" s="12">
        <v>30</v>
      </c>
      <c r="M68" s="87">
        <f t="shared" si="55"/>
        <v>1550000</v>
      </c>
      <c r="N68" s="87"/>
      <c r="O68" s="87"/>
      <c r="P68" s="87">
        <f>234375+93750</f>
        <v>328125</v>
      </c>
      <c r="Q68" s="87">
        <f t="shared" ref="Q68:Q72" si="56">SUM(M68:O68)+P68</f>
        <v>1878125</v>
      </c>
      <c r="R68" s="87">
        <f>+K68*4%</f>
        <v>62000</v>
      </c>
      <c r="S68" s="87">
        <f>+K68*4%</f>
        <v>62000</v>
      </c>
      <c r="T68" s="87"/>
      <c r="U68" s="87"/>
      <c r="V68" s="87"/>
      <c r="W68" s="87"/>
      <c r="X68" s="87"/>
      <c r="Y68" s="87"/>
      <c r="Z68" s="87">
        <f t="shared" ref="Z68:Z72" si="57">SUM(R68:Y68)</f>
        <v>124000</v>
      </c>
      <c r="AA68" s="7">
        <f t="shared" si="54"/>
        <v>1754125</v>
      </c>
      <c r="AB68" s="8"/>
      <c r="AC68" s="9"/>
      <c r="AD68" s="8">
        <f t="shared" ref="AD68:AD113" si="58">AA68+AB68-AC68</f>
        <v>1754125</v>
      </c>
    </row>
    <row r="69" spans="1:30" ht="36" x14ac:dyDescent="0.25">
      <c r="A69" s="108"/>
      <c r="B69" s="14">
        <v>23</v>
      </c>
      <c r="C69" s="11" t="s">
        <v>164</v>
      </c>
      <c r="D69" s="6"/>
      <c r="E69" s="6"/>
      <c r="F69" s="6"/>
      <c r="G69" s="12"/>
      <c r="H69" s="6"/>
      <c r="I69" s="6"/>
      <c r="J69" s="114"/>
      <c r="K69" s="87">
        <v>2800000</v>
      </c>
      <c r="L69" s="12">
        <v>28</v>
      </c>
      <c r="M69" s="87">
        <f t="shared" si="55"/>
        <v>2613333.333333333</v>
      </c>
      <c r="N69" s="87">
        <v>124450</v>
      </c>
      <c r="O69" s="87"/>
      <c r="P69" s="87"/>
      <c r="Q69" s="87">
        <f t="shared" ref="Q69:Q70" si="59">SUM(M69:O69)+P69</f>
        <v>2737783.333333333</v>
      </c>
      <c r="R69" s="87">
        <v>112000</v>
      </c>
      <c r="S69" s="87">
        <v>112000</v>
      </c>
      <c r="T69" s="87"/>
      <c r="U69" s="87"/>
      <c r="V69" s="87"/>
      <c r="W69" s="87"/>
      <c r="X69" s="87"/>
      <c r="Y69" s="87"/>
      <c r="Z69" s="87">
        <f t="shared" ref="Z69" si="60">SUM(R69:Y69)</f>
        <v>224000</v>
      </c>
      <c r="AA69" s="7">
        <f t="shared" si="54"/>
        <v>2513783.333333333</v>
      </c>
      <c r="AB69" s="8"/>
      <c r="AC69" s="9"/>
      <c r="AD69" s="8">
        <f t="shared" si="58"/>
        <v>2513783.333333333</v>
      </c>
    </row>
    <row r="70" spans="1:30" ht="48" x14ac:dyDescent="0.25">
      <c r="A70" s="108"/>
      <c r="B70" s="14">
        <v>24</v>
      </c>
      <c r="C70" s="11" t="s">
        <v>154</v>
      </c>
      <c r="D70" s="6"/>
      <c r="E70" s="6"/>
      <c r="F70" s="6"/>
      <c r="G70" s="12"/>
      <c r="H70" s="6"/>
      <c r="I70" s="6"/>
      <c r="J70" s="114"/>
      <c r="K70" s="87">
        <v>3500000</v>
      </c>
      <c r="L70" s="12">
        <v>30</v>
      </c>
      <c r="M70" s="87">
        <f t="shared" si="55"/>
        <v>3500000</v>
      </c>
      <c r="N70" s="87"/>
      <c r="O70" s="87"/>
      <c r="P70" s="87"/>
      <c r="Q70" s="87">
        <f t="shared" si="59"/>
        <v>3500000</v>
      </c>
      <c r="R70" s="87">
        <f>+M70*4%</f>
        <v>140000</v>
      </c>
      <c r="S70" s="87">
        <f>+M70*5%</f>
        <v>175000</v>
      </c>
      <c r="T70" s="87"/>
      <c r="U70" s="87"/>
      <c r="V70" s="87"/>
      <c r="W70" s="87"/>
      <c r="X70" s="87">
        <v>515000</v>
      </c>
      <c r="Y70" s="87"/>
      <c r="Z70" s="87">
        <f t="shared" si="57"/>
        <v>830000</v>
      </c>
      <c r="AA70" s="7">
        <f t="shared" si="54"/>
        <v>2670000</v>
      </c>
      <c r="AB70" s="8"/>
      <c r="AC70" s="9"/>
      <c r="AD70" s="8">
        <f t="shared" si="58"/>
        <v>2670000</v>
      </c>
    </row>
    <row r="71" spans="1:30" ht="48" x14ac:dyDescent="0.25">
      <c r="A71" s="108"/>
      <c r="B71" s="14">
        <v>25</v>
      </c>
      <c r="C71" s="11" t="s">
        <v>93</v>
      </c>
      <c r="D71" s="6"/>
      <c r="E71" s="6"/>
      <c r="F71" s="6"/>
      <c r="G71" s="12"/>
      <c r="H71" s="6"/>
      <c r="I71" s="6"/>
      <c r="J71" s="114"/>
      <c r="K71" s="87">
        <v>1200000</v>
      </c>
      <c r="L71" s="12">
        <v>30</v>
      </c>
      <c r="M71" s="87">
        <f t="shared" si="55"/>
        <v>1200000</v>
      </c>
      <c r="N71" s="87">
        <f>+(83140/30)*L71</f>
        <v>83140</v>
      </c>
      <c r="O71" s="87"/>
      <c r="P71" s="87"/>
      <c r="Q71" s="87">
        <f t="shared" ref="Q71" si="61">SUM(M71:O71)+P71</f>
        <v>1283140</v>
      </c>
      <c r="R71" s="87">
        <f>+M71*4%</f>
        <v>48000</v>
      </c>
      <c r="S71" s="87">
        <f>+M71*4%</f>
        <v>48000</v>
      </c>
      <c r="T71" s="87">
        <v>36500</v>
      </c>
      <c r="U71" s="87"/>
      <c r="V71" s="87"/>
      <c r="W71" s="87"/>
      <c r="X71" s="87"/>
      <c r="Y71" s="87"/>
      <c r="Z71" s="87">
        <f t="shared" ref="Z71" si="62">SUM(R71:Y71)</f>
        <v>132500</v>
      </c>
      <c r="AA71" s="7">
        <f t="shared" si="54"/>
        <v>1150640</v>
      </c>
      <c r="AB71" s="8"/>
      <c r="AC71" s="9"/>
      <c r="AD71" s="8">
        <f t="shared" si="58"/>
        <v>1150640</v>
      </c>
    </row>
    <row r="72" spans="1:30" ht="36" x14ac:dyDescent="0.25">
      <c r="A72" s="108"/>
      <c r="B72" s="14">
        <v>26</v>
      </c>
      <c r="C72" s="11" t="s">
        <v>165</v>
      </c>
      <c r="D72" s="6" t="s">
        <v>26</v>
      </c>
      <c r="E72" s="6" t="s">
        <v>250</v>
      </c>
      <c r="F72" s="6" t="s">
        <v>250</v>
      </c>
      <c r="G72" s="12">
        <v>1052395210</v>
      </c>
      <c r="H72" s="6" t="s">
        <v>234</v>
      </c>
      <c r="I72" s="6" t="s">
        <v>211</v>
      </c>
      <c r="J72" s="114" t="s">
        <v>256</v>
      </c>
      <c r="K72" s="87">
        <v>1500000</v>
      </c>
      <c r="L72" s="12">
        <v>30</v>
      </c>
      <c r="M72" s="87">
        <f t="shared" si="55"/>
        <v>1500000</v>
      </c>
      <c r="N72" s="87"/>
      <c r="O72" s="87"/>
      <c r="P72" s="87"/>
      <c r="Q72" s="87">
        <f t="shared" si="56"/>
        <v>1500000</v>
      </c>
      <c r="R72" s="87">
        <f>+M72*4%</f>
        <v>60000</v>
      </c>
      <c r="S72" s="87">
        <f>+M72*4%</f>
        <v>60000</v>
      </c>
      <c r="T72" s="87">
        <v>135000</v>
      </c>
      <c r="U72" s="87"/>
      <c r="V72" s="87"/>
      <c r="W72" s="87"/>
      <c r="X72" s="87"/>
      <c r="Y72" s="87"/>
      <c r="Z72" s="87">
        <f t="shared" si="57"/>
        <v>255000</v>
      </c>
      <c r="AA72" s="7">
        <f>Q72-Z72</f>
        <v>1245000</v>
      </c>
      <c r="AB72" s="8"/>
      <c r="AC72" s="9"/>
      <c r="AD72" s="8">
        <f t="shared" si="58"/>
        <v>1245000</v>
      </c>
    </row>
    <row r="73" spans="1:30" ht="36" x14ac:dyDescent="0.25">
      <c r="A73" s="108"/>
      <c r="B73" s="14">
        <v>27</v>
      </c>
      <c r="C73" s="11" t="s">
        <v>166</v>
      </c>
      <c r="D73" s="6" t="s">
        <v>26</v>
      </c>
      <c r="E73" s="6" t="s">
        <v>208</v>
      </c>
      <c r="F73" s="6" t="s">
        <v>252</v>
      </c>
      <c r="G73" s="12">
        <v>1013621051</v>
      </c>
      <c r="H73" s="6" t="s">
        <v>234</v>
      </c>
      <c r="I73" s="6" t="s">
        <v>211</v>
      </c>
      <c r="J73" s="6">
        <v>633122064</v>
      </c>
      <c r="K73" s="87">
        <v>2000000</v>
      </c>
      <c r="L73" s="12">
        <v>30</v>
      </c>
      <c r="M73" s="87">
        <f>+K73-P73</f>
        <v>2000000</v>
      </c>
      <c r="N73" s="87"/>
      <c r="O73" s="87"/>
      <c r="P73" s="87"/>
      <c r="Q73" s="87">
        <f t="shared" si="26"/>
        <v>2000000</v>
      </c>
      <c r="R73" s="87">
        <f>+Q73*4%</f>
        <v>80000</v>
      </c>
      <c r="S73" s="87">
        <f>+Q73*4%</f>
        <v>80000</v>
      </c>
      <c r="T73" s="87"/>
      <c r="U73" s="87"/>
      <c r="V73" s="87">
        <v>0</v>
      </c>
      <c r="W73" s="87"/>
      <c r="X73" s="87"/>
      <c r="Y73" s="87">
        <v>363928</v>
      </c>
      <c r="Z73" s="87">
        <f t="shared" si="38"/>
        <v>523928</v>
      </c>
      <c r="AA73" s="7">
        <f t="shared" si="54"/>
        <v>1476072</v>
      </c>
      <c r="AB73" s="8"/>
      <c r="AC73" s="9"/>
      <c r="AD73" s="8">
        <f t="shared" si="58"/>
        <v>1476072</v>
      </c>
    </row>
    <row r="74" spans="1:30" ht="48" x14ac:dyDescent="0.25">
      <c r="A74" s="108"/>
      <c r="B74" s="14">
        <v>28</v>
      </c>
      <c r="C74" s="11" t="s">
        <v>155</v>
      </c>
      <c r="D74" s="6"/>
      <c r="E74" s="6"/>
      <c r="F74" s="6"/>
      <c r="G74" s="12"/>
      <c r="H74" s="6"/>
      <c r="I74" s="6"/>
      <c r="J74" s="6"/>
      <c r="K74" s="87">
        <v>368858</v>
      </c>
      <c r="L74" s="12">
        <v>30</v>
      </c>
      <c r="M74" s="87">
        <f t="shared" si="55"/>
        <v>368858</v>
      </c>
      <c r="N74" s="87"/>
      <c r="O74" s="87"/>
      <c r="P74" s="87"/>
      <c r="Q74" s="87">
        <f t="shared" ref="Q74" si="63">SUM(M74:O74)+P74</f>
        <v>368858</v>
      </c>
      <c r="R74" s="87"/>
      <c r="S74" s="87"/>
      <c r="T74" s="87"/>
      <c r="U74" s="87"/>
      <c r="V74" s="87"/>
      <c r="W74" s="87"/>
      <c r="X74" s="87"/>
      <c r="Y74" s="87"/>
      <c r="Z74" s="87">
        <f t="shared" ref="Z74" si="64">SUM(R74:Y74)</f>
        <v>0</v>
      </c>
      <c r="AA74" s="7">
        <f t="shared" si="54"/>
        <v>368858</v>
      </c>
      <c r="AB74" s="8"/>
      <c r="AC74" s="9"/>
      <c r="AD74" s="8">
        <f t="shared" si="58"/>
        <v>368858</v>
      </c>
    </row>
    <row r="75" spans="1:30" ht="24" x14ac:dyDescent="0.25">
      <c r="A75" s="108"/>
      <c r="B75" s="14">
        <v>29</v>
      </c>
      <c r="C75" s="3" t="s">
        <v>100</v>
      </c>
      <c r="D75" s="86" t="s">
        <v>26</v>
      </c>
      <c r="E75" s="6" t="s">
        <v>239</v>
      </c>
      <c r="F75" s="86" t="s">
        <v>239</v>
      </c>
      <c r="G75" s="87">
        <v>97101514700</v>
      </c>
      <c r="H75" s="86" t="s">
        <v>234</v>
      </c>
      <c r="I75" s="6" t="s">
        <v>211</v>
      </c>
      <c r="J75" s="119">
        <v>6271988150</v>
      </c>
      <c r="K75" s="87">
        <v>800000</v>
      </c>
      <c r="L75" s="12">
        <v>30</v>
      </c>
      <c r="M75" s="87">
        <f t="shared" si="55"/>
        <v>800000</v>
      </c>
      <c r="N75" s="87">
        <f>+(83140/30)*L75</f>
        <v>83140</v>
      </c>
      <c r="O75" s="87"/>
      <c r="P75" s="87"/>
      <c r="Q75" s="87">
        <f t="shared" si="26"/>
        <v>883140</v>
      </c>
      <c r="R75" s="87">
        <f>+M75*4%</f>
        <v>32000</v>
      </c>
      <c r="S75" s="87">
        <f>+M75*4%</f>
        <v>32000</v>
      </c>
      <c r="T75" s="87"/>
      <c r="U75" s="87"/>
      <c r="V75" s="87"/>
      <c r="W75" s="87"/>
      <c r="X75" s="87"/>
      <c r="Y75" s="87"/>
      <c r="Z75" s="87">
        <f t="shared" si="38"/>
        <v>64000</v>
      </c>
      <c r="AA75" s="7">
        <f t="shared" si="54"/>
        <v>819140</v>
      </c>
      <c r="AB75" s="8"/>
      <c r="AC75" s="9"/>
      <c r="AD75" s="8">
        <f t="shared" si="58"/>
        <v>819140</v>
      </c>
    </row>
    <row r="76" spans="1:30" ht="24" x14ac:dyDescent="0.25">
      <c r="A76" s="108"/>
      <c r="B76" s="14">
        <v>30</v>
      </c>
      <c r="C76" s="3" t="s">
        <v>175</v>
      </c>
      <c r="D76" s="86" t="s">
        <v>26</v>
      </c>
      <c r="E76" s="6" t="s">
        <v>239</v>
      </c>
      <c r="F76" s="86" t="s">
        <v>239</v>
      </c>
      <c r="G76" s="87">
        <v>97101514700</v>
      </c>
      <c r="H76" s="86" t="s">
        <v>234</v>
      </c>
      <c r="I76" s="6" t="s">
        <v>211</v>
      </c>
      <c r="J76" s="119">
        <v>6271988150</v>
      </c>
      <c r="K76" s="87">
        <v>1000000</v>
      </c>
      <c r="L76" s="12">
        <v>30</v>
      </c>
      <c r="M76" s="87">
        <f t="shared" si="55"/>
        <v>1000000.0000000001</v>
      </c>
      <c r="N76" s="87">
        <f>+(83140/30)*L76</f>
        <v>83140</v>
      </c>
      <c r="O76" s="87"/>
      <c r="P76" s="87"/>
      <c r="Q76" s="87">
        <f t="shared" ref="Q76" si="65">SUM(M76:O76)+P76</f>
        <v>1083140</v>
      </c>
      <c r="R76" s="87">
        <f>+M76*4%</f>
        <v>40000.000000000007</v>
      </c>
      <c r="S76" s="87">
        <f>+M76*4%</f>
        <v>40000.000000000007</v>
      </c>
      <c r="T76" s="87"/>
      <c r="U76" s="87"/>
      <c r="V76" s="87"/>
      <c r="W76" s="87"/>
      <c r="X76" s="87"/>
      <c r="Y76" s="87"/>
      <c r="Z76" s="87">
        <f t="shared" ref="Z76" si="66">SUM(R76:Y76)</f>
        <v>80000.000000000015</v>
      </c>
      <c r="AA76" s="7">
        <f t="shared" si="54"/>
        <v>1003140</v>
      </c>
      <c r="AB76" s="8"/>
      <c r="AC76" s="9"/>
      <c r="AD76" s="8">
        <f t="shared" si="58"/>
        <v>1003140</v>
      </c>
    </row>
    <row r="77" spans="1:30" ht="36" x14ac:dyDescent="0.25">
      <c r="A77" s="108"/>
      <c r="B77" s="14">
        <v>31</v>
      </c>
      <c r="C77" s="11" t="s">
        <v>104</v>
      </c>
      <c r="D77" s="6" t="s">
        <v>26</v>
      </c>
      <c r="E77" s="6" t="s">
        <v>208</v>
      </c>
      <c r="F77" s="6" t="s">
        <v>212</v>
      </c>
      <c r="G77" s="12">
        <v>1095798415</v>
      </c>
      <c r="H77" s="6" t="s">
        <v>213</v>
      </c>
      <c r="I77" s="6" t="s">
        <v>211</v>
      </c>
      <c r="J77" s="86">
        <v>64476648112</v>
      </c>
      <c r="K77" s="87">
        <v>4000000</v>
      </c>
      <c r="L77" s="12">
        <v>30</v>
      </c>
      <c r="M77" s="87">
        <f>+K77-P77</f>
        <v>2891952</v>
      </c>
      <c r="N77" s="87"/>
      <c r="O77" s="87"/>
      <c r="P77" s="87">
        <v>1108048</v>
      </c>
      <c r="Q77" s="87">
        <f t="shared" ref="Q77" si="67">SUM(M77:O77)+P77</f>
        <v>4000000</v>
      </c>
      <c r="R77" s="87">
        <v>160000</v>
      </c>
      <c r="S77" s="87">
        <v>200000</v>
      </c>
      <c r="T77" s="87"/>
      <c r="U77" s="87"/>
      <c r="V77" s="87">
        <v>3000</v>
      </c>
      <c r="W77" s="87"/>
      <c r="X77" s="87"/>
      <c r="Y77" s="87"/>
      <c r="Z77" s="87">
        <f t="shared" ref="Z77" si="68">SUM(R77:Y77)</f>
        <v>363000</v>
      </c>
      <c r="AA77" s="7">
        <f>+Q77-Z77</f>
        <v>3637000</v>
      </c>
      <c r="AB77" s="8"/>
      <c r="AC77" s="9"/>
      <c r="AD77" s="8">
        <f t="shared" si="58"/>
        <v>3637000</v>
      </c>
    </row>
    <row r="78" spans="1:30" x14ac:dyDescent="0.25">
      <c r="A78" s="108"/>
      <c r="B78" s="14">
        <v>32</v>
      </c>
      <c r="C78" s="3" t="s">
        <v>177</v>
      </c>
      <c r="D78" s="86"/>
      <c r="E78" s="6"/>
      <c r="F78" s="86"/>
      <c r="G78" s="87"/>
      <c r="H78" s="86"/>
      <c r="I78" s="6"/>
      <c r="J78" s="119"/>
      <c r="K78" s="87">
        <v>1600000</v>
      </c>
      <c r="L78" s="12">
        <v>21</v>
      </c>
      <c r="M78" s="87">
        <f t="shared" ref="M78" si="69">K78/30*L78</f>
        <v>1120000</v>
      </c>
      <c r="N78" s="87"/>
      <c r="O78" s="87"/>
      <c r="P78" s="87"/>
      <c r="Q78" s="87">
        <f t="shared" ref="Q78" si="70">SUM(M78:O78)+P78</f>
        <v>1120000</v>
      </c>
      <c r="R78" s="87">
        <f>+M78*4%</f>
        <v>44800</v>
      </c>
      <c r="S78" s="87">
        <f>+M78*4%</f>
        <v>44800</v>
      </c>
      <c r="T78" s="87"/>
      <c r="U78" s="87"/>
      <c r="V78" s="87"/>
      <c r="W78" s="87"/>
      <c r="X78" s="87"/>
      <c r="Y78" s="87"/>
      <c r="Z78" s="87">
        <f t="shared" ref="Z78" si="71">SUM(R78:Y78)</f>
        <v>89600</v>
      </c>
      <c r="AA78" s="7">
        <f t="shared" ref="AA78" si="72">Q78-Z78</f>
        <v>1030400</v>
      </c>
      <c r="AB78" s="8"/>
      <c r="AC78" s="9"/>
      <c r="AD78" s="8">
        <f t="shared" si="58"/>
        <v>1030400</v>
      </c>
    </row>
    <row r="79" spans="1:30" ht="48" x14ac:dyDescent="0.25">
      <c r="A79" s="108"/>
      <c r="B79" s="14">
        <v>33</v>
      </c>
      <c r="C79" s="11" t="s">
        <v>106</v>
      </c>
      <c r="D79" s="6" t="s">
        <v>26</v>
      </c>
      <c r="E79" s="6" t="s">
        <v>208</v>
      </c>
      <c r="F79" s="6" t="s">
        <v>242</v>
      </c>
      <c r="G79" s="12">
        <v>1024547288</v>
      </c>
      <c r="H79" s="6" t="s">
        <v>234</v>
      </c>
      <c r="I79" s="6" t="s">
        <v>211</v>
      </c>
      <c r="J79" s="86">
        <v>627215981</v>
      </c>
      <c r="K79" s="87">
        <v>1500000</v>
      </c>
      <c r="L79" s="12">
        <v>30</v>
      </c>
      <c r="M79" s="87">
        <f t="shared" si="55"/>
        <v>1500000</v>
      </c>
      <c r="N79" s="87"/>
      <c r="O79" s="87"/>
      <c r="P79" s="87">
        <v>187500</v>
      </c>
      <c r="Q79" s="87">
        <f t="shared" ref="Q79" si="73">SUM(M79:O79)+P79</f>
        <v>1687500</v>
      </c>
      <c r="R79" s="87">
        <f>+M79*4%</f>
        <v>60000</v>
      </c>
      <c r="S79" s="87">
        <f>+M79*4%</f>
        <v>60000</v>
      </c>
      <c r="T79" s="87">
        <v>35000</v>
      </c>
      <c r="U79" s="87"/>
      <c r="V79" s="87">
        <v>0</v>
      </c>
      <c r="W79" s="87"/>
      <c r="X79" s="87"/>
      <c r="Y79" s="87"/>
      <c r="Z79" s="87">
        <f t="shared" ref="Z79" si="74">SUM(R79:Y79)</f>
        <v>155000</v>
      </c>
      <c r="AA79" s="7">
        <f t="shared" ref="AA79:AA90" si="75">+Q79-Z79</f>
        <v>1532500</v>
      </c>
      <c r="AB79" s="8"/>
      <c r="AC79" s="9"/>
      <c r="AD79" s="8">
        <f t="shared" si="58"/>
        <v>1532500</v>
      </c>
    </row>
    <row r="80" spans="1:30" ht="36" x14ac:dyDescent="0.25">
      <c r="A80" s="108"/>
      <c r="B80" s="14">
        <v>34</v>
      </c>
      <c r="C80" s="11" t="s">
        <v>107</v>
      </c>
      <c r="D80" s="6" t="s">
        <v>26</v>
      </c>
      <c r="E80" s="6" t="s">
        <v>208</v>
      </c>
      <c r="F80" s="6" t="s">
        <v>225</v>
      </c>
      <c r="G80" s="12">
        <v>1019025121</v>
      </c>
      <c r="H80" s="6" t="s">
        <v>234</v>
      </c>
      <c r="I80" s="6" t="s">
        <v>211</v>
      </c>
      <c r="J80" s="6">
        <v>627168396</v>
      </c>
      <c r="K80" s="87">
        <v>3000000</v>
      </c>
      <c r="L80" s="12">
        <v>30</v>
      </c>
      <c r="M80" s="87">
        <f t="shared" si="55"/>
        <v>3000000</v>
      </c>
      <c r="N80" s="87"/>
      <c r="O80" s="87"/>
      <c r="P80" s="87"/>
      <c r="Q80" s="87">
        <f t="shared" si="26"/>
        <v>3000000</v>
      </c>
      <c r="R80" s="87">
        <f>+K80*4%</f>
        <v>120000</v>
      </c>
      <c r="S80" s="87">
        <f>+K80*5%</f>
        <v>150000</v>
      </c>
      <c r="T80" s="87"/>
      <c r="U80" s="87"/>
      <c r="V80" s="17">
        <v>0</v>
      </c>
      <c r="W80" s="87"/>
      <c r="X80" s="87">
        <v>209577</v>
      </c>
      <c r="Y80" s="87">
        <v>795577</v>
      </c>
      <c r="Z80" s="87">
        <f t="shared" si="38"/>
        <v>1275154</v>
      </c>
      <c r="AA80" s="7">
        <f t="shared" si="75"/>
        <v>1724846</v>
      </c>
      <c r="AB80" s="8"/>
      <c r="AC80" s="9"/>
      <c r="AD80" s="8">
        <f t="shared" si="58"/>
        <v>1724846</v>
      </c>
    </row>
    <row r="81" spans="1:30" ht="48" x14ac:dyDescent="0.25">
      <c r="A81" s="108"/>
      <c r="B81" s="14">
        <v>35</v>
      </c>
      <c r="C81" s="11" t="s">
        <v>167</v>
      </c>
      <c r="D81" s="6"/>
      <c r="E81" s="6"/>
      <c r="F81" s="6"/>
      <c r="G81" s="12"/>
      <c r="H81" s="6"/>
      <c r="I81" s="6"/>
      <c r="J81" s="6"/>
      <c r="K81" s="87">
        <v>4500000</v>
      </c>
      <c r="L81" s="12">
        <v>30</v>
      </c>
      <c r="M81" s="87">
        <f t="shared" si="55"/>
        <v>4500000</v>
      </c>
      <c r="N81" s="87"/>
      <c r="O81" s="87"/>
      <c r="P81" s="87"/>
      <c r="Q81" s="87">
        <f t="shared" ref="Q81:Q85" si="76">SUM(M81:O81)+P81</f>
        <v>4500000</v>
      </c>
      <c r="R81" s="87">
        <f>+M81*4%</f>
        <v>180000</v>
      </c>
      <c r="S81" s="87">
        <f>+M81*5%</f>
        <v>225000</v>
      </c>
      <c r="T81" s="87"/>
      <c r="U81" s="87"/>
      <c r="V81" s="17">
        <v>18000</v>
      </c>
      <c r="W81" s="87"/>
      <c r="X81" s="87"/>
      <c r="Y81" s="87"/>
      <c r="Z81" s="87">
        <f t="shared" ref="Z81:Z85" si="77">SUM(R81:Y81)</f>
        <v>423000</v>
      </c>
      <c r="AA81" s="7">
        <f t="shared" si="75"/>
        <v>4077000</v>
      </c>
      <c r="AB81" s="8"/>
      <c r="AC81" s="9"/>
      <c r="AD81" s="8">
        <f t="shared" si="58"/>
        <v>4077000</v>
      </c>
    </row>
    <row r="82" spans="1:30" ht="24" x14ac:dyDescent="0.25">
      <c r="A82" s="108"/>
      <c r="B82" s="14">
        <v>36</v>
      </c>
      <c r="C82" s="11" t="s">
        <v>108</v>
      </c>
      <c r="D82" s="6"/>
      <c r="E82" s="6"/>
      <c r="F82" s="6"/>
      <c r="G82" s="12"/>
      <c r="H82" s="6"/>
      <c r="I82" s="6"/>
      <c r="J82" s="6"/>
      <c r="K82" s="87">
        <v>4500000</v>
      </c>
      <c r="L82" s="12">
        <v>30</v>
      </c>
      <c r="M82" s="87">
        <f t="shared" si="55"/>
        <v>4500000</v>
      </c>
      <c r="N82" s="87"/>
      <c r="O82" s="87"/>
      <c r="P82" s="87"/>
      <c r="Q82" s="87">
        <f t="shared" si="76"/>
        <v>4500000</v>
      </c>
      <c r="R82" s="87">
        <f>+M82*4%</f>
        <v>180000</v>
      </c>
      <c r="S82" s="87">
        <f>+M82*5%</f>
        <v>225000</v>
      </c>
      <c r="T82" s="87"/>
      <c r="U82" s="87"/>
      <c r="V82" s="17">
        <v>72000</v>
      </c>
      <c r="W82" s="87"/>
      <c r="X82" s="87"/>
      <c r="Y82" s="87"/>
      <c r="Z82" s="87">
        <f t="shared" si="77"/>
        <v>477000</v>
      </c>
      <c r="AA82" s="7">
        <f t="shared" si="75"/>
        <v>4023000</v>
      </c>
      <c r="AB82" s="8"/>
      <c r="AC82" s="9"/>
      <c r="AD82" s="8">
        <f t="shared" si="58"/>
        <v>4023000</v>
      </c>
    </row>
    <row r="83" spans="1:30" ht="48" x14ac:dyDescent="0.25">
      <c r="A83" s="108"/>
      <c r="B83" s="14">
        <v>37</v>
      </c>
      <c r="C83" s="11" t="s">
        <v>168</v>
      </c>
      <c r="D83" s="6"/>
      <c r="E83" s="6"/>
      <c r="F83" s="6"/>
      <c r="G83" s="12"/>
      <c r="H83" s="6"/>
      <c r="I83" s="6"/>
      <c r="J83" s="6"/>
      <c r="K83" s="87">
        <v>737717</v>
      </c>
      <c r="L83" s="12">
        <v>30</v>
      </c>
      <c r="M83" s="87">
        <f t="shared" si="55"/>
        <v>737717</v>
      </c>
      <c r="N83" s="87">
        <f t="shared" ref="N83:N84" si="78">+(83140/30)*L83</f>
        <v>83140</v>
      </c>
      <c r="O83" s="87"/>
      <c r="P83" s="87"/>
      <c r="Q83" s="87">
        <f t="shared" si="76"/>
        <v>820857</v>
      </c>
      <c r="R83" s="87">
        <f t="shared" ref="R83:R85" si="79">+M83*4%</f>
        <v>29508.68</v>
      </c>
      <c r="S83" s="87">
        <f>+M83*4%</f>
        <v>29508.68</v>
      </c>
      <c r="T83" s="87"/>
      <c r="U83" s="87"/>
      <c r="V83" s="17"/>
      <c r="W83" s="87"/>
      <c r="X83" s="87"/>
      <c r="Y83" s="87"/>
      <c r="Z83" s="87">
        <f t="shared" si="77"/>
        <v>59017.36</v>
      </c>
      <c r="AA83" s="7">
        <f t="shared" si="75"/>
        <v>761839.64</v>
      </c>
      <c r="AB83" s="8"/>
      <c r="AC83" s="9"/>
      <c r="AD83" s="8">
        <f t="shared" si="58"/>
        <v>761839.64</v>
      </c>
    </row>
    <row r="84" spans="1:30" ht="48" x14ac:dyDescent="0.25">
      <c r="A84" s="108"/>
      <c r="B84" s="14">
        <v>38</v>
      </c>
      <c r="C84" s="11" t="s">
        <v>169</v>
      </c>
      <c r="D84" s="6"/>
      <c r="E84" s="6"/>
      <c r="F84" s="6"/>
      <c r="G84" s="12"/>
      <c r="H84" s="6"/>
      <c r="I84" s="6"/>
      <c r="J84" s="6"/>
      <c r="K84" s="87">
        <v>737717</v>
      </c>
      <c r="L84" s="12">
        <v>30</v>
      </c>
      <c r="M84" s="87">
        <f t="shared" si="55"/>
        <v>737717</v>
      </c>
      <c r="N84" s="87">
        <f t="shared" si="78"/>
        <v>83140</v>
      </c>
      <c r="O84" s="87"/>
      <c r="P84" s="87"/>
      <c r="Q84" s="87">
        <f t="shared" si="76"/>
        <v>820857</v>
      </c>
      <c r="R84" s="87">
        <f t="shared" si="79"/>
        <v>29508.68</v>
      </c>
      <c r="S84" s="87">
        <f>+M84*4%</f>
        <v>29508.68</v>
      </c>
      <c r="T84" s="87"/>
      <c r="U84" s="87"/>
      <c r="V84" s="17"/>
      <c r="W84" s="87"/>
      <c r="X84" s="87"/>
      <c r="Y84" s="87"/>
      <c r="Z84" s="87">
        <f t="shared" si="77"/>
        <v>59017.36</v>
      </c>
      <c r="AA84" s="7">
        <f t="shared" si="75"/>
        <v>761839.64</v>
      </c>
      <c r="AB84" s="8"/>
      <c r="AC84" s="9"/>
      <c r="AD84" s="8">
        <f t="shared" si="58"/>
        <v>761839.64</v>
      </c>
    </row>
    <row r="85" spans="1:30" ht="48" x14ac:dyDescent="0.25">
      <c r="A85" s="108"/>
      <c r="B85" s="14">
        <v>39</v>
      </c>
      <c r="C85" s="11" t="s">
        <v>170</v>
      </c>
      <c r="D85" s="6"/>
      <c r="E85" s="6"/>
      <c r="F85" s="6"/>
      <c r="G85" s="12"/>
      <c r="H85" s="6"/>
      <c r="I85" s="6"/>
      <c r="J85" s="6"/>
      <c r="K85" s="87">
        <v>2500000</v>
      </c>
      <c r="L85" s="12">
        <v>30</v>
      </c>
      <c r="M85" s="87">
        <f t="shared" si="55"/>
        <v>2500000</v>
      </c>
      <c r="N85" s="87"/>
      <c r="O85" s="87"/>
      <c r="P85" s="87"/>
      <c r="Q85" s="87">
        <f t="shared" si="76"/>
        <v>2500000</v>
      </c>
      <c r="R85" s="87">
        <f t="shared" si="79"/>
        <v>100000</v>
      </c>
      <c r="S85" s="87">
        <f>+M85*4%</f>
        <v>100000</v>
      </c>
      <c r="T85" s="87">
        <f>35925+36500+95000+107500</f>
        <v>274925</v>
      </c>
      <c r="U85" s="87"/>
      <c r="V85" s="17"/>
      <c r="W85" s="87"/>
      <c r="X85" s="87"/>
      <c r="Y85" s="87"/>
      <c r="Z85" s="87">
        <f t="shared" si="77"/>
        <v>474925</v>
      </c>
      <c r="AA85" s="7">
        <f t="shared" si="75"/>
        <v>2025075</v>
      </c>
      <c r="AB85" s="8"/>
      <c r="AC85" s="9"/>
      <c r="AD85" s="8">
        <f t="shared" si="58"/>
        <v>2025075</v>
      </c>
    </row>
    <row r="86" spans="1:30" ht="60" x14ac:dyDescent="0.25">
      <c r="A86" s="108"/>
      <c r="B86" s="14">
        <v>40</v>
      </c>
      <c r="C86" s="11" t="s">
        <v>109</v>
      </c>
      <c r="D86" s="6" t="s">
        <v>26</v>
      </c>
      <c r="E86" s="6" t="s">
        <v>208</v>
      </c>
      <c r="F86" s="6" t="s">
        <v>242</v>
      </c>
      <c r="G86" s="12">
        <v>1022387073</v>
      </c>
      <c r="H86" s="6" t="s">
        <v>234</v>
      </c>
      <c r="I86" s="6" t="s">
        <v>211</v>
      </c>
      <c r="J86" s="6">
        <v>627215965</v>
      </c>
      <c r="K86" s="87">
        <v>1500000</v>
      </c>
      <c r="L86" s="12">
        <v>30</v>
      </c>
      <c r="M86" s="87">
        <f t="shared" si="55"/>
        <v>1500000</v>
      </c>
      <c r="N86" s="87"/>
      <c r="O86" s="87"/>
      <c r="P86" s="87"/>
      <c r="Q86" s="87">
        <f t="shared" ref="Q86" si="80">SUM(M86:O86)+P86</f>
        <v>1500000</v>
      </c>
      <c r="R86" s="87">
        <f>+M86*4%</f>
        <v>60000</v>
      </c>
      <c r="S86" s="87">
        <f>+M86*4%</f>
        <v>60000</v>
      </c>
      <c r="T86" s="87"/>
      <c r="U86" s="87"/>
      <c r="V86" s="17">
        <v>0</v>
      </c>
      <c r="W86" s="87"/>
      <c r="X86" s="87"/>
      <c r="Y86" s="87"/>
      <c r="Z86" s="87">
        <f t="shared" ref="Z86" si="81">SUM(R86:Y86)</f>
        <v>120000</v>
      </c>
      <c r="AA86" s="7">
        <f t="shared" si="75"/>
        <v>1380000</v>
      </c>
      <c r="AB86" s="8"/>
      <c r="AC86" s="9"/>
      <c r="AD86" s="8">
        <f t="shared" si="58"/>
        <v>1380000</v>
      </c>
    </row>
    <row r="87" spans="1:30" ht="36" x14ac:dyDescent="0.25">
      <c r="A87" s="108"/>
      <c r="B87" s="14">
        <v>41</v>
      </c>
      <c r="C87" s="11" t="s">
        <v>149</v>
      </c>
      <c r="D87" s="6"/>
      <c r="E87" s="6"/>
      <c r="F87" s="6"/>
      <c r="G87" s="12"/>
      <c r="H87" s="6"/>
      <c r="I87" s="6"/>
      <c r="J87" s="6"/>
      <c r="K87" s="87">
        <v>2000000</v>
      </c>
      <c r="L87" s="12">
        <v>30</v>
      </c>
      <c r="M87" s="87">
        <f t="shared" si="55"/>
        <v>2000000.0000000002</v>
      </c>
      <c r="N87" s="87"/>
      <c r="O87" s="87"/>
      <c r="P87" s="87"/>
      <c r="Q87" s="87">
        <f t="shared" ref="Q87" si="82">SUM(M87:O87)+P87</f>
        <v>2000000.0000000002</v>
      </c>
      <c r="R87" s="87">
        <f>+M87*4%</f>
        <v>80000.000000000015</v>
      </c>
      <c r="S87" s="87">
        <f>+M87*4%</f>
        <v>80000.000000000015</v>
      </c>
      <c r="T87" s="87">
        <f>93313+36500+137450</f>
        <v>267263</v>
      </c>
      <c r="U87" s="87"/>
      <c r="V87" s="87">
        <v>0</v>
      </c>
      <c r="W87" s="87"/>
      <c r="X87" s="87"/>
      <c r="Y87" s="87"/>
      <c r="Z87" s="87">
        <f t="shared" ref="Z87" si="83">SUM(R87:Y87)</f>
        <v>427263</v>
      </c>
      <c r="AA87" s="7">
        <f t="shared" si="75"/>
        <v>1572737.0000000002</v>
      </c>
      <c r="AB87" s="8"/>
      <c r="AC87" s="9"/>
      <c r="AD87" s="8">
        <f t="shared" si="58"/>
        <v>1572737.0000000002</v>
      </c>
    </row>
    <row r="88" spans="1:30" ht="48" x14ac:dyDescent="0.25">
      <c r="A88" s="108"/>
      <c r="B88" s="14">
        <v>42</v>
      </c>
      <c r="C88" s="11" t="s">
        <v>171</v>
      </c>
      <c r="D88" s="6"/>
      <c r="E88" s="6"/>
      <c r="F88" s="6"/>
      <c r="G88" s="12"/>
      <c r="H88" s="6"/>
      <c r="I88" s="6"/>
      <c r="J88" s="6"/>
      <c r="K88" s="87">
        <v>3500000</v>
      </c>
      <c r="L88" s="12">
        <v>30</v>
      </c>
      <c r="M88" s="87">
        <f t="shared" si="55"/>
        <v>3500000</v>
      </c>
      <c r="N88" s="87"/>
      <c r="O88" s="87"/>
      <c r="P88" s="87"/>
      <c r="Q88" s="87">
        <f t="shared" ref="Q88" si="84">SUM(M88:O88)+P88</f>
        <v>3500000</v>
      </c>
      <c r="R88" s="87">
        <f>+M88*4%</f>
        <v>140000</v>
      </c>
      <c r="S88" s="87">
        <f>+M88*5%</f>
        <v>175000</v>
      </c>
      <c r="T88" s="87">
        <v>135000</v>
      </c>
      <c r="U88" s="87"/>
      <c r="V88" s="87">
        <v>0</v>
      </c>
      <c r="W88" s="87"/>
      <c r="X88" s="87"/>
      <c r="Y88" s="87"/>
      <c r="Z88" s="87">
        <f t="shared" ref="Z88" si="85">SUM(R88:Y88)</f>
        <v>450000</v>
      </c>
      <c r="AA88" s="7">
        <f t="shared" si="75"/>
        <v>3050000</v>
      </c>
      <c r="AB88" s="8"/>
      <c r="AC88" s="9"/>
      <c r="AD88" s="8">
        <f t="shared" si="58"/>
        <v>3050000</v>
      </c>
    </row>
    <row r="89" spans="1:30" ht="36" x14ac:dyDescent="0.25">
      <c r="A89" s="108"/>
      <c r="B89" s="14">
        <v>43</v>
      </c>
      <c r="C89" s="11" t="s">
        <v>110</v>
      </c>
      <c r="D89" s="6" t="s">
        <v>26</v>
      </c>
      <c r="E89" s="6" t="s">
        <v>208</v>
      </c>
      <c r="F89" s="6" t="s">
        <v>257</v>
      </c>
      <c r="G89" s="12">
        <v>1014229394</v>
      </c>
      <c r="H89" s="6" t="s">
        <v>210</v>
      </c>
      <c r="I89" s="6" t="s">
        <v>211</v>
      </c>
      <c r="J89" s="6">
        <v>1004236633</v>
      </c>
      <c r="K89" s="87">
        <v>2500000</v>
      </c>
      <c r="L89" s="12">
        <v>30</v>
      </c>
      <c r="M89" s="87">
        <f t="shared" si="55"/>
        <v>2500000</v>
      </c>
      <c r="N89" s="87"/>
      <c r="O89" s="87"/>
      <c r="P89" s="87">
        <f>+K89-M89</f>
        <v>0</v>
      </c>
      <c r="Q89" s="87">
        <f t="shared" ref="Q89:Q115" si="86">SUM(M89:O89)+P89</f>
        <v>2500000</v>
      </c>
      <c r="R89" s="87">
        <v>100000</v>
      </c>
      <c r="S89" s="87">
        <v>100000</v>
      </c>
      <c r="T89" s="87"/>
      <c r="U89" s="87"/>
      <c r="V89" s="87">
        <v>0</v>
      </c>
      <c r="W89" s="87"/>
      <c r="X89" s="87"/>
      <c r="Y89" s="87">
        <v>257196</v>
      </c>
      <c r="Z89" s="87">
        <f t="shared" si="38"/>
        <v>457196</v>
      </c>
      <c r="AA89" s="7">
        <f t="shared" si="75"/>
        <v>2042804</v>
      </c>
      <c r="AB89" s="8"/>
      <c r="AC89" s="9"/>
      <c r="AD89" s="8">
        <f t="shared" si="58"/>
        <v>2042804</v>
      </c>
    </row>
    <row r="90" spans="1:30" ht="36" x14ac:dyDescent="0.25">
      <c r="A90" s="108"/>
      <c r="B90" s="14">
        <v>44</v>
      </c>
      <c r="C90" s="11" t="s">
        <v>111</v>
      </c>
      <c r="D90" s="6" t="s">
        <v>26</v>
      </c>
      <c r="E90" s="6" t="s">
        <v>208</v>
      </c>
      <c r="F90" s="6"/>
      <c r="G90" s="12">
        <v>1018432859</v>
      </c>
      <c r="H90" s="116" t="s">
        <v>213</v>
      </c>
      <c r="I90" s="117" t="s">
        <v>216</v>
      </c>
      <c r="J90" s="118">
        <v>38827119587</v>
      </c>
      <c r="K90" s="87">
        <v>4500000</v>
      </c>
      <c r="L90" s="12">
        <v>30</v>
      </c>
      <c r="M90" s="87">
        <f t="shared" si="55"/>
        <v>4500000</v>
      </c>
      <c r="N90" s="87"/>
      <c r="O90" s="87"/>
      <c r="P90" s="87"/>
      <c r="Q90" s="87">
        <f t="shared" ref="Q90:Q91" si="87">SUM(M90:O90)+P90</f>
        <v>4500000</v>
      </c>
      <c r="R90" s="87">
        <v>180000</v>
      </c>
      <c r="S90" s="87">
        <v>225000</v>
      </c>
      <c r="T90" s="87"/>
      <c r="U90" s="87"/>
      <c r="V90" s="87">
        <v>72000</v>
      </c>
      <c r="W90" s="87"/>
      <c r="X90" s="87"/>
      <c r="Y90" s="87">
        <v>610699</v>
      </c>
      <c r="Z90" s="87">
        <f t="shared" ref="Z90" si="88">SUM(R90:Y90)</f>
        <v>1087699</v>
      </c>
      <c r="AA90" s="7">
        <f t="shared" si="75"/>
        <v>3412301</v>
      </c>
      <c r="AB90" s="8"/>
      <c r="AC90" s="9"/>
      <c r="AD90" s="8">
        <f t="shared" si="58"/>
        <v>3412301</v>
      </c>
    </row>
    <row r="91" spans="1:30" ht="48" x14ac:dyDescent="0.25">
      <c r="A91" s="108"/>
      <c r="B91" s="14">
        <v>45</v>
      </c>
      <c r="C91" s="11" t="s">
        <v>112</v>
      </c>
      <c r="D91" s="6" t="s">
        <v>26</v>
      </c>
      <c r="E91" s="6" t="s">
        <v>208</v>
      </c>
      <c r="F91" s="6" t="s">
        <v>258</v>
      </c>
      <c r="G91" s="12">
        <v>1024501945</v>
      </c>
      <c r="H91" s="6" t="s">
        <v>210</v>
      </c>
      <c r="I91" s="6" t="s">
        <v>211</v>
      </c>
      <c r="J91" s="6">
        <v>1003821966</v>
      </c>
      <c r="K91" s="87">
        <v>4500000</v>
      </c>
      <c r="L91" s="12">
        <v>30</v>
      </c>
      <c r="M91" s="87">
        <f>+K91-P91</f>
        <v>4500000</v>
      </c>
      <c r="N91" s="87"/>
      <c r="O91" s="87"/>
      <c r="P91" s="87"/>
      <c r="Q91" s="87">
        <f t="shared" si="87"/>
        <v>4500000</v>
      </c>
      <c r="R91" s="87">
        <f>+Q91*4%</f>
        <v>180000</v>
      </c>
      <c r="S91" s="87">
        <f>+Q91*5%</f>
        <v>225000</v>
      </c>
      <c r="T91" s="87">
        <v>180000</v>
      </c>
      <c r="U91" s="87"/>
      <c r="V91" s="87">
        <v>8500</v>
      </c>
      <c r="W91" s="87"/>
      <c r="X91" s="87"/>
      <c r="Y91" s="87"/>
      <c r="Z91" s="87">
        <f>SUM(R91:Y91)</f>
        <v>593500</v>
      </c>
      <c r="AA91" s="7">
        <f t="shared" ref="AA91:AA96" si="89">Q91-Z91</f>
        <v>3906500</v>
      </c>
      <c r="AB91" s="8"/>
      <c r="AC91" s="9"/>
      <c r="AD91" s="8">
        <f t="shared" si="58"/>
        <v>3906500</v>
      </c>
    </row>
    <row r="92" spans="1:30" ht="48" x14ac:dyDescent="0.25">
      <c r="A92" s="108"/>
      <c r="B92" s="14">
        <v>46</v>
      </c>
      <c r="C92" s="11" t="s">
        <v>113</v>
      </c>
      <c r="D92" s="6" t="s">
        <v>26</v>
      </c>
      <c r="E92" s="6" t="s">
        <v>208</v>
      </c>
      <c r="F92" s="6" t="s">
        <v>259</v>
      </c>
      <c r="G92" s="12">
        <v>1091654089</v>
      </c>
      <c r="H92" s="6" t="s">
        <v>260</v>
      </c>
      <c r="I92" s="6" t="s">
        <v>211</v>
      </c>
      <c r="J92" s="6">
        <v>24044638575</v>
      </c>
      <c r="K92" s="87">
        <v>3200000</v>
      </c>
      <c r="L92" s="12">
        <v>30</v>
      </c>
      <c r="M92" s="87">
        <f t="shared" si="55"/>
        <v>3200000</v>
      </c>
      <c r="N92" s="87"/>
      <c r="O92" s="87"/>
      <c r="P92" s="87"/>
      <c r="Q92" s="87">
        <f t="shared" si="86"/>
        <v>3200000</v>
      </c>
      <c r="R92" s="87">
        <f>+M92*4%</f>
        <v>128000</v>
      </c>
      <c r="S92" s="87">
        <f>+M92*4%</f>
        <v>128000</v>
      </c>
      <c r="T92" s="87">
        <v>36500</v>
      </c>
      <c r="U92" s="87"/>
      <c r="V92" s="87">
        <v>0</v>
      </c>
      <c r="W92" s="87"/>
      <c r="X92" s="87"/>
      <c r="Y92" s="87"/>
      <c r="Z92" s="87">
        <f t="shared" si="38"/>
        <v>292500</v>
      </c>
      <c r="AA92" s="7">
        <f t="shared" si="89"/>
        <v>2907500</v>
      </c>
      <c r="AB92" s="8"/>
      <c r="AC92" s="9"/>
      <c r="AD92" s="8">
        <f t="shared" si="58"/>
        <v>2907500</v>
      </c>
    </row>
    <row r="93" spans="1:30" ht="48" x14ac:dyDescent="0.25">
      <c r="A93" s="108"/>
      <c r="B93" s="14">
        <v>47</v>
      </c>
      <c r="C93" s="11" t="s">
        <v>115</v>
      </c>
      <c r="D93" s="6" t="s">
        <v>26</v>
      </c>
      <c r="E93" s="6" t="s">
        <v>208</v>
      </c>
      <c r="F93" s="6" t="s">
        <v>242</v>
      </c>
      <c r="G93" s="12">
        <v>1019077896</v>
      </c>
      <c r="H93" s="6" t="s">
        <v>234</v>
      </c>
      <c r="I93" s="6" t="s">
        <v>211</v>
      </c>
      <c r="J93" s="6">
        <v>627215767</v>
      </c>
      <c r="K93" s="87">
        <v>1500000</v>
      </c>
      <c r="L93" s="12">
        <v>30</v>
      </c>
      <c r="M93" s="87">
        <f t="shared" si="55"/>
        <v>1500000</v>
      </c>
      <c r="N93" s="87"/>
      <c r="O93" s="87"/>
      <c r="P93" s="87">
        <v>168750</v>
      </c>
      <c r="Q93" s="87">
        <f t="shared" si="86"/>
        <v>1668750</v>
      </c>
      <c r="R93" s="87">
        <f>+M93*4%</f>
        <v>60000</v>
      </c>
      <c r="S93" s="87">
        <f>+M93*4%</f>
        <v>60000</v>
      </c>
      <c r="T93" s="87"/>
      <c r="U93" s="87"/>
      <c r="V93" s="87"/>
      <c r="W93" s="87"/>
      <c r="X93" s="87"/>
      <c r="Y93" s="87"/>
      <c r="Z93" s="87">
        <f t="shared" ref="Z93" si="90">SUM(R93:Y93)</f>
        <v>120000</v>
      </c>
      <c r="AA93" s="7">
        <f t="shared" si="89"/>
        <v>1548750</v>
      </c>
      <c r="AB93" s="8"/>
      <c r="AC93" s="9"/>
      <c r="AD93" s="8">
        <f t="shared" si="58"/>
        <v>1548750</v>
      </c>
    </row>
    <row r="94" spans="1:30" ht="24" x14ac:dyDescent="0.25">
      <c r="A94" s="108"/>
      <c r="B94" s="14">
        <v>48</v>
      </c>
      <c r="C94" s="3" t="s">
        <v>116</v>
      </c>
      <c r="D94" s="86" t="s">
        <v>26</v>
      </c>
      <c r="E94" s="86" t="s">
        <v>208</v>
      </c>
      <c r="F94" s="6" t="s">
        <v>261</v>
      </c>
      <c r="G94" s="87">
        <v>35334477</v>
      </c>
      <c r="H94" s="86" t="s">
        <v>234</v>
      </c>
      <c r="I94" s="6" t="s">
        <v>211</v>
      </c>
      <c r="J94" s="119">
        <v>633119383</v>
      </c>
      <c r="K94" s="87">
        <v>737717</v>
      </c>
      <c r="L94" s="12">
        <v>30</v>
      </c>
      <c r="M94" s="87">
        <f t="shared" si="55"/>
        <v>737717</v>
      </c>
      <c r="N94" s="87">
        <v>83140</v>
      </c>
      <c r="O94" s="87"/>
      <c r="P94" s="87">
        <v>99840</v>
      </c>
      <c r="Q94" s="87">
        <f t="shared" si="86"/>
        <v>920697</v>
      </c>
      <c r="R94" s="87">
        <v>29509</v>
      </c>
      <c r="S94" s="87">
        <v>29509</v>
      </c>
      <c r="T94" s="87">
        <f>36500+106666</f>
        <v>143166</v>
      </c>
      <c r="U94" s="87"/>
      <c r="V94" s="87">
        <v>0</v>
      </c>
      <c r="W94" s="87"/>
      <c r="X94" s="87"/>
      <c r="Y94" s="87"/>
      <c r="Z94" s="87">
        <f t="shared" si="38"/>
        <v>202184</v>
      </c>
      <c r="AA94" s="7">
        <f t="shared" si="89"/>
        <v>718513</v>
      </c>
      <c r="AB94" s="8"/>
      <c r="AC94" s="9"/>
      <c r="AD94" s="8">
        <f t="shared" si="58"/>
        <v>718513</v>
      </c>
    </row>
    <row r="95" spans="1:30" x14ac:dyDescent="0.25">
      <c r="A95" s="108"/>
      <c r="B95" s="14">
        <v>49</v>
      </c>
      <c r="C95" s="3" t="s">
        <v>117</v>
      </c>
      <c r="D95" s="86"/>
      <c r="E95" s="86"/>
      <c r="F95" s="6"/>
      <c r="G95" s="87"/>
      <c r="H95" s="86"/>
      <c r="I95" s="6"/>
      <c r="J95" s="119"/>
      <c r="K95" s="87">
        <v>5000000</v>
      </c>
      <c r="L95" s="12">
        <v>30</v>
      </c>
      <c r="M95" s="87">
        <f t="shared" si="55"/>
        <v>5000000</v>
      </c>
      <c r="N95" s="87"/>
      <c r="O95" s="87"/>
      <c r="P95" s="87"/>
      <c r="Q95" s="87">
        <f t="shared" ref="Q95" si="91">SUM(M95:O95)+P95</f>
        <v>5000000</v>
      </c>
      <c r="R95" s="87">
        <f>+M95*4%</f>
        <v>200000</v>
      </c>
      <c r="S95" s="87">
        <f>+M95*5%</f>
        <v>250000</v>
      </c>
      <c r="T95" s="87"/>
      <c r="U95" s="87"/>
      <c r="V95" s="87">
        <v>102000</v>
      </c>
      <c r="W95" s="87"/>
      <c r="X95" s="87"/>
      <c r="Y95" s="87"/>
      <c r="Z95" s="87">
        <f t="shared" ref="Z95" si="92">SUM(R95:Y95)</f>
        <v>552000</v>
      </c>
      <c r="AA95" s="7">
        <f t="shared" si="89"/>
        <v>4448000</v>
      </c>
      <c r="AB95" s="8"/>
      <c r="AC95" s="9"/>
      <c r="AD95" s="8">
        <f t="shared" si="58"/>
        <v>4448000</v>
      </c>
    </row>
    <row r="96" spans="1:30" x14ac:dyDescent="0.25">
      <c r="A96" s="108"/>
      <c r="B96" s="14">
        <v>50</v>
      </c>
      <c r="C96" s="3" t="s">
        <v>176</v>
      </c>
      <c r="D96" s="86"/>
      <c r="E96" s="86"/>
      <c r="F96" s="6"/>
      <c r="G96" s="87"/>
      <c r="H96" s="86"/>
      <c r="I96" s="6"/>
      <c r="J96" s="119"/>
      <c r="K96" s="87">
        <v>737717</v>
      </c>
      <c r="L96" s="12">
        <v>30</v>
      </c>
      <c r="M96" s="87">
        <f t="shared" si="55"/>
        <v>737717</v>
      </c>
      <c r="N96" s="87">
        <f t="shared" ref="N96" si="93">+(83140/30)*L96</f>
        <v>83140</v>
      </c>
      <c r="O96" s="87"/>
      <c r="P96" s="87">
        <v>24010</v>
      </c>
      <c r="Q96" s="87">
        <f t="shared" ref="Q96" si="94">SUM(M96:O96)+P96</f>
        <v>844867</v>
      </c>
      <c r="R96" s="87">
        <f>+M96*4%</f>
        <v>29508.68</v>
      </c>
      <c r="S96" s="87">
        <f>+M96*4%</f>
        <v>29508.68</v>
      </c>
      <c r="T96" s="87"/>
      <c r="U96" s="87"/>
      <c r="V96" s="87"/>
      <c r="W96" s="87"/>
      <c r="X96" s="87"/>
      <c r="Y96" s="87"/>
      <c r="Z96" s="87">
        <f t="shared" ref="Z96" si="95">SUM(R96:Y96)</f>
        <v>59017.36</v>
      </c>
      <c r="AA96" s="7">
        <f t="shared" si="89"/>
        <v>785849.64</v>
      </c>
      <c r="AB96" s="8"/>
      <c r="AC96" s="9"/>
      <c r="AD96" s="8"/>
    </row>
    <row r="97" spans="1:30" ht="48" x14ac:dyDescent="0.25">
      <c r="A97" s="108"/>
      <c r="B97" s="14">
        <v>51</v>
      </c>
      <c r="C97" s="11" t="s">
        <v>119</v>
      </c>
      <c r="D97" s="6" t="s">
        <v>26</v>
      </c>
      <c r="E97" s="6" t="s">
        <v>208</v>
      </c>
      <c r="F97" s="6" t="s">
        <v>262</v>
      </c>
      <c r="G97" s="12">
        <v>79297381</v>
      </c>
      <c r="H97" s="6" t="s">
        <v>210</v>
      </c>
      <c r="I97" s="6" t="s">
        <v>211</v>
      </c>
      <c r="J97" s="122" t="s">
        <v>263</v>
      </c>
      <c r="K97" s="87">
        <v>15400000</v>
      </c>
      <c r="L97" s="12">
        <v>30</v>
      </c>
      <c r="M97" s="87">
        <f t="shared" si="55"/>
        <v>15400000</v>
      </c>
      <c r="N97" s="87"/>
      <c r="O97" s="87">
        <v>600000</v>
      </c>
      <c r="P97" s="87"/>
      <c r="Q97" s="87">
        <f t="shared" si="86"/>
        <v>16000000</v>
      </c>
      <c r="R97" s="87">
        <v>616000</v>
      </c>
      <c r="S97" s="87">
        <f>616000+308000</f>
        <v>924000</v>
      </c>
      <c r="T97" s="87">
        <v>102400</v>
      </c>
      <c r="U97" s="87"/>
      <c r="V97" s="87">
        <v>916000</v>
      </c>
      <c r="W97" s="87">
        <v>5000000</v>
      </c>
      <c r="X97" s="87"/>
      <c r="Y97" s="87">
        <v>2314715</v>
      </c>
      <c r="Z97" s="87">
        <f t="shared" si="38"/>
        <v>9873115</v>
      </c>
      <c r="AA97" s="7">
        <f>+Q97-Z97</f>
        <v>6126885</v>
      </c>
      <c r="AB97" s="8"/>
      <c r="AC97" s="9"/>
      <c r="AD97" s="8">
        <f t="shared" si="58"/>
        <v>6126885</v>
      </c>
    </row>
    <row r="98" spans="1:30" ht="36" x14ac:dyDescent="0.25">
      <c r="A98" s="108"/>
      <c r="B98" s="14">
        <v>52</v>
      </c>
      <c r="C98" s="11" t="s">
        <v>120</v>
      </c>
      <c r="D98" s="6" t="s">
        <v>26</v>
      </c>
      <c r="E98" s="6" t="s">
        <v>208</v>
      </c>
      <c r="F98" s="6" t="s">
        <v>225</v>
      </c>
      <c r="G98" s="12">
        <v>1032427441</v>
      </c>
      <c r="H98" s="6" t="s">
        <v>210</v>
      </c>
      <c r="I98" s="6" t="s">
        <v>211</v>
      </c>
      <c r="J98" s="6">
        <v>1004721744</v>
      </c>
      <c r="K98" s="87">
        <v>4500000</v>
      </c>
      <c r="L98" s="12">
        <v>30</v>
      </c>
      <c r="M98" s="87">
        <f>+K98-P98</f>
        <v>4500000</v>
      </c>
      <c r="N98" s="87"/>
      <c r="O98" s="87">
        <v>0</v>
      </c>
      <c r="P98" s="87">
        <v>0</v>
      </c>
      <c r="Q98" s="87">
        <f t="shared" si="86"/>
        <v>4500000</v>
      </c>
      <c r="R98" s="87">
        <v>180000</v>
      </c>
      <c r="S98" s="87">
        <v>225000</v>
      </c>
      <c r="T98" s="87"/>
      <c r="U98" s="87"/>
      <c r="V98" s="87">
        <v>72000</v>
      </c>
      <c r="W98" s="87"/>
      <c r="X98" s="87"/>
      <c r="Y98" s="87">
        <v>1138458</v>
      </c>
      <c r="Z98" s="87">
        <f t="shared" si="38"/>
        <v>1615458</v>
      </c>
      <c r="AA98" s="7">
        <f>+Q98-Z98</f>
        <v>2884542</v>
      </c>
      <c r="AB98" s="8"/>
      <c r="AC98" s="9"/>
      <c r="AD98" s="8">
        <f t="shared" si="58"/>
        <v>2884542</v>
      </c>
    </row>
    <row r="99" spans="1:30" ht="48" x14ac:dyDescent="0.25">
      <c r="A99" s="108"/>
      <c r="B99" s="14">
        <v>53</v>
      </c>
      <c r="C99" s="11" t="s">
        <v>158</v>
      </c>
      <c r="D99" s="6"/>
      <c r="E99" s="6"/>
      <c r="F99" s="6"/>
      <c r="G99" s="12"/>
      <c r="H99" s="6"/>
      <c r="I99" s="6"/>
      <c r="J99" s="6"/>
      <c r="K99" s="87">
        <v>1600000</v>
      </c>
      <c r="L99" s="12">
        <v>30</v>
      </c>
      <c r="M99" s="87">
        <f t="shared" si="55"/>
        <v>1600000</v>
      </c>
      <c r="N99" s="87"/>
      <c r="O99" s="87"/>
      <c r="P99" s="87"/>
      <c r="Q99" s="87">
        <f t="shared" ref="Q99" si="96">SUM(M99:O99)+P99</f>
        <v>1600000</v>
      </c>
      <c r="R99" s="87">
        <f t="shared" ref="R99" si="97">+M99*4%</f>
        <v>64000</v>
      </c>
      <c r="S99" s="87">
        <f>+M99*4%</f>
        <v>64000</v>
      </c>
      <c r="T99" s="87">
        <f>95875+90000</f>
        <v>185875</v>
      </c>
      <c r="U99" s="87"/>
      <c r="V99" s="87"/>
      <c r="W99" s="87"/>
      <c r="X99" s="87"/>
      <c r="Y99" s="87"/>
      <c r="Z99" s="87">
        <f t="shared" ref="Z99" si="98">SUM(R99:Y99)</f>
        <v>313875</v>
      </c>
      <c r="AA99" s="7">
        <f>+Q99-Z99</f>
        <v>1286125</v>
      </c>
      <c r="AB99" s="8"/>
      <c r="AC99" s="9"/>
      <c r="AD99" s="8"/>
    </row>
    <row r="100" spans="1:30" ht="48" x14ac:dyDescent="0.25">
      <c r="A100" s="108"/>
      <c r="B100" s="14">
        <v>54</v>
      </c>
      <c r="C100" s="11" t="s">
        <v>121</v>
      </c>
      <c r="D100" s="6" t="s">
        <v>26</v>
      </c>
      <c r="E100" s="6" t="s">
        <v>208</v>
      </c>
      <c r="F100" s="6" t="s">
        <v>225</v>
      </c>
      <c r="G100" s="12">
        <v>1072651147</v>
      </c>
      <c r="H100" s="6" t="s">
        <v>218</v>
      </c>
      <c r="I100" s="6" t="s">
        <v>211</v>
      </c>
      <c r="J100" s="123">
        <v>451700047967</v>
      </c>
      <c r="K100" s="87">
        <v>2500000</v>
      </c>
      <c r="L100" s="12">
        <v>30</v>
      </c>
      <c r="M100" s="87">
        <f>+K100-P100</f>
        <v>2500000</v>
      </c>
      <c r="N100" s="87"/>
      <c r="O100" s="87"/>
      <c r="P100" s="87">
        <v>0</v>
      </c>
      <c r="Q100" s="87">
        <f t="shared" si="86"/>
        <v>2500000</v>
      </c>
      <c r="R100" s="87">
        <v>100000</v>
      </c>
      <c r="S100" s="87">
        <v>100000</v>
      </c>
      <c r="T100" s="87"/>
      <c r="U100" s="87"/>
      <c r="V100" s="87">
        <v>0</v>
      </c>
      <c r="W100" s="87"/>
      <c r="X100" s="87"/>
      <c r="Y100" s="87"/>
      <c r="Z100" s="87">
        <f t="shared" si="38"/>
        <v>200000</v>
      </c>
      <c r="AA100" s="7">
        <f>+Q100-Z100</f>
        <v>2300000</v>
      </c>
      <c r="AB100" s="8"/>
      <c r="AC100" s="9"/>
      <c r="AD100" s="8">
        <f t="shared" si="58"/>
        <v>2300000</v>
      </c>
    </row>
    <row r="101" spans="1:30" ht="24" x14ac:dyDescent="0.25">
      <c r="A101" s="108"/>
      <c r="B101" s="14">
        <v>55</v>
      </c>
      <c r="C101" s="3" t="s">
        <v>122</v>
      </c>
      <c r="D101" s="86" t="s">
        <v>26</v>
      </c>
      <c r="E101" s="86" t="s">
        <v>208</v>
      </c>
      <c r="F101" s="86" t="s">
        <v>264</v>
      </c>
      <c r="G101" s="87">
        <v>1030590506</v>
      </c>
      <c r="H101" s="86" t="s">
        <v>234</v>
      </c>
      <c r="I101" s="6" t="s">
        <v>211</v>
      </c>
      <c r="J101" s="122" t="s">
        <v>265</v>
      </c>
      <c r="K101" s="87">
        <v>3000000</v>
      </c>
      <c r="L101" s="12">
        <v>30</v>
      </c>
      <c r="M101" s="87">
        <f>+K101-P101</f>
        <v>2600000</v>
      </c>
      <c r="N101" s="87"/>
      <c r="O101" s="87">
        <v>270000</v>
      </c>
      <c r="P101" s="87">
        <v>400000</v>
      </c>
      <c r="Q101" s="87">
        <f t="shared" si="86"/>
        <v>3270000</v>
      </c>
      <c r="R101" s="87">
        <v>120000</v>
      </c>
      <c r="S101" s="87">
        <v>150000</v>
      </c>
      <c r="T101" s="87"/>
      <c r="U101" s="87"/>
      <c r="V101" s="87">
        <v>0</v>
      </c>
      <c r="W101" s="87"/>
      <c r="X101" s="87"/>
      <c r="Y101" s="87">
        <v>514771</v>
      </c>
      <c r="Z101" s="87">
        <f>SUM(R101:Y101)</f>
        <v>784771</v>
      </c>
      <c r="AA101" s="7">
        <f>Q101-Z101</f>
        <v>2485229</v>
      </c>
      <c r="AB101" s="8"/>
      <c r="AC101" s="9"/>
      <c r="AD101" s="8">
        <f t="shared" si="58"/>
        <v>2485229</v>
      </c>
    </row>
    <row r="102" spans="1:30" ht="36" x14ac:dyDescent="0.25">
      <c r="A102" s="108"/>
      <c r="B102" s="14">
        <v>56</v>
      </c>
      <c r="C102" s="3" t="s">
        <v>123</v>
      </c>
      <c r="D102" s="86" t="s">
        <v>26</v>
      </c>
      <c r="E102" s="86" t="s">
        <v>208</v>
      </c>
      <c r="F102" s="6" t="s">
        <v>242</v>
      </c>
      <c r="G102" s="87">
        <v>1018436225</v>
      </c>
      <c r="H102" s="86" t="s">
        <v>234</v>
      </c>
      <c r="I102" s="6" t="s">
        <v>211</v>
      </c>
      <c r="J102" s="122" t="s">
        <v>266</v>
      </c>
      <c r="K102" s="87">
        <v>1600000</v>
      </c>
      <c r="L102" s="12">
        <v>30</v>
      </c>
      <c r="M102" s="87">
        <f t="shared" si="55"/>
        <v>1600000</v>
      </c>
      <c r="N102" s="87"/>
      <c r="O102" s="87">
        <v>200000</v>
      </c>
      <c r="P102" s="87"/>
      <c r="Q102" s="87">
        <f>SUM(M102:O102)+P102</f>
        <v>1800000</v>
      </c>
      <c r="R102" s="87">
        <f>+M102*4%</f>
        <v>64000</v>
      </c>
      <c r="S102" s="87">
        <f>+M102*4%</f>
        <v>64000</v>
      </c>
      <c r="T102" s="87"/>
      <c r="U102" s="87"/>
      <c r="V102" s="87"/>
      <c r="W102" s="87"/>
      <c r="X102" s="87"/>
      <c r="Y102" s="87"/>
      <c r="Z102" s="87">
        <f>SUM(R102:Y102)</f>
        <v>128000</v>
      </c>
      <c r="AA102" s="7">
        <f>Q102-Z102</f>
        <v>1672000</v>
      </c>
      <c r="AB102" s="8"/>
      <c r="AC102" s="9"/>
      <c r="AD102" s="8">
        <f t="shared" si="58"/>
        <v>1672000</v>
      </c>
    </row>
    <row r="103" spans="1:30" x14ac:dyDescent="0.25">
      <c r="A103" s="108"/>
      <c r="B103" s="14">
        <v>57</v>
      </c>
      <c r="C103" s="3" t="s">
        <v>125</v>
      </c>
      <c r="D103" s="86"/>
      <c r="E103" s="86"/>
      <c r="F103" s="6"/>
      <c r="G103" s="87"/>
      <c r="H103" s="86"/>
      <c r="I103" s="6"/>
      <c r="J103" s="122"/>
      <c r="K103" s="87">
        <v>4500000</v>
      </c>
      <c r="L103" s="12">
        <v>30</v>
      </c>
      <c r="M103" s="87">
        <f t="shared" si="55"/>
        <v>4500000</v>
      </c>
      <c r="N103" s="87"/>
      <c r="O103" s="87"/>
      <c r="P103" s="87"/>
      <c r="Q103" s="87">
        <f t="shared" ref="Q103" si="99">SUM(M103:O103)+P103</f>
        <v>4500000</v>
      </c>
      <c r="R103" s="87">
        <f>+M103*4%</f>
        <v>180000</v>
      </c>
      <c r="S103" s="87">
        <f>+M103*5%</f>
        <v>225000</v>
      </c>
      <c r="T103" s="87"/>
      <c r="U103" s="87"/>
      <c r="V103" s="87">
        <v>34000</v>
      </c>
      <c r="W103" s="87"/>
      <c r="X103" s="87"/>
      <c r="Y103" s="87"/>
      <c r="Z103" s="87">
        <f>SUM(R103:Y103)</f>
        <v>439000</v>
      </c>
      <c r="AA103" s="7">
        <f>Q103-Z103</f>
        <v>4061000</v>
      </c>
      <c r="AB103" s="8"/>
      <c r="AC103" s="9"/>
      <c r="AD103" s="8">
        <f t="shared" si="58"/>
        <v>4061000</v>
      </c>
    </row>
    <row r="104" spans="1:30" ht="48" x14ac:dyDescent="0.25">
      <c r="A104" s="108"/>
      <c r="B104" s="14">
        <v>58</v>
      </c>
      <c r="C104" s="11" t="s">
        <v>127</v>
      </c>
      <c r="D104" s="6" t="s">
        <v>26</v>
      </c>
      <c r="E104" s="6" t="s">
        <v>208</v>
      </c>
      <c r="F104" s="6" t="s">
        <v>252</v>
      </c>
      <c r="G104" s="12">
        <v>1030565925</v>
      </c>
      <c r="H104" s="6" t="s">
        <v>267</v>
      </c>
      <c r="I104" s="6" t="s">
        <v>211</v>
      </c>
      <c r="J104" s="114" t="s">
        <v>268</v>
      </c>
      <c r="K104" s="87">
        <v>3750000</v>
      </c>
      <c r="L104" s="12">
        <v>30</v>
      </c>
      <c r="M104" s="87">
        <f t="shared" si="55"/>
        <v>3750000</v>
      </c>
      <c r="N104" s="87"/>
      <c r="O104" s="87"/>
      <c r="P104" s="87"/>
      <c r="Q104" s="87">
        <f t="shared" si="86"/>
        <v>3750000</v>
      </c>
      <c r="R104" s="87">
        <f>+K104*4%</f>
        <v>150000</v>
      </c>
      <c r="S104" s="87">
        <f>+K104*5%</f>
        <v>187500</v>
      </c>
      <c r="T104" s="87"/>
      <c r="U104" s="87"/>
      <c r="V104" s="87"/>
      <c r="W104" s="87"/>
      <c r="X104" s="87"/>
      <c r="Y104" s="87"/>
      <c r="Z104" s="87">
        <f t="shared" si="38"/>
        <v>337500</v>
      </c>
      <c r="AA104" s="7">
        <f>+Q104-Z104</f>
        <v>3412500</v>
      </c>
      <c r="AB104" s="8"/>
      <c r="AC104" s="9"/>
      <c r="AD104" s="8">
        <f t="shared" si="58"/>
        <v>3412500</v>
      </c>
    </row>
    <row r="105" spans="1:30" ht="48" x14ac:dyDescent="0.25">
      <c r="A105" s="108"/>
      <c r="B105" s="14">
        <v>59</v>
      </c>
      <c r="C105" s="11" t="s">
        <v>128</v>
      </c>
      <c r="D105" s="6" t="s">
        <v>26</v>
      </c>
      <c r="E105" s="6" t="s">
        <v>208</v>
      </c>
      <c r="F105" s="6" t="s">
        <v>222</v>
      </c>
      <c r="G105" s="12">
        <v>94332160</v>
      </c>
      <c r="H105" s="116" t="s">
        <v>269</v>
      </c>
      <c r="I105" s="117" t="s">
        <v>216</v>
      </c>
      <c r="J105" s="116">
        <v>4282001039</v>
      </c>
      <c r="K105" s="87">
        <v>3700000</v>
      </c>
      <c r="L105" s="12">
        <v>30</v>
      </c>
      <c r="M105" s="87">
        <f t="shared" si="55"/>
        <v>3700000</v>
      </c>
      <c r="N105" s="87"/>
      <c r="O105" s="87">
        <v>650000</v>
      </c>
      <c r="P105" s="87"/>
      <c r="Q105" s="87">
        <f t="shared" si="86"/>
        <v>4350000</v>
      </c>
      <c r="R105" s="87">
        <f t="shared" ref="R105" si="100">+M105*4%</f>
        <v>148000</v>
      </c>
      <c r="S105" s="87">
        <f>+M105*5%</f>
        <v>185000</v>
      </c>
      <c r="T105" s="87"/>
      <c r="U105" s="87"/>
      <c r="V105" s="87"/>
      <c r="W105" s="87"/>
      <c r="X105" s="87"/>
      <c r="Y105" s="87"/>
      <c r="Z105" s="87">
        <f t="shared" ref="Z105" si="101">SUM(R105:Y105)</f>
        <v>333000</v>
      </c>
      <c r="AA105" s="7">
        <f>+Q105-Z105</f>
        <v>4017000</v>
      </c>
      <c r="AB105" s="8"/>
      <c r="AC105" s="9"/>
      <c r="AD105" s="8">
        <f t="shared" si="58"/>
        <v>4017000</v>
      </c>
    </row>
    <row r="106" spans="1:30" ht="48" x14ac:dyDescent="0.25">
      <c r="A106" s="108"/>
      <c r="B106" s="14">
        <v>60</v>
      </c>
      <c r="C106" s="11" t="s">
        <v>129</v>
      </c>
      <c r="D106" s="6" t="s">
        <v>34</v>
      </c>
      <c r="E106" s="6" t="s">
        <v>208</v>
      </c>
      <c r="F106" s="6" t="s">
        <v>252</v>
      </c>
      <c r="G106" s="12">
        <v>1019047592</v>
      </c>
      <c r="H106" s="116" t="s">
        <v>234</v>
      </c>
      <c r="I106" s="117" t="s">
        <v>216</v>
      </c>
      <c r="J106" s="116">
        <v>268064490</v>
      </c>
      <c r="K106" s="87">
        <v>2000000</v>
      </c>
      <c r="L106" s="12">
        <v>30</v>
      </c>
      <c r="M106" s="87">
        <f t="shared" si="55"/>
        <v>2000000.0000000002</v>
      </c>
      <c r="N106" s="87"/>
      <c r="O106" s="87"/>
      <c r="P106" s="87"/>
      <c r="Q106" s="87">
        <f t="shared" si="86"/>
        <v>2000000.0000000002</v>
      </c>
      <c r="R106" s="87">
        <f>+K106*4%</f>
        <v>80000</v>
      </c>
      <c r="S106" s="87">
        <f>+K106*4%</f>
        <v>80000</v>
      </c>
      <c r="T106" s="87"/>
      <c r="U106" s="87"/>
      <c r="V106" s="17"/>
      <c r="W106" s="87"/>
      <c r="X106" s="87"/>
      <c r="Y106" s="87">
        <v>136805</v>
      </c>
      <c r="Z106" s="87">
        <f t="shared" si="38"/>
        <v>296805</v>
      </c>
      <c r="AA106" s="7">
        <f>+Q106-Z106</f>
        <v>1703195.0000000002</v>
      </c>
      <c r="AB106" s="8"/>
      <c r="AC106" s="9"/>
      <c r="AD106" s="8">
        <f t="shared" si="58"/>
        <v>1703195.0000000002</v>
      </c>
    </row>
    <row r="107" spans="1:30" ht="36" x14ac:dyDescent="0.25">
      <c r="A107" s="108"/>
      <c r="B107" s="14">
        <v>61</v>
      </c>
      <c r="C107" s="11" t="s">
        <v>172</v>
      </c>
      <c r="D107" s="6"/>
      <c r="E107" s="6"/>
      <c r="F107" s="6"/>
      <c r="G107" s="12"/>
      <c r="H107" s="116"/>
      <c r="I107" s="117"/>
      <c r="J107" s="116"/>
      <c r="K107" s="87">
        <v>1500000</v>
      </c>
      <c r="L107" s="12">
        <v>30</v>
      </c>
      <c r="M107" s="87">
        <f t="shared" si="55"/>
        <v>1500000</v>
      </c>
      <c r="N107" s="87"/>
      <c r="O107" s="87"/>
      <c r="P107" s="87"/>
      <c r="Q107" s="87">
        <f t="shared" si="86"/>
        <v>1500000</v>
      </c>
      <c r="R107" s="87">
        <f>+M107*4%</f>
        <v>60000</v>
      </c>
      <c r="S107" s="87">
        <f>+M107*4%</f>
        <v>60000</v>
      </c>
      <c r="T107" s="87">
        <f>36500+60000</f>
        <v>96500</v>
      </c>
      <c r="U107" s="87"/>
      <c r="V107" s="17"/>
      <c r="W107" s="87"/>
      <c r="X107" s="87"/>
      <c r="Y107" s="87"/>
      <c r="Z107" s="87">
        <f t="shared" ref="Z107" si="102">SUM(R107:Y107)</f>
        <v>216500</v>
      </c>
      <c r="AA107" s="7">
        <f>+Q107-Z107</f>
        <v>1283500</v>
      </c>
      <c r="AB107" s="8"/>
      <c r="AC107" s="9"/>
      <c r="AD107" s="8">
        <f t="shared" si="58"/>
        <v>1283500</v>
      </c>
    </row>
    <row r="108" spans="1:30" ht="24" x14ac:dyDescent="0.25">
      <c r="A108" s="108"/>
      <c r="B108" s="14">
        <v>62</v>
      </c>
      <c r="C108" s="3" t="s">
        <v>130</v>
      </c>
      <c r="D108" s="86" t="s">
        <v>26</v>
      </c>
      <c r="E108" s="86" t="s">
        <v>208</v>
      </c>
      <c r="F108" s="124" t="s">
        <v>270</v>
      </c>
      <c r="G108" s="87">
        <v>1022390411</v>
      </c>
      <c r="H108" s="86" t="s">
        <v>234</v>
      </c>
      <c r="I108" s="6" t="s">
        <v>211</v>
      </c>
      <c r="J108" s="122" t="s">
        <v>271</v>
      </c>
      <c r="K108" s="87">
        <v>1600000</v>
      </c>
      <c r="L108" s="12">
        <v>30</v>
      </c>
      <c r="M108" s="87">
        <f t="shared" si="55"/>
        <v>1600000</v>
      </c>
      <c r="N108" s="87"/>
      <c r="O108" s="87"/>
      <c r="P108" s="87"/>
      <c r="Q108" s="87">
        <f t="shared" si="86"/>
        <v>1600000</v>
      </c>
      <c r="R108" s="87">
        <f>+Q108*4%</f>
        <v>64000</v>
      </c>
      <c r="S108" s="87">
        <v>64000</v>
      </c>
      <c r="T108" s="87">
        <v>190000</v>
      </c>
      <c r="U108" s="87">
        <v>250000</v>
      </c>
      <c r="V108" s="87">
        <v>0</v>
      </c>
      <c r="W108" s="87"/>
      <c r="X108" s="87"/>
      <c r="Y108" s="87">
        <v>249127</v>
      </c>
      <c r="Z108" s="87">
        <f t="shared" si="38"/>
        <v>817127</v>
      </c>
      <c r="AA108" s="7">
        <f>Q108-Z108</f>
        <v>782873</v>
      </c>
      <c r="AB108" s="8"/>
      <c r="AC108" s="9"/>
      <c r="AD108" s="8">
        <f t="shared" si="58"/>
        <v>782873</v>
      </c>
    </row>
    <row r="109" spans="1:30" ht="36" x14ac:dyDescent="0.25">
      <c r="A109" s="108"/>
      <c r="B109" s="14">
        <v>63</v>
      </c>
      <c r="C109" s="11" t="s">
        <v>131</v>
      </c>
      <c r="D109" s="6" t="s">
        <v>26</v>
      </c>
      <c r="E109" s="6" t="s">
        <v>208</v>
      </c>
      <c r="F109" s="6" t="s">
        <v>243</v>
      </c>
      <c r="G109" s="12">
        <v>1015452282</v>
      </c>
      <c r="H109" s="6" t="s">
        <v>234</v>
      </c>
      <c r="I109" s="6" t="s">
        <v>211</v>
      </c>
      <c r="J109" s="6">
        <v>318091051</v>
      </c>
      <c r="K109" s="87">
        <v>737717</v>
      </c>
      <c r="L109" s="12">
        <v>30</v>
      </c>
      <c r="M109" s="87">
        <f t="shared" si="55"/>
        <v>737717</v>
      </c>
      <c r="N109" s="87">
        <f t="shared" ref="N109" si="103">+(83140/30)*L109</f>
        <v>83140</v>
      </c>
      <c r="O109" s="87"/>
      <c r="P109" s="87"/>
      <c r="Q109" s="87">
        <f t="shared" si="86"/>
        <v>820857</v>
      </c>
      <c r="R109" s="87">
        <v>29509</v>
      </c>
      <c r="S109" s="87">
        <v>29509</v>
      </c>
      <c r="T109" s="87"/>
      <c r="U109" s="87"/>
      <c r="V109" s="87">
        <v>0</v>
      </c>
      <c r="W109" s="87"/>
      <c r="X109" s="87"/>
      <c r="Y109" s="87"/>
      <c r="Z109" s="87">
        <f t="shared" si="38"/>
        <v>59018</v>
      </c>
      <c r="AA109" s="7">
        <f t="shared" ref="AA109:AA115" si="104">+Q109-Z109</f>
        <v>761839</v>
      </c>
      <c r="AB109" s="8"/>
      <c r="AC109" s="9"/>
      <c r="AD109" s="8">
        <f t="shared" si="58"/>
        <v>761839</v>
      </c>
    </row>
    <row r="110" spans="1:30" ht="48" x14ac:dyDescent="0.25">
      <c r="A110" s="108"/>
      <c r="B110" s="14">
        <v>64</v>
      </c>
      <c r="C110" s="11" t="s">
        <v>133</v>
      </c>
      <c r="D110" s="6" t="s">
        <v>26</v>
      </c>
      <c r="E110" s="6" t="s">
        <v>208</v>
      </c>
      <c r="F110" s="6" t="s">
        <v>225</v>
      </c>
      <c r="G110" s="12">
        <v>1030605238</v>
      </c>
      <c r="H110" s="6" t="s">
        <v>213</v>
      </c>
      <c r="I110" s="6" t="s">
        <v>211</v>
      </c>
      <c r="J110" s="6">
        <v>4516774903</v>
      </c>
      <c r="K110" s="87">
        <v>1800000</v>
      </c>
      <c r="L110" s="12">
        <v>30</v>
      </c>
      <c r="M110" s="87">
        <f t="shared" si="55"/>
        <v>1800000</v>
      </c>
      <c r="N110" s="87"/>
      <c r="O110" s="87"/>
      <c r="P110" s="21"/>
      <c r="Q110" s="87">
        <f t="shared" si="86"/>
        <v>1800000</v>
      </c>
      <c r="R110" s="87">
        <f t="shared" ref="R110" si="105">+M110*4%</f>
        <v>72000</v>
      </c>
      <c r="S110" s="87">
        <f t="shared" ref="S110" si="106">+M110*4%</f>
        <v>72000</v>
      </c>
      <c r="T110" s="87"/>
      <c r="U110" s="87"/>
      <c r="V110" s="87">
        <v>0</v>
      </c>
      <c r="W110" s="87"/>
      <c r="X110" s="87"/>
      <c r="Y110" s="87"/>
      <c r="Z110" s="87">
        <f t="shared" ref="Z110:Z111" si="107">SUM(R110:Y110)</f>
        <v>144000</v>
      </c>
      <c r="AA110" s="7">
        <f t="shared" si="104"/>
        <v>1656000</v>
      </c>
      <c r="AB110" s="8"/>
      <c r="AC110" s="9"/>
      <c r="AD110" s="8">
        <f t="shared" si="58"/>
        <v>1656000</v>
      </c>
    </row>
    <row r="111" spans="1:30" ht="48" x14ac:dyDescent="0.25">
      <c r="A111" s="108"/>
      <c r="B111" s="14">
        <v>65</v>
      </c>
      <c r="C111" s="11" t="s">
        <v>178</v>
      </c>
      <c r="D111" s="6"/>
      <c r="E111" s="6"/>
      <c r="F111" s="6"/>
      <c r="G111" s="12"/>
      <c r="H111" s="6"/>
      <c r="I111" s="6"/>
      <c r="J111" s="6"/>
      <c r="K111" s="87">
        <v>737717</v>
      </c>
      <c r="L111" s="12">
        <v>30</v>
      </c>
      <c r="M111" s="87">
        <f t="shared" si="55"/>
        <v>737717</v>
      </c>
      <c r="N111" s="87"/>
      <c r="O111" s="87"/>
      <c r="P111" s="21"/>
      <c r="Q111" s="87">
        <f t="shared" si="86"/>
        <v>737717</v>
      </c>
      <c r="R111" s="87"/>
      <c r="S111" s="87"/>
      <c r="T111" s="87"/>
      <c r="U111" s="87"/>
      <c r="V111" s="87"/>
      <c r="W111" s="87"/>
      <c r="X111" s="87"/>
      <c r="Y111" s="87"/>
      <c r="Z111" s="87">
        <f t="shared" si="107"/>
        <v>0</v>
      </c>
      <c r="AA111" s="7">
        <f t="shared" si="104"/>
        <v>737717</v>
      </c>
      <c r="AB111" s="8"/>
      <c r="AC111" s="9"/>
      <c r="AD111" s="8"/>
    </row>
    <row r="112" spans="1:30" ht="48" x14ac:dyDescent="0.25">
      <c r="A112" s="108"/>
      <c r="B112" s="14">
        <v>66</v>
      </c>
      <c r="C112" s="11" t="s">
        <v>134</v>
      </c>
      <c r="D112" s="6" t="s">
        <v>26</v>
      </c>
      <c r="E112" s="6" t="s">
        <v>208</v>
      </c>
      <c r="F112" s="6" t="s">
        <v>233</v>
      </c>
      <c r="G112" s="12">
        <v>1013642982</v>
      </c>
      <c r="H112" s="6" t="s">
        <v>234</v>
      </c>
      <c r="I112" s="6" t="s">
        <v>211</v>
      </c>
      <c r="J112" s="6">
        <v>627168404</v>
      </c>
      <c r="K112" s="87">
        <v>2000000</v>
      </c>
      <c r="L112" s="12">
        <v>30</v>
      </c>
      <c r="M112" s="87">
        <f t="shared" si="55"/>
        <v>2000000.0000000002</v>
      </c>
      <c r="N112" s="87"/>
      <c r="O112" s="87"/>
      <c r="P112" s="87"/>
      <c r="Q112" s="87">
        <f t="shared" si="86"/>
        <v>2000000.0000000002</v>
      </c>
      <c r="R112" s="87">
        <v>80000</v>
      </c>
      <c r="S112" s="87">
        <v>80000</v>
      </c>
      <c r="T112" s="87"/>
      <c r="U112" s="87"/>
      <c r="V112" s="87"/>
      <c r="W112" s="87"/>
      <c r="X112" s="87"/>
      <c r="Y112" s="87"/>
      <c r="Z112" s="87">
        <f t="shared" si="38"/>
        <v>160000</v>
      </c>
      <c r="AA112" s="7">
        <f t="shared" si="104"/>
        <v>1840000.0000000002</v>
      </c>
      <c r="AB112" s="8"/>
      <c r="AC112" s="9"/>
      <c r="AD112" s="8">
        <f t="shared" si="58"/>
        <v>1840000.0000000002</v>
      </c>
    </row>
    <row r="113" spans="1:30" ht="48" x14ac:dyDescent="0.25">
      <c r="A113" s="108"/>
      <c r="B113" s="14">
        <v>67</v>
      </c>
      <c r="C113" s="11" t="s">
        <v>136</v>
      </c>
      <c r="D113" s="6"/>
      <c r="E113" s="6"/>
      <c r="F113" s="6"/>
      <c r="G113" s="12"/>
      <c r="H113" s="6"/>
      <c r="I113" s="6"/>
      <c r="J113" s="6"/>
      <c r="K113" s="87">
        <v>1200000</v>
      </c>
      <c r="L113" s="12">
        <v>30</v>
      </c>
      <c r="M113" s="87">
        <f t="shared" si="55"/>
        <v>1200000</v>
      </c>
      <c r="N113" s="87">
        <f t="shared" ref="N113" si="108">+(83140/30)*L113</f>
        <v>83140</v>
      </c>
      <c r="O113" s="87"/>
      <c r="P113" s="22"/>
      <c r="Q113" s="87">
        <f t="shared" si="86"/>
        <v>1283140</v>
      </c>
      <c r="R113" s="87">
        <f t="shared" ref="R113" si="109">+M113*4%</f>
        <v>48000</v>
      </c>
      <c r="S113" s="87">
        <f t="shared" ref="S113" si="110">+M113*4%</f>
        <v>48000</v>
      </c>
      <c r="T113" s="87"/>
      <c r="U113" s="87"/>
      <c r="V113" s="87">
        <v>0</v>
      </c>
      <c r="W113" s="87"/>
      <c r="X113" s="87"/>
      <c r="Y113" s="87"/>
      <c r="Z113" s="87">
        <f t="shared" ref="Z113:Z115" si="111">SUM(R113:Y113)</f>
        <v>96000</v>
      </c>
      <c r="AA113" s="7">
        <f t="shared" si="104"/>
        <v>1187140</v>
      </c>
      <c r="AB113" s="8"/>
      <c r="AC113" s="9"/>
      <c r="AD113" s="8">
        <f t="shared" si="58"/>
        <v>1187140</v>
      </c>
    </row>
    <row r="114" spans="1:30" ht="36" x14ac:dyDescent="0.25">
      <c r="A114" s="108"/>
      <c r="B114" s="14">
        <v>68</v>
      </c>
      <c r="C114" s="11" t="s">
        <v>159</v>
      </c>
      <c r="D114" s="6"/>
      <c r="E114" s="6"/>
      <c r="F114" s="6"/>
      <c r="G114" s="12"/>
      <c r="H114" s="6"/>
      <c r="I114" s="6"/>
      <c r="J114" s="6"/>
      <c r="K114" s="87">
        <v>368859</v>
      </c>
      <c r="L114" s="12">
        <v>30</v>
      </c>
      <c r="M114" s="87">
        <f t="shared" si="55"/>
        <v>368859</v>
      </c>
      <c r="N114" s="87"/>
      <c r="O114" s="87"/>
      <c r="P114" s="22"/>
      <c r="Q114" s="87">
        <f t="shared" si="86"/>
        <v>368859</v>
      </c>
      <c r="R114" s="87"/>
      <c r="S114" s="87"/>
      <c r="T114" s="87"/>
      <c r="U114" s="87"/>
      <c r="V114" s="87"/>
      <c r="W114" s="87"/>
      <c r="X114" s="87"/>
      <c r="Y114" s="87"/>
      <c r="Z114" s="87">
        <f t="shared" si="111"/>
        <v>0</v>
      </c>
      <c r="AA114" s="7">
        <f t="shared" si="104"/>
        <v>368859</v>
      </c>
      <c r="AB114" s="8"/>
      <c r="AC114" s="9"/>
      <c r="AD114" s="8"/>
    </row>
    <row r="115" spans="1:30" ht="36" x14ac:dyDescent="0.25">
      <c r="A115" s="90"/>
      <c r="B115" s="14">
        <v>69</v>
      </c>
      <c r="C115" s="11" t="s">
        <v>272</v>
      </c>
      <c r="D115" s="6"/>
      <c r="E115" s="6"/>
      <c r="F115" s="6"/>
      <c r="G115" s="12"/>
      <c r="H115" s="6"/>
      <c r="I115" s="6"/>
      <c r="J115" s="6"/>
      <c r="K115" s="87">
        <v>1200000</v>
      </c>
      <c r="L115" s="12">
        <v>30</v>
      </c>
      <c r="M115" s="87">
        <f t="shared" si="55"/>
        <v>1200000</v>
      </c>
      <c r="N115" s="87">
        <f t="shared" ref="N115" si="112">+(83140/30)*L115</f>
        <v>83140</v>
      </c>
      <c r="O115" s="87"/>
      <c r="P115" s="22"/>
      <c r="Q115" s="87">
        <f t="shared" si="86"/>
        <v>1283140</v>
      </c>
      <c r="R115" s="87">
        <f>+M115*4%</f>
        <v>48000</v>
      </c>
      <c r="S115" s="87">
        <f t="shared" ref="S115" si="113">+M115*4%</f>
        <v>48000</v>
      </c>
      <c r="T115" s="87">
        <v>73000</v>
      </c>
      <c r="U115" s="87"/>
      <c r="V115" s="87">
        <v>0</v>
      </c>
      <c r="W115" s="87"/>
      <c r="X115" s="87"/>
      <c r="Y115" s="87"/>
      <c r="Z115" s="87">
        <f t="shared" si="111"/>
        <v>169000</v>
      </c>
      <c r="AA115" s="7">
        <f t="shared" si="104"/>
        <v>1114140</v>
      </c>
      <c r="AB115" s="8"/>
      <c r="AC115" s="9"/>
      <c r="AD115" s="8">
        <f t="shared" ref="AD115" si="114">AA115+AB115-AC115</f>
        <v>1114140</v>
      </c>
    </row>
    <row r="116" spans="1:30" x14ac:dyDescent="0.25">
      <c r="A116" s="88"/>
      <c r="B116" s="88"/>
      <c r="C116" s="23" t="s">
        <v>139</v>
      </c>
      <c r="D116" s="88"/>
      <c r="E116" s="88"/>
      <c r="F116" s="88"/>
      <c r="G116" s="88"/>
      <c r="H116" s="88"/>
      <c r="I116" s="88"/>
      <c r="J116" s="88"/>
      <c r="K116" s="89">
        <f>SUM(K4:K115)</f>
        <v>380364577</v>
      </c>
      <c r="L116" s="89" t="s">
        <v>1</v>
      </c>
      <c r="M116" s="8">
        <f t="shared" ref="M116:Z116" si="115">SUM(M4:M114)</f>
        <v>375539912.33333337</v>
      </c>
      <c r="N116" s="8">
        <f t="shared" si="115"/>
        <v>1632292</v>
      </c>
      <c r="O116" s="8">
        <f t="shared" si="115"/>
        <v>13266487</v>
      </c>
      <c r="P116" s="8">
        <f t="shared" si="115"/>
        <v>11908666</v>
      </c>
      <c r="Q116" s="8">
        <f t="shared" si="115"/>
        <v>402659857.33333331</v>
      </c>
      <c r="R116" s="8">
        <f t="shared" si="115"/>
        <v>15273438.479999999</v>
      </c>
      <c r="S116" s="8">
        <f t="shared" si="115"/>
        <v>18592581.169999998</v>
      </c>
      <c r="T116" s="8">
        <f t="shared" si="115"/>
        <v>3967996</v>
      </c>
      <c r="U116" s="8">
        <f t="shared" si="115"/>
        <v>250000</v>
      </c>
      <c r="V116" s="8">
        <f t="shared" si="115"/>
        <v>4576621</v>
      </c>
      <c r="W116" s="8">
        <f t="shared" si="115"/>
        <v>15165000</v>
      </c>
      <c r="X116" s="8">
        <f t="shared" si="115"/>
        <v>1069191</v>
      </c>
      <c r="Y116" s="8">
        <f t="shared" si="115"/>
        <v>15207122</v>
      </c>
      <c r="Z116" s="8">
        <f t="shared" si="115"/>
        <v>74101949.650000006</v>
      </c>
      <c r="AA116" s="8">
        <f>SUM(AA4:AA115)</f>
        <v>329672047.68333328</v>
      </c>
      <c r="AB116" s="8">
        <f>SUM(AB5:AB109)</f>
        <v>0</v>
      </c>
      <c r="AC116" s="9">
        <f>SUM(AC5:AC109)</f>
        <v>0</v>
      </c>
      <c r="AD116" s="8">
        <f>SUM(AD4:AD114)</f>
        <v>325379357.04333329</v>
      </c>
    </row>
  </sheetData>
  <mergeCells count="5">
    <mergeCell ref="C1:AA1"/>
    <mergeCell ref="K2:Q2"/>
    <mergeCell ref="R2:Z2"/>
    <mergeCell ref="A3:A46"/>
    <mergeCell ref="A47:A11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205"/>
  <sheetViews>
    <sheetView workbookViewId="0">
      <selection activeCell="I3" sqref="I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2.140625" style="10" customWidth="1"/>
    <col min="23" max="23" width="1.5703125" style="28" customWidth="1"/>
    <col min="24" max="24" width="27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05" t="s">
        <v>179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3"/>
      <c r="W1" s="9"/>
      <c r="X1" s="13"/>
    </row>
    <row r="2" spans="1:24" x14ac:dyDescent="0.25">
      <c r="C2" s="72" t="s">
        <v>1</v>
      </c>
      <c r="D2" s="13"/>
      <c r="E2" s="106" t="s">
        <v>2</v>
      </c>
      <c r="F2" s="106"/>
      <c r="G2" s="106"/>
      <c r="H2" s="106"/>
      <c r="I2" s="106"/>
      <c r="J2" s="106"/>
      <c r="K2" s="106"/>
      <c r="L2" s="106" t="s">
        <v>3</v>
      </c>
      <c r="M2" s="106"/>
      <c r="N2" s="106"/>
      <c r="O2" s="106"/>
      <c r="P2" s="106"/>
      <c r="Q2" s="106"/>
      <c r="R2" s="106"/>
      <c r="S2" s="106"/>
      <c r="T2" s="106"/>
      <c r="U2" s="13"/>
      <c r="V2" s="13"/>
      <c r="W2" s="9"/>
      <c r="X2" s="13"/>
    </row>
    <row r="3" spans="1:24" ht="39" customHeight="1" x14ac:dyDescent="0.25">
      <c r="A3" s="107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199</v>
      </c>
      <c r="J3" s="15" t="s">
        <v>161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180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4" t="s">
        <v>23</v>
      </c>
      <c r="V3" s="14"/>
      <c r="W3" s="16"/>
      <c r="X3" s="14" t="s">
        <v>181</v>
      </c>
    </row>
    <row r="4" spans="1:24" x14ac:dyDescent="0.25">
      <c r="A4" s="108"/>
      <c r="B4" s="14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4" si="1">SUM(G4:I4)+J4</f>
        <v>5250000</v>
      </c>
      <c r="L4" s="5">
        <f>+G4*4%</f>
        <v>210000</v>
      </c>
      <c r="M4" s="5">
        <f>+G4*5%</f>
        <v>262500</v>
      </c>
      <c r="N4" s="5"/>
      <c r="O4" s="5"/>
      <c r="P4" s="5">
        <v>32000</v>
      </c>
      <c r="Q4" s="5"/>
      <c r="R4" s="5"/>
      <c r="S4" s="5"/>
      <c r="T4" s="5">
        <f t="shared" ref="T4:T46" si="2">SUM(L4:S4)</f>
        <v>504500</v>
      </c>
      <c r="U4" s="7">
        <f t="shared" ref="U4:U9" si="3">+K4-T4</f>
        <v>4745500</v>
      </c>
      <c r="V4" s="8"/>
      <c r="W4" s="9"/>
      <c r="X4" s="8">
        <f>U4+V4-W4</f>
        <v>4745500</v>
      </c>
    </row>
    <row r="5" spans="1:24" ht="24" x14ac:dyDescent="0.25">
      <c r="A5" s="108"/>
      <c r="B5" s="14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+E5-J5</f>
        <v>3450000</v>
      </c>
      <c r="H5" s="5"/>
      <c r="I5" s="5">
        <v>500000</v>
      </c>
      <c r="J5" s="5">
        <v>1050000</v>
      </c>
      <c r="K5" s="5">
        <f t="shared" si="1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3"/>
        <v>4515227</v>
      </c>
      <c r="V5" s="8"/>
      <c r="W5" s="9"/>
      <c r="X5" s="8">
        <f t="shared" ref="X5:X68" si="4">U5+V5-W5</f>
        <v>4515227</v>
      </c>
    </row>
    <row r="6" spans="1:24" ht="22.5" customHeight="1" x14ac:dyDescent="0.25">
      <c r="A6" s="108"/>
      <c r="B6" s="14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+E6-J6</f>
        <v>5500000</v>
      </c>
      <c r="H6" s="5"/>
      <c r="I6" s="5"/>
      <c r="J6" s="5">
        <v>0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8"/>
      <c r="W6" s="9"/>
      <c r="X6" s="8">
        <f t="shared" si="4"/>
        <v>4903000</v>
      </c>
    </row>
    <row r="7" spans="1:24" ht="22.5" customHeight="1" x14ac:dyDescent="0.25">
      <c r="A7" s="108"/>
      <c r="B7" s="14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si="2"/>
        <v>1318828.71</v>
      </c>
      <c r="U7" s="7">
        <f t="shared" si="3"/>
        <v>4173490.29</v>
      </c>
      <c r="V7" s="8"/>
      <c r="W7" s="9"/>
      <c r="X7" s="8">
        <f t="shared" si="4"/>
        <v>4173490.29</v>
      </c>
    </row>
    <row r="8" spans="1:24" ht="26.25" customHeight="1" x14ac:dyDescent="0.25">
      <c r="A8" s="108"/>
      <c r="B8" s="14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3"/>
        <v>3924000</v>
      </c>
      <c r="V8" s="8"/>
      <c r="W8" s="9"/>
      <c r="X8" s="8">
        <f t="shared" si="4"/>
        <v>3924000</v>
      </c>
    </row>
    <row r="9" spans="1:24" x14ac:dyDescent="0.25">
      <c r="A9" s="108"/>
      <c r="B9" s="14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4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8"/>
      <c r="W9" s="9"/>
      <c r="X9" s="8">
        <f t="shared" si="4"/>
        <v>5812670</v>
      </c>
    </row>
    <row r="10" spans="1:24" x14ac:dyDescent="0.25">
      <c r="A10" s="108"/>
      <c r="B10" s="14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1914081</v>
      </c>
      <c r="U10" s="7">
        <f>K10-T10</f>
        <v>2585919</v>
      </c>
      <c r="V10" s="8"/>
      <c r="W10" s="9"/>
      <c r="X10" s="8">
        <f t="shared" si="4"/>
        <v>2585919</v>
      </c>
    </row>
    <row r="11" spans="1:24" x14ac:dyDescent="0.25">
      <c r="A11" s="108"/>
      <c r="B11" s="14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8"/>
      <c r="W11" s="9"/>
      <c r="X11" s="8">
        <f t="shared" si="4"/>
        <v>4085000</v>
      </c>
    </row>
    <row r="12" spans="1:24" x14ac:dyDescent="0.25">
      <c r="A12" s="108"/>
      <c r="B12" s="14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9" si="9">+K12-T12</f>
        <v>4907500</v>
      </c>
      <c r="V12" s="8"/>
      <c r="W12" s="9"/>
      <c r="X12" s="8">
        <f t="shared" si="4"/>
        <v>4907500</v>
      </c>
    </row>
    <row r="13" spans="1:24" x14ac:dyDescent="0.25">
      <c r="A13" s="108"/>
      <c r="B13" s="14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9" si="10">+E13/30*F13</f>
        <v>4500000</v>
      </c>
      <c r="H13" s="5"/>
      <c r="I13" s="5"/>
      <c r="J13" s="5"/>
      <c r="K13" s="5">
        <f t="shared" ref="K13" si="11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si="2"/>
        <v>407800</v>
      </c>
      <c r="U13" s="7">
        <f t="shared" si="9"/>
        <v>4092200</v>
      </c>
      <c r="V13" s="8"/>
      <c r="W13" s="9"/>
      <c r="X13" s="8">
        <f t="shared" si="4"/>
        <v>4092200</v>
      </c>
    </row>
    <row r="14" spans="1:24" x14ac:dyDescent="0.25">
      <c r="A14" s="108"/>
      <c r="B14" s="14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0"/>
        <v>4500000</v>
      </c>
      <c r="H14" s="5"/>
      <c r="I14" s="5"/>
      <c r="J14" s="5"/>
      <c r="K14" s="5">
        <f t="shared" si="1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9"/>
        <v>4092000</v>
      </c>
      <c r="V14" s="8"/>
      <c r="W14" s="9"/>
      <c r="X14" s="8">
        <f t="shared" si="4"/>
        <v>4092000</v>
      </c>
    </row>
    <row r="15" spans="1:24" x14ac:dyDescent="0.25">
      <c r="A15" s="108"/>
      <c r="B15" s="14"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0"/>
        <v>4500000</v>
      </c>
      <c r="H15" s="5"/>
      <c r="I15" s="5"/>
      <c r="J15" s="5"/>
      <c r="K15" s="5">
        <f t="shared" si="1"/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8"/>
      <c r="W15" s="9"/>
      <c r="X15" s="8">
        <f t="shared" si="4"/>
        <v>3184471</v>
      </c>
    </row>
    <row r="16" spans="1:24" ht="18.75" customHeight="1" x14ac:dyDescent="0.25">
      <c r="A16" s="108"/>
      <c r="B16" s="14"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0"/>
        <v>4000000.0000000005</v>
      </c>
      <c r="H16" s="5"/>
      <c r="I16" s="5"/>
      <c r="J16" s="5"/>
      <c r="K16" s="5">
        <f t="shared" si="1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2">SUM(L16:S16)</f>
        <v>364500</v>
      </c>
      <c r="U16" s="7">
        <f t="shared" ref="U16:U17" si="13">+K16-T16</f>
        <v>3635500.0000000005</v>
      </c>
      <c r="V16" s="8"/>
      <c r="W16" s="9"/>
      <c r="X16" s="8">
        <f t="shared" si="4"/>
        <v>3635500.0000000005</v>
      </c>
    </row>
    <row r="17" spans="1:24" ht="16.5" customHeight="1" x14ac:dyDescent="0.25">
      <c r="A17" s="108"/>
      <c r="B17" s="14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10"/>
        <v>4500000</v>
      </c>
      <c r="H17" s="5"/>
      <c r="I17" s="5"/>
      <c r="J17" s="5"/>
      <c r="K17" s="5">
        <f t="shared" si="1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2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08"/>
      <c r="B18" s="14"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0"/>
        <v>5500000</v>
      </c>
      <c r="H18" s="5"/>
      <c r="I18" s="5">
        <v>450000</v>
      </c>
      <c r="J18" s="5"/>
      <c r="K18" s="5">
        <f t="shared" si="1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2"/>
        <v>2010521</v>
      </c>
      <c r="U18" s="7">
        <f t="shared" si="9"/>
        <v>3939479</v>
      </c>
      <c r="V18" s="8"/>
      <c r="W18" s="9"/>
      <c r="X18" s="8">
        <f t="shared" si="4"/>
        <v>3939479</v>
      </c>
    </row>
    <row r="19" spans="1:24" x14ac:dyDescent="0.25">
      <c r="A19" s="108"/>
      <c r="B19" s="14">
        <v>16</v>
      </c>
      <c r="C19" s="11" t="s">
        <v>142</v>
      </c>
      <c r="D19" s="6" t="s">
        <v>26</v>
      </c>
      <c r="E19" s="5">
        <v>5000000</v>
      </c>
      <c r="F19" s="12">
        <v>30</v>
      </c>
      <c r="G19" s="5">
        <f t="shared" si="10"/>
        <v>5000000</v>
      </c>
      <c r="H19" s="5"/>
      <c r="I19" s="5"/>
      <c r="J19" s="5"/>
      <c r="K19" s="5">
        <f t="shared" si="1"/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si="2"/>
        <v>552000</v>
      </c>
      <c r="U19" s="7">
        <f t="shared" si="9"/>
        <v>4448000</v>
      </c>
      <c r="V19" s="8"/>
      <c r="W19" s="9"/>
      <c r="X19" s="8">
        <f t="shared" si="4"/>
        <v>4448000</v>
      </c>
    </row>
    <row r="20" spans="1:24" ht="24" x14ac:dyDescent="0.25">
      <c r="A20" s="108"/>
      <c r="B20" s="14">
        <v>17</v>
      </c>
      <c r="C20" s="11" t="s">
        <v>42</v>
      </c>
      <c r="D20" s="6" t="s">
        <v>26</v>
      </c>
      <c r="E20" s="5">
        <v>5350000</v>
      </c>
      <c r="F20" s="12">
        <v>30</v>
      </c>
      <c r="G20" s="5">
        <f>+E20-J20</f>
        <v>3497222</v>
      </c>
      <c r="H20" s="5"/>
      <c r="I20" s="5">
        <v>1000000</v>
      </c>
      <c r="J20" s="5">
        <v>1852778</v>
      </c>
      <c r="K20" s="5">
        <f t="shared" si="1"/>
        <v>6350000</v>
      </c>
      <c r="L20" s="5">
        <v>214000</v>
      </c>
      <c r="M20" s="5">
        <f>214000+53500</f>
        <v>267500</v>
      </c>
      <c r="N20" s="5"/>
      <c r="O20" s="5"/>
      <c r="P20" s="17">
        <v>121000</v>
      </c>
      <c r="Q20" s="5"/>
      <c r="R20" s="5"/>
      <c r="S20" s="5">
        <v>810005</v>
      </c>
      <c r="T20" s="5">
        <f>SUM(L20:S20)</f>
        <v>1412505</v>
      </c>
      <c r="U20" s="7">
        <f>K20-T20</f>
        <v>4937495</v>
      </c>
      <c r="V20" s="8"/>
      <c r="W20" s="9"/>
      <c r="X20" s="8">
        <f t="shared" si="4"/>
        <v>4937495</v>
      </c>
    </row>
    <row r="21" spans="1:24" x14ac:dyDescent="0.25">
      <c r="A21" s="108"/>
      <c r="B21" s="14">
        <v>18</v>
      </c>
      <c r="C21" s="11" t="s">
        <v>43</v>
      </c>
      <c r="D21" s="6" t="s">
        <v>26</v>
      </c>
      <c r="E21" s="5">
        <v>6600000</v>
      </c>
      <c r="F21" s="12">
        <v>30</v>
      </c>
      <c r="G21" s="5">
        <f t="shared" ref="G21:G29" si="14">E21/30*F21</f>
        <v>6600000</v>
      </c>
      <c r="H21" s="5"/>
      <c r="I21" s="5"/>
      <c r="J21" s="5"/>
      <c r="K21" s="5">
        <f t="shared" si="1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180000</v>
      </c>
      <c r="Q21" s="5"/>
      <c r="R21" s="5"/>
      <c r="S21" s="18"/>
      <c r="T21" s="5">
        <f t="shared" si="2"/>
        <v>774000</v>
      </c>
      <c r="U21" s="7">
        <f>K21-T21</f>
        <v>5826000</v>
      </c>
      <c r="V21" s="8"/>
      <c r="W21" s="9"/>
      <c r="X21" s="8">
        <f t="shared" si="4"/>
        <v>5826000</v>
      </c>
    </row>
    <row r="22" spans="1:24" x14ac:dyDescent="0.25">
      <c r="A22" s="108"/>
      <c r="B22" s="14">
        <v>19</v>
      </c>
      <c r="C22" s="11" t="s">
        <v>44</v>
      </c>
      <c r="D22" s="6" t="s">
        <v>26</v>
      </c>
      <c r="E22" s="5">
        <v>6900000</v>
      </c>
      <c r="F22" s="12">
        <v>30</v>
      </c>
      <c r="G22" s="5">
        <f t="shared" si="14"/>
        <v>6900000</v>
      </c>
      <c r="H22" s="5"/>
      <c r="I22" s="5">
        <v>1400000</v>
      </c>
      <c r="J22" s="5"/>
      <c r="K22" s="5">
        <f t="shared" ref="K22" si="15">SUM(G22:I22)+J22</f>
        <v>8300000</v>
      </c>
      <c r="L22" s="5">
        <f t="shared" ref="L22" si="16">+G22*4%</f>
        <v>276000</v>
      </c>
      <c r="M22" s="5">
        <f t="shared" ref="M22" si="17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si="2"/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08"/>
      <c r="B23" s="14">
        <v>20</v>
      </c>
      <c r="C23" s="11" t="s">
        <v>45</v>
      </c>
      <c r="D23" s="6" t="s">
        <v>26</v>
      </c>
      <c r="E23" s="5">
        <v>3500000</v>
      </c>
      <c r="F23" s="12">
        <v>30</v>
      </c>
      <c r="G23" s="5">
        <f t="shared" ref="G23" si="18">+E23/30*F23</f>
        <v>3500000</v>
      </c>
      <c r="H23" s="5"/>
      <c r="I23" s="5"/>
      <c r="J23" s="5"/>
      <c r="K23" s="5">
        <f t="shared" ref="K23" si="19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"/>
        <v>315000</v>
      </c>
      <c r="U23" s="7">
        <f t="shared" ref="U23" si="20">+K23-T23</f>
        <v>3185000</v>
      </c>
      <c r="V23" s="8"/>
      <c r="W23" s="9"/>
      <c r="X23" s="8">
        <f t="shared" si="4"/>
        <v>3185000</v>
      </c>
    </row>
    <row r="24" spans="1:24" x14ac:dyDescent="0.25">
      <c r="A24" s="108"/>
      <c r="B24" s="14">
        <v>21</v>
      </c>
      <c r="C24" s="11" t="s">
        <v>46</v>
      </c>
      <c r="D24" s="6" t="s">
        <v>26</v>
      </c>
      <c r="E24" s="5">
        <v>5000000</v>
      </c>
      <c r="F24" s="12">
        <v>30</v>
      </c>
      <c r="G24" s="5">
        <f>+E24-J24</f>
        <v>5000000</v>
      </c>
      <c r="H24" s="5"/>
      <c r="I24" s="5">
        <v>1621317</v>
      </c>
      <c r="J24" s="5">
        <v>0</v>
      </c>
      <c r="K24" s="5">
        <f t="shared" si="1"/>
        <v>6621317</v>
      </c>
      <c r="L24" s="5">
        <v>200000</v>
      </c>
      <c r="M24" s="5">
        <v>250000</v>
      </c>
      <c r="N24" s="5"/>
      <c r="O24" s="5"/>
      <c r="P24" s="17">
        <v>50000</v>
      </c>
      <c r="Q24" s="5"/>
      <c r="R24" s="5"/>
      <c r="S24" s="5">
        <f>884747</f>
        <v>884747</v>
      </c>
      <c r="T24" s="5">
        <f t="shared" si="2"/>
        <v>1384747</v>
      </c>
      <c r="U24" s="7">
        <f>+K24-T24</f>
        <v>5236570</v>
      </c>
      <c r="V24" s="8"/>
      <c r="W24" s="9"/>
      <c r="X24" s="8">
        <f t="shared" si="4"/>
        <v>5236570</v>
      </c>
    </row>
    <row r="25" spans="1:24" x14ac:dyDescent="0.25">
      <c r="A25" s="108"/>
      <c r="B25" s="14">
        <v>22</v>
      </c>
      <c r="C25" s="11" t="s">
        <v>47</v>
      </c>
      <c r="D25" s="6" t="s">
        <v>26</v>
      </c>
      <c r="E25" s="5">
        <v>4500000</v>
      </c>
      <c r="F25" s="12">
        <v>30</v>
      </c>
      <c r="G25" s="5">
        <f>+E25-J25</f>
        <v>4500000</v>
      </c>
      <c r="H25" s="5"/>
      <c r="I25" s="5"/>
      <c r="J25" s="5">
        <v>0</v>
      </c>
      <c r="K25" s="5">
        <f t="shared" si="1"/>
        <v>4500000</v>
      </c>
      <c r="L25" s="5">
        <v>180000</v>
      </c>
      <c r="M25" s="5">
        <v>225000</v>
      </c>
      <c r="N25" s="5">
        <f>70000</f>
        <v>70000</v>
      </c>
      <c r="O25" s="5"/>
      <c r="P25" s="17">
        <v>31000</v>
      </c>
      <c r="Q25" s="5"/>
      <c r="R25" s="5"/>
      <c r="S25" s="5"/>
      <c r="T25" s="5">
        <f t="shared" si="2"/>
        <v>506000</v>
      </c>
      <c r="U25" s="7">
        <f>+K25-T25</f>
        <v>3994000</v>
      </c>
      <c r="V25" s="8"/>
      <c r="W25" s="9"/>
      <c r="X25" s="8">
        <f t="shared" si="4"/>
        <v>3994000</v>
      </c>
    </row>
    <row r="26" spans="1:24" x14ac:dyDescent="0.25">
      <c r="A26" s="108"/>
      <c r="B26" s="14">
        <v>23</v>
      </c>
      <c r="C26" s="11" t="s">
        <v>48</v>
      </c>
      <c r="D26" s="6" t="s">
        <v>26</v>
      </c>
      <c r="E26" s="5">
        <v>5500000</v>
      </c>
      <c r="F26" s="12">
        <v>30</v>
      </c>
      <c r="G26" s="5">
        <f t="shared" si="14"/>
        <v>5500000</v>
      </c>
      <c r="H26" s="5"/>
      <c r="I26" s="5"/>
      <c r="J26" s="5"/>
      <c r="K26" s="5">
        <f t="shared" ref="K26" si="21">SUM(G26:I26)+J26</f>
        <v>5500000</v>
      </c>
      <c r="L26" s="5">
        <f>+E26*4%</f>
        <v>220000</v>
      </c>
      <c r="M26" s="5">
        <f>+E26*5%</f>
        <v>275000</v>
      </c>
      <c r="N26" s="5"/>
      <c r="O26" s="5"/>
      <c r="P26" s="17">
        <v>141000</v>
      </c>
      <c r="Q26" s="5"/>
      <c r="R26" s="5"/>
      <c r="S26" s="5"/>
      <c r="T26" s="5">
        <f t="shared" ref="T26" si="22">SUM(L26:S26)</f>
        <v>636000</v>
      </c>
      <c r="U26" s="7">
        <f>+K26-T26</f>
        <v>4864000</v>
      </c>
      <c r="V26" s="8"/>
      <c r="W26" s="9"/>
      <c r="X26" s="8">
        <f t="shared" si="4"/>
        <v>4864000</v>
      </c>
    </row>
    <row r="27" spans="1:24" x14ac:dyDescent="0.25">
      <c r="A27" s="108"/>
      <c r="B27" s="14">
        <v>24</v>
      </c>
      <c r="C27" s="11" t="s">
        <v>49</v>
      </c>
      <c r="D27" s="6" t="s">
        <v>26</v>
      </c>
      <c r="E27" s="5">
        <v>4500000</v>
      </c>
      <c r="F27" s="12">
        <v>30</v>
      </c>
      <c r="G27" s="5">
        <f>E27/30*F27</f>
        <v>4500000</v>
      </c>
      <c r="H27" s="5" t="s">
        <v>153</v>
      </c>
      <c r="I27" s="5"/>
      <c r="J27" s="5"/>
      <c r="K27" s="5">
        <f t="shared" ref="K27" si="23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4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08"/>
      <c r="B28" s="14">
        <v>25</v>
      </c>
      <c r="C28" s="11" t="s">
        <v>50</v>
      </c>
      <c r="D28" s="6" t="s">
        <v>26</v>
      </c>
      <c r="E28" s="5">
        <v>6000000</v>
      </c>
      <c r="F28" s="12">
        <v>30</v>
      </c>
      <c r="G28" s="5">
        <f t="shared" si="14"/>
        <v>6000000</v>
      </c>
      <c r="H28" s="5"/>
      <c r="I28" s="2"/>
      <c r="J28" s="2"/>
      <c r="K28" s="5">
        <f t="shared" si="1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2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08"/>
      <c r="B29" s="14"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 t="shared" si="14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>
        <f>340000</f>
        <v>340000</v>
      </c>
      <c r="O29" s="5"/>
      <c r="P29" s="17">
        <v>0</v>
      </c>
      <c r="Q29" s="5"/>
      <c r="R29" s="5">
        <v>111000</v>
      </c>
      <c r="S29" s="5"/>
      <c r="T29" s="5">
        <f t="shared" ref="T29" si="25">SUM(L29:S29)</f>
        <v>766000</v>
      </c>
      <c r="U29" s="7">
        <f>K29-T29</f>
        <v>2734000</v>
      </c>
      <c r="V29" s="8"/>
      <c r="W29" s="9"/>
      <c r="X29" s="8">
        <f t="shared" si="4"/>
        <v>2734000</v>
      </c>
    </row>
    <row r="30" spans="1:24" x14ac:dyDescent="0.25">
      <c r="A30" s="108"/>
      <c r="B30" s="14"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 t="shared" ref="G30:G44" si="26">+E30/30*F30</f>
        <v>4800000</v>
      </c>
      <c r="H30" s="5"/>
      <c r="I30" s="5"/>
      <c r="J30" s="5"/>
      <c r="K30" s="5">
        <f t="shared" si="1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2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08"/>
      <c r="B31" s="14">
        <v>28</v>
      </c>
      <c r="C31" s="11" t="s">
        <v>54</v>
      </c>
      <c r="D31" s="6" t="s">
        <v>26</v>
      </c>
      <c r="E31" s="5">
        <v>4280000</v>
      </c>
      <c r="F31" s="12">
        <v>30</v>
      </c>
      <c r="G31" s="5">
        <f>E31/30*F31</f>
        <v>4280000</v>
      </c>
      <c r="H31" s="5"/>
      <c r="I31" s="5"/>
      <c r="J31" s="5"/>
      <c r="K31" s="5">
        <f t="shared" si="1"/>
        <v>4280000</v>
      </c>
      <c r="L31" s="5">
        <f>+K31*4%</f>
        <v>171200</v>
      </c>
      <c r="M31" s="5">
        <f>+K31*5%</f>
        <v>214000</v>
      </c>
      <c r="N31" s="5"/>
      <c r="O31" s="5"/>
      <c r="P31" s="17">
        <v>31064</v>
      </c>
      <c r="Q31" s="5"/>
      <c r="R31" s="5"/>
      <c r="S31" s="5"/>
      <c r="T31" s="5">
        <f t="shared" si="2"/>
        <v>416264</v>
      </c>
      <c r="U31" s="7">
        <f>K31-T31</f>
        <v>3863736</v>
      </c>
      <c r="V31" s="8"/>
      <c r="W31" s="9"/>
      <c r="X31" s="8">
        <f t="shared" si="4"/>
        <v>3863736</v>
      </c>
    </row>
    <row r="32" spans="1:24" x14ac:dyDescent="0.25">
      <c r="A32" s="108"/>
      <c r="B32" s="14"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 t="shared" ref="G32" si="27">E32/30*F32</f>
        <v>3500000</v>
      </c>
      <c r="H32" s="5"/>
      <c r="I32" s="5"/>
      <c r="J32" s="5">
        <f>+E32-G32</f>
        <v>0</v>
      </c>
      <c r="K32" s="5">
        <f>SUM(G32:I32)+J32</f>
        <v>3500000</v>
      </c>
      <c r="L32" s="5">
        <f>+G32*4%</f>
        <v>140000</v>
      </c>
      <c r="M32" s="5">
        <f>+G32*5%</f>
        <v>175000</v>
      </c>
      <c r="N32" s="5"/>
      <c r="O32" s="5"/>
      <c r="P32" s="5">
        <v>0</v>
      </c>
      <c r="Q32" s="5"/>
      <c r="R32" s="5"/>
      <c r="S32" s="5">
        <v>257196</v>
      </c>
      <c r="T32" s="5">
        <f>SUM(L32:S32)</f>
        <v>572196</v>
      </c>
      <c r="U32" s="7">
        <f>+K32-T32</f>
        <v>2927804</v>
      </c>
      <c r="V32" s="8"/>
      <c r="W32" s="9"/>
      <c r="X32" s="8">
        <f t="shared" si="4"/>
        <v>2927804</v>
      </c>
    </row>
    <row r="33" spans="1:26" x14ac:dyDescent="0.25">
      <c r="A33" s="108"/>
      <c r="B33" s="14">
        <v>30</v>
      </c>
      <c r="C33" s="11" t="s">
        <v>55</v>
      </c>
      <c r="D33" s="6" t="s">
        <v>26</v>
      </c>
      <c r="E33" s="5">
        <v>6000000</v>
      </c>
      <c r="F33" s="12">
        <v>30</v>
      </c>
      <c r="G33" s="5">
        <f t="shared" si="26"/>
        <v>6000000</v>
      </c>
      <c r="H33" s="5"/>
      <c r="I33" s="5"/>
      <c r="J33" s="5"/>
      <c r="K33" s="5">
        <f t="shared" si="1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28">+K33-T33</f>
        <v>5129386</v>
      </c>
      <c r="V33" s="8"/>
      <c r="W33" s="9"/>
      <c r="X33" s="8">
        <f t="shared" si="4"/>
        <v>5129386</v>
      </c>
    </row>
    <row r="34" spans="1:26" x14ac:dyDescent="0.25">
      <c r="A34" s="108"/>
      <c r="B34" s="14">
        <v>31</v>
      </c>
      <c r="C34" s="11" t="s">
        <v>56</v>
      </c>
      <c r="D34" s="6" t="s">
        <v>26</v>
      </c>
      <c r="E34" s="5">
        <v>4500000</v>
      </c>
      <c r="F34" s="12">
        <v>30</v>
      </c>
      <c r="G34" s="5">
        <f t="shared" si="26"/>
        <v>4500000</v>
      </c>
      <c r="H34" s="5"/>
      <c r="I34" s="5">
        <v>500000</v>
      </c>
      <c r="J34" s="5"/>
      <c r="K34" s="5">
        <f t="shared" si="1"/>
        <v>5000000</v>
      </c>
      <c r="L34" s="5">
        <f t="shared" ref="L34" si="29">+G34*4%</f>
        <v>180000</v>
      </c>
      <c r="M34" s="5">
        <f t="shared" si="6"/>
        <v>225000</v>
      </c>
      <c r="N34" s="5"/>
      <c r="O34" s="5"/>
      <c r="P34" s="5">
        <v>11000</v>
      </c>
      <c r="Q34" s="5"/>
      <c r="R34" s="5"/>
      <c r="S34" s="5">
        <v>551399</v>
      </c>
      <c r="T34" s="5">
        <f t="shared" si="2"/>
        <v>967399</v>
      </c>
      <c r="U34" s="7">
        <f t="shared" si="28"/>
        <v>4032601</v>
      </c>
      <c r="V34" s="8"/>
      <c r="W34" s="9"/>
      <c r="X34" s="8">
        <f t="shared" si="4"/>
        <v>4032601</v>
      </c>
    </row>
    <row r="35" spans="1:26" x14ac:dyDescent="0.25">
      <c r="A35" s="108"/>
      <c r="B35" s="14">
        <v>32</v>
      </c>
      <c r="C35" s="3" t="s">
        <v>57</v>
      </c>
      <c r="D35" s="4" t="s">
        <v>26</v>
      </c>
      <c r="E35" s="5">
        <v>5400000</v>
      </c>
      <c r="F35" s="12">
        <v>30</v>
      </c>
      <c r="G35" s="5">
        <f>+E35-J35</f>
        <v>5400000</v>
      </c>
      <c r="H35" s="5"/>
      <c r="I35" s="5"/>
      <c r="J35" s="5"/>
      <c r="K35" s="5">
        <f>SUM(G35:I35)+J35</f>
        <v>5400000</v>
      </c>
      <c r="L35" s="5">
        <f>+G35*4%</f>
        <v>216000</v>
      </c>
      <c r="M35" s="5">
        <f>+G35*5%</f>
        <v>270000</v>
      </c>
      <c r="N35" s="5"/>
      <c r="O35" s="5"/>
      <c r="P35" s="5">
        <v>48240</v>
      </c>
      <c r="Q35" s="5"/>
      <c r="R35" s="5"/>
      <c r="S35" s="5">
        <v>541379</v>
      </c>
      <c r="T35" s="5">
        <f t="shared" si="2"/>
        <v>1075619</v>
      </c>
      <c r="U35" s="7">
        <f>K35-T35</f>
        <v>4324381</v>
      </c>
      <c r="V35" s="8"/>
      <c r="W35" s="9"/>
      <c r="X35" s="8">
        <f t="shared" si="4"/>
        <v>4324381</v>
      </c>
    </row>
    <row r="36" spans="1:26" ht="24.75" customHeight="1" x14ac:dyDescent="0.25">
      <c r="A36" s="108"/>
      <c r="B36" s="14"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>+E36-J36</f>
        <v>6420000</v>
      </c>
      <c r="H36" s="5"/>
      <c r="I36" s="5"/>
      <c r="J36" s="5"/>
      <c r="K36" s="5">
        <f t="shared" ref="K36:K78" si="30">SUM(G36:I36)+J36</f>
        <v>6420000</v>
      </c>
      <c r="L36" s="5">
        <f>+E36*4%</f>
        <v>256800</v>
      </c>
      <c r="M36" s="5">
        <f>+E36*5%</f>
        <v>321000</v>
      </c>
      <c r="N36" s="5"/>
      <c r="O36" s="5"/>
      <c r="P36" s="5">
        <v>231000</v>
      </c>
      <c r="Q36" s="5"/>
      <c r="R36" s="5"/>
      <c r="S36" s="5"/>
      <c r="T36" s="5">
        <f t="shared" si="2"/>
        <v>808800</v>
      </c>
      <c r="U36" s="7">
        <f>+K36-T36</f>
        <v>5611200</v>
      </c>
      <c r="V36" s="8"/>
      <c r="W36" s="9"/>
      <c r="X36" s="8">
        <f t="shared" si="4"/>
        <v>5611200</v>
      </c>
    </row>
    <row r="37" spans="1:26" x14ac:dyDescent="0.25">
      <c r="A37" s="108"/>
      <c r="B37" s="14"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 t="shared" si="26"/>
        <v>6900000</v>
      </c>
      <c r="H37" s="5"/>
      <c r="I37" s="5">
        <v>1500000</v>
      </c>
      <c r="J37" s="2"/>
      <c r="K37" s="5">
        <f t="shared" si="30"/>
        <v>8400000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7434000</v>
      </c>
      <c r="V37" s="8"/>
      <c r="W37" s="9"/>
      <c r="X37" s="8">
        <f t="shared" si="4"/>
        <v>7434000</v>
      </c>
    </row>
    <row r="38" spans="1:26" x14ac:dyDescent="0.25">
      <c r="A38" s="108"/>
      <c r="B38" s="14"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si="26"/>
        <v>5500000</v>
      </c>
      <c r="H38" s="5"/>
      <c r="I38" s="5">
        <v>500000</v>
      </c>
      <c r="J38" s="5"/>
      <c r="K38" s="5">
        <f t="shared" ref="K38" si="31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si="2"/>
        <v>639000</v>
      </c>
      <c r="U38" s="7">
        <f t="shared" ref="U38" si="32">K38-T38</f>
        <v>5361000</v>
      </c>
      <c r="V38" s="8"/>
      <c r="W38" s="9"/>
      <c r="X38" s="8">
        <f t="shared" si="4"/>
        <v>5361000</v>
      </c>
    </row>
    <row r="39" spans="1:26" x14ac:dyDescent="0.25">
      <c r="A39" s="108"/>
      <c r="B39" s="14"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>+E39-J39</f>
        <v>4815000</v>
      </c>
      <c r="H39" s="5"/>
      <c r="I39" s="5"/>
      <c r="J39" s="5">
        <v>535000</v>
      </c>
      <c r="K39" s="5">
        <f t="shared" si="30"/>
        <v>5350000</v>
      </c>
      <c r="L39" s="5">
        <v>214000</v>
      </c>
      <c r="M39" s="5"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4" si="33">+K39-T39</f>
        <v>4747500</v>
      </c>
      <c r="V39" s="8"/>
      <c r="W39" s="9"/>
      <c r="X39" s="8">
        <f t="shared" si="4"/>
        <v>4747500</v>
      </c>
    </row>
    <row r="40" spans="1:26" x14ac:dyDescent="0.25">
      <c r="A40" s="108"/>
      <c r="B40" s="14">
        <v>37</v>
      </c>
      <c r="C40" s="11" t="s">
        <v>148</v>
      </c>
      <c r="D40" s="6"/>
      <c r="E40" s="5">
        <v>4000000</v>
      </c>
      <c r="F40" s="12">
        <v>30</v>
      </c>
      <c r="G40" s="5">
        <f t="shared" ref="G40:G43" si="34">+E40/30*F40</f>
        <v>4000000.0000000005</v>
      </c>
      <c r="H40" s="5"/>
      <c r="I40" s="5"/>
      <c r="J40" s="5"/>
      <c r="K40" s="5">
        <f t="shared" ref="K40" si="35">SUM(G40:I40)+J40</f>
        <v>4000000.0000000005</v>
      </c>
      <c r="L40" s="5">
        <f>+G40*4%</f>
        <v>160000.00000000003</v>
      </c>
      <c r="M40" s="5">
        <f>+G40*5%</f>
        <v>200000.00000000003</v>
      </c>
      <c r="N40" s="5"/>
      <c r="O40" s="5"/>
      <c r="P40" s="5">
        <v>0</v>
      </c>
      <c r="Q40" s="5"/>
      <c r="R40" s="5"/>
      <c r="S40" s="5"/>
      <c r="T40" s="5">
        <f>SUM(L40:S40)</f>
        <v>360000.00000000006</v>
      </c>
      <c r="U40" s="7">
        <f t="shared" si="33"/>
        <v>3640000.0000000005</v>
      </c>
      <c r="V40" s="8"/>
      <c r="W40" s="9"/>
      <c r="X40" s="8">
        <f t="shared" si="4"/>
        <v>3640000.0000000005</v>
      </c>
    </row>
    <row r="41" spans="1:26" ht="21" customHeight="1" x14ac:dyDescent="0.25">
      <c r="A41" s="108"/>
      <c r="B41" s="14"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 t="shared" si="34"/>
        <v>4500000</v>
      </c>
      <c r="H41" s="5"/>
      <c r="I41" s="5"/>
      <c r="J41" s="5"/>
      <c r="K41" s="5">
        <f t="shared" si="30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>
        <v>317224</v>
      </c>
      <c r="T41" s="5">
        <f>SUM(L41:S41)</f>
        <v>732224</v>
      </c>
      <c r="U41" s="7">
        <f t="shared" si="33"/>
        <v>3767776</v>
      </c>
      <c r="V41" s="8"/>
      <c r="W41" s="9"/>
      <c r="X41" s="8">
        <f t="shared" si="4"/>
        <v>3767776</v>
      </c>
    </row>
    <row r="42" spans="1:26" ht="26.25" customHeight="1" x14ac:dyDescent="0.25">
      <c r="A42" s="108"/>
      <c r="B42" s="14"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 t="shared" si="34"/>
        <v>4800000</v>
      </c>
      <c r="H42" s="5"/>
      <c r="I42" s="5"/>
      <c r="J42" s="5"/>
      <c r="K42" s="5">
        <f t="shared" ref="K42" si="36">SUM(G42:I42)+J42</f>
        <v>4800000</v>
      </c>
      <c r="L42" s="5">
        <f>+G42*4%</f>
        <v>192000</v>
      </c>
      <c r="M42" s="5">
        <f>+G42*5%</f>
        <v>240000</v>
      </c>
      <c r="N42" s="5"/>
      <c r="O42" s="5"/>
      <c r="P42" s="5">
        <v>51000</v>
      </c>
      <c r="Q42" s="5">
        <v>500000</v>
      </c>
      <c r="R42" s="5"/>
      <c r="S42" s="5">
        <f>206720</f>
        <v>206720</v>
      </c>
      <c r="T42" s="5">
        <f t="shared" ref="T42" si="37">SUM(L42:S42)</f>
        <v>1189720</v>
      </c>
      <c r="U42" s="7">
        <f t="shared" si="33"/>
        <v>3610280</v>
      </c>
      <c r="V42" s="8"/>
      <c r="W42" s="9"/>
      <c r="X42" s="8">
        <f t="shared" si="4"/>
        <v>3610280</v>
      </c>
    </row>
    <row r="43" spans="1:26" ht="26.25" customHeight="1" x14ac:dyDescent="0.25">
      <c r="A43" s="108"/>
      <c r="B43" s="14">
        <v>40</v>
      </c>
      <c r="C43" s="11" t="s">
        <v>66</v>
      </c>
      <c r="D43" s="6"/>
      <c r="E43" s="5">
        <v>4000000</v>
      </c>
      <c r="F43" s="12">
        <v>30</v>
      </c>
      <c r="G43" s="5">
        <f t="shared" si="34"/>
        <v>4000000.0000000005</v>
      </c>
      <c r="H43" s="5"/>
      <c r="I43" s="5"/>
      <c r="J43" s="5"/>
      <c r="K43" s="5">
        <f t="shared" ref="K43" si="38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39">SUM(L43:S43)</f>
        <v>364500.00000000006</v>
      </c>
      <c r="U43" s="7">
        <f t="shared" si="33"/>
        <v>3635500.0000000005</v>
      </c>
      <c r="V43" s="8"/>
      <c r="W43" s="9"/>
      <c r="X43" s="8">
        <f t="shared" si="4"/>
        <v>3635500.0000000005</v>
      </c>
    </row>
    <row r="44" spans="1:26" ht="24" customHeight="1" x14ac:dyDescent="0.25">
      <c r="A44" s="108"/>
      <c r="B44" s="14"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26"/>
        <v>6000000</v>
      </c>
      <c r="H44" s="5">
        <v>56408</v>
      </c>
      <c r="I44" s="5">
        <v>400000</v>
      </c>
      <c r="J44" s="5"/>
      <c r="K44" s="5">
        <f t="shared" si="30"/>
        <v>6456408</v>
      </c>
      <c r="L44" s="5">
        <f>+G44*4%</f>
        <v>240000</v>
      </c>
      <c r="M44" s="5">
        <f>+G44*5%</f>
        <v>300000</v>
      </c>
      <c r="N44" s="5"/>
      <c r="O44" s="5"/>
      <c r="P44" s="5">
        <v>126000</v>
      </c>
      <c r="Q44" s="5"/>
      <c r="R44" s="5"/>
      <c r="S44" s="5"/>
      <c r="T44" s="5">
        <f t="shared" si="2"/>
        <v>666000</v>
      </c>
      <c r="U44" s="7">
        <f t="shared" si="33"/>
        <v>5790408</v>
      </c>
      <c r="V44" s="8"/>
      <c r="W44" s="9"/>
      <c r="X44" s="8">
        <f t="shared" si="4"/>
        <v>5790408</v>
      </c>
      <c r="Y44" s="8">
        <v>4886979</v>
      </c>
      <c r="Z44" s="20">
        <f>+X44-Y44</f>
        <v>903429</v>
      </c>
    </row>
    <row r="45" spans="1:26" ht="30.75" customHeight="1" x14ac:dyDescent="0.25">
      <c r="A45" s="108"/>
      <c r="B45" s="14">
        <v>42</v>
      </c>
      <c r="C45" s="11" t="s">
        <v>69</v>
      </c>
      <c r="D45" s="6" t="s">
        <v>26</v>
      </c>
      <c r="E45" s="5">
        <v>5152050</v>
      </c>
      <c r="F45" s="12">
        <v>30</v>
      </c>
      <c r="G45" s="5">
        <f>+E45-J45</f>
        <v>5152050</v>
      </c>
      <c r="H45" s="5"/>
      <c r="I45" s="5">
        <v>350000</v>
      </c>
      <c r="J45" s="5"/>
      <c r="K45" s="5">
        <f t="shared" si="30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2"/>
        <v>556684.5</v>
      </c>
      <c r="U45" s="7">
        <f t="shared" ref="U45:U48" si="40">K45-T45</f>
        <v>4945365.5</v>
      </c>
      <c r="V45" s="8"/>
      <c r="W45" s="9"/>
      <c r="X45" s="8">
        <f t="shared" si="4"/>
        <v>4945365.5</v>
      </c>
    </row>
    <row r="46" spans="1:26" x14ac:dyDescent="0.25">
      <c r="A46" s="109"/>
      <c r="B46" s="14">
        <v>43</v>
      </c>
      <c r="C46" s="11" t="s">
        <v>71</v>
      </c>
      <c r="D46" s="6" t="s">
        <v>26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30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 t="shared" si="40"/>
        <v>4064000</v>
      </c>
      <c r="V46" s="8"/>
      <c r="W46" s="9"/>
      <c r="X46" s="8">
        <f t="shared" si="4"/>
        <v>4064000</v>
      </c>
    </row>
    <row r="47" spans="1:26" x14ac:dyDescent="0.25">
      <c r="A47" s="107" t="s">
        <v>143</v>
      </c>
      <c r="B47" s="14">
        <v>1</v>
      </c>
      <c r="C47" s="11" t="s">
        <v>144</v>
      </c>
      <c r="D47" s="6"/>
      <c r="E47" s="5">
        <v>737717</v>
      </c>
      <c r="F47" s="12">
        <v>30</v>
      </c>
      <c r="G47" s="5">
        <f t="shared" ref="G47:G57" si="41">+E47/30*F47</f>
        <v>737717</v>
      </c>
      <c r="H47" s="5"/>
      <c r="I47" s="5"/>
      <c r="J47" s="5"/>
      <c r="K47" s="5">
        <f t="shared" si="30"/>
        <v>737717</v>
      </c>
      <c r="L47" s="5"/>
      <c r="M47" s="5"/>
      <c r="N47" s="5"/>
      <c r="O47" s="5"/>
      <c r="P47" s="5"/>
      <c r="Q47" s="5"/>
      <c r="R47" s="5"/>
      <c r="S47" s="5"/>
      <c r="T47" s="5"/>
      <c r="U47" s="7">
        <f t="shared" si="40"/>
        <v>737717</v>
      </c>
      <c r="V47" s="8"/>
      <c r="W47" s="9"/>
      <c r="X47" s="8">
        <f t="shared" si="4"/>
        <v>737717</v>
      </c>
    </row>
    <row r="48" spans="1:26" ht="20.25" customHeight="1" x14ac:dyDescent="0.25">
      <c r="A48" s="108"/>
      <c r="B48" s="14">
        <v>2</v>
      </c>
      <c r="C48" s="11" t="s">
        <v>72</v>
      </c>
      <c r="D48" s="6" t="s">
        <v>26</v>
      </c>
      <c r="E48" s="5">
        <v>3000000</v>
      </c>
      <c r="F48" s="12">
        <v>30</v>
      </c>
      <c r="G48" s="5">
        <f>+E48-J48</f>
        <v>3000000</v>
      </c>
      <c r="H48" s="5"/>
      <c r="I48" s="5"/>
      <c r="J48" s="5"/>
      <c r="K48" s="5">
        <f t="shared" si="30"/>
        <v>3000000</v>
      </c>
      <c r="L48" s="5">
        <v>120000</v>
      </c>
      <c r="M48" s="5">
        <v>150000</v>
      </c>
      <c r="N48" s="5">
        <v>108334</v>
      </c>
      <c r="O48" s="5"/>
      <c r="P48" s="5"/>
      <c r="Q48" s="5"/>
      <c r="R48" s="5"/>
      <c r="S48" s="5">
        <f>481778+240889</f>
        <v>722667</v>
      </c>
      <c r="T48" s="5">
        <f t="shared" ref="T48" si="42">SUM(L48:S48)</f>
        <v>1101001</v>
      </c>
      <c r="U48" s="7">
        <f t="shared" si="40"/>
        <v>1898999</v>
      </c>
      <c r="V48" s="8"/>
      <c r="W48" s="9"/>
      <c r="X48" s="8">
        <f t="shared" si="4"/>
        <v>1898999</v>
      </c>
    </row>
    <row r="49" spans="1:24" x14ac:dyDescent="0.25">
      <c r="A49" s="108"/>
      <c r="B49" s="14">
        <v>3</v>
      </c>
      <c r="C49" s="3" t="s">
        <v>75</v>
      </c>
      <c r="D49" s="4" t="s">
        <v>26</v>
      </c>
      <c r="E49" s="5">
        <v>2500000</v>
      </c>
      <c r="F49" s="12">
        <v>30</v>
      </c>
      <c r="G49" s="5">
        <f t="shared" si="41"/>
        <v>2500000</v>
      </c>
      <c r="H49" s="5"/>
      <c r="I49" s="5">
        <v>78127</v>
      </c>
      <c r="J49" s="5"/>
      <c r="K49" s="5">
        <f>SUM(G49:I49)+J49</f>
        <v>2578127</v>
      </c>
      <c r="L49" s="5">
        <f>+G49*4%</f>
        <v>100000</v>
      </c>
      <c r="M49" s="5">
        <f>+G49*4%</f>
        <v>100000</v>
      </c>
      <c r="N49" s="5"/>
      <c r="O49" s="5"/>
      <c r="P49" s="5"/>
      <c r="Q49" s="5"/>
      <c r="R49" s="5"/>
      <c r="S49" s="5"/>
      <c r="T49" s="5">
        <f>SUM(L49:S49)</f>
        <v>200000</v>
      </c>
      <c r="U49" s="7">
        <f>K49-T49</f>
        <v>2378127</v>
      </c>
      <c r="V49" s="8"/>
      <c r="W49" s="9"/>
      <c r="X49" s="8">
        <f t="shared" si="4"/>
        <v>2378127</v>
      </c>
    </row>
    <row r="50" spans="1:24" ht="18" customHeight="1" x14ac:dyDescent="0.25">
      <c r="A50" s="108"/>
      <c r="B50" s="14">
        <v>4</v>
      </c>
      <c r="C50" s="11" t="s">
        <v>76</v>
      </c>
      <c r="D50" s="6" t="s">
        <v>26</v>
      </c>
      <c r="E50" s="5">
        <v>3000000</v>
      </c>
      <c r="F50" s="12">
        <v>30</v>
      </c>
      <c r="G50" s="5">
        <f t="shared" si="41"/>
        <v>3000000</v>
      </c>
      <c r="H50" s="5">
        <v>0</v>
      </c>
      <c r="I50" s="5"/>
      <c r="J50" s="5"/>
      <c r="K50" s="5">
        <f>SUM(G50:I50)+J50</f>
        <v>3000000</v>
      </c>
      <c r="L50" s="5">
        <f>+E50*4%</f>
        <v>120000</v>
      </c>
      <c r="M50" s="5">
        <f>+E50*5%</f>
        <v>150000</v>
      </c>
      <c r="N50" s="5"/>
      <c r="O50" s="5"/>
      <c r="P50" s="17"/>
      <c r="Q50" s="5"/>
      <c r="R50" s="5"/>
      <c r="S50" s="5">
        <v>1300000</v>
      </c>
      <c r="T50" s="5">
        <f>+L50+M50+S50</f>
        <v>1570000</v>
      </c>
      <c r="U50" s="7">
        <f>+K50-T50</f>
        <v>1430000</v>
      </c>
      <c r="V50" s="8"/>
      <c r="W50" s="9"/>
      <c r="X50" s="8">
        <f t="shared" si="4"/>
        <v>1430000</v>
      </c>
    </row>
    <row r="51" spans="1:24" x14ac:dyDescent="0.25">
      <c r="A51" s="108"/>
      <c r="B51" s="14">
        <v>5</v>
      </c>
      <c r="C51" s="3" t="s">
        <v>77</v>
      </c>
      <c r="D51" s="4" t="s">
        <v>26</v>
      </c>
      <c r="E51" s="5">
        <v>1500000</v>
      </c>
      <c r="F51" s="12">
        <v>20</v>
      </c>
      <c r="G51" s="5">
        <v>666700</v>
      </c>
      <c r="H51" s="5">
        <f>+E51/30*10</f>
        <v>500000</v>
      </c>
      <c r="I51" s="5"/>
      <c r="J51" s="5"/>
      <c r="K51" s="5">
        <f t="shared" ref="K51" si="43">SUM(G51:I51)+J51</f>
        <v>1166700</v>
      </c>
      <c r="L51" s="5">
        <v>60000</v>
      </c>
      <c r="M51" s="5">
        <v>60000</v>
      </c>
      <c r="N51" s="5"/>
      <c r="O51" s="5"/>
      <c r="P51" s="5"/>
      <c r="Q51" s="5"/>
      <c r="R51" s="5"/>
      <c r="S51" s="5"/>
      <c r="T51" s="5">
        <f t="shared" ref="T51:T109" si="44">SUM(L51:S51)</f>
        <v>120000</v>
      </c>
      <c r="U51" s="7">
        <f>K51-T51</f>
        <v>1046700</v>
      </c>
      <c r="V51" s="8"/>
      <c r="W51" s="9"/>
      <c r="X51" s="8">
        <f t="shared" si="4"/>
        <v>1046700</v>
      </c>
    </row>
    <row r="52" spans="1:24" ht="24" x14ac:dyDescent="0.25">
      <c r="A52" s="108"/>
      <c r="B52" s="14">
        <v>6</v>
      </c>
      <c r="C52" s="11" t="s">
        <v>80</v>
      </c>
      <c r="D52" s="6" t="s">
        <v>26</v>
      </c>
      <c r="E52" s="5">
        <v>1500000</v>
      </c>
      <c r="F52" s="12">
        <v>30</v>
      </c>
      <c r="G52" s="5">
        <f t="shared" si="41"/>
        <v>1500000</v>
      </c>
      <c r="H52" s="5"/>
      <c r="I52" s="5"/>
      <c r="J52" s="5"/>
      <c r="K52" s="5">
        <f t="shared" ref="K52" si="45">SUM(G52:I52)+J52</f>
        <v>1500000</v>
      </c>
      <c r="L52" s="5">
        <f>+G52*4%</f>
        <v>60000</v>
      </c>
      <c r="M52" s="5">
        <f>+G52*4%</f>
        <v>60000</v>
      </c>
      <c r="N52" s="5">
        <v>130000</v>
      </c>
      <c r="O52" s="5"/>
      <c r="P52" s="17"/>
      <c r="Q52" s="5"/>
      <c r="R52" s="5"/>
      <c r="S52" s="5"/>
      <c r="T52" s="5">
        <f t="shared" ref="T52" si="46">SUM(L52:S52)</f>
        <v>250000</v>
      </c>
      <c r="U52" s="7">
        <f t="shared" ref="U52:U61" si="47">+K52-T52</f>
        <v>1250000</v>
      </c>
      <c r="V52" s="8"/>
      <c r="W52" s="9"/>
      <c r="X52" s="8">
        <f t="shared" si="4"/>
        <v>1250000</v>
      </c>
    </row>
    <row r="53" spans="1:24" ht="21.75" customHeight="1" x14ac:dyDescent="0.25">
      <c r="A53" s="108"/>
      <c r="B53" s="14">
        <v>7</v>
      </c>
      <c r="C53" s="11" t="s">
        <v>81</v>
      </c>
      <c r="D53" s="6" t="s">
        <v>26</v>
      </c>
      <c r="E53" s="5">
        <v>1800000</v>
      </c>
      <c r="F53" s="12">
        <v>30</v>
      </c>
      <c r="G53" s="5">
        <f t="shared" si="41"/>
        <v>1800000</v>
      </c>
      <c r="H53" s="5">
        <v>0</v>
      </c>
      <c r="I53" s="5"/>
      <c r="J53" s="5"/>
      <c r="K53" s="5">
        <f t="shared" si="30"/>
        <v>1800000</v>
      </c>
      <c r="L53" s="5">
        <f>+G53*4%</f>
        <v>72000</v>
      </c>
      <c r="M53" s="5">
        <f>+G53*4%</f>
        <v>72000</v>
      </c>
      <c r="N53" s="5">
        <v>172050</v>
      </c>
      <c r="O53" s="5"/>
      <c r="P53" s="5">
        <v>0</v>
      </c>
      <c r="Q53" s="5"/>
      <c r="R53" s="5"/>
      <c r="S53" s="5"/>
      <c r="T53" s="5">
        <f t="shared" si="44"/>
        <v>316050</v>
      </c>
      <c r="U53" s="7">
        <f t="shared" si="47"/>
        <v>1483950</v>
      </c>
      <c r="V53" s="8"/>
      <c r="W53" s="9"/>
      <c r="X53" s="8">
        <f t="shared" si="4"/>
        <v>1483950</v>
      </c>
    </row>
    <row r="54" spans="1:24" x14ac:dyDescent="0.25">
      <c r="A54" s="108"/>
      <c r="B54" s="14">
        <v>8</v>
      </c>
      <c r="C54" s="11" t="s">
        <v>82</v>
      </c>
      <c r="D54" s="6" t="s">
        <v>26</v>
      </c>
      <c r="E54" s="5">
        <v>737717</v>
      </c>
      <c r="F54" s="12">
        <v>30</v>
      </c>
      <c r="G54" s="5">
        <f t="shared" si="41"/>
        <v>737717</v>
      </c>
      <c r="H54" s="5">
        <v>83140</v>
      </c>
      <c r="I54" s="5"/>
      <c r="J54" s="5"/>
      <c r="K54" s="5">
        <f t="shared" ref="K54" si="48">SUM(G54:I54)+J54</f>
        <v>820857</v>
      </c>
      <c r="L54" s="5">
        <v>29509</v>
      </c>
      <c r="M54" s="5">
        <v>29509</v>
      </c>
      <c r="N54" s="5"/>
      <c r="O54" s="5"/>
      <c r="P54" s="17"/>
      <c r="Q54" s="5"/>
      <c r="R54" s="5"/>
      <c r="S54" s="5"/>
      <c r="T54" s="5">
        <f t="shared" si="44"/>
        <v>59018</v>
      </c>
      <c r="U54" s="7">
        <f t="shared" si="47"/>
        <v>761839</v>
      </c>
      <c r="V54" s="8"/>
      <c r="W54" s="9"/>
      <c r="X54" s="8">
        <f t="shared" si="4"/>
        <v>761839</v>
      </c>
    </row>
    <row r="55" spans="1:24" ht="21" customHeight="1" x14ac:dyDescent="0.25">
      <c r="A55" s="108"/>
      <c r="B55" s="14">
        <v>9</v>
      </c>
      <c r="C55" s="11" t="s">
        <v>182</v>
      </c>
      <c r="D55" s="6"/>
      <c r="E55" s="5">
        <v>3000000</v>
      </c>
      <c r="F55" s="12">
        <v>26</v>
      </c>
      <c r="G55" s="5">
        <f>+E55/30*F55</f>
        <v>2600000</v>
      </c>
      <c r="H55" s="5"/>
      <c r="I55" s="5"/>
      <c r="J55" s="5"/>
      <c r="K55" s="5">
        <f>SUM(G55:I55)+J55</f>
        <v>2600000</v>
      </c>
      <c r="L55" s="5">
        <f>+G55*4%</f>
        <v>104000</v>
      </c>
      <c r="M55" s="5">
        <f>+G55*4%</f>
        <v>104000</v>
      </c>
      <c r="N55" s="5"/>
      <c r="O55" s="5"/>
      <c r="P55" s="5"/>
      <c r="Q55" s="5"/>
      <c r="R55" s="5"/>
      <c r="S55" s="5"/>
      <c r="T55" s="5">
        <f>SUM(L55:S55)</f>
        <v>208000</v>
      </c>
      <c r="U55" s="7">
        <f>+K55-T55</f>
        <v>2392000</v>
      </c>
      <c r="V55" s="8"/>
      <c r="W55" s="9"/>
      <c r="X55" s="8">
        <f t="shared" si="4"/>
        <v>2392000</v>
      </c>
    </row>
    <row r="56" spans="1:24" ht="17.25" customHeight="1" x14ac:dyDescent="0.25">
      <c r="A56" s="108"/>
      <c r="B56" s="14">
        <v>10</v>
      </c>
      <c r="C56" s="11" t="s">
        <v>83</v>
      </c>
      <c r="D56" s="6" t="s">
        <v>26</v>
      </c>
      <c r="E56" s="5">
        <v>3500000</v>
      </c>
      <c r="F56" s="12">
        <v>30</v>
      </c>
      <c r="G56" s="5">
        <f>+E56-J56</f>
        <v>3500000</v>
      </c>
      <c r="H56" s="5"/>
      <c r="I56" s="5"/>
      <c r="J56" s="5"/>
      <c r="K56" s="5">
        <f t="shared" ref="K56" si="49">SUM(G56:I56)+J56</f>
        <v>3500000</v>
      </c>
      <c r="L56" s="5">
        <f>+E56*4%</f>
        <v>140000</v>
      </c>
      <c r="M56" s="5">
        <f>+E56*5%</f>
        <v>175000</v>
      </c>
      <c r="N56" s="5"/>
      <c r="O56" s="5"/>
      <c r="P56" s="5">
        <v>0</v>
      </c>
      <c r="Q56" s="5"/>
      <c r="R56" s="5"/>
      <c r="S56" s="5">
        <v>774624</v>
      </c>
      <c r="T56" s="5">
        <f t="shared" ref="T56" si="50">SUM(L56:S56)</f>
        <v>1089624</v>
      </c>
      <c r="U56" s="7">
        <f t="shared" si="47"/>
        <v>2410376</v>
      </c>
      <c r="V56" s="8"/>
      <c r="W56" s="9"/>
      <c r="X56" s="8">
        <f t="shared" si="4"/>
        <v>2410376</v>
      </c>
    </row>
    <row r="57" spans="1:24" ht="17.25" customHeight="1" x14ac:dyDescent="0.25">
      <c r="A57" s="108"/>
      <c r="B57" s="14">
        <v>11</v>
      </c>
      <c r="C57" s="11" t="s">
        <v>84</v>
      </c>
      <c r="D57" s="6" t="s">
        <v>26</v>
      </c>
      <c r="E57" s="5">
        <v>2500000</v>
      </c>
      <c r="F57" s="12">
        <v>30</v>
      </c>
      <c r="G57" s="5">
        <f t="shared" si="41"/>
        <v>2500000</v>
      </c>
      <c r="H57" s="5"/>
      <c r="I57" s="5"/>
      <c r="J57" s="5"/>
      <c r="K57" s="5">
        <f t="shared" si="30"/>
        <v>2500000</v>
      </c>
      <c r="L57" s="5">
        <f>+K57*4%</f>
        <v>100000</v>
      </c>
      <c r="M57" s="5">
        <f>+K57*4%</f>
        <v>100000</v>
      </c>
      <c r="N57" s="5">
        <v>120000</v>
      </c>
      <c r="O57" s="5"/>
      <c r="P57" s="5">
        <v>0</v>
      </c>
      <c r="Q57" s="5"/>
      <c r="R57" s="5"/>
      <c r="S57" s="5">
        <v>200210</v>
      </c>
      <c r="T57" s="5">
        <f t="shared" si="44"/>
        <v>520210</v>
      </c>
      <c r="U57" s="7">
        <f t="shared" si="47"/>
        <v>1979790</v>
      </c>
      <c r="V57" s="8"/>
      <c r="W57" s="9"/>
      <c r="X57" s="8">
        <f t="shared" si="4"/>
        <v>1979790</v>
      </c>
    </row>
    <row r="58" spans="1:24" ht="17.25" customHeight="1" x14ac:dyDescent="0.25">
      <c r="A58" s="108"/>
      <c r="B58" s="14">
        <v>12</v>
      </c>
      <c r="C58" s="11" t="s">
        <v>85</v>
      </c>
      <c r="D58" s="6" t="s">
        <v>26</v>
      </c>
      <c r="E58" s="5">
        <v>1600000</v>
      </c>
      <c r="F58" s="12">
        <v>30</v>
      </c>
      <c r="G58" s="5">
        <f>E58/30*F58</f>
        <v>1600000</v>
      </c>
      <c r="H58" s="5">
        <v>0</v>
      </c>
      <c r="I58" s="5"/>
      <c r="J58" s="5"/>
      <c r="K58" s="5">
        <f t="shared" ref="K58:K59" si="51">SUM(G58:I58)+J58</f>
        <v>1600000</v>
      </c>
      <c r="L58" s="5">
        <f>+G58*4%</f>
        <v>64000</v>
      </c>
      <c r="M58" s="5">
        <f>+G58*4%</f>
        <v>64000</v>
      </c>
      <c r="N58" s="5">
        <f>42237+95000</f>
        <v>137237</v>
      </c>
      <c r="O58" s="5"/>
      <c r="P58" s="5">
        <v>0</v>
      </c>
      <c r="Q58" s="5"/>
      <c r="R58" s="5"/>
      <c r="S58" s="5"/>
      <c r="T58" s="5">
        <f>SUM(L58:S58)</f>
        <v>265237</v>
      </c>
      <c r="U58" s="7">
        <f t="shared" si="47"/>
        <v>1334763</v>
      </c>
      <c r="V58" s="8"/>
      <c r="W58" s="9"/>
      <c r="X58" s="8">
        <f t="shared" si="4"/>
        <v>1334763</v>
      </c>
    </row>
    <row r="59" spans="1:24" ht="17.25" customHeight="1" x14ac:dyDescent="0.25">
      <c r="A59" s="108"/>
      <c r="B59" s="14">
        <v>13</v>
      </c>
      <c r="C59" s="11" t="s">
        <v>86</v>
      </c>
      <c r="D59" s="6" t="s">
        <v>26</v>
      </c>
      <c r="E59" s="5">
        <v>1500000</v>
      </c>
      <c r="F59" s="12">
        <v>30</v>
      </c>
      <c r="G59" s="5">
        <f>E59/30*F59</f>
        <v>1500000</v>
      </c>
      <c r="H59" s="5"/>
      <c r="I59" s="5"/>
      <c r="J59" s="5"/>
      <c r="K59" s="5">
        <f t="shared" si="51"/>
        <v>1500000</v>
      </c>
      <c r="L59" s="5">
        <f>+G59*4%</f>
        <v>60000</v>
      </c>
      <c r="M59" s="5">
        <f t="shared" ref="M59:M60" si="52">+G59*4%</f>
        <v>60000</v>
      </c>
      <c r="N59" s="5">
        <v>0</v>
      </c>
      <c r="O59" s="5"/>
      <c r="P59" s="5">
        <v>0</v>
      </c>
      <c r="Q59" s="5"/>
      <c r="R59" s="5"/>
      <c r="S59" s="5">
        <v>422966</v>
      </c>
      <c r="T59" s="5">
        <f t="shared" ref="T59" si="53">SUM(L59:S59)</f>
        <v>542966</v>
      </c>
      <c r="U59" s="7">
        <f t="shared" si="47"/>
        <v>957034</v>
      </c>
      <c r="V59" s="8"/>
      <c r="W59" s="9"/>
      <c r="X59" s="8">
        <f t="shared" si="4"/>
        <v>957034</v>
      </c>
    </row>
    <row r="60" spans="1:24" ht="17.25" customHeight="1" x14ac:dyDescent="0.25">
      <c r="A60" s="108"/>
      <c r="B60" s="14">
        <v>14</v>
      </c>
      <c r="C60" s="11" t="s">
        <v>174</v>
      </c>
      <c r="D60" s="6" t="s">
        <v>26</v>
      </c>
      <c r="E60" s="5">
        <v>737717</v>
      </c>
      <c r="F60" s="12">
        <v>30</v>
      </c>
      <c r="G60" s="5">
        <f>E60/30*F60</f>
        <v>737717</v>
      </c>
      <c r="H60" s="5">
        <f>+(83140/30)*F60</f>
        <v>83140</v>
      </c>
      <c r="I60" s="5"/>
      <c r="J60" s="5"/>
      <c r="K60" s="5">
        <f t="shared" ref="K60" si="54">SUM(G60:I60)+J60</f>
        <v>820857</v>
      </c>
      <c r="L60" s="5">
        <f>+G60*4%</f>
        <v>29508.68</v>
      </c>
      <c r="M60" s="5">
        <f t="shared" si="52"/>
        <v>29508.68</v>
      </c>
      <c r="N60" s="5"/>
      <c r="O60" s="5"/>
      <c r="P60" s="5">
        <v>0</v>
      </c>
      <c r="Q60" s="5"/>
      <c r="R60" s="5"/>
      <c r="S60" s="5"/>
      <c r="T60" s="5">
        <v>59018</v>
      </c>
      <c r="U60" s="7">
        <f t="shared" si="47"/>
        <v>761839</v>
      </c>
      <c r="V60" s="8"/>
      <c r="W60" s="9"/>
      <c r="X60" s="8">
        <f t="shared" si="4"/>
        <v>761839</v>
      </c>
    </row>
    <row r="61" spans="1:24" ht="24" x14ac:dyDescent="0.25">
      <c r="A61" s="108"/>
      <c r="B61" s="14">
        <v>15</v>
      </c>
      <c r="C61" s="11" t="s">
        <v>87</v>
      </c>
      <c r="D61" s="6" t="s">
        <v>26</v>
      </c>
      <c r="E61" s="5">
        <v>2000000</v>
      </c>
      <c r="F61" s="12">
        <v>30</v>
      </c>
      <c r="G61" s="5">
        <f>E61/30*F61</f>
        <v>2000000.0000000002</v>
      </c>
      <c r="H61" s="5"/>
      <c r="I61" s="5"/>
      <c r="J61" s="5"/>
      <c r="K61" s="5">
        <f t="shared" si="30"/>
        <v>2000000.0000000002</v>
      </c>
      <c r="L61" s="5">
        <f>+G61*4%</f>
        <v>80000.000000000015</v>
      </c>
      <c r="M61" s="5">
        <v>80000</v>
      </c>
      <c r="N61" s="5"/>
      <c r="O61" s="5"/>
      <c r="P61" s="5">
        <v>0</v>
      </c>
      <c r="Q61" s="5"/>
      <c r="R61" s="5"/>
      <c r="S61" s="5">
        <v>323803</v>
      </c>
      <c r="T61" s="5">
        <f t="shared" si="44"/>
        <v>483803</v>
      </c>
      <c r="U61" s="7">
        <f t="shared" si="47"/>
        <v>1516197.0000000002</v>
      </c>
      <c r="V61" s="8"/>
      <c r="W61" s="9"/>
      <c r="X61" s="8">
        <f t="shared" si="4"/>
        <v>1516197.0000000002</v>
      </c>
    </row>
    <row r="62" spans="1:24" x14ac:dyDescent="0.25">
      <c r="A62" s="108"/>
      <c r="B62" s="14">
        <v>16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0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4"/>
        <v>315000</v>
      </c>
      <c r="U62" s="7">
        <f t="shared" ref="U62:U73" si="55">K62-T62</f>
        <v>3185000</v>
      </c>
      <c r="V62" s="8"/>
      <c r="W62" s="9"/>
      <c r="X62" s="8">
        <f t="shared" si="4"/>
        <v>3185000</v>
      </c>
    </row>
    <row r="63" spans="1:24" x14ac:dyDescent="0.25">
      <c r="A63" s="108"/>
      <c r="B63" s="14">
        <v>17</v>
      </c>
      <c r="C63" s="11" t="s">
        <v>89</v>
      </c>
      <c r="D63" s="6" t="s">
        <v>26</v>
      </c>
      <c r="E63" s="5">
        <v>4000000</v>
      </c>
      <c r="F63" s="12">
        <v>30</v>
      </c>
      <c r="G63" s="5">
        <f t="shared" ref="G63:G110" si="56">E63/30*F63</f>
        <v>4000000.0000000005</v>
      </c>
      <c r="H63" s="5"/>
      <c r="I63" s="5">
        <v>300000</v>
      </c>
      <c r="J63" s="5">
        <v>166670</v>
      </c>
      <c r="K63" s="5">
        <f t="shared" si="30"/>
        <v>4466670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4"/>
        <v>363000</v>
      </c>
      <c r="U63" s="7">
        <f t="shared" si="55"/>
        <v>4103670</v>
      </c>
      <c r="V63" s="8"/>
      <c r="W63" s="9"/>
      <c r="X63" s="8">
        <f t="shared" si="4"/>
        <v>4103670</v>
      </c>
    </row>
    <row r="64" spans="1:24" x14ac:dyDescent="0.25">
      <c r="A64" s="108"/>
      <c r="B64" s="14">
        <v>18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56"/>
        <v>800000</v>
      </c>
      <c r="H64" s="5">
        <f>+(83140/30)*F64</f>
        <v>83140</v>
      </c>
      <c r="I64" s="5"/>
      <c r="J64" s="5"/>
      <c r="K64" s="5">
        <f t="shared" si="30"/>
        <v>883140</v>
      </c>
      <c r="L64" s="5">
        <f>+G64*4%</f>
        <v>32000</v>
      </c>
      <c r="M64" s="5">
        <f>+G64*4%</f>
        <v>32000</v>
      </c>
      <c r="N64" s="5">
        <f>74413+83332</f>
        <v>157745</v>
      </c>
      <c r="O64" s="5"/>
      <c r="P64" s="5"/>
      <c r="Q64" s="5"/>
      <c r="R64" s="5"/>
      <c r="S64" s="5"/>
      <c r="T64" s="5">
        <f t="shared" si="44"/>
        <v>221745</v>
      </c>
      <c r="U64" s="7">
        <f t="shared" si="55"/>
        <v>661395</v>
      </c>
      <c r="V64" s="8"/>
      <c r="W64" s="9"/>
      <c r="X64" s="8">
        <f t="shared" si="4"/>
        <v>661395</v>
      </c>
    </row>
    <row r="65" spans="1:27" ht="17.25" customHeight="1" x14ac:dyDescent="0.25">
      <c r="A65" s="108"/>
      <c r="B65" s="14">
        <v>19</v>
      </c>
      <c r="C65" s="11" t="s">
        <v>91</v>
      </c>
      <c r="D65" s="6" t="s">
        <v>26</v>
      </c>
      <c r="E65" s="5">
        <v>3500000</v>
      </c>
      <c r="F65" s="12">
        <v>30</v>
      </c>
      <c r="G65" s="5">
        <f t="shared" si="56"/>
        <v>3500000</v>
      </c>
      <c r="H65" s="5">
        <v>0</v>
      </c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4"/>
        <v>315000</v>
      </c>
      <c r="U65" s="7">
        <f t="shared" si="55"/>
        <v>3185000</v>
      </c>
      <c r="V65" s="8"/>
      <c r="W65" s="9"/>
      <c r="X65" s="8">
        <f t="shared" si="4"/>
        <v>3185000</v>
      </c>
    </row>
    <row r="66" spans="1:27" ht="17.25" customHeight="1" x14ac:dyDescent="0.25">
      <c r="A66" s="108"/>
      <c r="B66" s="14">
        <v>20</v>
      </c>
      <c r="C66" s="11" t="s">
        <v>92</v>
      </c>
      <c r="D66" s="6" t="s">
        <v>26</v>
      </c>
      <c r="E66" s="5">
        <v>1550000</v>
      </c>
      <c r="F66" s="12">
        <v>30</v>
      </c>
      <c r="G66" s="5">
        <f t="shared" si="56"/>
        <v>1550000</v>
      </c>
      <c r="H66" s="5"/>
      <c r="I66" s="5"/>
      <c r="J66" s="5"/>
      <c r="K66" s="5">
        <f t="shared" ref="K66:K69" si="57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58">SUM(L66:S66)</f>
        <v>124000</v>
      </c>
      <c r="U66" s="7">
        <f t="shared" si="55"/>
        <v>1426000</v>
      </c>
      <c r="V66" s="8"/>
      <c r="W66" s="9"/>
      <c r="X66" s="8">
        <f t="shared" si="4"/>
        <v>1426000</v>
      </c>
    </row>
    <row r="67" spans="1:27" ht="17.25" customHeight="1" x14ac:dyDescent="0.25">
      <c r="A67" s="108"/>
      <c r="B67" s="14">
        <v>21</v>
      </c>
      <c r="C67" s="11" t="s">
        <v>164</v>
      </c>
      <c r="D67" s="6"/>
      <c r="E67" s="5">
        <v>2800000</v>
      </c>
      <c r="F67" s="12">
        <v>30</v>
      </c>
      <c r="G67" s="5">
        <f t="shared" si="56"/>
        <v>2800000</v>
      </c>
      <c r="H67" s="5"/>
      <c r="I67" s="5"/>
      <c r="J67" s="5"/>
      <c r="K67" s="5">
        <f t="shared" ref="K67" si="59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0">SUM(L67:S67)</f>
        <v>224000</v>
      </c>
      <c r="U67" s="7">
        <f t="shared" si="55"/>
        <v>2576000</v>
      </c>
      <c r="V67" s="8"/>
      <c r="W67" s="9"/>
      <c r="X67" s="8">
        <f t="shared" si="4"/>
        <v>2576000</v>
      </c>
    </row>
    <row r="68" spans="1:27" ht="17.25" customHeight="1" x14ac:dyDescent="0.25">
      <c r="A68" s="108"/>
      <c r="B68" s="14">
        <v>22</v>
      </c>
      <c r="C68" s="11" t="s">
        <v>93</v>
      </c>
      <c r="D68" s="6"/>
      <c r="E68" s="5">
        <v>1200000</v>
      </c>
      <c r="F68" s="12">
        <v>30</v>
      </c>
      <c r="G68" s="5">
        <f t="shared" si="56"/>
        <v>1200000</v>
      </c>
      <c r="H68" s="5">
        <f>+(83140/30)*F68</f>
        <v>83140</v>
      </c>
      <c r="I68" s="5"/>
      <c r="J68" s="5"/>
      <c r="K68" s="5">
        <f t="shared" ref="K68" si="61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0"/>
        <v>96000</v>
      </c>
      <c r="U68" s="7">
        <f t="shared" si="55"/>
        <v>1187140</v>
      </c>
      <c r="V68" s="8"/>
      <c r="W68" s="9"/>
      <c r="X68" s="8">
        <f t="shared" si="4"/>
        <v>1187140</v>
      </c>
    </row>
    <row r="69" spans="1:27" ht="20.25" customHeight="1" x14ac:dyDescent="0.25">
      <c r="A69" s="108"/>
      <c r="B69" s="14">
        <v>23</v>
      </c>
      <c r="C69" s="11" t="s">
        <v>165</v>
      </c>
      <c r="D69" s="6" t="s">
        <v>26</v>
      </c>
      <c r="E69" s="5">
        <v>1500000</v>
      </c>
      <c r="F69" s="12">
        <v>30</v>
      </c>
      <c r="G69" s="5">
        <f t="shared" si="56"/>
        <v>1500000</v>
      </c>
      <c r="H69" s="5"/>
      <c r="I69" s="5"/>
      <c r="J69" s="5"/>
      <c r="K69" s="5">
        <f t="shared" si="57"/>
        <v>1500000</v>
      </c>
      <c r="L69" s="5">
        <f>+G69*4%</f>
        <v>60000</v>
      </c>
      <c r="M69" s="5">
        <f>+G69*4%</f>
        <v>60000</v>
      </c>
      <c r="N69" s="5">
        <v>135000</v>
      </c>
      <c r="O69" s="5"/>
      <c r="P69" s="5"/>
      <c r="Q69" s="5"/>
      <c r="R69" s="5"/>
      <c r="S69" s="5"/>
      <c r="T69" s="5">
        <f t="shared" si="58"/>
        <v>255000</v>
      </c>
      <c r="U69" s="7">
        <f>K69-T69</f>
        <v>1245000</v>
      </c>
      <c r="V69" s="8"/>
      <c r="W69" s="9"/>
      <c r="X69" s="8">
        <f t="shared" ref="X69:X112" si="62">U69+V69-W69</f>
        <v>1245000</v>
      </c>
    </row>
    <row r="70" spans="1:27" ht="29.25" customHeight="1" x14ac:dyDescent="0.25">
      <c r="A70" s="108"/>
      <c r="B70" s="14">
        <v>24</v>
      </c>
      <c r="C70" s="11" t="s">
        <v>166</v>
      </c>
      <c r="D70" s="6" t="s">
        <v>26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0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8"/>
      <c r="W70" s="9"/>
      <c r="X70" s="8">
        <f t="shared" si="62"/>
        <v>1936072</v>
      </c>
      <c r="AA70" s="10">
        <f>1196000+644000</f>
        <v>1840000</v>
      </c>
    </row>
    <row r="71" spans="1:27" ht="25.5" customHeight="1" x14ac:dyDescent="0.25">
      <c r="A71" s="108"/>
      <c r="B71" s="14">
        <v>25</v>
      </c>
      <c r="C71" s="11" t="s">
        <v>155</v>
      </c>
      <c r="D71" s="6"/>
      <c r="E71" s="5">
        <v>368858</v>
      </c>
      <c r="F71" s="12">
        <v>30</v>
      </c>
      <c r="G71" s="5">
        <f t="shared" si="56"/>
        <v>368858</v>
      </c>
      <c r="H71" s="5"/>
      <c r="I71" s="5"/>
      <c r="J71" s="5"/>
      <c r="K71" s="5">
        <f t="shared" ref="K71" si="63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4">SUM(L71:S71)</f>
        <v>0</v>
      </c>
      <c r="U71" s="7">
        <f t="shared" ref="U71" si="65">K71-T71</f>
        <v>368858</v>
      </c>
      <c r="V71" s="8"/>
      <c r="W71" s="9"/>
      <c r="X71" s="8">
        <f t="shared" si="62"/>
        <v>368858</v>
      </c>
    </row>
    <row r="72" spans="1:27" x14ac:dyDescent="0.25">
      <c r="A72" s="108"/>
      <c r="B72" s="14">
        <v>26</v>
      </c>
      <c r="C72" s="3" t="s">
        <v>100</v>
      </c>
      <c r="D72" s="4" t="s">
        <v>26</v>
      </c>
      <c r="E72" s="5">
        <v>800000</v>
      </c>
      <c r="F72" s="12">
        <v>30</v>
      </c>
      <c r="G72" s="5">
        <f t="shared" si="56"/>
        <v>800000</v>
      </c>
      <c r="H72" s="5">
        <f>+(83140/30)*F72</f>
        <v>83140</v>
      </c>
      <c r="I72" s="5"/>
      <c r="J72" s="5"/>
      <c r="K72" s="5">
        <f t="shared" si="30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4"/>
        <v>64000</v>
      </c>
      <c r="U72" s="7">
        <f t="shared" si="55"/>
        <v>819140</v>
      </c>
      <c r="V72" s="8"/>
      <c r="W72" s="9"/>
      <c r="X72" s="8">
        <f t="shared" si="62"/>
        <v>819140</v>
      </c>
      <c r="AA72" s="10">
        <f>1840000-1196000</f>
        <v>644000</v>
      </c>
    </row>
    <row r="73" spans="1:27" x14ac:dyDescent="0.25">
      <c r="A73" s="108"/>
      <c r="B73" s="14">
        <v>27</v>
      </c>
      <c r="C73" s="3" t="s">
        <v>175</v>
      </c>
      <c r="D73" s="4" t="s">
        <v>26</v>
      </c>
      <c r="E73" s="5">
        <v>1000000</v>
      </c>
      <c r="F73" s="12">
        <v>30</v>
      </c>
      <c r="G73" s="5">
        <f t="shared" si="56"/>
        <v>1000000.0000000001</v>
      </c>
      <c r="H73" s="5">
        <f>+(83140/30)*F73</f>
        <v>83140</v>
      </c>
      <c r="I73" s="5"/>
      <c r="J73" s="5"/>
      <c r="K73" s="5">
        <f t="shared" ref="K73" si="66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67">SUM(L73:S73)</f>
        <v>80000.000000000015</v>
      </c>
      <c r="U73" s="7">
        <f t="shared" si="55"/>
        <v>1003140</v>
      </c>
      <c r="V73" s="8"/>
      <c r="W73" s="9"/>
      <c r="X73" s="8">
        <f t="shared" si="62"/>
        <v>1003140</v>
      </c>
      <c r="AA73" s="10">
        <f>1840000-1196000</f>
        <v>644000</v>
      </c>
    </row>
    <row r="74" spans="1:27" ht="21" customHeight="1" x14ac:dyDescent="0.25">
      <c r="A74" s="108"/>
      <c r="B74" s="14">
        <v>28</v>
      </c>
      <c r="C74" s="11" t="s">
        <v>183</v>
      </c>
      <c r="D74" s="6"/>
      <c r="E74" s="5">
        <v>3500000</v>
      </c>
      <c r="F74" s="12">
        <v>11</v>
      </c>
      <c r="G74" s="5">
        <f>+E74/30*F74</f>
        <v>1283333.3333333335</v>
      </c>
      <c r="H74" s="5">
        <v>155564</v>
      </c>
      <c r="I74" s="5"/>
      <c r="J74" s="5"/>
      <c r="K74" s="5">
        <f t="shared" ref="K74" si="68">SUM(G74:I74)+J74</f>
        <v>1438897.3333333335</v>
      </c>
      <c r="L74" s="5">
        <f>+G74*4%</f>
        <v>51333.333333333343</v>
      </c>
      <c r="M74" s="5">
        <f>+G74*4%</f>
        <v>51333.333333333343</v>
      </c>
      <c r="N74" s="5"/>
      <c r="O74" s="5"/>
      <c r="P74" s="5"/>
      <c r="Q74" s="5"/>
      <c r="R74" s="5"/>
      <c r="S74" s="5"/>
      <c r="T74" s="5">
        <f>SUM(L74:S74)</f>
        <v>102666.66666666669</v>
      </c>
      <c r="U74" s="7">
        <f>+K74-T74</f>
        <v>1336230.6666666667</v>
      </c>
      <c r="V74" s="8"/>
      <c r="W74" s="9"/>
      <c r="X74" s="8">
        <f t="shared" si="62"/>
        <v>1336230.6666666667</v>
      </c>
    </row>
    <row r="75" spans="1:27" x14ac:dyDescent="0.25">
      <c r="A75" s="108"/>
      <c r="B75" s="14">
        <v>29</v>
      </c>
      <c r="C75" s="11" t="s">
        <v>104</v>
      </c>
      <c r="D75" s="6" t="s">
        <v>26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69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0">SUM(L75:S75)</f>
        <v>363000</v>
      </c>
      <c r="U75" s="7">
        <f>+K75-T75</f>
        <v>3637000</v>
      </c>
      <c r="V75" s="8"/>
      <c r="W75" s="9"/>
      <c r="X75" s="8">
        <f t="shared" si="62"/>
        <v>3637000</v>
      </c>
      <c r="Y75" s="10" t="s">
        <v>105</v>
      </c>
    </row>
    <row r="76" spans="1:27" ht="21" customHeight="1" x14ac:dyDescent="0.25">
      <c r="A76" s="108"/>
      <c r="B76" s="14">
        <v>30</v>
      </c>
      <c r="C76" s="3" t="s">
        <v>177</v>
      </c>
      <c r="D76" s="4"/>
      <c r="E76" s="5">
        <v>1600000</v>
      </c>
      <c r="F76" s="12">
        <v>30</v>
      </c>
      <c r="G76" s="5">
        <f t="shared" ref="G76" si="71">E76/30*F76</f>
        <v>1600000</v>
      </c>
      <c r="H76" s="5"/>
      <c r="I76" s="5"/>
      <c r="J76" s="5"/>
      <c r="K76" s="5">
        <f t="shared" ref="K76" si="72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3">K76-T76</f>
        <v>1472000</v>
      </c>
      <c r="V76" s="8"/>
      <c r="W76" s="9"/>
      <c r="X76" s="8">
        <f t="shared" si="62"/>
        <v>1472000</v>
      </c>
    </row>
    <row r="77" spans="1:27" x14ac:dyDescent="0.25">
      <c r="A77" s="108"/>
      <c r="B77" s="14">
        <v>31</v>
      </c>
      <c r="C77" s="11" t="s">
        <v>106</v>
      </c>
      <c r="D77" s="6" t="s">
        <v>26</v>
      </c>
      <c r="E77" s="5">
        <v>1500000</v>
      </c>
      <c r="F77" s="12">
        <v>30</v>
      </c>
      <c r="G77" s="5">
        <f t="shared" si="56"/>
        <v>1500000</v>
      </c>
      <c r="H77" s="5"/>
      <c r="I77" s="5"/>
      <c r="J77" s="5"/>
      <c r="K77" s="5">
        <f t="shared" ref="K77" si="74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120000</v>
      </c>
      <c r="U77" s="7">
        <f t="shared" ref="U77:U82" si="76">+K77-T77</f>
        <v>1380000</v>
      </c>
      <c r="V77" s="8"/>
      <c r="W77" s="9"/>
      <c r="X77" s="8">
        <f t="shared" si="62"/>
        <v>1380000</v>
      </c>
      <c r="Y77" s="10" t="s">
        <v>105</v>
      </c>
    </row>
    <row r="78" spans="1:27" x14ac:dyDescent="0.25">
      <c r="A78" s="108"/>
      <c r="B78" s="14">
        <v>32</v>
      </c>
      <c r="C78" s="11" t="s">
        <v>107</v>
      </c>
      <c r="D78" s="6" t="s">
        <v>26</v>
      </c>
      <c r="E78" s="5">
        <v>3000000</v>
      </c>
      <c r="F78" s="12">
        <v>30</v>
      </c>
      <c r="G78" s="5">
        <f t="shared" si="56"/>
        <v>3000000</v>
      </c>
      <c r="H78" s="5"/>
      <c r="I78" s="5"/>
      <c r="J78" s="5"/>
      <c r="K78" s="5">
        <f t="shared" si="30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4"/>
        <v>1065577</v>
      </c>
      <c r="U78" s="7">
        <f t="shared" si="76"/>
        <v>1934423</v>
      </c>
      <c r="V78" s="8"/>
      <c r="W78" s="9"/>
      <c r="X78" s="8">
        <f t="shared" si="62"/>
        <v>1934423</v>
      </c>
    </row>
    <row r="79" spans="1:27" x14ac:dyDescent="0.25">
      <c r="A79" s="108"/>
      <c r="B79" s="14">
        <v>33</v>
      </c>
      <c r="C79" s="11" t="s">
        <v>167</v>
      </c>
      <c r="D79" s="6"/>
      <c r="E79" s="5">
        <v>4500000</v>
      </c>
      <c r="F79" s="12">
        <v>30</v>
      </c>
      <c r="G79" s="5">
        <f t="shared" si="56"/>
        <v>4500000</v>
      </c>
      <c r="H79" s="5"/>
      <c r="I79" s="5"/>
      <c r="J79" s="5"/>
      <c r="K79" s="5">
        <f t="shared" ref="K79:K82" si="77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78">SUM(L79:S79)</f>
        <v>423000</v>
      </c>
      <c r="U79" s="7">
        <f t="shared" si="76"/>
        <v>4077000</v>
      </c>
      <c r="V79" s="8"/>
      <c r="W79" s="9"/>
      <c r="X79" s="8">
        <f t="shared" si="62"/>
        <v>4077000</v>
      </c>
    </row>
    <row r="80" spans="1:27" x14ac:dyDescent="0.25">
      <c r="A80" s="108"/>
      <c r="B80" s="14">
        <v>34</v>
      </c>
      <c r="C80" s="11" t="s">
        <v>108</v>
      </c>
      <c r="D80" s="6"/>
      <c r="E80" s="5">
        <v>4500000</v>
      </c>
      <c r="F80" s="12">
        <v>30</v>
      </c>
      <c r="G80" s="5">
        <f t="shared" si="56"/>
        <v>4500000</v>
      </c>
      <c r="H80" s="5"/>
      <c r="I80" s="5"/>
      <c r="J80" s="5"/>
      <c r="K80" s="5">
        <f t="shared" si="77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78"/>
        <v>477000</v>
      </c>
      <c r="U80" s="7">
        <f t="shared" si="76"/>
        <v>4023000</v>
      </c>
      <c r="V80" s="8"/>
      <c r="W80" s="9"/>
      <c r="X80" s="8">
        <f t="shared" si="62"/>
        <v>4023000</v>
      </c>
    </row>
    <row r="81" spans="1:24" x14ac:dyDescent="0.25">
      <c r="A81" s="108"/>
      <c r="B81" s="14">
        <v>35</v>
      </c>
      <c r="C81" s="11" t="s">
        <v>168</v>
      </c>
      <c r="D81" s="6"/>
      <c r="E81" s="5">
        <v>737717</v>
      </c>
      <c r="F81" s="12">
        <v>30</v>
      </c>
      <c r="G81" s="5">
        <f t="shared" si="56"/>
        <v>737717</v>
      </c>
      <c r="H81" s="5">
        <f t="shared" ref="H81:H82" si="79">+(83140/30)*F81</f>
        <v>83140</v>
      </c>
      <c r="I81" s="5"/>
      <c r="J81" s="5"/>
      <c r="K81" s="5">
        <f t="shared" si="77"/>
        <v>820857</v>
      </c>
      <c r="L81" s="5">
        <f t="shared" ref="L81:L82" si="80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76"/>
        <v>761839</v>
      </c>
      <c r="V81" s="8"/>
      <c r="W81" s="9"/>
      <c r="X81" s="8">
        <f t="shared" si="62"/>
        <v>761839</v>
      </c>
    </row>
    <row r="82" spans="1:24" x14ac:dyDescent="0.25">
      <c r="A82" s="108"/>
      <c r="B82" s="14">
        <v>36</v>
      </c>
      <c r="C82" s="11" t="s">
        <v>169</v>
      </c>
      <c r="D82" s="6"/>
      <c r="E82" s="5">
        <v>737717</v>
      </c>
      <c r="F82" s="12">
        <v>30</v>
      </c>
      <c r="G82" s="5">
        <f t="shared" si="56"/>
        <v>737717</v>
      </c>
      <c r="H82" s="5">
        <f t="shared" si="79"/>
        <v>83140</v>
      </c>
      <c r="I82" s="5"/>
      <c r="J82" s="5"/>
      <c r="K82" s="5">
        <f t="shared" si="77"/>
        <v>820857</v>
      </c>
      <c r="L82" s="5">
        <f t="shared" si="80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76"/>
        <v>761839</v>
      </c>
      <c r="V82" s="8"/>
      <c r="W82" s="9"/>
      <c r="X82" s="8">
        <f t="shared" si="62"/>
        <v>761839</v>
      </c>
    </row>
    <row r="83" spans="1:24" ht="18" customHeight="1" x14ac:dyDescent="0.25">
      <c r="A83" s="108"/>
      <c r="B83" s="14">
        <v>37</v>
      </c>
      <c r="C83" s="11" t="s">
        <v>170</v>
      </c>
      <c r="D83" s="6"/>
      <c r="E83" s="5">
        <v>2500000</v>
      </c>
      <c r="F83" s="12">
        <v>30</v>
      </c>
      <c r="G83" s="5">
        <f t="shared" si="56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>
        <f>107500</f>
        <v>107500</v>
      </c>
      <c r="O83" s="5"/>
      <c r="P83" s="17"/>
      <c r="Q83" s="5"/>
      <c r="R83" s="5"/>
      <c r="S83" s="5"/>
      <c r="T83" s="5">
        <f>SUM(L83:S83)</f>
        <v>307500</v>
      </c>
      <c r="U83" s="7">
        <f>+K83-T83</f>
        <v>2542500</v>
      </c>
      <c r="V83" s="8"/>
      <c r="W83" s="9"/>
      <c r="X83" s="8">
        <f t="shared" si="62"/>
        <v>2542500</v>
      </c>
    </row>
    <row r="84" spans="1:24" ht="24" x14ac:dyDescent="0.25">
      <c r="A84" s="108"/>
      <c r="B84" s="14">
        <v>38</v>
      </c>
      <c r="C84" s="11" t="s">
        <v>109</v>
      </c>
      <c r="D84" s="6" t="s">
        <v>26</v>
      </c>
      <c r="E84" s="5">
        <v>1500000</v>
      </c>
      <c r="F84" s="12">
        <v>30</v>
      </c>
      <c r="G84" s="5">
        <f t="shared" si="56"/>
        <v>1500000</v>
      </c>
      <c r="H84" s="5"/>
      <c r="I84" s="5"/>
      <c r="J84" s="5"/>
      <c r="K84" s="5">
        <f t="shared" ref="K84" si="81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2">SUM(L84:S84)</f>
        <v>120000</v>
      </c>
      <c r="U84" s="7">
        <f t="shared" ref="U84:U87" si="83">+K84-T84</f>
        <v>1380000</v>
      </c>
      <c r="V84" s="8"/>
      <c r="W84" s="9"/>
      <c r="X84" s="8">
        <f t="shared" si="62"/>
        <v>1380000</v>
      </c>
    </row>
    <row r="85" spans="1:24" ht="22.5" customHeight="1" x14ac:dyDescent="0.25">
      <c r="A85" s="108"/>
      <c r="B85" s="14">
        <v>39</v>
      </c>
      <c r="C85" s="11" t="s">
        <v>149</v>
      </c>
      <c r="D85" s="6"/>
      <c r="E85" s="5">
        <v>2500000</v>
      </c>
      <c r="F85" s="12">
        <v>30</v>
      </c>
      <c r="G85" s="5">
        <f t="shared" si="56"/>
        <v>2500000</v>
      </c>
      <c r="H85" s="5"/>
      <c r="I85" s="5"/>
      <c r="J85" s="5"/>
      <c r="K85" s="5">
        <f t="shared" ref="K85" si="84">SUM(G85:I85)+J85</f>
        <v>2500000</v>
      </c>
      <c r="L85" s="5">
        <f>+G85*4%</f>
        <v>100000</v>
      </c>
      <c r="M85" s="5">
        <f>+G85*4%</f>
        <v>100000</v>
      </c>
      <c r="N85" s="5">
        <f>93312+137450</f>
        <v>230762</v>
      </c>
      <c r="O85" s="5"/>
      <c r="P85" s="5">
        <v>0</v>
      </c>
      <c r="Q85" s="5"/>
      <c r="R85" s="5"/>
      <c r="S85" s="5"/>
      <c r="T85" s="5">
        <f>SUM(L85:S85)</f>
        <v>430762</v>
      </c>
      <c r="U85" s="7">
        <f t="shared" si="83"/>
        <v>2069238</v>
      </c>
      <c r="V85" s="8"/>
      <c r="W85" s="9"/>
      <c r="X85" s="8">
        <f t="shared" si="62"/>
        <v>2069238</v>
      </c>
    </row>
    <row r="86" spans="1:24" x14ac:dyDescent="0.25">
      <c r="A86" s="108"/>
      <c r="B86" s="14">
        <v>40</v>
      </c>
      <c r="C86" s="11" t="s">
        <v>171</v>
      </c>
      <c r="D86" s="6"/>
      <c r="E86" s="5">
        <v>3500000</v>
      </c>
      <c r="F86" s="12">
        <v>30</v>
      </c>
      <c r="G86" s="5">
        <f t="shared" si="56"/>
        <v>3500000</v>
      </c>
      <c r="H86" s="5"/>
      <c r="I86" s="5"/>
      <c r="J86" s="5"/>
      <c r="K86" s="5">
        <f t="shared" ref="K86" si="85">SUM(G86:I86)+J86</f>
        <v>3500000</v>
      </c>
      <c r="L86" s="5">
        <f>+G86*4%</f>
        <v>140000</v>
      </c>
      <c r="M86" s="5">
        <f>+G86*5%</f>
        <v>175000</v>
      </c>
      <c r="N86" s="5">
        <v>0</v>
      </c>
      <c r="O86" s="5"/>
      <c r="P86" s="5">
        <v>0</v>
      </c>
      <c r="Q86" s="5"/>
      <c r="R86" s="5"/>
      <c r="S86" s="5"/>
      <c r="T86" s="5">
        <f t="shared" ref="T86" si="86">SUM(L86:S86)</f>
        <v>315000</v>
      </c>
      <c r="U86" s="7">
        <f t="shared" si="83"/>
        <v>3185000</v>
      </c>
      <c r="V86" s="8"/>
      <c r="W86" s="9"/>
      <c r="X86" s="8">
        <f t="shared" si="62"/>
        <v>3185000</v>
      </c>
    </row>
    <row r="87" spans="1:24" x14ac:dyDescent="0.25">
      <c r="A87" s="108"/>
      <c r="B87" s="14">
        <v>41</v>
      </c>
      <c r="C87" s="11" t="s">
        <v>111</v>
      </c>
      <c r="D87" s="6" t="s">
        <v>26</v>
      </c>
      <c r="E87" s="5">
        <v>4500000</v>
      </c>
      <c r="F87" s="12">
        <v>30</v>
      </c>
      <c r="G87" s="5">
        <f t="shared" si="56"/>
        <v>4500000</v>
      </c>
      <c r="H87" s="5"/>
      <c r="I87" s="5">
        <v>328125</v>
      </c>
      <c r="J87" s="5"/>
      <c r="K87" s="5">
        <f t="shared" ref="K87:K89" si="87">SUM(G87:I87)+J87</f>
        <v>4828125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>
        <v>610699</v>
      </c>
      <c r="T87" s="5">
        <f t="shared" ref="T87" si="88">SUM(L87:S87)</f>
        <v>1087699</v>
      </c>
      <c r="U87" s="7">
        <f t="shared" si="83"/>
        <v>3740426</v>
      </c>
      <c r="V87" s="8"/>
      <c r="W87" s="9"/>
      <c r="X87" s="8">
        <f t="shared" si="62"/>
        <v>3740426</v>
      </c>
    </row>
    <row r="88" spans="1:24" ht="21.75" customHeight="1" x14ac:dyDescent="0.25">
      <c r="A88" s="108"/>
      <c r="B88" s="14">
        <v>42</v>
      </c>
      <c r="C88" s="11" t="s">
        <v>184</v>
      </c>
      <c r="D88" s="6"/>
      <c r="E88" s="5">
        <v>5400000</v>
      </c>
      <c r="F88" s="12">
        <v>13</v>
      </c>
      <c r="G88" s="5">
        <f>+E88/30*F88</f>
        <v>2340000</v>
      </c>
      <c r="H88" s="5"/>
      <c r="I88" s="5"/>
      <c r="J88" s="5"/>
      <c r="K88" s="5">
        <f>SUM(G88:I88)+J88</f>
        <v>2340000</v>
      </c>
      <c r="L88" s="5">
        <f>+G88*4%</f>
        <v>93600</v>
      </c>
      <c r="M88" s="5">
        <f>+G88*4%</f>
        <v>93600</v>
      </c>
      <c r="N88" s="5"/>
      <c r="O88" s="5"/>
      <c r="P88" s="5"/>
      <c r="Q88" s="5"/>
      <c r="R88" s="5"/>
      <c r="S88" s="5"/>
      <c r="T88" s="5">
        <f>SUM(L88:S88)</f>
        <v>187200</v>
      </c>
      <c r="U88" s="7">
        <f>+K88-T88</f>
        <v>2152800</v>
      </c>
      <c r="V88" s="8"/>
      <c r="W88" s="9"/>
      <c r="X88" s="8">
        <f t="shared" si="62"/>
        <v>2152800</v>
      </c>
    </row>
    <row r="89" spans="1:24" x14ac:dyDescent="0.25">
      <c r="A89" s="108"/>
      <c r="B89" s="14">
        <v>43</v>
      </c>
      <c r="C89" s="11" t="s">
        <v>112</v>
      </c>
      <c r="D89" s="6" t="s">
        <v>26</v>
      </c>
      <c r="E89" s="5">
        <v>4500000</v>
      </c>
      <c r="F89" s="12">
        <v>30</v>
      </c>
      <c r="G89" s="5">
        <f>+E89-J89</f>
        <v>4500000</v>
      </c>
      <c r="H89" s="5"/>
      <c r="I89" s="5"/>
      <c r="J89" s="5"/>
      <c r="K89" s="5">
        <f t="shared" si="87"/>
        <v>4500000</v>
      </c>
      <c r="L89" s="5">
        <f>+K89*4%</f>
        <v>180000</v>
      </c>
      <c r="M89" s="5">
        <f>+K89*5%</f>
        <v>225000</v>
      </c>
      <c r="N89" s="5">
        <v>0</v>
      </c>
      <c r="O89" s="5"/>
      <c r="P89" s="5">
        <v>8500</v>
      </c>
      <c r="Q89" s="5"/>
      <c r="R89" s="5"/>
      <c r="S89" s="5"/>
      <c r="T89" s="5">
        <f>SUM(L89:S89)</f>
        <v>413500</v>
      </c>
      <c r="U89" s="7">
        <f t="shared" ref="U89:U92" si="89">K89-T89</f>
        <v>4086500</v>
      </c>
      <c r="V89" s="8"/>
      <c r="W89" s="9"/>
      <c r="X89" s="8">
        <f t="shared" si="62"/>
        <v>4086500</v>
      </c>
    </row>
    <row r="90" spans="1:24" x14ac:dyDescent="0.25">
      <c r="A90" s="108"/>
      <c r="B90" s="14">
        <v>44</v>
      </c>
      <c r="C90" s="11" t="s">
        <v>113</v>
      </c>
      <c r="D90" s="6" t="s">
        <v>26</v>
      </c>
      <c r="E90" s="5">
        <v>3500000</v>
      </c>
      <c r="F90" s="12">
        <v>30</v>
      </c>
      <c r="G90" s="5">
        <f t="shared" si="56"/>
        <v>3500000</v>
      </c>
      <c r="H90" s="5"/>
      <c r="I90" s="5"/>
      <c r="J90" s="5"/>
      <c r="K90" s="5">
        <f t="shared" ref="K90:K109" si="90">SUM(G90:I90)+J90</f>
        <v>3500000</v>
      </c>
      <c r="L90" s="5">
        <f>+G90*4%</f>
        <v>140000</v>
      </c>
      <c r="M90" s="5">
        <f>+G90*5%</f>
        <v>175000</v>
      </c>
      <c r="N90" s="5">
        <v>0</v>
      </c>
      <c r="O90" s="5"/>
      <c r="P90" s="5">
        <v>0</v>
      </c>
      <c r="Q90" s="5"/>
      <c r="R90" s="5"/>
      <c r="S90" s="5"/>
      <c r="T90" s="5">
        <f t="shared" si="44"/>
        <v>315000</v>
      </c>
      <c r="U90" s="7">
        <f t="shared" si="89"/>
        <v>3185000</v>
      </c>
      <c r="V90" s="8"/>
      <c r="W90" s="9"/>
      <c r="X90" s="8">
        <f t="shared" si="62"/>
        <v>3185000</v>
      </c>
    </row>
    <row r="91" spans="1:24" ht="24" x14ac:dyDescent="0.25">
      <c r="A91" s="108"/>
      <c r="B91" s="14">
        <v>45</v>
      </c>
      <c r="C91" s="11" t="s">
        <v>115</v>
      </c>
      <c r="D91" s="6" t="s">
        <v>26</v>
      </c>
      <c r="E91" s="5">
        <v>1500000</v>
      </c>
      <c r="F91" s="12">
        <v>30</v>
      </c>
      <c r="G91" s="5">
        <f t="shared" si="56"/>
        <v>1500000</v>
      </c>
      <c r="H91" s="5"/>
      <c r="I91" s="5"/>
      <c r="J91" s="5"/>
      <c r="K91" s="5">
        <f t="shared" ref="K91" si="91">SUM(G91:I91)+J91</f>
        <v>1500000</v>
      </c>
      <c r="L91" s="5">
        <f>+G91*4%</f>
        <v>60000</v>
      </c>
      <c r="M91" s="5">
        <f>+G91*4%</f>
        <v>60000</v>
      </c>
      <c r="N91" s="5"/>
      <c r="O91" s="5"/>
      <c r="P91" s="5"/>
      <c r="Q91" s="5"/>
      <c r="R91" s="5"/>
      <c r="S91" s="5"/>
      <c r="T91" s="5">
        <f t="shared" ref="T91" si="92">SUM(L91:S91)</f>
        <v>120000</v>
      </c>
      <c r="U91" s="7">
        <f t="shared" si="89"/>
        <v>1380000</v>
      </c>
      <c r="V91" s="8"/>
      <c r="W91" s="9"/>
      <c r="X91" s="8">
        <f t="shared" si="62"/>
        <v>1380000</v>
      </c>
    </row>
    <row r="92" spans="1:24" ht="23.25" customHeight="1" x14ac:dyDescent="0.25">
      <c r="A92" s="108"/>
      <c r="B92" s="14">
        <v>46</v>
      </c>
      <c r="C92" s="3" t="s">
        <v>116</v>
      </c>
      <c r="D92" s="4" t="s">
        <v>26</v>
      </c>
      <c r="E92" s="5">
        <v>737717</v>
      </c>
      <c r="F92" s="12">
        <v>30</v>
      </c>
      <c r="G92" s="5">
        <f t="shared" si="56"/>
        <v>737717</v>
      </c>
      <c r="H92" s="5">
        <v>83140</v>
      </c>
      <c r="I92" s="5">
        <v>30736</v>
      </c>
      <c r="J92" s="5"/>
      <c r="K92" s="5">
        <f t="shared" si="90"/>
        <v>851593</v>
      </c>
      <c r="L92" s="5">
        <v>29509</v>
      </c>
      <c r="M92" s="5">
        <v>29509</v>
      </c>
      <c r="N92" s="5">
        <v>106666</v>
      </c>
      <c r="O92" s="5"/>
      <c r="P92" s="5">
        <v>0</v>
      </c>
      <c r="Q92" s="5"/>
      <c r="R92" s="5"/>
      <c r="S92" s="5"/>
      <c r="T92" s="5">
        <f t="shared" si="44"/>
        <v>165684</v>
      </c>
      <c r="U92" s="7">
        <f t="shared" si="89"/>
        <v>685909</v>
      </c>
      <c r="V92" s="8"/>
      <c r="W92" s="9"/>
      <c r="X92" s="8">
        <f>U92+V92-W92</f>
        <v>685909</v>
      </c>
    </row>
    <row r="93" spans="1:24" ht="22.5" customHeight="1" x14ac:dyDescent="0.25">
      <c r="A93" s="108"/>
      <c r="B93" s="14">
        <v>47</v>
      </c>
      <c r="C93" s="3" t="s">
        <v>176</v>
      </c>
      <c r="D93" s="4"/>
      <c r="E93" s="5">
        <v>737717</v>
      </c>
      <c r="F93" s="12">
        <v>30</v>
      </c>
      <c r="G93" s="5">
        <f t="shared" si="56"/>
        <v>737717</v>
      </c>
      <c r="H93" s="5">
        <f t="shared" ref="H93" si="93">+(83140/30)*F93</f>
        <v>83140</v>
      </c>
      <c r="I93" s="5">
        <v>40346</v>
      </c>
      <c r="J93" s="5"/>
      <c r="K93" s="5">
        <f>SUM(G93:I93)+J93</f>
        <v>861203</v>
      </c>
      <c r="L93" s="5">
        <f>+G93*4%</f>
        <v>29508.68</v>
      </c>
      <c r="M93" s="5">
        <f>+G93*4%</f>
        <v>29508.68</v>
      </c>
      <c r="N93" s="5"/>
      <c r="O93" s="5"/>
      <c r="P93" s="5"/>
      <c r="Q93" s="5"/>
      <c r="R93" s="5"/>
      <c r="S93" s="5"/>
      <c r="T93" s="74">
        <v>59018</v>
      </c>
      <c r="U93" s="7">
        <f>K93-T93</f>
        <v>802185</v>
      </c>
      <c r="V93" s="8"/>
      <c r="W93" s="9"/>
      <c r="X93" s="8">
        <f>U93+V93-W93</f>
        <v>802185</v>
      </c>
    </row>
    <row r="94" spans="1:24" x14ac:dyDescent="0.25">
      <c r="A94" s="108"/>
      <c r="B94" s="14">
        <v>48</v>
      </c>
      <c r="C94" s="11" t="s">
        <v>119</v>
      </c>
      <c r="D94" s="6" t="s">
        <v>26</v>
      </c>
      <c r="E94" s="5">
        <v>15400000</v>
      </c>
      <c r="F94" s="12">
        <v>30</v>
      </c>
      <c r="G94" s="5">
        <f t="shared" si="56"/>
        <v>15400000</v>
      </c>
      <c r="H94" s="5"/>
      <c r="I94" s="5">
        <v>600000</v>
      </c>
      <c r="J94" s="5"/>
      <c r="K94" s="5">
        <f t="shared" si="90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4"/>
        <v>9873115</v>
      </c>
      <c r="U94" s="7">
        <f>+K94-T94</f>
        <v>6126885</v>
      </c>
      <c r="V94" s="8"/>
      <c r="W94" s="9"/>
      <c r="X94" s="8">
        <f t="shared" si="62"/>
        <v>6126885</v>
      </c>
    </row>
    <row r="95" spans="1:24" x14ac:dyDescent="0.25">
      <c r="A95" s="108"/>
      <c r="B95" s="14">
        <v>49</v>
      </c>
      <c r="C95" s="11" t="s">
        <v>120</v>
      </c>
      <c r="D95" s="6" t="s">
        <v>26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0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4"/>
        <v>1615458</v>
      </c>
      <c r="U95" s="7">
        <f>+K95-T95</f>
        <v>2884542</v>
      </c>
      <c r="V95" s="8"/>
      <c r="W95" s="9"/>
      <c r="X95" s="8">
        <f t="shared" si="62"/>
        <v>2884542</v>
      </c>
    </row>
    <row r="96" spans="1:24" ht="24" x14ac:dyDescent="0.25">
      <c r="A96" s="108"/>
      <c r="B96" s="14">
        <v>50</v>
      </c>
      <c r="C96" s="11" t="s">
        <v>158</v>
      </c>
      <c r="D96" s="6"/>
      <c r="E96" s="5">
        <v>1600000</v>
      </c>
      <c r="F96" s="12">
        <v>30</v>
      </c>
      <c r="G96" s="5">
        <f t="shared" si="56"/>
        <v>1600000</v>
      </c>
      <c r="H96" s="5"/>
      <c r="I96" s="5"/>
      <c r="J96" s="5"/>
      <c r="K96" s="5">
        <f t="shared" ref="K96" si="94">SUM(G96:I96)+J96</f>
        <v>1600000</v>
      </c>
      <c r="L96" s="5">
        <f t="shared" ref="L96" si="95">+G96*4%</f>
        <v>64000</v>
      </c>
      <c r="M96" s="5">
        <f>+G96*4%</f>
        <v>64000</v>
      </c>
      <c r="N96" s="5">
        <f>65000</f>
        <v>65000</v>
      </c>
      <c r="O96" s="5"/>
      <c r="P96" s="5"/>
      <c r="Q96" s="5"/>
      <c r="R96" s="5"/>
      <c r="S96" s="5"/>
      <c r="T96" s="5">
        <f t="shared" ref="T96" si="96">SUM(L96:S96)</f>
        <v>193000</v>
      </c>
      <c r="U96" s="7">
        <f>+K96-T96</f>
        <v>1407000</v>
      </c>
      <c r="V96" s="8"/>
      <c r="W96" s="9"/>
      <c r="X96" s="8">
        <f t="shared" si="62"/>
        <v>1407000</v>
      </c>
    </row>
    <row r="97" spans="1:24" x14ac:dyDescent="0.25">
      <c r="A97" s="108"/>
      <c r="B97" s="14">
        <v>51</v>
      </c>
      <c r="C97" s="11" t="s">
        <v>121</v>
      </c>
      <c r="D97" s="6" t="s">
        <v>26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0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4"/>
        <v>200000</v>
      </c>
      <c r="U97" s="7">
        <f>+K97-T97</f>
        <v>2300000</v>
      </c>
      <c r="V97" s="8"/>
      <c r="W97" s="9"/>
      <c r="X97" s="8">
        <f t="shared" si="62"/>
        <v>2300000</v>
      </c>
    </row>
    <row r="98" spans="1:24" x14ac:dyDescent="0.25">
      <c r="A98" s="108"/>
      <c r="B98" s="14">
        <v>52</v>
      </c>
      <c r="C98" s="3" t="s">
        <v>122</v>
      </c>
      <c r="D98" s="4" t="s">
        <v>26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0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8"/>
      <c r="W98" s="9"/>
      <c r="X98" s="8">
        <f t="shared" si="62"/>
        <v>2485229</v>
      </c>
    </row>
    <row r="99" spans="1:24" x14ac:dyDescent="0.25">
      <c r="A99" s="108"/>
      <c r="B99" s="14">
        <v>53</v>
      </c>
      <c r="C99" s="3" t="s">
        <v>123</v>
      </c>
      <c r="D99" s="4" t="s">
        <v>26</v>
      </c>
      <c r="E99" s="5">
        <v>1600000</v>
      </c>
      <c r="F99" s="12">
        <v>30</v>
      </c>
      <c r="G99" s="5">
        <f t="shared" si="56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8"/>
      <c r="W99" s="9"/>
      <c r="X99" s="8">
        <f t="shared" si="62"/>
        <v>1672000</v>
      </c>
    </row>
    <row r="100" spans="1:24" ht="23.25" customHeight="1" x14ac:dyDescent="0.25">
      <c r="A100" s="108"/>
      <c r="B100" s="14">
        <v>54</v>
      </c>
      <c r="C100" s="11" t="s">
        <v>127</v>
      </c>
      <c r="D100" s="6" t="s">
        <v>26</v>
      </c>
      <c r="E100" s="5">
        <v>3750000</v>
      </c>
      <c r="F100" s="12">
        <v>30</v>
      </c>
      <c r="G100" s="5">
        <f t="shared" si="56"/>
        <v>3750000</v>
      </c>
      <c r="H100" s="5"/>
      <c r="I100" s="5"/>
      <c r="J100" s="5"/>
      <c r="K100" s="5">
        <f t="shared" si="90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4"/>
        <v>337500</v>
      </c>
      <c r="U100" s="7">
        <f>+K100-T100</f>
        <v>3412500</v>
      </c>
      <c r="V100" s="8"/>
      <c r="W100" s="9"/>
      <c r="X100" s="8">
        <f t="shared" si="62"/>
        <v>3412500</v>
      </c>
    </row>
    <row r="101" spans="1:24" ht="24" x14ac:dyDescent="0.25">
      <c r="A101" s="108"/>
      <c r="B101" s="14">
        <v>55</v>
      </c>
      <c r="C101" s="11" t="s">
        <v>128</v>
      </c>
      <c r="D101" s="6" t="s">
        <v>26</v>
      </c>
      <c r="E101" s="5">
        <v>3700000</v>
      </c>
      <c r="F101" s="12">
        <v>30</v>
      </c>
      <c r="G101" s="5">
        <f t="shared" si="56"/>
        <v>3700000</v>
      </c>
      <c r="H101" s="5"/>
      <c r="I101" s="5">
        <v>650000</v>
      </c>
      <c r="J101" s="5"/>
      <c r="K101" s="5">
        <f t="shared" si="90"/>
        <v>4350000</v>
      </c>
      <c r="L101" s="5">
        <f t="shared" ref="L101" si="97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98">SUM(L101:S101)</f>
        <v>333000</v>
      </c>
      <c r="U101" s="7">
        <f>+K101-T101</f>
        <v>4017000</v>
      </c>
      <c r="V101" s="8"/>
      <c r="W101" s="9"/>
      <c r="X101" s="8">
        <f t="shared" si="62"/>
        <v>4017000</v>
      </c>
    </row>
    <row r="102" spans="1:24" ht="22.5" customHeight="1" x14ac:dyDescent="0.25">
      <c r="A102" s="108"/>
      <c r="B102" s="14">
        <v>56</v>
      </c>
      <c r="C102" s="11" t="s">
        <v>67</v>
      </c>
      <c r="D102" s="6" t="s">
        <v>26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0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98"/>
        <v>315000</v>
      </c>
      <c r="U102" s="7">
        <f t="shared" ref="U102" si="99">+K102-T102</f>
        <v>3185000</v>
      </c>
      <c r="V102" s="8"/>
      <c r="W102" s="9"/>
      <c r="X102" s="8">
        <f t="shared" si="62"/>
        <v>3185000</v>
      </c>
    </row>
    <row r="103" spans="1:24" x14ac:dyDescent="0.25">
      <c r="A103" s="108"/>
      <c r="B103" s="14">
        <v>57</v>
      </c>
      <c r="C103" s="11" t="s">
        <v>129</v>
      </c>
      <c r="D103" s="6" t="s">
        <v>34</v>
      </c>
      <c r="E103" s="5">
        <v>2000000</v>
      </c>
      <c r="F103" s="12">
        <v>29</v>
      </c>
      <c r="G103" s="5">
        <f t="shared" si="56"/>
        <v>1933333.3333333335</v>
      </c>
      <c r="H103" s="5">
        <v>44447</v>
      </c>
      <c r="I103" s="5"/>
      <c r="J103" s="5"/>
      <c r="K103" s="5">
        <f t="shared" si="90"/>
        <v>1977780.3333333335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4"/>
        <v>160000</v>
      </c>
      <c r="U103" s="7">
        <f>+K103-T103</f>
        <v>1817780.3333333335</v>
      </c>
      <c r="V103" s="8"/>
      <c r="W103" s="9"/>
      <c r="X103" s="8">
        <f t="shared" si="62"/>
        <v>1817780.3333333335</v>
      </c>
    </row>
    <row r="104" spans="1:24" x14ac:dyDescent="0.25">
      <c r="A104" s="108"/>
      <c r="B104" s="14">
        <v>58</v>
      </c>
      <c r="C104" s="11" t="s">
        <v>172</v>
      </c>
      <c r="D104" s="6"/>
      <c r="E104" s="5">
        <v>1500000</v>
      </c>
      <c r="F104" s="12">
        <v>30</v>
      </c>
      <c r="G104" s="5">
        <f t="shared" si="56"/>
        <v>1500000</v>
      </c>
      <c r="H104" s="5"/>
      <c r="I104" s="5"/>
      <c r="J104" s="5"/>
      <c r="K104" s="5">
        <f t="shared" ref="K104" si="100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1">SUM(L104:S104)</f>
        <v>120000</v>
      </c>
      <c r="U104" s="7">
        <f>+K104-T104</f>
        <v>1380000</v>
      </c>
      <c r="V104" s="8"/>
      <c r="W104" s="9"/>
      <c r="X104" s="8">
        <f t="shared" si="62"/>
        <v>1380000</v>
      </c>
    </row>
    <row r="105" spans="1:24" x14ac:dyDescent="0.25">
      <c r="A105" s="108"/>
      <c r="B105" s="14">
        <v>59</v>
      </c>
      <c r="C105" s="3" t="s">
        <v>130</v>
      </c>
      <c r="D105" s="4" t="s">
        <v>26</v>
      </c>
      <c r="E105" s="5">
        <v>1600000</v>
      </c>
      <c r="F105" s="12">
        <v>30</v>
      </c>
      <c r="G105" s="5">
        <f t="shared" si="56"/>
        <v>1600000</v>
      </c>
      <c r="H105" s="5"/>
      <c r="I105" s="5"/>
      <c r="J105" s="5"/>
      <c r="K105" s="5">
        <f t="shared" si="90"/>
        <v>1600000</v>
      </c>
      <c r="L105" s="5">
        <f>+K105*4%</f>
        <v>64000</v>
      </c>
      <c r="M105" s="5">
        <v>64000</v>
      </c>
      <c r="N105" s="5">
        <v>190000</v>
      </c>
      <c r="O105" s="5">
        <v>250000</v>
      </c>
      <c r="P105" s="5">
        <v>0</v>
      </c>
      <c r="Q105" s="5"/>
      <c r="R105" s="5"/>
      <c r="S105" s="5">
        <v>249127</v>
      </c>
      <c r="T105" s="5">
        <f t="shared" si="44"/>
        <v>817127</v>
      </c>
      <c r="U105" s="7">
        <f>K105-T105</f>
        <v>782873</v>
      </c>
      <c r="V105" s="8"/>
      <c r="W105" s="9"/>
      <c r="X105" s="8">
        <f t="shared" si="62"/>
        <v>782873</v>
      </c>
    </row>
    <row r="106" spans="1:24" ht="23.25" customHeight="1" x14ac:dyDescent="0.25">
      <c r="A106" s="108"/>
      <c r="B106" s="14">
        <v>60</v>
      </c>
      <c r="C106" s="11" t="s">
        <v>131</v>
      </c>
      <c r="D106" s="6" t="s">
        <v>26</v>
      </c>
      <c r="E106" s="5">
        <v>1500000</v>
      </c>
      <c r="F106" s="12">
        <v>30</v>
      </c>
      <c r="G106" s="5">
        <f t="shared" si="56"/>
        <v>1500000</v>
      </c>
      <c r="H106" s="5">
        <v>0</v>
      </c>
      <c r="I106" s="5"/>
      <c r="J106" s="5"/>
      <c r="K106" s="5">
        <f t="shared" si="90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4"/>
        <v>120000</v>
      </c>
      <c r="U106" s="7">
        <f t="shared" ref="U106:U110" si="102">+K106-T106</f>
        <v>1380000</v>
      </c>
      <c r="V106" s="8"/>
      <c r="W106" s="9"/>
      <c r="X106" s="8">
        <f t="shared" si="62"/>
        <v>1380000</v>
      </c>
    </row>
    <row r="107" spans="1:24" ht="24" x14ac:dyDescent="0.25">
      <c r="A107" s="108"/>
      <c r="B107" s="14">
        <v>61</v>
      </c>
      <c r="C107" s="11" t="s">
        <v>133</v>
      </c>
      <c r="D107" s="6" t="s">
        <v>26</v>
      </c>
      <c r="E107" s="5">
        <v>1800000</v>
      </c>
      <c r="F107" s="12">
        <v>30</v>
      </c>
      <c r="G107" s="5">
        <f t="shared" si="56"/>
        <v>1800000</v>
      </c>
      <c r="H107" s="5"/>
      <c r="I107" s="5"/>
      <c r="J107" s="21"/>
      <c r="K107" s="5">
        <f t="shared" ref="K107:K108" si="103">SUM(G107:I107)+J107</f>
        <v>1800000</v>
      </c>
      <c r="L107" s="5">
        <f t="shared" ref="L107" si="104">+G107*4%</f>
        <v>72000</v>
      </c>
      <c r="M107" s="5">
        <f t="shared" ref="M107" si="105">+G107*4%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2"/>
        <v>1656000</v>
      </c>
      <c r="V107" s="8"/>
      <c r="W107" s="9"/>
      <c r="X107" s="8">
        <f t="shared" si="62"/>
        <v>1656000</v>
      </c>
    </row>
    <row r="108" spans="1:24" ht="18.75" customHeight="1" x14ac:dyDescent="0.25">
      <c r="A108" s="108"/>
      <c r="B108" s="14">
        <v>62</v>
      </c>
      <c r="C108" s="11" t="s">
        <v>178</v>
      </c>
      <c r="D108" s="6"/>
      <c r="E108" s="5">
        <v>737717</v>
      </c>
      <c r="F108" s="12">
        <v>29</v>
      </c>
      <c r="G108" s="5">
        <f t="shared" si="56"/>
        <v>713126.43333333335</v>
      </c>
      <c r="H108" s="5"/>
      <c r="I108" s="5"/>
      <c r="J108" s="21"/>
      <c r="K108" s="5">
        <f t="shared" si="103"/>
        <v>713126.43333333335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2"/>
        <v>713126.43333333335</v>
      </c>
      <c r="V108" s="8"/>
      <c r="W108" s="9"/>
      <c r="X108" s="8">
        <f t="shared" si="62"/>
        <v>713126.43333333335</v>
      </c>
    </row>
    <row r="109" spans="1:24" ht="18.75" customHeight="1" x14ac:dyDescent="0.25">
      <c r="A109" s="108"/>
      <c r="B109" s="14">
        <v>63</v>
      </c>
      <c r="C109" s="11" t="s">
        <v>134</v>
      </c>
      <c r="D109" s="6" t="s">
        <v>26</v>
      </c>
      <c r="E109" s="5">
        <v>2000000</v>
      </c>
      <c r="F109" s="12">
        <v>30</v>
      </c>
      <c r="G109" s="5">
        <f t="shared" si="56"/>
        <v>2000000.0000000002</v>
      </c>
      <c r="H109" s="5"/>
      <c r="I109" s="5"/>
      <c r="J109" s="5"/>
      <c r="K109" s="5">
        <f t="shared" si="90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4"/>
        <v>160000</v>
      </c>
      <c r="U109" s="7">
        <f t="shared" si="102"/>
        <v>1840000.0000000002</v>
      </c>
      <c r="V109" s="8"/>
      <c r="W109" s="9"/>
      <c r="X109" s="8">
        <f t="shared" si="62"/>
        <v>1840000.0000000002</v>
      </c>
    </row>
    <row r="110" spans="1:24" ht="23.25" customHeight="1" x14ac:dyDescent="0.25">
      <c r="A110" s="108"/>
      <c r="B110" s="14">
        <v>64</v>
      </c>
      <c r="C110" s="11" t="s">
        <v>136</v>
      </c>
      <c r="D110" s="6"/>
      <c r="E110" s="5">
        <v>1200000</v>
      </c>
      <c r="F110" s="12">
        <v>30</v>
      </c>
      <c r="G110" s="5">
        <f t="shared" si="56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2"/>
        <v>1187140</v>
      </c>
      <c r="V110" s="8"/>
      <c r="W110" s="9"/>
      <c r="X110" s="8">
        <f t="shared" si="62"/>
        <v>1187140</v>
      </c>
    </row>
    <row r="111" spans="1:24" ht="18.75" customHeight="1" x14ac:dyDescent="0.25">
      <c r="A111" s="108"/>
      <c r="B111" s="14">
        <v>65</v>
      </c>
      <c r="C111" s="11" t="s">
        <v>159</v>
      </c>
      <c r="D111" s="6"/>
      <c r="E111" s="5">
        <v>368859</v>
      </c>
      <c r="F111" s="12">
        <v>23</v>
      </c>
      <c r="G111" s="5">
        <f>E111/30*F111</f>
        <v>282791.89999999997</v>
      </c>
      <c r="H111" s="5">
        <v>172133</v>
      </c>
      <c r="I111" s="5"/>
      <c r="J111" s="22"/>
      <c r="K111" s="5">
        <f t="shared" si="108"/>
        <v>454924.89999999997</v>
      </c>
      <c r="L111" s="5"/>
      <c r="M111" s="5"/>
      <c r="N111" s="5"/>
      <c r="O111" s="5"/>
      <c r="P111" s="5"/>
      <c r="Q111" s="5"/>
      <c r="R111" s="5"/>
      <c r="S111" s="5"/>
      <c r="T111" s="5">
        <f t="shared" si="111"/>
        <v>0</v>
      </c>
      <c r="U111" s="7">
        <f>+K111-T111</f>
        <v>454924.89999999997</v>
      </c>
      <c r="V111" s="8"/>
      <c r="W111" s="9"/>
      <c r="X111" s="8">
        <f t="shared" si="62"/>
        <v>454924.89999999997</v>
      </c>
    </row>
    <row r="112" spans="1:24" ht="23.25" customHeight="1" x14ac:dyDescent="0.25">
      <c r="A112" s="75"/>
      <c r="B112" s="14">
        <v>66</v>
      </c>
      <c r="C112" s="11" t="s">
        <v>185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8"/>
      <c r="W112" s="9"/>
      <c r="X112" s="8">
        <f t="shared" si="62"/>
        <v>1187140</v>
      </c>
    </row>
    <row r="113" spans="1:28" x14ac:dyDescent="0.25">
      <c r="A113" s="13"/>
      <c r="B113" s="13"/>
      <c r="C113" s="23" t="s">
        <v>139</v>
      </c>
      <c r="D113" s="13"/>
      <c r="E113" s="18">
        <f>SUM(E4:E112)</f>
        <v>376133822</v>
      </c>
      <c r="F113" s="18" t="s">
        <v>1</v>
      </c>
      <c r="G113" s="8">
        <f>SUM(G4:G112)</f>
        <v>366008753</v>
      </c>
      <c r="H113" s="8">
        <f t="shared" ref="H113:X113" si="116">SUM(H4:H112)</f>
        <v>1926232</v>
      </c>
      <c r="I113" s="8">
        <f t="shared" si="116"/>
        <v>13081321</v>
      </c>
      <c r="J113" s="8">
        <f t="shared" si="116"/>
        <v>3604448</v>
      </c>
      <c r="K113" s="8">
        <f t="shared" si="116"/>
        <v>384620753.99999994</v>
      </c>
      <c r="L113" s="8">
        <f t="shared" si="116"/>
        <v>14729760.813333333</v>
      </c>
      <c r="M113" s="8">
        <f t="shared" si="116"/>
        <v>17893204.50333333</v>
      </c>
      <c r="N113" s="8">
        <f t="shared" si="116"/>
        <v>2312694</v>
      </c>
      <c r="O113" s="8">
        <f t="shared" si="116"/>
        <v>250000</v>
      </c>
      <c r="P113" s="8">
        <f>SUM(P4:P112)</f>
        <v>4208943</v>
      </c>
      <c r="Q113" s="8">
        <f t="shared" si="116"/>
        <v>10665000</v>
      </c>
      <c r="R113" s="8">
        <f t="shared" si="116"/>
        <v>344614</v>
      </c>
      <c r="S113" s="8">
        <f t="shared" si="116"/>
        <v>16441379</v>
      </c>
      <c r="T113" s="8">
        <f t="shared" si="116"/>
        <v>66845597.876666665</v>
      </c>
      <c r="U113" s="8">
        <f t="shared" si="116"/>
        <v>317775156.12333328</v>
      </c>
      <c r="V113" s="8">
        <f t="shared" si="116"/>
        <v>0</v>
      </c>
      <c r="W113" s="8">
        <f t="shared" si="116"/>
        <v>0</v>
      </c>
      <c r="X113" s="8">
        <f t="shared" si="116"/>
        <v>317775156.12333328</v>
      </c>
    </row>
    <row r="114" spans="1:28" x14ac:dyDescent="0.25">
      <c r="E114" s="26"/>
      <c r="F114" s="26"/>
      <c r="G114" s="26"/>
      <c r="U114" s="20"/>
      <c r="V114" s="20"/>
      <c r="X114" s="20"/>
    </row>
    <row r="115" spans="1:28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9"/>
      <c r="V115" s="25"/>
      <c r="W115" s="30"/>
      <c r="X115" s="29"/>
    </row>
    <row r="116" spans="1:28" x14ac:dyDescent="0.25"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5"/>
      <c r="V116" s="25"/>
      <c r="W116" s="30"/>
      <c r="X116" s="29"/>
    </row>
    <row r="117" spans="1:28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5"/>
      <c r="V117" s="25"/>
      <c r="W117" s="30"/>
      <c r="X117" s="29"/>
    </row>
    <row r="118" spans="1:28" x14ac:dyDescent="0.25"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5"/>
      <c r="V118" s="25"/>
      <c r="W118" s="30"/>
      <c r="X118" s="25"/>
      <c r="Y118" s="25"/>
      <c r="Z118" s="25"/>
      <c r="AA118" s="25"/>
      <c r="AB118" s="25"/>
    </row>
    <row r="119" spans="1:28" x14ac:dyDescent="0.25">
      <c r="B119" s="25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26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25"/>
      <c r="Z119" s="25"/>
      <c r="AA119" s="25"/>
      <c r="AB119" s="25"/>
    </row>
    <row r="120" spans="1:28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5"/>
      <c r="Y120" s="25"/>
      <c r="Z120" s="25"/>
      <c r="AA120" s="25"/>
      <c r="AB120" s="25"/>
    </row>
    <row r="121" spans="1:28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5"/>
      <c r="V122" s="25"/>
      <c r="W122" s="30"/>
      <c r="X122" s="25"/>
      <c r="Y122" s="25"/>
      <c r="Z122" s="25"/>
      <c r="AA122" s="25"/>
      <c r="AB122" s="25"/>
    </row>
    <row r="123" spans="1:28" x14ac:dyDescent="0.25">
      <c r="B123" s="25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4"/>
      <c r="W123" s="35"/>
      <c r="X123" s="34"/>
      <c r="Y123" s="25"/>
      <c r="Z123" s="25"/>
      <c r="AA123" s="25"/>
      <c r="AB123" s="25"/>
    </row>
    <row r="124" spans="1:28" x14ac:dyDescent="0.25">
      <c r="B124" s="36"/>
      <c r="C124" s="31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4"/>
      <c r="V124" s="34"/>
      <c r="W124" s="35"/>
      <c r="X124" s="34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38"/>
      <c r="H125" s="26"/>
      <c r="I125" s="26"/>
      <c r="J125" s="26"/>
      <c r="K125" s="26"/>
      <c r="L125" s="26"/>
      <c r="M125" s="26"/>
      <c r="N125" s="39"/>
      <c r="O125" s="39"/>
      <c r="P125" s="39"/>
      <c r="Q125" s="39"/>
      <c r="R125" s="39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4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4"/>
      <c r="C127" s="40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9"/>
      <c r="V128" s="29"/>
      <c r="W128" s="30"/>
      <c r="X128" s="29"/>
      <c r="Y128" s="25"/>
      <c r="Z128" s="25"/>
      <c r="AA128" s="25"/>
      <c r="AB128" s="25"/>
    </row>
    <row r="129" spans="3:28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9"/>
      <c r="V129" s="29"/>
      <c r="W129" s="30"/>
      <c r="X129" s="29"/>
      <c r="Y129" s="25"/>
      <c r="Z129" s="25"/>
      <c r="AA129" s="25"/>
      <c r="AB129" s="25"/>
    </row>
    <row r="130" spans="3:28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9"/>
      <c r="V130" s="29"/>
      <c r="W130" s="30"/>
      <c r="X130" s="29"/>
      <c r="Y130" s="25"/>
      <c r="Z130" s="25"/>
      <c r="AA130" s="25"/>
      <c r="AB130" s="25"/>
    </row>
    <row r="131" spans="3:28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3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3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3:28" x14ac:dyDescent="0.25">
      <c r="C134" s="31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3:28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3:28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3:28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3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3:28" x14ac:dyDescent="0.25">
      <c r="C139" s="40"/>
      <c r="D139" s="25"/>
      <c r="E139" s="26"/>
      <c r="F139" s="26"/>
      <c r="G139" s="26"/>
      <c r="H139" s="26"/>
      <c r="I139" s="26"/>
      <c r="J139" s="26"/>
      <c r="K139" s="26">
        <f>737717*4</f>
        <v>2950868</v>
      </c>
      <c r="L139" s="26">
        <f>737717*2</f>
        <v>1475434</v>
      </c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3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3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3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3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3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31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5"/>
      <c r="V146" s="25"/>
      <c r="W146" s="30"/>
      <c r="X146" s="25"/>
      <c r="Y146" s="25"/>
      <c r="Z146" s="25"/>
      <c r="AA146" s="25"/>
      <c r="AB146" s="25"/>
    </row>
    <row r="147" spans="2:28" x14ac:dyDescent="0.25">
      <c r="C147" s="31"/>
      <c r="D147" s="25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25"/>
      <c r="S147" s="26"/>
      <c r="T147" s="26"/>
      <c r="U147" s="25"/>
      <c r="V147" s="25"/>
      <c r="W147" s="30"/>
      <c r="X147" s="25"/>
      <c r="Y147" s="25"/>
      <c r="Z147" s="25"/>
      <c r="AA147" s="25"/>
      <c r="AB147" s="25"/>
    </row>
    <row r="148" spans="2:28" x14ac:dyDescent="0.25">
      <c r="B148" s="25"/>
      <c r="C148" s="31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25"/>
      <c r="Z148" s="25"/>
      <c r="AA148" s="25"/>
      <c r="AB148" s="25"/>
    </row>
    <row r="149" spans="2:28" x14ac:dyDescent="0.25">
      <c r="B149" s="25"/>
      <c r="C149" s="31"/>
      <c r="D149" s="2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4"/>
      <c r="V149" s="34"/>
      <c r="W149" s="35"/>
      <c r="X149" s="34"/>
      <c r="Y149" s="25"/>
      <c r="Z149" s="25"/>
      <c r="AA149" s="25"/>
      <c r="AB149" s="25"/>
    </row>
    <row r="150" spans="2:28" x14ac:dyDescent="0.25">
      <c r="B150" s="25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4"/>
      <c r="V150" s="34"/>
      <c r="W150" s="35"/>
      <c r="X150" s="34"/>
    </row>
    <row r="151" spans="2:28" x14ac:dyDescent="0.25">
      <c r="B151" s="41"/>
      <c r="C151" s="40"/>
      <c r="D151" s="34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4"/>
      <c r="V151" s="34"/>
      <c r="W151" s="35"/>
      <c r="X151" s="34"/>
    </row>
    <row r="152" spans="2:28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9"/>
      <c r="V152" s="29"/>
      <c r="W152" s="30"/>
      <c r="X152" s="29"/>
    </row>
    <row r="153" spans="2:28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9"/>
      <c r="V153" s="29"/>
      <c r="W153" s="30"/>
      <c r="X153" s="29"/>
    </row>
    <row r="154" spans="2:28" x14ac:dyDescent="0.25">
      <c r="C154" s="40"/>
      <c r="D154" s="34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9"/>
      <c r="V154" s="29"/>
      <c r="W154" s="30"/>
      <c r="X154" s="29"/>
    </row>
    <row r="155" spans="2:28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5"/>
      <c r="V157" s="25"/>
      <c r="W157" s="30"/>
      <c r="X157" s="25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5"/>
      <c r="V159" s="25"/>
      <c r="W159" s="30"/>
      <c r="X159" s="25"/>
    </row>
    <row r="160" spans="2:28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42"/>
      <c r="V161" s="42"/>
      <c r="W161" s="30"/>
      <c r="X161" s="42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43"/>
      <c r="V162" s="43"/>
      <c r="W162" s="30"/>
      <c r="X162" s="43"/>
    </row>
    <row r="163" spans="2:24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5"/>
      <c r="V164" s="25"/>
      <c r="W164" s="30"/>
      <c r="X164" s="25"/>
    </row>
    <row r="165" spans="2:24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5"/>
      <c r="V165" s="25"/>
      <c r="W165" s="30"/>
      <c r="X165" s="25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>
        <v>3003000</v>
      </c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31">
        <v>42614840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>
        <v>412608</v>
      </c>
      <c r="U175" s="25"/>
      <c r="V175" s="25"/>
      <c r="W175" s="30"/>
      <c r="X175" s="25"/>
    </row>
    <row r="176" spans="2:24" x14ac:dyDescent="0.25">
      <c r="C176" s="31">
        <v>9675182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>
        <v>1880000</v>
      </c>
      <c r="U176" s="25"/>
      <c r="V176" s="25"/>
      <c r="W176" s="30"/>
      <c r="X176" s="25"/>
    </row>
    <row r="177" spans="3:24" x14ac:dyDescent="0.25">
      <c r="C177" s="31">
        <v>17903600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f>SUM(C175:C177)</f>
        <v>70193622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5"/>
      <c r="V178" s="25"/>
      <c r="W178" s="30"/>
      <c r="X178" s="25"/>
    </row>
    <row r="179" spans="3:24" x14ac:dyDescent="0.25">
      <c r="C179" s="31">
        <v>400000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5"/>
      <c r="V179" s="25"/>
      <c r="W179" s="30"/>
      <c r="X179" s="25"/>
    </row>
    <row r="180" spans="3:24" x14ac:dyDescent="0.25">
      <c r="C180" s="31">
        <f>+C178+C179</f>
        <v>70593622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4" spans="3:24" x14ac:dyDescent="0.25">
      <c r="C184" s="24">
        <v>11000000</v>
      </c>
    </row>
    <row r="185" spans="3:24" x14ac:dyDescent="0.25">
      <c r="C185" s="24">
        <f>+C183+C184</f>
        <v>11000000</v>
      </c>
    </row>
    <row r="190" spans="3:24" x14ac:dyDescent="0.25">
      <c r="C190" s="24">
        <v>3185000</v>
      </c>
    </row>
    <row r="191" spans="3:24" x14ac:dyDescent="0.25">
      <c r="C191" s="24">
        <v>1080000</v>
      </c>
    </row>
    <row r="192" spans="3:24" x14ac:dyDescent="0.25">
      <c r="C192" s="24">
        <v>4850100</v>
      </c>
    </row>
    <row r="193" spans="3:3" x14ac:dyDescent="0.25">
      <c r="C193" s="24">
        <v>5027500</v>
      </c>
    </row>
    <row r="194" spans="3:3" x14ac:dyDescent="0.25">
      <c r="C194" s="24">
        <v>4566000</v>
      </c>
    </row>
    <row r="195" spans="3:3" x14ac:dyDescent="0.25">
      <c r="C195" s="24">
        <v>1050000</v>
      </c>
    </row>
    <row r="196" spans="3:3" x14ac:dyDescent="0.25">
      <c r="C196" s="24">
        <v>3877333</v>
      </c>
    </row>
    <row r="197" spans="3:3" x14ac:dyDescent="0.25">
      <c r="C197" s="24">
        <v>6732440</v>
      </c>
    </row>
    <row r="198" spans="3:3" x14ac:dyDescent="0.25">
      <c r="C198" s="24">
        <v>3460000</v>
      </c>
    </row>
    <row r="199" spans="3:3" x14ac:dyDescent="0.25">
      <c r="C199" s="24">
        <v>588800</v>
      </c>
    </row>
    <row r="200" spans="3:3" x14ac:dyDescent="0.25">
      <c r="C200" s="24">
        <v>1868000</v>
      </c>
    </row>
    <row r="201" spans="3:3" x14ac:dyDescent="0.25">
      <c r="C201" s="24">
        <v>10313000</v>
      </c>
    </row>
    <row r="202" spans="3:3" x14ac:dyDescent="0.25">
      <c r="C202" s="24">
        <v>3443800</v>
      </c>
    </row>
    <row r="203" spans="3:3" x14ac:dyDescent="0.25">
      <c r="C203" s="24">
        <v>8136400</v>
      </c>
    </row>
    <row r="204" spans="3:3" x14ac:dyDescent="0.25">
      <c r="C204" s="24">
        <v>9675183</v>
      </c>
    </row>
    <row r="205" spans="3:3" x14ac:dyDescent="0.25">
      <c r="C205" s="24">
        <f>SUM(C189:C204)</f>
        <v>67853556</v>
      </c>
    </row>
  </sheetData>
  <mergeCells count="7">
    <mergeCell ref="D148:X148"/>
    <mergeCell ref="C1:U1"/>
    <mergeCell ref="E2:K2"/>
    <mergeCell ref="L2:T2"/>
    <mergeCell ref="A3:A46"/>
    <mergeCell ref="A47:A111"/>
    <mergeCell ref="E147:Q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 </vt:lpstr>
      <vt:lpstr>MARZO </vt:lpstr>
      <vt:lpstr>ABRIL </vt:lpstr>
      <vt:lpstr>MAYO </vt:lpstr>
      <vt:lpstr>JUNIO </vt:lpstr>
      <vt:lpstr>JULIO</vt:lpstr>
      <vt:lpstr>AGOSTO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2019-09-23T16:18:47Z</dcterms:modified>
</cp:coreProperties>
</file>