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Usuarios\maira claro\Documents\MAIRA EXSIS\"/>
    </mc:Choice>
  </mc:AlternateContent>
  <xr:revisionPtr revIDLastSave="0" documentId="8_{9F614E2A-BAF7-4570-B586-C6C853C82AC7}" xr6:coauthVersionLast="40" xr6:coauthVersionMax="40" xr10:uidLastSave="{00000000-0000-0000-0000-000000000000}"/>
  <bookViews>
    <workbookView xWindow="0" yWindow="0" windowWidth="24000" windowHeight="8865" xr2:uid="{00000000-000D-0000-FFFF-FFFF00000000}"/>
  </bookViews>
  <sheets>
    <sheet name="2019" sheetId="17" r:id="rId1"/>
    <sheet name="2018" sheetId="16" r:id="rId2"/>
    <sheet name="2017" sheetId="15" r:id="rId3"/>
    <sheet name="2016" sheetId="13" r:id="rId4"/>
    <sheet name="2015" sheetId="14" r:id="rId5"/>
    <sheet name="2014" sheetId="9" r:id="rId6"/>
    <sheet name="2013" sheetId="12" r:id="rId7"/>
    <sheet name="2012" sheetId="7" r:id="rId8"/>
    <sheet name="2011" sheetId="8" r:id="rId9"/>
    <sheet name=" 2010" sheetId="1" r:id="rId10"/>
    <sheet name="2009" sheetId="6" r:id="rId11"/>
  </sheets>
  <definedNames>
    <definedName name="_xlnm.Print_Area" localSheetId="9">' 2010'!$B$1:$G$77</definedName>
    <definedName name="Z_005D785A_2C1A_7642_8E14_813F8ABC12DD_.wvu.PrintArea" localSheetId="9" hidden="1">' 2010'!$B$1:$G$77</definedName>
  </definedNames>
  <calcPr calcId="191029"/>
  <customWorkbookViews>
    <customWorkbookView name="Usuario de Microsoft Office - Vista personalizada" guid="{005D785A-2C1A-7642-8E14-813F8ABC12DD}" mergeInterval="0" personalView="1" windowWidth="1440" windowHeight="714" activeSheetId="16"/>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7" l="1"/>
  <c r="E59" i="17"/>
  <c r="E60" i="17"/>
  <c r="E87" i="17"/>
  <c r="C85" i="17"/>
  <c r="C86" i="17"/>
  <c r="C84" i="17"/>
  <c r="C83" i="17"/>
  <c r="C82" i="17"/>
  <c r="C81" i="17"/>
  <c r="G60" i="17"/>
  <c r="E63" i="17"/>
  <c r="G63" i="17"/>
  <c r="E20" i="17"/>
  <c r="E61" i="17"/>
  <c r="G61" i="17"/>
  <c r="E62" i="17"/>
  <c r="G62" i="17"/>
  <c r="E64" i="17"/>
  <c r="G64" i="17"/>
  <c r="E21" i="17"/>
  <c r="E65" i="17"/>
  <c r="G65" i="17"/>
  <c r="E66" i="17"/>
  <c r="G66" i="17"/>
  <c r="E67" i="17"/>
  <c r="G67" i="17"/>
  <c r="E68" i="17"/>
  <c r="G68" i="17"/>
  <c r="E22" i="17"/>
  <c r="E73" i="17"/>
  <c r="E74" i="17"/>
  <c r="D75" i="17"/>
  <c r="E75" i="17"/>
  <c r="D76" i="17"/>
  <c r="E76" i="17"/>
  <c r="E77" i="17"/>
  <c r="G69" i="17"/>
  <c r="E19" i="17"/>
  <c r="E23" i="17"/>
  <c r="E26" i="17"/>
  <c r="E27" i="17"/>
  <c r="E28" i="17"/>
  <c r="E29" i="17"/>
  <c r="E30" i="17"/>
  <c r="C33" i="17"/>
  <c r="E33" i="17"/>
  <c r="C34" i="17"/>
  <c r="E34" i="17"/>
  <c r="D35" i="17"/>
  <c r="E35" i="17"/>
  <c r="E36" i="17"/>
  <c r="E37" i="17"/>
  <c r="E38" i="17"/>
  <c r="E41" i="17"/>
  <c r="E42" i="17"/>
  <c r="E43" i="17"/>
  <c r="E46" i="17"/>
  <c r="E48" i="17"/>
  <c r="E52" i="17"/>
  <c r="E54" i="17"/>
  <c r="E55" i="17"/>
  <c r="G55" i="17"/>
  <c r="F18" i="17"/>
  <c r="F19" i="17"/>
  <c r="F20" i="17"/>
  <c r="F21" i="17"/>
  <c r="F22" i="17"/>
  <c r="F23" i="17"/>
  <c r="F26" i="17"/>
  <c r="F27" i="17"/>
  <c r="F28" i="17"/>
  <c r="F29" i="17"/>
  <c r="F30" i="17"/>
  <c r="F34" i="17"/>
  <c r="F35" i="17"/>
  <c r="F37" i="17"/>
  <c r="F38" i="17"/>
  <c r="F41" i="17"/>
  <c r="F42" i="17"/>
  <c r="F43" i="17"/>
  <c r="F46" i="17"/>
  <c r="F48" i="17"/>
  <c r="F52" i="17"/>
  <c r="F54" i="17"/>
  <c r="F55" i="17"/>
  <c r="G54" i="17"/>
  <c r="G52" i="17"/>
  <c r="F49" i="17"/>
  <c r="E49" i="17"/>
  <c r="G48" i="17"/>
  <c r="G46" i="17"/>
  <c r="G43" i="17"/>
  <c r="G42" i="17"/>
  <c r="G41" i="17"/>
  <c r="G38" i="17"/>
  <c r="G37" i="17"/>
  <c r="G36" i="17"/>
  <c r="G35" i="17"/>
  <c r="G34" i="17"/>
  <c r="G33" i="17"/>
  <c r="G30" i="17"/>
  <c r="G29" i="17"/>
  <c r="G28" i="17"/>
  <c r="G27" i="17"/>
  <c r="G26" i="17"/>
  <c r="G23" i="17"/>
  <c r="G22" i="17"/>
  <c r="G21" i="17"/>
  <c r="G20" i="17"/>
  <c r="G19" i="17"/>
  <c r="G18" i="17"/>
  <c r="E18" i="16"/>
  <c r="E59" i="16"/>
  <c r="E60" i="16"/>
  <c r="G60" i="16"/>
  <c r="E63" i="16"/>
  <c r="G63" i="16"/>
  <c r="E20" i="16"/>
  <c r="E61" i="16"/>
  <c r="G61" i="16"/>
  <c r="E62" i="16"/>
  <c r="G62" i="16"/>
  <c r="E64" i="16"/>
  <c r="G64" i="16"/>
  <c r="E21" i="16"/>
  <c r="E65" i="16"/>
  <c r="G65" i="16"/>
  <c r="E66" i="16"/>
  <c r="G66" i="16"/>
  <c r="E67" i="16"/>
  <c r="G67" i="16"/>
  <c r="E68" i="16"/>
  <c r="G68" i="16"/>
  <c r="E22" i="16"/>
  <c r="E19" i="16"/>
  <c r="I19" i="16"/>
  <c r="E5" i="16"/>
  <c r="E87" i="16"/>
  <c r="C85" i="16"/>
  <c r="C86" i="16"/>
  <c r="C84" i="16"/>
  <c r="C83" i="16"/>
  <c r="C82" i="16"/>
  <c r="C81" i="16"/>
  <c r="E73" i="16"/>
  <c r="E74" i="16"/>
  <c r="E75" i="16"/>
  <c r="D76" i="16"/>
  <c r="E76" i="16"/>
  <c r="E77" i="16"/>
  <c r="D75" i="16"/>
  <c r="G69" i="16"/>
  <c r="E23" i="16"/>
  <c r="E26" i="16"/>
  <c r="E27" i="16"/>
  <c r="E28" i="16"/>
  <c r="E29" i="16"/>
  <c r="E30" i="16"/>
  <c r="C33" i="16"/>
  <c r="E33" i="16"/>
  <c r="C34" i="16"/>
  <c r="E34" i="16"/>
  <c r="D35" i="16"/>
  <c r="E35" i="16"/>
  <c r="E36" i="16"/>
  <c r="E37" i="16"/>
  <c r="E38" i="16"/>
  <c r="E41" i="16"/>
  <c r="E42" i="16"/>
  <c r="E43" i="16"/>
  <c r="E46" i="16"/>
  <c r="E48" i="16"/>
  <c r="E52" i="16"/>
  <c r="E54" i="16"/>
  <c r="E55" i="16"/>
  <c r="G55" i="16"/>
  <c r="F18" i="16"/>
  <c r="F19" i="16"/>
  <c r="F20" i="16"/>
  <c r="F21" i="16"/>
  <c r="F22" i="16"/>
  <c r="F23" i="16"/>
  <c r="F26" i="16"/>
  <c r="F27" i="16"/>
  <c r="F28" i="16"/>
  <c r="F29" i="16"/>
  <c r="F30" i="16"/>
  <c r="F34" i="16"/>
  <c r="F35" i="16"/>
  <c r="F37" i="16"/>
  <c r="F38" i="16"/>
  <c r="F41" i="16"/>
  <c r="F42" i="16"/>
  <c r="F43" i="16"/>
  <c r="F46" i="16"/>
  <c r="F48" i="16"/>
  <c r="F52" i="16"/>
  <c r="F54" i="16"/>
  <c r="F55" i="16"/>
  <c r="G54" i="16"/>
  <c r="G52" i="16"/>
  <c r="F49" i="16"/>
  <c r="E49" i="16"/>
  <c r="G48" i="16"/>
  <c r="G46" i="16"/>
  <c r="G43" i="16"/>
  <c r="G42" i="16"/>
  <c r="G41" i="16"/>
  <c r="G38" i="16"/>
  <c r="G37" i="16"/>
  <c r="G36" i="16"/>
  <c r="G35" i="16"/>
  <c r="G34" i="16"/>
  <c r="G33" i="16"/>
  <c r="G30" i="16"/>
  <c r="G29" i="16"/>
  <c r="G28" i="16"/>
  <c r="G27" i="16"/>
  <c r="G26" i="16"/>
  <c r="G23" i="16"/>
  <c r="G22" i="16"/>
  <c r="G21" i="16"/>
  <c r="G20" i="16"/>
  <c r="G19" i="16"/>
  <c r="G18" i="16"/>
  <c r="E87" i="15"/>
  <c r="C85" i="15"/>
  <c r="C86" i="15"/>
  <c r="C84" i="15"/>
  <c r="C83" i="15"/>
  <c r="C82" i="15"/>
  <c r="C81" i="15"/>
  <c r="D35" i="15"/>
  <c r="E18" i="15"/>
  <c r="E87" i="14"/>
  <c r="C85" i="14"/>
  <c r="C84" i="14"/>
  <c r="C83" i="14"/>
  <c r="C82" i="14"/>
  <c r="C81" i="14"/>
  <c r="D35" i="14"/>
  <c r="E18" i="14"/>
  <c r="E87" i="13"/>
  <c r="C85" i="13"/>
  <c r="C86" i="13"/>
  <c r="C84" i="13"/>
  <c r="C83" i="13"/>
  <c r="C82" i="13"/>
  <c r="C81" i="13"/>
  <c r="D35" i="13"/>
  <c r="E18" i="13"/>
  <c r="E87" i="12"/>
  <c r="C85" i="12"/>
  <c r="C84" i="12"/>
  <c r="C83" i="12"/>
  <c r="C82" i="12"/>
  <c r="C81" i="12"/>
  <c r="D35" i="12"/>
  <c r="E18" i="12"/>
  <c r="E29" i="12"/>
  <c r="E37" i="12"/>
  <c r="E87" i="9"/>
  <c r="C85" i="9"/>
  <c r="C84" i="9"/>
  <c r="C83" i="9"/>
  <c r="C82" i="9"/>
  <c r="C81" i="9"/>
  <c r="D35" i="9"/>
  <c r="E18" i="9"/>
  <c r="E87" i="8"/>
  <c r="C85" i="8"/>
  <c r="C84" i="8"/>
  <c r="C83" i="8"/>
  <c r="C82" i="8"/>
  <c r="C81" i="8"/>
  <c r="D35" i="8"/>
  <c r="E18" i="8"/>
  <c r="E87" i="7"/>
  <c r="C85" i="7"/>
  <c r="C84" i="7"/>
  <c r="C83" i="7"/>
  <c r="C82" i="7"/>
  <c r="C81" i="7"/>
  <c r="E18" i="7"/>
  <c r="D76" i="7"/>
  <c r="D35" i="7"/>
  <c r="E29" i="7"/>
  <c r="E37" i="7"/>
  <c r="E53" i="1"/>
  <c r="E87" i="6"/>
  <c r="C85" i="6"/>
  <c r="C84" i="6"/>
  <c r="C83" i="6"/>
  <c r="C82" i="6"/>
  <c r="C81" i="6"/>
  <c r="E18" i="6"/>
  <c r="D35" i="6"/>
  <c r="E18" i="1"/>
  <c r="E19" i="1"/>
  <c r="E23" i="1"/>
  <c r="E87" i="1"/>
  <c r="D35" i="1"/>
  <c r="E35" i="1"/>
  <c r="C85" i="1"/>
  <c r="C84" i="1"/>
  <c r="C83" i="1"/>
  <c r="C82" i="1"/>
  <c r="C81" i="1"/>
  <c r="D75" i="1"/>
  <c r="E59" i="1"/>
  <c r="E63" i="1"/>
  <c r="G63" i="1"/>
  <c r="C34" i="1"/>
  <c r="E68" i="1"/>
  <c r="G68" i="1"/>
  <c r="E62" i="1"/>
  <c r="G62" i="1"/>
  <c r="E66" i="1"/>
  <c r="G66" i="1"/>
  <c r="E60" i="1"/>
  <c r="G60" i="1"/>
  <c r="E64" i="1"/>
  <c r="G64" i="1"/>
  <c r="E61" i="1"/>
  <c r="G61" i="1"/>
  <c r="E65" i="1"/>
  <c r="G65" i="1"/>
  <c r="E67" i="1"/>
  <c r="G67" i="1"/>
  <c r="G69" i="1"/>
  <c r="E41" i="8"/>
  <c r="E46" i="8"/>
  <c r="E73" i="8"/>
  <c r="D75" i="7"/>
  <c r="E46" i="7"/>
  <c r="E74" i="7"/>
  <c r="E35" i="7"/>
  <c r="E19" i="7"/>
  <c r="E23" i="7"/>
  <c r="E26" i="7"/>
  <c r="C33" i="7"/>
  <c r="E73" i="7"/>
  <c r="E33" i="7"/>
  <c r="C34" i="7"/>
  <c r="E34" i="7"/>
  <c r="E36" i="7"/>
  <c r="E38" i="7"/>
  <c r="E59" i="7"/>
  <c r="E76" i="7"/>
  <c r="E75" i="7"/>
  <c r="E41" i="7"/>
  <c r="E60" i="7"/>
  <c r="G60" i="7"/>
  <c r="E61" i="7"/>
  <c r="G61" i="7"/>
  <c r="E66" i="7"/>
  <c r="G66" i="7"/>
  <c r="E67" i="7"/>
  <c r="G67" i="7"/>
  <c r="E64" i="7"/>
  <c r="G64" i="7"/>
  <c r="E65" i="7"/>
  <c r="G65" i="7"/>
  <c r="E68" i="7"/>
  <c r="G68" i="7"/>
  <c r="E62" i="7"/>
  <c r="G62" i="7"/>
  <c r="E63" i="7"/>
  <c r="G63" i="7"/>
  <c r="E42" i="7"/>
  <c r="E43" i="7"/>
  <c r="D75" i="6"/>
  <c r="E29" i="1"/>
  <c r="E74" i="1"/>
  <c r="E34" i="1"/>
  <c r="D76" i="1"/>
  <c r="E76" i="1"/>
  <c r="E73" i="1"/>
  <c r="E46" i="1"/>
  <c r="E35" i="6"/>
  <c r="C33" i="1"/>
  <c r="E33" i="1"/>
  <c r="E41" i="1"/>
  <c r="E42" i="1"/>
  <c r="E43" i="1"/>
  <c r="E41" i="6"/>
  <c r="E37" i="1"/>
  <c r="E36" i="1"/>
  <c r="E38" i="1"/>
  <c r="F18" i="9"/>
  <c r="E26" i="1"/>
  <c r="E28" i="1"/>
  <c r="C33" i="8"/>
  <c r="E33" i="8"/>
  <c r="D75" i="8"/>
  <c r="E35" i="8"/>
  <c r="E75" i="8"/>
  <c r="C34" i="8"/>
  <c r="E74" i="8"/>
  <c r="E34" i="8"/>
  <c r="D76" i="8"/>
  <c r="E76" i="8"/>
  <c r="E77" i="8"/>
  <c r="E19" i="8"/>
  <c r="E23" i="8"/>
  <c r="E59" i="8"/>
  <c r="G18" i="9"/>
  <c r="E59" i="9"/>
  <c r="D76" i="12"/>
  <c r="E73" i="12"/>
  <c r="E59" i="12"/>
  <c r="E41" i="12"/>
  <c r="E75" i="12"/>
  <c r="E46" i="12"/>
  <c r="E19" i="12"/>
  <c r="E76" i="12"/>
  <c r="E74" i="12"/>
  <c r="E35" i="12"/>
  <c r="C33" i="12"/>
  <c r="E33" i="12"/>
  <c r="E23" i="12"/>
  <c r="E36" i="12"/>
  <c r="E42" i="12"/>
  <c r="E28" i="7"/>
  <c r="E73" i="6"/>
  <c r="E74" i="6"/>
  <c r="E75" i="6"/>
  <c r="D76" i="6"/>
  <c r="E76" i="6"/>
  <c r="E77" i="6"/>
  <c r="C33" i="6"/>
  <c r="E59" i="6"/>
  <c r="E29" i="6"/>
  <c r="E19" i="6"/>
  <c r="E23" i="6"/>
  <c r="C34" i="6"/>
  <c r="E34" i="6"/>
  <c r="E46" i="6"/>
  <c r="C34" i="12"/>
  <c r="E34" i="12"/>
  <c r="E27" i="7"/>
  <c r="E30" i="7"/>
  <c r="E48" i="7"/>
  <c r="G69" i="7"/>
  <c r="E77" i="7"/>
  <c r="E29" i="8"/>
  <c r="D75" i="12"/>
  <c r="E75" i="1"/>
  <c r="E77" i="1"/>
  <c r="E49" i="7"/>
  <c r="E52" i="7"/>
  <c r="E54" i="7"/>
  <c r="E55" i="7"/>
  <c r="E26" i="8"/>
  <c r="E28" i="8"/>
  <c r="E43" i="12"/>
  <c r="E36" i="8"/>
  <c r="E37" i="8"/>
  <c r="E38" i="8"/>
  <c r="E42" i="8"/>
  <c r="E43" i="8"/>
  <c r="E37" i="6"/>
  <c r="E42" i="6"/>
  <c r="E43" i="6"/>
  <c r="E36" i="6"/>
  <c r="E33" i="6"/>
  <c r="E61" i="9"/>
  <c r="G61" i="9"/>
  <c r="E65" i="9"/>
  <c r="G65" i="9"/>
  <c r="E62" i="9"/>
  <c r="G62" i="9"/>
  <c r="E67" i="9"/>
  <c r="G67" i="9"/>
  <c r="E60" i="9"/>
  <c r="G60" i="9"/>
  <c r="E64" i="9"/>
  <c r="G64" i="9"/>
  <c r="E68" i="9"/>
  <c r="G68" i="9"/>
  <c r="E63" i="9"/>
  <c r="G63" i="9"/>
  <c r="E66" i="9"/>
  <c r="G66" i="9"/>
  <c r="E26" i="12"/>
  <c r="E28" i="12"/>
  <c r="E38" i="12"/>
  <c r="E67" i="12"/>
  <c r="G67" i="12"/>
  <c r="E65" i="12"/>
  <c r="G65" i="12"/>
  <c r="E63" i="12"/>
  <c r="G63" i="12"/>
  <c r="E61" i="12"/>
  <c r="G61" i="12"/>
  <c r="E60" i="12"/>
  <c r="G60" i="12"/>
  <c r="E62" i="12"/>
  <c r="G62" i="12"/>
  <c r="E68" i="12"/>
  <c r="G68" i="12"/>
  <c r="E66" i="12"/>
  <c r="G66" i="12"/>
  <c r="E64" i="12"/>
  <c r="G64" i="12"/>
  <c r="E67" i="8"/>
  <c r="G67" i="8"/>
  <c r="E63" i="8"/>
  <c r="G63" i="8"/>
  <c r="E68" i="8"/>
  <c r="G68" i="8"/>
  <c r="E64" i="8"/>
  <c r="G64" i="8"/>
  <c r="E60" i="8"/>
  <c r="G60" i="8"/>
  <c r="E61" i="8"/>
  <c r="G61" i="8"/>
  <c r="E62" i="8"/>
  <c r="G62" i="8"/>
  <c r="E65" i="8"/>
  <c r="G65" i="8"/>
  <c r="E66" i="8"/>
  <c r="G66" i="8"/>
  <c r="G69" i="8"/>
  <c r="E26" i="6"/>
  <c r="E28" i="6"/>
  <c r="E64" i="6"/>
  <c r="G64" i="6"/>
  <c r="E67" i="6"/>
  <c r="G67" i="6"/>
  <c r="E66" i="6"/>
  <c r="G66" i="6"/>
  <c r="E65" i="6"/>
  <c r="G65" i="6"/>
  <c r="E60" i="6"/>
  <c r="G60" i="6"/>
  <c r="E63" i="6"/>
  <c r="G63" i="6"/>
  <c r="E62" i="6"/>
  <c r="G62" i="6"/>
  <c r="E61" i="6"/>
  <c r="G61" i="6"/>
  <c r="E68" i="6"/>
  <c r="G68" i="6"/>
  <c r="E77" i="12"/>
  <c r="E27" i="1"/>
  <c r="E30" i="1"/>
  <c r="E48" i="1"/>
  <c r="E27" i="8"/>
  <c r="E30" i="8"/>
  <c r="E48" i="8"/>
  <c r="E49" i="1"/>
  <c r="E52" i="1"/>
  <c r="E54" i="1"/>
  <c r="E55" i="1"/>
  <c r="E27" i="6"/>
  <c r="E30" i="6"/>
  <c r="E38" i="6"/>
  <c r="E48" i="6"/>
  <c r="G69" i="6"/>
  <c r="G69" i="12"/>
  <c r="E27" i="12"/>
  <c r="E30" i="12"/>
  <c r="E48" i="12"/>
  <c r="E22" i="9"/>
  <c r="G69" i="9"/>
  <c r="E20" i="9"/>
  <c r="E21" i="9"/>
  <c r="E49" i="6"/>
  <c r="E52" i="6"/>
  <c r="E54" i="6"/>
  <c r="E55" i="6"/>
  <c r="F22" i="9"/>
  <c r="G22" i="9"/>
  <c r="E52" i="8"/>
  <c r="E54" i="8"/>
  <c r="E55" i="8"/>
  <c r="E49" i="8"/>
  <c r="F20" i="9"/>
  <c r="G20" i="9"/>
  <c r="C33" i="9"/>
  <c r="E73" i="9"/>
  <c r="E74" i="9"/>
  <c r="E75" i="9"/>
  <c r="D76" i="9"/>
  <c r="E76" i="9"/>
  <c r="E77" i="9"/>
  <c r="D75" i="9"/>
  <c r="E46" i="9"/>
  <c r="E41" i="9"/>
  <c r="E29" i="9"/>
  <c r="C34" i="9"/>
  <c r="E19" i="9"/>
  <c r="F21" i="9"/>
  <c r="G21" i="9"/>
  <c r="E35" i="9"/>
  <c r="E52" i="12"/>
  <c r="E54" i="12"/>
  <c r="E55" i="12"/>
  <c r="E49" i="12"/>
  <c r="G41" i="9"/>
  <c r="G19" i="9"/>
  <c r="E23" i="9"/>
  <c r="F19" i="9"/>
  <c r="F23" i="9"/>
  <c r="F29" i="9"/>
  <c r="F42" i="9"/>
  <c r="E42" i="9"/>
  <c r="G42" i="9"/>
  <c r="E37" i="9"/>
  <c r="E36" i="9"/>
  <c r="G36" i="9"/>
  <c r="G29" i="9"/>
  <c r="F41" i="9"/>
  <c r="F43" i="9"/>
  <c r="F46" i="9"/>
  <c r="G46" i="9"/>
  <c r="E33" i="9"/>
  <c r="G35" i="9"/>
  <c r="F35" i="9"/>
  <c r="E34" i="9"/>
  <c r="G37" i="9"/>
  <c r="F37" i="9"/>
  <c r="E28" i="9"/>
  <c r="G23" i="9"/>
  <c r="E26" i="9"/>
  <c r="G33" i="9"/>
  <c r="E38" i="9"/>
  <c r="G38" i="9"/>
  <c r="E43" i="9"/>
  <c r="G43" i="9"/>
  <c r="G34" i="9"/>
  <c r="F34" i="9"/>
  <c r="F38" i="9"/>
  <c r="G28" i="9"/>
  <c r="F28" i="9"/>
  <c r="E27" i="9"/>
  <c r="F26" i="9"/>
  <c r="G26" i="9"/>
  <c r="G27" i="9"/>
  <c r="F27" i="9"/>
  <c r="F30" i="9"/>
  <c r="F48" i="9"/>
  <c r="E30" i="9"/>
  <c r="F52" i="9"/>
  <c r="F54" i="9"/>
  <c r="F55" i="9"/>
  <c r="F49" i="9"/>
  <c r="G30" i="9"/>
  <c r="E48" i="9"/>
  <c r="G48" i="9"/>
  <c r="E52" i="9"/>
  <c r="E49" i="9"/>
  <c r="G52" i="9"/>
  <c r="E54" i="9"/>
  <c r="G54" i="9"/>
  <c r="E55" i="9"/>
  <c r="G55" i="9"/>
  <c r="F18" i="14"/>
  <c r="G18" i="14"/>
  <c r="E59" i="14"/>
  <c r="E65" i="14"/>
  <c r="G65" i="14"/>
  <c r="E63" i="14"/>
  <c r="G63" i="14"/>
  <c r="E68" i="14"/>
  <c r="G68" i="14"/>
  <c r="E64" i="14"/>
  <c r="G64" i="14"/>
  <c r="E60" i="14"/>
  <c r="G60" i="14"/>
  <c r="E20" i="14"/>
  <c r="E67" i="14"/>
  <c r="G67" i="14"/>
  <c r="G20" i="14"/>
  <c r="F20" i="14"/>
  <c r="E29" i="14"/>
  <c r="E62" i="14"/>
  <c r="G62" i="14"/>
  <c r="E61" i="14"/>
  <c r="G61" i="14"/>
  <c r="E66" i="14"/>
  <c r="G66" i="14"/>
  <c r="G69" i="14"/>
  <c r="E22" i="14"/>
  <c r="G22" i="14"/>
  <c r="F22" i="14"/>
  <c r="G29" i="14"/>
  <c r="E37" i="14"/>
  <c r="E36" i="14"/>
  <c r="G36" i="14"/>
  <c r="E42" i="14"/>
  <c r="G42" i="14"/>
  <c r="F29" i="14"/>
  <c r="F42" i="14"/>
  <c r="E21" i="14"/>
  <c r="F37" i="14"/>
  <c r="G37" i="14"/>
  <c r="E35" i="14"/>
  <c r="F21" i="14"/>
  <c r="F41" i="14"/>
  <c r="F43" i="14"/>
  <c r="G21" i="14"/>
  <c r="E19" i="14"/>
  <c r="E73" i="14"/>
  <c r="C34" i="14"/>
  <c r="E74" i="14"/>
  <c r="E34" i="14"/>
  <c r="D75" i="14"/>
  <c r="D76" i="14"/>
  <c r="E46" i="14"/>
  <c r="E76" i="14"/>
  <c r="E75" i="14"/>
  <c r="E41" i="14"/>
  <c r="C33" i="14"/>
  <c r="E33" i="14"/>
  <c r="E38" i="14"/>
  <c r="G38" i="14"/>
  <c r="G33" i="14"/>
  <c r="G41" i="14"/>
  <c r="E43" i="14"/>
  <c r="G43" i="14"/>
  <c r="G46" i="14"/>
  <c r="F46" i="14"/>
  <c r="F19" i="14"/>
  <c r="F23" i="14"/>
  <c r="E23" i="14"/>
  <c r="G19" i="14"/>
  <c r="F34" i="14"/>
  <c r="F35" i="14"/>
  <c r="F38" i="14"/>
  <c r="G34" i="14"/>
  <c r="E77" i="14"/>
  <c r="G35" i="14"/>
  <c r="G23" i="14"/>
  <c r="E26" i="14"/>
  <c r="E28" i="14"/>
  <c r="F28" i="14"/>
  <c r="G28" i="14"/>
  <c r="F26" i="14"/>
  <c r="E27" i="14"/>
  <c r="G26" i="14"/>
  <c r="F27" i="14"/>
  <c r="F30" i="14"/>
  <c r="F48" i="14"/>
  <c r="G27" i="14"/>
  <c r="E30" i="14"/>
  <c r="F52" i="14"/>
  <c r="F54" i="14"/>
  <c r="F55" i="14"/>
  <c r="F49" i="14"/>
  <c r="G30" i="14"/>
  <c r="E48" i="14"/>
  <c r="E49" i="14"/>
  <c r="G48" i="14"/>
  <c r="E52" i="14"/>
  <c r="G52" i="14"/>
  <c r="E54" i="14"/>
  <c r="E55" i="14"/>
  <c r="G55" i="14"/>
  <c r="G54" i="14"/>
  <c r="F18" i="13"/>
  <c r="E59" i="13"/>
  <c r="G18" i="13"/>
  <c r="E67" i="13"/>
  <c r="G67" i="13"/>
  <c r="E65" i="13"/>
  <c r="G65" i="13"/>
  <c r="E68" i="13"/>
  <c r="G68" i="13"/>
  <c r="E63" i="13"/>
  <c r="G63" i="13"/>
  <c r="E64" i="13"/>
  <c r="G64" i="13"/>
  <c r="E60" i="13"/>
  <c r="G60" i="13"/>
  <c r="E62" i="13"/>
  <c r="G62" i="13"/>
  <c r="E66" i="13"/>
  <c r="G66" i="13"/>
  <c r="E61" i="13"/>
  <c r="G61" i="13"/>
  <c r="E21" i="13"/>
  <c r="E20" i="13"/>
  <c r="G69" i="13"/>
  <c r="E22" i="13"/>
  <c r="F21" i="13"/>
  <c r="G21" i="13"/>
  <c r="E35" i="13"/>
  <c r="G35" i="13"/>
  <c r="F35" i="13"/>
  <c r="F22" i="13"/>
  <c r="G22" i="13"/>
  <c r="G20" i="13"/>
  <c r="F20" i="13"/>
  <c r="F41" i="13"/>
  <c r="E46" i="13"/>
  <c r="E29" i="13"/>
  <c r="E75" i="13"/>
  <c r="E41" i="13"/>
  <c r="E74" i="13"/>
  <c r="C33" i="13"/>
  <c r="D76" i="13"/>
  <c r="E76" i="13"/>
  <c r="E19" i="13"/>
  <c r="D75" i="13"/>
  <c r="C34" i="13"/>
  <c r="E34" i="13"/>
  <c r="E73" i="13"/>
  <c r="E77" i="13"/>
  <c r="G41" i="13"/>
  <c r="G29" i="13"/>
  <c r="E42" i="13"/>
  <c r="G42" i="13"/>
  <c r="E37" i="13"/>
  <c r="E36" i="13"/>
  <c r="G36" i="13"/>
  <c r="F29" i="13"/>
  <c r="F42" i="13"/>
  <c r="F43" i="13"/>
  <c r="G34" i="13"/>
  <c r="F34" i="13"/>
  <c r="F19" i="13"/>
  <c r="F23" i="13"/>
  <c r="G19" i="13"/>
  <c r="E23" i="13"/>
  <c r="E33" i="13"/>
  <c r="F46" i="13"/>
  <c r="G46" i="13"/>
  <c r="E38" i="13"/>
  <c r="G38" i="13"/>
  <c r="G33" i="13"/>
  <c r="F37" i="13"/>
  <c r="F38" i="13"/>
  <c r="G37" i="13"/>
  <c r="G23" i="13"/>
  <c r="E28" i="13"/>
  <c r="E26" i="13"/>
  <c r="E43" i="13"/>
  <c r="G43" i="13"/>
  <c r="F26" i="13"/>
  <c r="G26" i="13"/>
  <c r="E27" i="13"/>
  <c r="E30" i="13"/>
  <c r="F28" i="13"/>
  <c r="G28" i="13"/>
  <c r="G27" i="13"/>
  <c r="F27" i="13"/>
  <c r="F30" i="13"/>
  <c r="F48" i="13"/>
  <c r="G30" i="13"/>
  <c r="E48" i="13"/>
  <c r="F52" i="13"/>
  <c r="F54" i="13"/>
  <c r="F55" i="13"/>
  <c r="F49" i="13"/>
  <c r="E52" i="13"/>
  <c r="E49" i="13"/>
  <c r="G48" i="13"/>
  <c r="G52" i="13"/>
  <c r="E54" i="13"/>
  <c r="E55" i="13"/>
  <c r="G55" i="13"/>
  <c r="G54" i="13"/>
  <c r="G18" i="15"/>
  <c r="E59" i="15"/>
  <c r="F18" i="15"/>
  <c r="E68" i="15"/>
  <c r="G68" i="15"/>
  <c r="E67" i="15"/>
  <c r="G67" i="15"/>
  <c r="E66" i="15"/>
  <c r="G66" i="15"/>
  <c r="E65" i="15"/>
  <c r="G65" i="15"/>
  <c r="E64" i="15"/>
  <c r="G64" i="15"/>
  <c r="E63" i="15"/>
  <c r="G63" i="15"/>
  <c r="E62" i="15"/>
  <c r="G62" i="15"/>
  <c r="E61" i="15"/>
  <c r="G61" i="15"/>
  <c r="E60" i="15"/>
  <c r="G60" i="15"/>
  <c r="E21" i="15"/>
  <c r="E22" i="15"/>
  <c r="G69" i="15"/>
  <c r="E20" i="15"/>
  <c r="G21" i="15"/>
  <c r="F21" i="15"/>
  <c r="E35" i="15"/>
  <c r="F20" i="15"/>
  <c r="G20" i="15"/>
  <c r="C34" i="15"/>
  <c r="D75" i="15"/>
  <c r="C33" i="15"/>
  <c r="E46" i="15"/>
  <c r="E41" i="15"/>
  <c r="E73" i="15"/>
  <c r="D76" i="15"/>
  <c r="E76" i="15"/>
  <c r="E19" i="15"/>
  <c r="E29" i="15"/>
  <c r="E74" i="15"/>
  <c r="E75" i="15"/>
  <c r="F22" i="15"/>
  <c r="G22" i="15"/>
  <c r="E33" i="15"/>
  <c r="E42" i="15"/>
  <c r="G42" i="15"/>
  <c r="G29" i="15"/>
  <c r="E37" i="15"/>
  <c r="E36" i="15"/>
  <c r="G36" i="15"/>
  <c r="F29" i="15"/>
  <c r="F42" i="15"/>
  <c r="G19" i="15"/>
  <c r="F19" i="15"/>
  <c r="F23" i="15"/>
  <c r="E23" i="15"/>
  <c r="E77" i="15"/>
  <c r="G46" i="15"/>
  <c r="F46" i="15"/>
  <c r="F41" i="15"/>
  <c r="E43" i="15"/>
  <c r="G43" i="15"/>
  <c r="G41" i="15"/>
  <c r="G33" i="15"/>
  <c r="E34" i="15"/>
  <c r="G35" i="15"/>
  <c r="F35" i="15"/>
  <c r="G34" i="15"/>
  <c r="F34" i="15"/>
  <c r="F43" i="15"/>
  <c r="G23" i="15"/>
  <c r="E28" i="15"/>
  <c r="E26" i="15"/>
  <c r="E38" i="15"/>
  <c r="G38" i="15"/>
  <c r="F37" i="15"/>
  <c r="G37" i="15"/>
  <c r="E27" i="15"/>
  <c r="E30" i="15"/>
  <c r="F26" i="15"/>
  <c r="G26" i="15"/>
  <c r="F38" i="15"/>
  <c r="F28" i="15"/>
  <c r="G28" i="15"/>
  <c r="G30" i="15"/>
  <c r="E48" i="15"/>
  <c r="G27" i="15"/>
  <c r="F27" i="15"/>
  <c r="F30" i="15"/>
  <c r="F48" i="15"/>
  <c r="F52" i="15"/>
  <c r="F54" i="15"/>
  <c r="F55" i="15"/>
  <c r="F49" i="15"/>
  <c r="E52" i="15"/>
  <c r="E49" i="15"/>
  <c r="G48" i="15"/>
  <c r="G52" i="15"/>
  <c r="E54" i="15"/>
  <c r="E55" i="15"/>
  <c r="G55" i="15"/>
  <c r="G5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10" authorId="0" shapeId="0" xr:uid="{00000000-0006-0000-0000-000001000000}">
      <text>
        <r>
          <rPr>
            <sz val="11"/>
            <color indexed="81"/>
            <rFont val="Tahoma"/>
            <family val="2"/>
          </rPr>
          <t>Este calculo solo aplica para contratos  que no son de salario integral</t>
        </r>
      </text>
    </comment>
    <comment ref="C11" authorId="0" shapeId="0" xr:uid="{00000000-0006-0000-0000-000002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000-000003000000}">
      <text>
        <r>
          <rPr>
            <sz val="11"/>
            <color indexed="81"/>
            <rFont val="Tahoma"/>
            <family val="2"/>
          </rPr>
          <t>NOTA: Solo colocar si el salario es hasta $1.656.232
Solo es obligacion de entregar dotación a quienes devenguen hasta 2 salarios minimos legales mensuales.Ley 11 de 1984 art 7          
Una dotacion esta compuesta por:
Un par de zapatos            $ 
y un vestido de labor        $       
Coloque la suma de los dos valores</t>
        </r>
      </text>
    </comment>
    <comment ref="C13" authorId="0" shapeId="0" xr:uid="{00000000-0006-0000-0000-000004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000-000005000000}">
      <text>
        <r>
          <rPr>
            <b/>
            <sz val="10"/>
            <color indexed="81"/>
            <rFont val="Tahoma"/>
            <family val="2"/>
          </rPr>
          <t xml:space="preserve">Calculo de un trabajador para un empleador persona natural que solo tiene un trabajador en su nómina, 
Tampoco aplica para sus trabajadores que devenguen 10 SMLMV o mas.
</t>
        </r>
      </text>
    </comment>
    <comment ref="F15" authorId="1" shapeId="0" xr:uid="{00000000-0006-0000-0000-000006000000}">
      <text>
        <r>
          <rPr>
            <b/>
            <sz val="10"/>
            <color indexed="81"/>
            <rFont val="Tahoma"/>
            <family val="2"/>
          </rPr>
          <t>EXONERADOS DE PAGAR SALUD. SENA, ICBF</t>
        </r>
        <r>
          <rPr>
            <sz val="10"/>
            <color indexed="81"/>
            <rFont val="Tahoma"/>
            <family val="2"/>
          </rPr>
          <t xml:space="preserve">
</t>
        </r>
        <r>
          <rPr>
            <b/>
            <sz val="10"/>
            <color indexed="81"/>
            <rFont val="Tahoma"/>
            <family val="2"/>
          </rPr>
          <t>Para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t>
        </r>
        <r>
          <rPr>
            <b/>
            <sz val="10"/>
            <color indexed="81"/>
            <rFont val="Tahoma"/>
            <family val="2"/>
          </rPr>
          <t xml:space="preserve"> las personas naturales</t>
        </r>
        <r>
          <rPr>
            <sz val="10"/>
            <color indexed="81"/>
            <rFont val="Tahoma"/>
            <family val="2"/>
          </rPr>
          <t xml:space="preserve"> empleadoras con empleados que devenguen menos de diez (10) salarios mínimos legales mensuales vigentes. 
Lo anterior no aplicará para personas naturales que empleen menos de dos trabajadores, los cuales seguirán obligados a efectuar los aportes de salud, Sena, Icbf.
</t>
        </r>
      </text>
    </comment>
    <comment ref="G15" authorId="1" shapeId="0" xr:uid="{00000000-0006-0000-0000-000007000000}">
      <text>
        <r>
          <rPr>
            <sz val="10"/>
            <color indexed="81"/>
            <rFont val="Tahoma"/>
            <family val="2"/>
          </rPr>
          <t xml:space="preserve">Conversion para el caso de un solo trabajador donde no existe exencion de salud y SENA , ICBF
</t>
        </r>
      </text>
    </comment>
    <comment ref="C18" authorId="0" shapeId="0" xr:uid="{00000000-0006-0000-0000-000008000000}">
      <text>
        <r>
          <rPr>
            <sz val="11"/>
            <color indexed="81"/>
            <rFont val="Tahoma"/>
            <family val="2"/>
          </rPr>
          <t>No puede ser inferior al minimo legal, o sea $ 828.116</t>
        </r>
      </text>
    </comment>
    <comment ref="E18" authorId="0" shapeId="0" xr:uid="{00000000-0006-0000-0000-000009000000}">
      <text>
        <r>
          <rPr>
            <sz val="11"/>
            <color indexed="81"/>
            <rFont val="Tahoma"/>
            <family val="2"/>
          </rPr>
          <t>Si sale la palabra FALSO es porque esta colocando un valor inferior al minimo legal, y no calcula.</t>
        </r>
      </text>
    </comment>
    <comment ref="B19" authorId="2" shapeId="0" xr:uid="{00000000-0006-0000-0000-00000A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000-00000B000000}">
      <text>
        <r>
          <rPr>
            <sz val="11"/>
            <color indexed="81"/>
            <rFont val="Tahoma"/>
            <family val="2"/>
          </rPr>
          <t>A quien trabaje entre las 9 p.m y las 6 a.m
Si el recargo nocturno es en domingo se le suma un 75%</t>
        </r>
      </text>
    </comment>
    <comment ref="C21" authorId="0" shapeId="0" xr:uid="{00000000-0006-0000-0000-00000C000000}">
      <text>
        <r>
          <rPr>
            <sz val="11"/>
            <color indexed="81"/>
            <rFont val="Tahoma"/>
            <family val="2"/>
          </rPr>
          <t>El trabajar en dominical o festivo genera un recargo del 75%
Cuando no se toma el descanso compensatorio  habiendo trabajado el dominical se paga una vez mas.</t>
        </r>
      </text>
    </comment>
    <comment ref="B22" authorId="1" shapeId="0" xr:uid="{00000000-0006-0000-0000-00000D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0" shapeId="0" xr:uid="{00000000-0006-0000-0000-00000E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Cesantìa= salario x No dias trabajados 
             -----------------------------------------
                             360
</t>
        </r>
      </text>
    </comment>
    <comment ref="C27" authorId="0" shapeId="0" xr:uid="{00000000-0006-0000-0000-00000F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000-000010000000}">
      <text>
        <r>
          <rPr>
            <sz val="11"/>
            <color indexed="81"/>
            <rFont val="Tahoma"/>
            <family val="2"/>
          </rPr>
          <t xml:space="preserve">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
Prima= salario x No dias trabajados en el semestre
            -----------------------------------------------
                                         360 </t>
        </r>
      </text>
    </comment>
    <comment ref="C29" authorId="0" shapeId="0" xr:uid="{00000000-0006-0000-0000-000011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000-000012000000}">
      <text>
        <r>
          <rPr>
            <sz val="11"/>
            <color indexed="81"/>
            <rFont val="Tahoma"/>
            <family val="2"/>
          </rPr>
          <t xml:space="preserve">Protege al trabajador contra contingencias de enfermedad general y maternidad
</t>
        </r>
      </text>
    </comment>
    <comment ref="C33" authorId="0" shapeId="0" xr:uid="{00000000-0006-0000-0000-000013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000-000014000000}">
      <text>
        <r>
          <rPr>
            <sz val="11"/>
            <color indexed="81"/>
            <rFont val="Tahoma"/>
            <family val="2"/>
          </rPr>
          <t>El aporte total  se debe discriminar asi:
El empleador:   8,5%
Trabajador:     4.0%
Tope Minimo: 1 SMLMV--    $ 828.116
Tope maximo 25 SMLMV - $ 20.702.900</t>
        </r>
      </text>
    </comment>
    <comment ref="F33" authorId="1" shapeId="0" xr:uid="{00000000-0006-0000-0000-000015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000-000016000000}">
      <text>
        <r>
          <rPr>
            <sz val="11"/>
            <color indexed="81"/>
            <rFont val="Tahoma"/>
            <family val="2"/>
          </rPr>
          <t>Ampara al trabajador contra contingencias de vejez, invalidez y muerte, mediante el reconocimiento de pensiones y prestaciones.</t>
        </r>
      </text>
    </comment>
    <comment ref="C34" authorId="0" shapeId="0" xr:uid="{00000000-0006-0000-0000-000017000000}">
      <text>
        <r>
          <rPr>
            <sz val="11"/>
            <color indexed="81"/>
            <rFont val="Tahoma"/>
            <family val="2"/>
          </rPr>
          <t>Este valor es la suma del aporte de la empresa y el trabajador
Para el calculo no se  suma el auxilio de transporte</t>
        </r>
      </text>
    </comment>
    <comment ref="D34" authorId="0" shapeId="0" xr:uid="{00000000-0006-0000-0000-000018000000}">
      <text>
        <r>
          <rPr>
            <sz val="11"/>
            <color indexed="81"/>
            <rFont val="Tahoma"/>
            <family val="2"/>
          </rPr>
          <t>El aporte total  se debe discriminar asi:
El empleador:  12%
Trabajador:     4.0%
Tope Minimo: 1 SMLMV--       $ 822.116
Tope maximo 25 SMLMV - $ 20.702.900</t>
        </r>
      </text>
    </comment>
    <comment ref="B35" authorId="2" shapeId="0" xr:uid="{00000000-0006-0000-0000-000019000000}">
      <text>
        <r>
          <rPr>
            <sz val="11"/>
            <color indexed="81"/>
            <rFont val="Tahoma"/>
            <family val="2"/>
          </rPr>
          <t>Protege al trabajador contra accidentes de trabajo y enfermedades laborales</t>
        </r>
      </text>
    </comment>
    <comment ref="C35" authorId="0" shapeId="0" xr:uid="{00000000-0006-0000-0000-00001A000000}">
      <text>
        <r>
          <rPr>
            <sz val="11"/>
            <color indexed="81"/>
            <rFont val="Tahoma"/>
            <family val="2"/>
          </rPr>
          <t>Decreto 1772 de 1994, Art 13
Tope Minimo: 1 SMLMV -      $ 781.242
Tope maximo 25 SMLMV - $19.531.050   
Para el calculo no se suma el auxilio de transporte.
Esta aporte esta a cargo exclusivo del empleador</t>
        </r>
      </text>
    </comment>
    <comment ref="B41" authorId="2" shapeId="0" xr:uid="{00000000-0006-0000-0000-00001B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000-00001C000000}">
      <text>
        <r>
          <rPr>
            <sz val="11"/>
            <color indexed="81"/>
            <rFont val="Tahoma"/>
            <family val="2"/>
          </rPr>
          <t>El auxilio de transporte no se tiene en cuenta para este calculo. Art 17 ley 344/96
El trabajador que devengue en el mes hasta 4 veces el salario minimos ($3.312.464 ) tiene derecho al pago del subsidio en diner</t>
        </r>
      </text>
    </comment>
    <comment ref="D41" authorId="3" shapeId="0" xr:uid="{00000000-0006-0000-0000-00001D000000}">
      <text>
        <r>
          <rPr>
            <sz val="10"/>
            <color indexed="81"/>
            <rFont val="Tahoma"/>
            <family val="2"/>
          </rPr>
          <t>A partir del 1 de julio de 2013 solo se cotiza el 4% de las cajas de compensación según la ley 1607 de 2012, art 25, así: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t>
        </r>
      </text>
    </comment>
    <comment ref="C46" authorId="0" shapeId="0" xr:uid="{00000000-0006-0000-0000-00001E000000}">
      <text>
        <r>
          <rPr>
            <sz val="11"/>
            <color indexed="81"/>
            <rFont val="Tahoma"/>
            <family val="2"/>
          </rPr>
          <t>Fecha de entrega
30 abril 
31 de agosto
20 de diciembre
Es obligacion entregarla solo a partir del tercer mes de vinculación laboral.
Se entrega a quienes devengan hasta 2 salarios minimos legales $1.56.232</t>
        </r>
      </text>
    </comment>
    <comment ref="F58" authorId="0" shapeId="0" xr:uid="{00000000-0006-0000-0000-00001F000000}">
      <text>
        <r>
          <rPr>
            <sz val="11"/>
            <color indexed="81"/>
            <rFont val="Tahoma"/>
            <family val="2"/>
          </rPr>
          <t>Aquí se puede colocar el numero de horas por recargos y horas extras que se van a dar todos los meses, para calcular el costo mes.</t>
        </r>
      </text>
    </comment>
    <comment ref="E60" authorId="0" shapeId="0" xr:uid="{00000000-0006-0000-0000-000020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000-000021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000-000022000000}">
      <text>
        <r>
          <rPr>
            <sz val="11"/>
            <color indexed="81"/>
            <rFont val="Tahoma"/>
            <family val="2"/>
          </rPr>
          <t>Por trabajar el domingo el trabajador tiene derecho a un descanso compensatorio, pero sino lo toma tiene derecho a que se le pague en dinero un dia, ademas del recargo del 75% por haber trabajado el domingo.
Esto para el trabajador que ocasionalmente trabaja en domingo, pues el que lo hace habitualmente necesariamente debe descansar</t>
        </r>
      </text>
    </comment>
    <comment ref="E62" authorId="0" shapeId="0" xr:uid="{00000000-0006-0000-0000-000023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000-000024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000-000025000000}">
      <text>
        <r>
          <rPr>
            <sz val="11"/>
            <color indexed="81"/>
            <rFont val="Tahoma"/>
            <family val="2"/>
          </rPr>
          <t>Trabajador:     4.0%
Base Tope Minimo: 1 SMLMV--       $ 828.116
Base Tope maximo 25 SMLMV - $ 20.702.900</t>
        </r>
      </text>
    </comment>
    <comment ref="E74" authorId="0" shapeId="0" xr:uid="{00000000-0006-0000-0000-000026000000}">
      <text>
        <r>
          <rPr>
            <sz val="11"/>
            <color indexed="81"/>
            <rFont val="Tahoma"/>
            <family val="2"/>
          </rPr>
          <t>Trabajador:     4.0%
Tope Minimo: 1 SMLMV--       $ 828.116
Tope maximo 25 SMLMV - $ 20.702.900</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900-000001000000}">
      <text>
        <r>
          <rPr>
            <sz val="11"/>
            <color indexed="81"/>
            <rFont val="Tahoma"/>
            <family val="2"/>
          </rPr>
          <t>Decreto 5053 de 2009</t>
        </r>
      </text>
    </comment>
    <comment ref="C6" authorId="0" shapeId="0" xr:uid="{00000000-0006-0000-0900-000002000000}">
      <text>
        <r>
          <rPr>
            <sz val="11"/>
            <color indexed="81"/>
            <rFont val="Tahoma"/>
            <family val="2"/>
          </rPr>
          <t xml:space="preserve">Decreto 5054 de 2009
                    </t>
        </r>
      </text>
    </comment>
    <comment ref="C10" authorId="0" shapeId="0" xr:uid="{00000000-0006-0000-0900-000003000000}">
      <text>
        <r>
          <rPr>
            <sz val="11"/>
            <color indexed="81"/>
            <rFont val="Tahoma"/>
            <family val="2"/>
          </rPr>
          <t>Este calculo solo aplica para contratos  que no son de salario integral</t>
        </r>
      </text>
    </comment>
    <comment ref="C11" authorId="0" shapeId="0" xr:uid="{00000000-0006-0000-09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900-000005000000}">
      <text>
        <r>
          <rPr>
            <sz val="11"/>
            <color indexed="81"/>
            <rFont val="Tahoma"/>
            <family val="2"/>
          </rPr>
          <t>NOTA: Solo colocar si el salario es hasta $1.030.000.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$85.000, obviamente puede ser mayor o menor dependiendo de la calidad de la dotación.</t>
        </r>
      </text>
    </comment>
    <comment ref="C18" authorId="0" shapeId="0" xr:uid="{00000000-0006-0000-0900-000006000000}">
      <text>
        <r>
          <rPr>
            <sz val="11"/>
            <color indexed="81"/>
            <rFont val="Tahoma"/>
            <family val="2"/>
          </rPr>
          <t>No puede ser inferior al minimo legal, o sea $515.000</t>
        </r>
      </text>
    </comment>
    <comment ref="E18" authorId="0" shapeId="0" xr:uid="{00000000-0006-0000-0900-000007000000}">
      <text>
        <r>
          <rPr>
            <sz val="11"/>
            <color indexed="81"/>
            <rFont val="Tahoma"/>
            <family val="2"/>
          </rPr>
          <t>Si sale la palabra FALSO es porque esta colocando un valor inferior al minimo legal, y no calcula.</t>
        </r>
      </text>
    </comment>
    <comment ref="B19" authorId="1" shapeId="0" xr:uid="{00000000-0006-0000-09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900-000009000000}">
      <text>
        <r>
          <rPr>
            <sz val="11"/>
            <color indexed="81"/>
            <rFont val="Tahoma"/>
            <family val="2"/>
          </rPr>
          <t>A quien trabaje entre las 10 p.m y las 6 a.m</t>
        </r>
      </text>
    </comment>
    <comment ref="C21" authorId="0" shapeId="0" xr:uid="{00000000-0006-0000-09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9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900-00000C000000}">
      <text>
        <r>
          <rPr>
            <sz val="12"/>
            <color indexed="81"/>
            <rFont val="Tahoma"/>
            <family val="2"/>
          </rPr>
          <t>Equivale al uno por ciento por cada mes trabajado.Lo que significa el 12% al año.
Intereses= salario x No dias trabajados X 0.12
                  -------------------------------------------
                                         360</t>
        </r>
      </text>
    </comment>
    <comment ref="C28" authorId="0" shapeId="0" xr:uid="{00000000-0006-0000-0900-00000D000000}">
      <text>
        <r>
          <rPr>
            <sz val="11"/>
            <color indexed="81"/>
            <rFont val="Tahoma"/>
            <family val="2"/>
          </rPr>
          <t>Equivale a un mes de salario+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9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900-00000F000000}">
      <text>
        <r>
          <rPr>
            <sz val="11"/>
            <color indexed="81"/>
            <rFont val="Tahoma"/>
            <family val="2"/>
          </rPr>
          <t xml:space="preserve">Protege al trabajador contra contingencias de enfermedad general y maternidad
</t>
        </r>
      </text>
    </comment>
    <comment ref="C33" authorId="0" shapeId="0" xr:uid="{00000000-0006-0000-0900-000010000000}">
      <text>
        <r>
          <rPr>
            <sz val="11"/>
            <color indexed="81"/>
            <rFont val="Tahoma"/>
            <family val="2"/>
          </rPr>
          <t>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900-000011000000}">
      <text>
        <r>
          <rPr>
            <sz val="11"/>
            <color indexed="81"/>
            <rFont val="Tahoma"/>
            <family val="2"/>
          </rPr>
          <t>El aporte total  se debe discriminar asi:
El empleador:  8,5%
Trabajador:     4.0%
Tope Minimo: 1 SMLMV--        $515.000
Tope maximo 25 SMLMV - $12.875.000</t>
        </r>
      </text>
    </comment>
    <comment ref="B34" authorId="1" shapeId="0" xr:uid="{00000000-0006-0000-09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900-000013000000}">
      <text>
        <r>
          <rPr>
            <sz val="11"/>
            <color indexed="81"/>
            <rFont val="Tahoma"/>
            <family val="2"/>
          </rPr>
          <t>Para el calculo no se  suma el auxilio de transporte</t>
        </r>
      </text>
    </comment>
    <comment ref="D34" authorId="0" shapeId="0" xr:uid="{00000000-0006-0000-0900-000014000000}">
      <text>
        <r>
          <rPr>
            <sz val="11"/>
            <color indexed="81"/>
            <rFont val="Tahoma"/>
            <family val="2"/>
          </rPr>
          <t>El aporte total  se debe discriminar asi:
El empleador:  12%
Trabajador:     4.0%
Tope Minimo: 1 SMLMV--        $515.000
Tope maximo 25 SMLMV - $12.875.000</t>
        </r>
      </text>
    </comment>
    <comment ref="B35" authorId="1" shapeId="0" xr:uid="{00000000-0006-0000-09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900-000016000000}">
      <text>
        <r>
          <rPr>
            <sz val="11"/>
            <color indexed="81"/>
            <rFont val="Tahoma"/>
            <family val="2"/>
          </rPr>
          <t>Decreto 1772 de 1994, Art 13
Tope Minimo: 1 SMLMV -      $ 515.000
Tope maximo 20 SMLMV - $10.300.000-     
Para el calculo no se suma el auxilio de transporte.
Esta a cargo exclusivo del empleador.</t>
        </r>
      </text>
    </comment>
    <comment ref="B41" authorId="1" shapeId="0" xr:uid="{00000000-0006-0000-09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900-000018000000}">
      <text>
        <r>
          <rPr>
            <sz val="11"/>
            <color indexed="81"/>
            <rFont val="Tahoma"/>
            <family val="2"/>
          </rPr>
          <t>El auxilio de transporte no se tiene en cuenta para este calculo. Art 17 ley 344/96
El trabajador que devengue en el mes hasta 4 veces el salario minimos ($2.060.000) tiene derecho al pago del subsidio en dinero.</t>
        </r>
      </text>
    </comment>
    <comment ref="C46" authorId="0" shapeId="0" xr:uid="{00000000-0006-0000-09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9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9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9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9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9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9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D72" authorId="0" shapeId="0" xr:uid="{00000000-0006-0000-0900-000020000000}">
      <text>
        <r>
          <rPr>
            <sz val="11"/>
            <color indexed="81"/>
            <rFont val="Tahoma"/>
            <family val="2"/>
          </rPr>
          <t>Para el 2010 solo tendran retefuente quienes devenguen $3.463.000 mensuales o más.
A ese monto se le resta los descuentos a que tienen derecho (aportes, pensiones, salud prepagada e intereses que se paguen por vivienda) mas la deduccion del 25%. Si despues de esto da como resultado igual o menos de $2.332.725 no debera haber retefuente.</t>
        </r>
      </text>
    </comment>
    <comment ref="E73" authorId="0" shapeId="0" xr:uid="{00000000-0006-0000-0900-000021000000}">
      <text>
        <r>
          <rPr>
            <sz val="11"/>
            <color indexed="81"/>
            <rFont val="Tahoma"/>
            <family val="2"/>
          </rPr>
          <t>El aporte total  se debe discriminar asi:
El empleador:  8,5%
Trabajador:     4.0%
Tope Minimo: 1 SMLMV--        $ 515.000
Tope maximo 25 SMLMV - $ 12.875.000</t>
        </r>
      </text>
    </comment>
    <comment ref="E74" authorId="0" shapeId="0" xr:uid="{00000000-0006-0000-0900-000022000000}">
      <text>
        <r>
          <rPr>
            <sz val="11"/>
            <color indexed="81"/>
            <rFont val="Tahoma"/>
            <family val="2"/>
          </rPr>
          <t>El aporte total  se debe discriminar asi:
El empleador:  8,5%
Trabajador:     4.0%
Tope Minimo: 1 SMLMV--        $ 515.000
Tope maximo 25 SMLMV - $ 12.875.000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A00-000001000000}">
      <text>
        <r>
          <rPr>
            <sz val="11"/>
            <color indexed="81"/>
            <rFont val="Tahoma"/>
            <family val="2"/>
          </rPr>
          <t>Decreto 4868 de 2008</t>
        </r>
      </text>
    </comment>
    <comment ref="C6" authorId="0" shapeId="0" xr:uid="{00000000-0006-0000-0A00-000002000000}">
      <text>
        <r>
          <rPr>
            <sz val="11"/>
            <color indexed="81"/>
            <rFont val="Tahoma"/>
            <family val="2"/>
          </rPr>
          <t xml:space="preserve">Decreto 4869 de 2008
                    </t>
        </r>
      </text>
    </comment>
    <comment ref="C10" authorId="0" shapeId="0" xr:uid="{00000000-0006-0000-0A00-000003000000}">
      <text>
        <r>
          <rPr>
            <sz val="11"/>
            <color indexed="81"/>
            <rFont val="Tahoma"/>
            <family val="2"/>
          </rPr>
          <t>Este calculo solo aplica para contratos  que no son de salario integral</t>
        </r>
      </text>
    </comment>
    <comment ref="C11" authorId="0" shapeId="0" xr:uid="{00000000-0006-0000-0A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A00-000005000000}">
      <text>
        <r>
          <rPr>
            <sz val="11"/>
            <color indexed="81"/>
            <rFont val="Tahoma"/>
            <family val="2"/>
          </rPr>
          <t>NOTA: Solo colocar si el salario es hasta $993.800.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$80.000, obviamente puede ser mayor dependiendo de la calidad de la dotación.</t>
        </r>
      </text>
    </comment>
    <comment ref="C18" authorId="0" shapeId="0" xr:uid="{00000000-0006-0000-0A00-000006000000}">
      <text>
        <r>
          <rPr>
            <sz val="11"/>
            <color indexed="81"/>
            <rFont val="Tahoma"/>
            <family val="2"/>
          </rPr>
          <t>No puede ser inferior al minimo legal, o sea $496.900</t>
        </r>
      </text>
    </comment>
    <comment ref="E18" authorId="0" shapeId="0" xr:uid="{00000000-0006-0000-0A00-000007000000}">
      <text>
        <r>
          <rPr>
            <sz val="11"/>
            <color indexed="81"/>
            <rFont val="Tahoma"/>
            <family val="2"/>
          </rPr>
          <t>Si sale la palabra FALSO es porque esta colocando un valor inferior al minimo legal, y no calcula.</t>
        </r>
      </text>
    </comment>
    <comment ref="B19" authorId="1" shapeId="0" xr:uid="{00000000-0006-0000-0A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A00-000009000000}">
      <text>
        <r>
          <rPr>
            <sz val="11"/>
            <color indexed="81"/>
            <rFont val="Tahoma"/>
            <family val="2"/>
          </rPr>
          <t>A quien trabaje entre las 10 p.m y las 6 a.m</t>
        </r>
      </text>
    </comment>
    <comment ref="C21" authorId="0" shapeId="0" xr:uid="{00000000-0006-0000-0A00-00000A000000}">
      <text>
        <r>
          <rPr>
            <sz val="11"/>
            <color indexed="81"/>
            <rFont val="Tahoma"/>
            <family val="2"/>
          </rPr>
          <t>Ademas del recargo del 75% por trabajar un domingo,si se trabajo nocturno se recarga con el 35%.
Si no se toma el descanso compensatorio en la semana se paga una vez mas.</t>
        </r>
      </text>
    </comment>
    <comment ref="C26" authorId="0" shapeId="0" xr:uid="{00000000-0006-0000-0A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A00-00000C000000}">
      <text>
        <r>
          <rPr>
            <sz val="12"/>
            <color indexed="81"/>
            <rFont val="Tahoma"/>
            <family val="2"/>
          </rPr>
          <t>Equivale al uno por ciento por cada mes trabajado.Lo que significa el 12% al año</t>
        </r>
      </text>
    </comment>
    <comment ref="C28" authorId="0" shapeId="0" xr:uid="{00000000-0006-0000-0A00-00000D000000}">
      <text>
        <r>
          <rPr>
            <sz val="11"/>
            <color indexed="81"/>
            <rFont val="Tahoma"/>
            <family val="2"/>
          </rPr>
          <t>Equivale a un mes de salario+ subsidio de transporte, pagadero asi:
15 dias el ultimo dia de junio
y 15 dias en los primeros 20 dias de diciembre.
El salario comprende el salario basico mas recargos y horas extras.</t>
        </r>
      </text>
    </comment>
    <comment ref="C29" authorId="0" shapeId="0" xr:uid="{00000000-0006-0000-0A00-00000E000000}">
      <text>
        <r>
          <rPr>
            <sz val="11"/>
            <color indexed="81"/>
            <rFont val="Tahoma"/>
            <family val="2"/>
          </rPr>
          <t xml:space="preserve">Se reconocen por cada año de servicios 15 dias hábiles de vacaciones y asi se ha hecho la provisión.
Sin embargo en la practica por tratarse de dias habiles se convierten en 17 días calendario si desea utilizar los 17 dias debe dividir 17 entre 360 y multiplicar por el valor del salario, o sea 4.72%.
En su calculo NO se incluye por disposicion legal:
1- el auxilio de transporte.
2- Las horas extras 
3-y el valor del trabajo en dias de descanso obligatorio.
</t>
        </r>
      </text>
    </comment>
    <comment ref="B33" authorId="1" shapeId="0" xr:uid="{00000000-0006-0000-0A00-00000F000000}">
      <text>
        <r>
          <rPr>
            <sz val="11"/>
            <color indexed="81"/>
            <rFont val="Tahoma"/>
            <family val="2"/>
          </rPr>
          <t xml:space="preserve">Protege al trabajador contra contingencias de enfermedad general y maternidad
</t>
        </r>
      </text>
    </comment>
    <comment ref="C33" authorId="0" shapeId="0" xr:uid="{00000000-0006-0000-0A00-000010000000}">
      <text>
        <r>
          <rPr>
            <sz val="11"/>
            <color indexed="81"/>
            <rFont val="Tahoma"/>
            <family val="2"/>
          </rPr>
          <t>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A00-000011000000}">
      <text>
        <r>
          <rPr>
            <sz val="11"/>
            <color indexed="81"/>
            <rFont val="Tahoma"/>
            <family val="2"/>
          </rPr>
          <t>El aporte total  se debe discriminar asi:
El empleador:  8,5%
Trabajador:     4.0%
Tope Minimo: 1 SMLMV--        $496.900
Tope maximo 25 SMLMV - $12.422.500</t>
        </r>
      </text>
    </comment>
    <comment ref="B34" authorId="1" shapeId="0" xr:uid="{00000000-0006-0000-0A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A00-000013000000}">
      <text>
        <r>
          <rPr>
            <sz val="11"/>
            <color indexed="81"/>
            <rFont val="Tahoma"/>
            <family val="2"/>
          </rPr>
          <t>Para el calculo no se  suma el auxilio de transporte</t>
        </r>
      </text>
    </comment>
    <comment ref="D34" authorId="0" shapeId="0" xr:uid="{00000000-0006-0000-0A00-000014000000}">
      <text>
        <r>
          <rPr>
            <sz val="11"/>
            <color indexed="81"/>
            <rFont val="Tahoma"/>
            <family val="2"/>
          </rPr>
          <t>El aporte total  se debe discriminar asi:
El empleador:  12%
Trabajador:     4.0%
Tope Minimo: 1 SMLMV--        $496.900
Tope maximo 25 SMLMV - $12.422.500</t>
        </r>
      </text>
    </comment>
    <comment ref="B35" authorId="1" shapeId="0" xr:uid="{00000000-0006-0000-0A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A00-000016000000}">
      <text>
        <r>
          <rPr>
            <sz val="11"/>
            <color indexed="81"/>
            <rFont val="Tahoma"/>
            <family val="2"/>
          </rPr>
          <t>Decreto 1772 de 1994, Art 13
Tope Minimo: 1 SMLMV -      $ 496.900
Tope maximo 20 SMLMV - $9.938.000 -     
Para el calculo no se suma el auxilio de transporte.
Esta a cargo exclusivo del empleador.</t>
        </r>
      </text>
    </comment>
    <comment ref="B41" authorId="1" shapeId="0" xr:uid="{00000000-0006-0000-0A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A00-000018000000}">
      <text>
        <r>
          <rPr>
            <sz val="11"/>
            <color indexed="81"/>
            <rFont val="Tahoma"/>
            <family val="2"/>
          </rPr>
          <t>El auxilio de transporte no se tiene en cuenta para este calculo. Art 17 ley 344/96
El trabajador que devengue en el mes hasta 4 veces el salario minimos ($1.987.600) tiene derecho al pago del subsidio en dinero.</t>
        </r>
      </text>
    </comment>
    <comment ref="C46" authorId="0" shapeId="0" xr:uid="{00000000-0006-0000-0A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A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A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A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A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A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A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D72" authorId="0" shapeId="0" xr:uid="{00000000-0006-0000-0A00-000020000000}">
      <text>
        <r>
          <rPr>
            <sz val="11"/>
            <color indexed="81"/>
            <rFont val="Tahoma"/>
            <family val="2"/>
          </rPr>
          <t>Para el 2009 solo tendran retefuente quienes devenguen mas $3.352.169.
A ese monto se le resta los descuentos a que tienen derecho (aportes, pensiones, salud prepagada e intereses que se paguen por vivienda) mas la deduccion del 25%. Si despues de esto da como resultado menos de $2.095.130 no debera haber retefuente</t>
        </r>
      </text>
    </comment>
    <comment ref="E73" authorId="0" shapeId="0" xr:uid="{00000000-0006-0000-0A00-000021000000}">
      <text>
        <r>
          <rPr>
            <sz val="11"/>
            <color indexed="81"/>
            <rFont val="Tahoma"/>
            <family val="2"/>
          </rPr>
          <t>El aporte total  se debe discriminar asi:
El empleador:  8,5%
Trabajador:     4.0%
Tope Minimo: 1 SMLMV--        $ 496.900
Tope maximo 25 SMLMV - $ 12.422.500</t>
        </r>
      </text>
    </comment>
    <comment ref="E74" authorId="0" shapeId="0" xr:uid="{00000000-0006-0000-0A00-000022000000}">
      <text>
        <r>
          <rPr>
            <sz val="11"/>
            <color indexed="81"/>
            <rFont val="Tahoma"/>
            <family val="2"/>
          </rPr>
          <t>El aporte total  se debe discriminar asi:
El empleador:  8,5%
Trabajador:     4.0%
Tope Minimo: 1 SMLMV--        $ 496.900
Tope maximo 25 SMLMV - $ 12.422.500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10" authorId="0" shapeId="0" xr:uid="{00000000-0006-0000-0100-000001000000}">
      <text>
        <r>
          <rPr>
            <sz val="11"/>
            <color indexed="81"/>
            <rFont val="Tahoma"/>
            <family val="2"/>
          </rPr>
          <t>Este calculo solo aplica para contratos  que no son de salario integral</t>
        </r>
      </text>
    </comment>
    <comment ref="C11" authorId="0" shapeId="0" xr:uid="{00000000-0006-0000-0100-000002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100-000003000000}">
      <text>
        <r>
          <rPr>
            <sz val="11"/>
            <color indexed="81"/>
            <rFont val="Tahoma"/>
            <family val="2"/>
          </rPr>
          <t>NOTA: Solo colocar si el salario es hasta $1.562.484
Solo es obligacion de entregar dotación a quienes devenguen hasta 2 salarios minimos legales mensuales.Ley 11 de 1984 art 7          
Una dotacion esta compuesta por:
Un par de zapatos            $ 
y un vestido de labor        $       
Coloque la suma de los dos valores</t>
        </r>
      </text>
    </comment>
    <comment ref="C13" authorId="0" shapeId="0" xr:uid="{00000000-0006-0000-0100-000004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100-000005000000}">
      <text>
        <r>
          <rPr>
            <b/>
            <sz val="10"/>
            <color indexed="81"/>
            <rFont val="Tahoma"/>
            <family val="2"/>
          </rPr>
          <t xml:space="preserve">Calculo de un trabajador para un empleador persona natural que solo tiene un trabajador en su nómina, 
Tampoco aplica para sus trabajadores que devenguen 10 SMLMV o mas.
</t>
        </r>
      </text>
    </comment>
    <comment ref="F15" authorId="1" shapeId="0" xr:uid="{00000000-0006-0000-0100-000006000000}">
      <text>
        <r>
          <rPr>
            <b/>
            <sz val="10"/>
            <color indexed="81"/>
            <rFont val="Tahoma"/>
            <family val="2"/>
          </rPr>
          <t>EXONERADOS DE PAGAR SALUD. SENA, ICBF</t>
        </r>
        <r>
          <rPr>
            <sz val="10"/>
            <color indexed="81"/>
            <rFont val="Tahoma"/>
            <family val="2"/>
          </rPr>
          <t xml:space="preserve">
</t>
        </r>
        <r>
          <rPr>
            <b/>
            <sz val="10"/>
            <color indexed="81"/>
            <rFont val="Tahoma"/>
            <family val="2"/>
          </rPr>
          <t>Para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t>
        </r>
        <r>
          <rPr>
            <b/>
            <sz val="10"/>
            <color indexed="81"/>
            <rFont val="Tahoma"/>
            <family val="2"/>
          </rPr>
          <t xml:space="preserve"> las personas naturales</t>
        </r>
        <r>
          <rPr>
            <sz val="10"/>
            <color indexed="81"/>
            <rFont val="Tahoma"/>
            <family val="2"/>
          </rPr>
          <t xml:space="preserve"> empleadoras con empleados que devenguen menos de diez (10) salarios mínimos legales mensuales vigentes. 
Lo anterior no aplicará para personas naturales que empleen menos de dos trabajadores, los cuales seguirán obligados a efectuar los aportes de salud, Sena, Icbf.
</t>
        </r>
      </text>
    </comment>
    <comment ref="G15" authorId="1" shapeId="0" xr:uid="{00000000-0006-0000-0100-000007000000}">
      <text>
        <r>
          <rPr>
            <sz val="10"/>
            <color indexed="81"/>
            <rFont val="Tahoma"/>
            <family val="2"/>
          </rPr>
          <t xml:space="preserve">Conversion para el caso de un solo trabajador donde no existe exencion de salud y SENA , ICBF
</t>
        </r>
      </text>
    </comment>
    <comment ref="C18" authorId="0" shapeId="0" xr:uid="{00000000-0006-0000-0100-000008000000}">
      <text>
        <r>
          <rPr>
            <sz val="11"/>
            <color indexed="81"/>
            <rFont val="Tahoma"/>
            <family val="2"/>
          </rPr>
          <t>No puede ser inferior al minimo legal, o sea $ 781.242</t>
        </r>
      </text>
    </comment>
    <comment ref="E18" authorId="0" shapeId="0" xr:uid="{00000000-0006-0000-0100-000009000000}">
      <text>
        <r>
          <rPr>
            <sz val="11"/>
            <color indexed="81"/>
            <rFont val="Tahoma"/>
            <family val="2"/>
          </rPr>
          <t>Si sale la palabra FALSO es porque esta colocando un valor inferior al minimo legal, y no calcula.</t>
        </r>
      </text>
    </comment>
    <comment ref="B19" authorId="2" shapeId="0" xr:uid="{00000000-0006-0000-0100-00000A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100-00000B000000}">
      <text>
        <r>
          <rPr>
            <sz val="11"/>
            <color indexed="81"/>
            <rFont val="Tahoma"/>
            <family val="2"/>
          </rPr>
          <t>A quien trabaje entre las 9 p.m y las 6 a.m
Si el recargo nocturno es en domingo se le suma un 75%</t>
        </r>
      </text>
    </comment>
    <comment ref="C21" authorId="0" shapeId="0" xr:uid="{00000000-0006-0000-0100-00000C000000}">
      <text>
        <r>
          <rPr>
            <sz val="11"/>
            <color indexed="81"/>
            <rFont val="Tahoma"/>
            <family val="2"/>
          </rPr>
          <t>El trabajar en dominical o festivo genera un recargo del 75%
Cuando no se toma el descanso compensatorio  habiendo trabajado el dominical se paga una vez mas.</t>
        </r>
      </text>
    </comment>
    <comment ref="B22" authorId="1" shapeId="0" xr:uid="{00000000-0006-0000-0100-00000D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0" shapeId="0" xr:uid="{00000000-0006-0000-0100-00000E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Cesantìa= salario x No dias trabajados 
             -----------------------------------------
                             360
</t>
        </r>
      </text>
    </comment>
    <comment ref="C27" authorId="0" shapeId="0" xr:uid="{00000000-0006-0000-0100-00000F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100-000010000000}">
      <text>
        <r>
          <rPr>
            <sz val="11"/>
            <color indexed="81"/>
            <rFont val="Tahoma"/>
            <family val="2"/>
          </rPr>
          <t xml:space="preserve">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
Prima= salario x No dias trabajados en el semestre
            -----------------------------------------------
                                         360 </t>
        </r>
      </text>
    </comment>
    <comment ref="C29" authorId="0" shapeId="0" xr:uid="{00000000-0006-0000-0100-000011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100-000012000000}">
      <text>
        <r>
          <rPr>
            <sz val="11"/>
            <color indexed="81"/>
            <rFont val="Tahoma"/>
            <family val="2"/>
          </rPr>
          <t xml:space="preserve">Protege al trabajador contra contingencias de enfermedad general y maternidad
</t>
        </r>
      </text>
    </comment>
    <comment ref="C33" authorId="0" shapeId="0" xr:uid="{00000000-0006-0000-0100-000013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100-000014000000}">
      <text>
        <r>
          <rPr>
            <sz val="11"/>
            <color indexed="81"/>
            <rFont val="Tahoma"/>
            <family val="2"/>
          </rPr>
          <t>El aporte total  se debe discriminar asi:
El empleador:   8,5%
Trabajador:     4.0%
Tope Minimo: 1 SMLMV--    $ 781.242
Tope maximo 25 SMLMV - $19.531.050</t>
        </r>
      </text>
    </comment>
    <comment ref="F33" authorId="1" shapeId="0" xr:uid="{00000000-0006-0000-0100-000015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100-000016000000}">
      <text>
        <r>
          <rPr>
            <sz val="11"/>
            <color indexed="81"/>
            <rFont val="Tahoma"/>
            <family val="2"/>
          </rPr>
          <t>Ampara al trabajador contra contingencias de vejez, invalidez y muerte, mediante el reconocimiento de pensiones y prestaciones.</t>
        </r>
      </text>
    </comment>
    <comment ref="C34" authorId="0" shapeId="0" xr:uid="{00000000-0006-0000-0100-000017000000}">
      <text>
        <r>
          <rPr>
            <sz val="11"/>
            <color indexed="81"/>
            <rFont val="Tahoma"/>
            <family val="2"/>
          </rPr>
          <t>Este valor es la suma del aporte de la empresa y el trabajador
Para el calculo no se  suma el auxilio de transporte</t>
        </r>
      </text>
    </comment>
    <comment ref="D34" authorId="0" shapeId="0" xr:uid="{00000000-0006-0000-0100-000018000000}">
      <text>
        <r>
          <rPr>
            <sz val="11"/>
            <color indexed="81"/>
            <rFont val="Tahoma"/>
            <family val="2"/>
          </rPr>
          <t>El aporte total  se debe discriminar asi:
El empleador:  12%
Trabajador:     4.0%
Tope Minimo: 1 SMLMV--       $ 781.242
Tope maximo 25 SMLMV - $19.531.050</t>
        </r>
      </text>
    </comment>
    <comment ref="B35" authorId="2" shapeId="0" xr:uid="{00000000-0006-0000-0100-000019000000}">
      <text>
        <r>
          <rPr>
            <sz val="11"/>
            <color indexed="81"/>
            <rFont val="Tahoma"/>
            <family val="2"/>
          </rPr>
          <t>Protege al trabajador contra accidentes de trabajo y enfermedades laborales</t>
        </r>
      </text>
    </comment>
    <comment ref="C35" authorId="0" shapeId="0" xr:uid="{00000000-0006-0000-0100-00001A000000}">
      <text>
        <r>
          <rPr>
            <sz val="11"/>
            <color indexed="81"/>
            <rFont val="Tahoma"/>
            <family val="2"/>
          </rPr>
          <t>Decreto 1772 de 1994, Art 13
Tope Minimo: 1 SMLMV -      $ 781.242
Tope maximo 25 SMLMV - $19.531.050   
Para el calculo no se suma el auxilio de transporte.
Esta aporte esta a cargo exclusivo del empleador</t>
        </r>
      </text>
    </comment>
    <comment ref="B41" authorId="2" shapeId="0" xr:uid="{00000000-0006-0000-0100-00001B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100-00001C000000}">
      <text>
        <r>
          <rPr>
            <sz val="11"/>
            <color indexed="81"/>
            <rFont val="Tahoma"/>
            <family val="2"/>
          </rPr>
          <t>El auxilio de transporte no se tiene en cuenta para este calculo. Art 17 ley 344/96
El trabajador que devengue en el mes hasta 4 veces el salario minimos ($3.124.968 ) tiene derecho al pago del subsidio en dnero.</t>
        </r>
      </text>
    </comment>
    <comment ref="D41" authorId="3" shapeId="0" xr:uid="{00000000-0006-0000-0100-00001D000000}">
      <text>
        <r>
          <rPr>
            <sz val="10"/>
            <color indexed="81"/>
            <rFont val="Tahoma"/>
            <family val="2"/>
          </rPr>
          <t>A partir del 1 de julio de 2013 solo se cotiza el 4% de las cajas de compensación según la ley 1607 de 2012, art 25, así: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t>
        </r>
      </text>
    </comment>
    <comment ref="C46" authorId="0" shapeId="0" xr:uid="{00000000-0006-0000-0100-00001E000000}">
      <text>
        <r>
          <rPr>
            <sz val="11"/>
            <color indexed="81"/>
            <rFont val="Tahoma"/>
            <family val="2"/>
          </rPr>
          <t>Fecha de entrega
30 abril 
31 de agosto
20 de diciembre
Es obligacion entregarla solo a partir del tercer mes de vinculación laboral.
Se entrega a quienes devengan hasta 2 salarios minimos legales $1.562.484</t>
        </r>
      </text>
    </comment>
    <comment ref="F58" authorId="0" shapeId="0" xr:uid="{00000000-0006-0000-0100-00001F000000}">
      <text>
        <r>
          <rPr>
            <sz val="11"/>
            <color indexed="81"/>
            <rFont val="Tahoma"/>
            <family val="2"/>
          </rPr>
          <t>Aquí se puede colocar el numero de horas por recargos y horas extras que se van a dar todos los meses, para calcular el costo mes.</t>
        </r>
      </text>
    </comment>
    <comment ref="E60" authorId="0" shapeId="0" xr:uid="{00000000-0006-0000-0100-000020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100-000021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100-000022000000}">
      <text>
        <r>
          <rPr>
            <sz val="11"/>
            <color indexed="81"/>
            <rFont val="Tahoma"/>
            <family val="2"/>
          </rPr>
          <t>Por trabajar el domingo el trabajador tiene derecho a un descanso compensatorio, pero sino lo toma tiene derecho a que se le pague en dinero un dia, ademas del recargo del 75% por haber trabajado el domingo.
Esto para el trabajador que ocasionalmente trabaja en domingo, pues el que lo hace habitualmente necesariamente debe descansar</t>
        </r>
      </text>
    </comment>
    <comment ref="E62" authorId="0" shapeId="0" xr:uid="{00000000-0006-0000-0100-000023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100-000024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100-000025000000}">
      <text>
        <r>
          <rPr>
            <sz val="11"/>
            <color indexed="81"/>
            <rFont val="Tahoma"/>
            <family val="2"/>
          </rPr>
          <t>Trabajador:     4.0%
Base Tope Minimo: 1 SMLMV--       $ 781.242
Base Tope maximo 25 SMLMV - $ 19.531.050</t>
        </r>
      </text>
    </comment>
    <comment ref="E74" authorId="0" shapeId="0" xr:uid="{00000000-0006-0000-0100-000026000000}">
      <text>
        <r>
          <rPr>
            <sz val="11"/>
            <color indexed="81"/>
            <rFont val="Tahoma"/>
            <family val="2"/>
          </rPr>
          <t>Trabajador:     4.0%
Tope Minimo: 1 SMLMV--       $ 737.717
Tope maximo 25 SMLMV - $ 18.442.925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Duque, Cesar Augusto</author>
    <author>Servicios</author>
    <author>temp</author>
    <author>Familia Duque</author>
    <author>ADMON</author>
  </authors>
  <commentList>
    <comment ref="C5" authorId="0" shapeId="0" xr:uid="{00000000-0006-0000-0200-000001000000}">
      <text>
        <r>
          <rPr>
            <b/>
            <sz val="11"/>
            <color indexed="81"/>
            <rFont val="Tahoma"/>
            <family val="2"/>
          </rPr>
          <t xml:space="preserve">Decreto 2209 de 2016
</t>
        </r>
      </text>
    </comment>
    <comment ref="C6" authorId="0" shapeId="0" xr:uid="{00000000-0006-0000-0200-000002000000}">
      <text>
        <r>
          <rPr>
            <b/>
            <sz val="12"/>
            <color indexed="81"/>
            <rFont val="Tahoma"/>
            <family val="2"/>
          </rPr>
          <t>Decreto 2210 de 2016</t>
        </r>
      </text>
    </comment>
    <comment ref="C10" authorId="1" shapeId="0" xr:uid="{00000000-0006-0000-0200-000003000000}">
      <text>
        <r>
          <rPr>
            <sz val="11"/>
            <color indexed="81"/>
            <rFont val="Tahoma"/>
            <family val="2"/>
          </rPr>
          <t>Este calculo solo aplica para contratos  que no son de salario integral</t>
        </r>
      </text>
    </comment>
    <comment ref="C11" authorId="1" shapeId="0" xr:uid="{00000000-0006-0000-02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1" shapeId="0" xr:uid="{00000000-0006-0000-0200-000005000000}">
      <text>
        <r>
          <rPr>
            <sz val="11"/>
            <color indexed="81"/>
            <rFont val="Tahoma"/>
            <family val="2"/>
          </rPr>
          <t>NOTA: Solo colocar si el salario es hasta $1.475.434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$ 145.000, obviamente puede ser mayor o menor dependiendo de la calidad de la dotación.</t>
        </r>
      </text>
    </comment>
    <comment ref="C13" authorId="1" shapeId="0" xr:uid="{00000000-0006-0000-0200-000006000000}">
      <text>
        <r>
          <rPr>
            <sz val="11"/>
            <color indexed="81"/>
            <rFont val="Tahoma"/>
            <family val="2"/>
          </rPr>
          <t>Se debe colocar lo que cuesta adquirir una unidad de la moneda extranjera a la cual se desea convertir, por ejemplo lo que cuesta comprar un dolar</t>
        </r>
      </text>
    </comment>
    <comment ref="E15" authorId="2" shapeId="0" xr:uid="{00000000-0006-0000-0200-000007000000}">
      <text>
        <r>
          <rPr>
            <b/>
            <sz val="10"/>
            <color indexed="81"/>
            <rFont val="Tahoma"/>
            <family val="2"/>
          </rPr>
          <t xml:space="preserve">Calculo de un trabajador para un empleador persona natural que solo tiene un trabajador en su nómina, 
Tampoco aplica para sus trabajadores que devenguen 10 SMLMV o mas.
</t>
        </r>
      </text>
    </comment>
    <comment ref="F15" authorId="2" shapeId="0" xr:uid="{00000000-0006-0000-0200-000008000000}">
      <text>
        <r>
          <rPr>
            <b/>
            <sz val="10"/>
            <color indexed="81"/>
            <rFont val="Tahoma"/>
            <family val="2"/>
          </rPr>
          <t>EXONERADOS DE PAGAR SALUD. SENA, ICBF</t>
        </r>
        <r>
          <rPr>
            <sz val="10"/>
            <color indexed="81"/>
            <rFont val="Tahoma"/>
            <family val="2"/>
          </rPr>
          <t xml:space="preserve">
</t>
        </r>
        <r>
          <rPr>
            <b/>
            <sz val="10"/>
            <color indexed="81"/>
            <rFont val="Tahoma"/>
            <family val="2"/>
          </rPr>
          <t>Para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t>
        </r>
        <r>
          <rPr>
            <b/>
            <sz val="10"/>
            <color indexed="81"/>
            <rFont val="Tahoma"/>
            <family val="2"/>
          </rPr>
          <t xml:space="preserve"> las personas naturales</t>
        </r>
        <r>
          <rPr>
            <sz val="10"/>
            <color indexed="81"/>
            <rFont val="Tahoma"/>
            <family val="2"/>
          </rPr>
          <t xml:space="preserve"> empleadoras con empleados que devenguen menos de diez (10) salarios mínimos legales mensuales vigentes. 
Lo anterior no aplicará para personas naturales que empleen menos de dos trabajadores, los cuales seguirán obligados a efectuar los aportes de salud, Sena, Icbf.
</t>
        </r>
      </text>
    </comment>
    <comment ref="G15" authorId="2" shapeId="0" xr:uid="{00000000-0006-0000-0200-000009000000}">
      <text>
        <r>
          <rPr>
            <sz val="10"/>
            <color indexed="81"/>
            <rFont val="Tahoma"/>
            <family val="2"/>
          </rPr>
          <t xml:space="preserve">Conversion para el caso de un solo trabajador donde no existe exencion de salud y SENA , ICBF
</t>
        </r>
      </text>
    </comment>
    <comment ref="C18" authorId="1" shapeId="0" xr:uid="{00000000-0006-0000-0200-00000A000000}">
      <text>
        <r>
          <rPr>
            <sz val="11"/>
            <color indexed="81"/>
            <rFont val="Tahoma"/>
            <family val="2"/>
          </rPr>
          <t>No puede ser inferior al minimo legal, o sea $ 737.717</t>
        </r>
      </text>
    </comment>
    <comment ref="E18" authorId="1" shapeId="0" xr:uid="{00000000-0006-0000-0200-00000B000000}">
      <text>
        <r>
          <rPr>
            <sz val="11"/>
            <color indexed="81"/>
            <rFont val="Tahoma"/>
            <family val="2"/>
          </rPr>
          <t>Si sale la palabra FALSO es porque esta colocando un valor inferior al minimo legal, y no calcula.</t>
        </r>
      </text>
    </comment>
    <comment ref="B19" authorId="3" shapeId="0" xr:uid="{00000000-0006-0000-02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1" shapeId="0" xr:uid="{00000000-0006-0000-0200-00000D000000}">
      <text>
        <r>
          <rPr>
            <sz val="11"/>
            <color indexed="81"/>
            <rFont val="Tahoma"/>
            <family val="2"/>
          </rPr>
          <t>A quien trabaje entre las 10 p.m y las 6 a.m
Si el recargo nocturno es en domingo se le suma un 75%</t>
        </r>
      </text>
    </comment>
    <comment ref="C21" authorId="1" shapeId="0" xr:uid="{00000000-0006-0000-0200-00000E000000}">
      <text>
        <r>
          <rPr>
            <sz val="11"/>
            <color indexed="81"/>
            <rFont val="Tahoma"/>
            <family val="2"/>
          </rPr>
          <t>El trabajar en dominical o festivo genera un recargo del 75%
Cuando no se toma el descanso compensatorio  habiendo trabajado el dominical se paga una vez mas.</t>
        </r>
      </text>
    </comment>
    <comment ref="B22" authorId="2" shapeId="0" xr:uid="{00000000-0006-0000-0200-00000F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1" shapeId="0" xr:uid="{00000000-0006-0000-02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Cesantìa= salario x No dias trabajados 
             -----------------------------------------
                             360
</t>
        </r>
      </text>
    </comment>
    <comment ref="C27" authorId="1" shapeId="0" xr:uid="{00000000-0006-0000-0200-000011000000}">
      <text>
        <r>
          <rPr>
            <sz val="12"/>
            <color indexed="81"/>
            <rFont val="Tahoma"/>
            <family val="2"/>
          </rPr>
          <t>Equivale al uno por ciento de la cesantía por cada mes trabajado.Lo que significa el 12% al año.
Intereses=   salario x No dias trabajados X 0.12
                  -----------------------------------------------
                                         360</t>
        </r>
      </text>
    </comment>
    <comment ref="C28" authorId="1" shapeId="0" xr:uid="{00000000-0006-0000-0200-000012000000}">
      <text>
        <r>
          <rPr>
            <sz val="11"/>
            <color indexed="81"/>
            <rFont val="Tahoma"/>
            <family val="2"/>
          </rPr>
          <t xml:space="preserve">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
Prima= salario x No dias trabajados en el semestre
            -----------------------------------------------
                                         360 </t>
        </r>
      </text>
    </comment>
    <comment ref="C29" authorId="1" shapeId="0" xr:uid="{00000000-0006-0000-02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3" shapeId="0" xr:uid="{00000000-0006-0000-0200-000014000000}">
      <text>
        <r>
          <rPr>
            <sz val="11"/>
            <color indexed="81"/>
            <rFont val="Tahoma"/>
            <family val="2"/>
          </rPr>
          <t xml:space="preserve">Protege al trabajador contra contingencias de enfermedad general y maternidad
</t>
        </r>
      </text>
    </comment>
    <comment ref="C33" authorId="1" shapeId="0" xr:uid="{00000000-0006-0000-02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1" shapeId="0" xr:uid="{00000000-0006-0000-0200-000016000000}">
      <text>
        <r>
          <rPr>
            <sz val="11"/>
            <color indexed="81"/>
            <rFont val="Tahoma"/>
            <family val="2"/>
          </rPr>
          <t>El aporte total  se debe discriminar asi:
El empleador:   8,5%
Trabajador:     4.0%
Tope Minimo: 1 SMLMV--    $ 737.717
Tope maximo 25 SMLMV - $18.442.925</t>
        </r>
      </text>
    </comment>
    <comment ref="F33" authorId="2" shapeId="0" xr:uid="{00000000-0006-0000-0200-000017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3" shapeId="0" xr:uid="{00000000-0006-0000-0200-000018000000}">
      <text>
        <r>
          <rPr>
            <sz val="11"/>
            <color indexed="81"/>
            <rFont val="Tahoma"/>
            <family val="2"/>
          </rPr>
          <t>Ampara al trabajador contra contingencias de vejez, invalidez y muerte, mediante el reconocimiento de pensiones y prestaciones.</t>
        </r>
      </text>
    </comment>
    <comment ref="C34" authorId="1" shapeId="0" xr:uid="{00000000-0006-0000-0200-000019000000}">
      <text>
        <r>
          <rPr>
            <sz val="11"/>
            <color indexed="81"/>
            <rFont val="Tahoma"/>
            <family val="2"/>
          </rPr>
          <t>Este valor es la suma del aporte de la empresa y el trabajador
Para el calculo no se  suma el auxilio de transporte</t>
        </r>
      </text>
    </comment>
    <comment ref="D34" authorId="1" shapeId="0" xr:uid="{00000000-0006-0000-0200-00001A000000}">
      <text>
        <r>
          <rPr>
            <sz val="11"/>
            <color indexed="81"/>
            <rFont val="Tahoma"/>
            <family val="2"/>
          </rPr>
          <t>El aporte total  se debe discriminar asi:
El empleador:  12%
Trabajador:     4.0%
Tope Minimo: 1 SMLMV--       $ 737.717
Tope maximo 25 SMLMV - $18.442.925</t>
        </r>
      </text>
    </comment>
    <comment ref="B35" authorId="3" shapeId="0" xr:uid="{00000000-0006-0000-02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1" shapeId="0" xr:uid="{00000000-0006-0000-0200-00001C000000}">
      <text>
        <r>
          <rPr>
            <sz val="11"/>
            <color indexed="81"/>
            <rFont val="Tahoma"/>
            <family val="2"/>
          </rPr>
          <t>Decreto 1772 de 1994, Art 13
Tope Minimo: 1 SMLMV -      $ 737.717
Tope maximo 25 SMLMV - $18.442.925     
Para el calculo no se suma el auxilio de transporte.
Esta a cargo exclusivo del empleador.</t>
        </r>
      </text>
    </comment>
    <comment ref="B41" authorId="3" shapeId="0" xr:uid="{00000000-0006-0000-02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1" shapeId="0" xr:uid="{00000000-0006-0000-0200-00001E000000}">
      <text>
        <r>
          <rPr>
            <sz val="11"/>
            <color indexed="81"/>
            <rFont val="Tahoma"/>
            <family val="2"/>
          </rPr>
          <t>El auxilio de transporte no se tiene en cuenta para este calculo. Art 17 ley 344/96
El trabajador que devengue en el mes hasta 4 veces el salario minimos ($2.950.868) tiene derecho al pago del subsidio en dinero.</t>
        </r>
      </text>
    </comment>
    <comment ref="D41" authorId="4" shapeId="0" xr:uid="{00000000-0006-0000-0200-00001F000000}">
      <text>
        <r>
          <rPr>
            <sz val="10"/>
            <color indexed="81"/>
            <rFont val="Tahoma"/>
            <family val="2"/>
          </rPr>
          <t>A partir del 1 de julio de 2013 solo se cotiza el 4% de las cajas de compensación según la ley 1607 de 2012, art 25, así: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t>
        </r>
      </text>
    </comment>
    <comment ref="C46" authorId="1" shapeId="0" xr:uid="{00000000-0006-0000-0200-000020000000}">
      <text>
        <r>
          <rPr>
            <sz val="11"/>
            <color indexed="81"/>
            <rFont val="Tahoma"/>
            <family val="2"/>
          </rPr>
          <t>Fecha de entrega
30 abril 
31 de agosto
20 de diciembre
Es obligacion entregarla solo a partir del tercer mes de vinculación laboral.
Se entrega a quienes devengan hasta 2 salarios minimos legales $1.475.234</t>
        </r>
      </text>
    </comment>
    <comment ref="F58" authorId="1" shapeId="0" xr:uid="{00000000-0006-0000-0200-000021000000}">
      <text>
        <r>
          <rPr>
            <sz val="11"/>
            <color indexed="81"/>
            <rFont val="Tahoma"/>
            <family val="2"/>
          </rPr>
          <t>Aquí se puede colocar el numero de horas por recargos y horas extras que se van a dar todos los meses, para calcular el costo mes.</t>
        </r>
      </text>
    </comment>
    <comment ref="E60" authorId="1" shapeId="0" xr:uid="{00000000-0006-0000-02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1" shapeId="0" xr:uid="{00000000-0006-0000-02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1" shapeId="0" xr:uid="{00000000-0006-0000-02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1" shapeId="0" xr:uid="{00000000-0006-0000-02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1" shapeId="0" xr:uid="{00000000-0006-0000-02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1" shapeId="0" xr:uid="{00000000-0006-0000-0200-000027000000}">
      <text>
        <r>
          <rPr>
            <sz val="11"/>
            <color indexed="81"/>
            <rFont val="Tahoma"/>
            <family val="2"/>
          </rPr>
          <t>Trabajador:     4.0%
Base Tope Minimo: 1 SMLMV--       $ 737.717
Base Tope maximo 25 SMLMV - $ 18.442.925</t>
        </r>
      </text>
    </comment>
    <comment ref="E74" authorId="1" shapeId="0" xr:uid="{00000000-0006-0000-0200-000028000000}">
      <text>
        <r>
          <rPr>
            <sz val="11"/>
            <color indexed="81"/>
            <rFont val="Tahoma"/>
            <family val="2"/>
          </rPr>
          <t>Trabajador:     4.0%
Tope Minimo: 1 SMLMV--       $ 737.717
Tope maximo 25 SMLMV - $ 18.442.925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Duque, Cesar Augusto</author>
    <author>Servicios</author>
    <author>temp</author>
    <author>Familia Duque</author>
    <author>ADMON</author>
  </authors>
  <commentList>
    <comment ref="C5" authorId="0" shapeId="0" xr:uid="{00000000-0006-0000-0300-000001000000}">
      <text>
        <r>
          <rPr>
            <sz val="12"/>
            <color indexed="81"/>
            <rFont val="Tahoma"/>
            <family val="2"/>
          </rPr>
          <t xml:space="preserve">Decreto 2552 de 2015
</t>
        </r>
      </text>
    </comment>
    <comment ref="C6" authorId="0" shapeId="0" xr:uid="{00000000-0006-0000-0300-000002000000}">
      <text>
        <r>
          <rPr>
            <b/>
            <sz val="12"/>
            <color indexed="81"/>
            <rFont val="Tahoma"/>
            <family val="2"/>
          </rPr>
          <t>Decreto 2553 de 2015</t>
        </r>
      </text>
    </comment>
    <comment ref="C10" authorId="1" shapeId="0" xr:uid="{00000000-0006-0000-0300-000003000000}">
      <text>
        <r>
          <rPr>
            <sz val="11"/>
            <color indexed="81"/>
            <rFont val="Tahoma"/>
            <family val="2"/>
          </rPr>
          <t>Este calculo solo aplica para contratos  que no son de salario integral</t>
        </r>
      </text>
    </comment>
    <comment ref="C11" authorId="1" shapeId="0" xr:uid="{00000000-0006-0000-03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1" shapeId="0" xr:uid="{00000000-0006-0000-0300-000005000000}">
      <text>
        <r>
          <rPr>
            <sz val="11"/>
            <color indexed="81"/>
            <rFont val="Tahoma"/>
            <family val="2"/>
          </rPr>
          <t>NOTA: Solo colocar si el salario es hasta $1.378.910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$ 135.000, obviamente puede ser mayor o menor dependiendo de la calidad de la dotación.</t>
        </r>
      </text>
    </comment>
    <comment ref="C13" authorId="1" shapeId="0" xr:uid="{00000000-0006-0000-0300-000006000000}">
      <text>
        <r>
          <rPr>
            <sz val="11"/>
            <color indexed="81"/>
            <rFont val="Tahoma"/>
            <family val="2"/>
          </rPr>
          <t>Se debe colocar lo que cuesta adquirir una unidad de la moneda extranjera a la cual se desea convertir, por ejemplo lo que cuesta comprar un dolar</t>
        </r>
      </text>
    </comment>
    <comment ref="E15" authorId="2" shapeId="0" xr:uid="{00000000-0006-0000-0300-000007000000}">
      <text>
        <r>
          <rPr>
            <b/>
            <sz val="10"/>
            <color indexed="81"/>
            <rFont val="Tahoma"/>
            <family val="2"/>
          </rPr>
          <t xml:space="preserve">Calculo de un trabajador para un empleador que solo tiene un trabajador en su nómina.
</t>
        </r>
      </text>
    </comment>
    <comment ref="F15" authorId="2" shapeId="0" xr:uid="{00000000-0006-0000-0300-000008000000}">
      <text>
        <r>
          <rPr>
            <sz val="10"/>
            <color indexed="81"/>
            <rFont val="Tahoma"/>
            <family val="2"/>
          </rPr>
          <t>Calculo para un empleador que tiene dos o mas trabajadores, el cual esta exento de pagar el aporte de salud del empleador y tambien exonerado de pagar SENA, ICBF
Ley 1607 de 2012.
Es requisito devengar menos de 10 SMMLV</t>
        </r>
      </text>
    </comment>
    <comment ref="G15" authorId="2" shapeId="0" xr:uid="{00000000-0006-0000-0300-000009000000}">
      <text>
        <r>
          <rPr>
            <sz val="10"/>
            <color indexed="81"/>
            <rFont val="Tahoma"/>
            <family val="2"/>
          </rPr>
          <t xml:space="preserve">Conversion para el caso de un solo trabajador donde no existe exencion de salud y SENA , ICBF
</t>
        </r>
      </text>
    </comment>
    <comment ref="C18" authorId="1" shapeId="0" xr:uid="{00000000-0006-0000-0300-00000A000000}">
      <text>
        <r>
          <rPr>
            <sz val="11"/>
            <color indexed="81"/>
            <rFont val="Tahoma"/>
            <family val="2"/>
          </rPr>
          <t>No puede ser inferior al minimo legal, o sea $ 689.455</t>
        </r>
      </text>
    </comment>
    <comment ref="E18" authorId="1" shapeId="0" xr:uid="{00000000-0006-0000-0300-00000B000000}">
      <text>
        <r>
          <rPr>
            <sz val="11"/>
            <color indexed="81"/>
            <rFont val="Tahoma"/>
            <family val="2"/>
          </rPr>
          <t>Si sale la palabra FALSO es porque esta colocando un valor inferior al minimo legal, y no calcula.</t>
        </r>
      </text>
    </comment>
    <comment ref="B19" authorId="3" shapeId="0" xr:uid="{00000000-0006-0000-03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1" shapeId="0" xr:uid="{00000000-0006-0000-0300-00000D000000}">
      <text>
        <r>
          <rPr>
            <sz val="11"/>
            <color indexed="81"/>
            <rFont val="Tahoma"/>
            <family val="2"/>
          </rPr>
          <t>A quien trabaje entre las 10 p.m y las 6 a.m
Si el recargo nocturno es en domingo se le suma un 75%</t>
        </r>
      </text>
    </comment>
    <comment ref="C21" authorId="1" shapeId="0" xr:uid="{00000000-0006-0000-0300-00000E000000}">
      <text>
        <r>
          <rPr>
            <sz val="11"/>
            <color indexed="81"/>
            <rFont val="Tahoma"/>
            <family val="2"/>
          </rPr>
          <t>El trabajar en dominical o festivo genra un recargo del 75%
Cuando no se toma el descanso compensatorio  habiendo trabajado el dominical se paga una vez mas.</t>
        </r>
      </text>
    </comment>
    <comment ref="B22" authorId="2" shapeId="0" xr:uid="{00000000-0006-0000-0300-00000F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1" shapeId="0" xr:uid="{00000000-0006-0000-03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1" shapeId="0" xr:uid="{00000000-0006-0000-0300-000011000000}">
      <text>
        <r>
          <rPr>
            <sz val="12"/>
            <color indexed="81"/>
            <rFont val="Tahoma"/>
            <family val="2"/>
          </rPr>
          <t>Equivale al uno por ciento de la cesantía por cada mes trabajado.Lo que significa el 12% al año.
Intereses=   salario x No dias trabajados X 0.12
                  -----------------------------------------------
                                         360</t>
        </r>
      </text>
    </comment>
    <comment ref="C28" authorId="1" shapeId="0" xr:uid="{00000000-0006-0000-0300-000012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1" shapeId="0" xr:uid="{00000000-0006-0000-03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3" shapeId="0" xr:uid="{00000000-0006-0000-0300-000014000000}">
      <text>
        <r>
          <rPr>
            <sz val="11"/>
            <color indexed="81"/>
            <rFont val="Tahoma"/>
            <family val="2"/>
          </rPr>
          <t xml:space="preserve">Protege al trabajador contra contingencias de enfermedad general y maternidad
</t>
        </r>
      </text>
    </comment>
    <comment ref="C33" authorId="1" shapeId="0" xr:uid="{00000000-0006-0000-03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1" shapeId="0" xr:uid="{00000000-0006-0000-0300-000016000000}">
      <text>
        <r>
          <rPr>
            <sz val="11"/>
            <color indexed="81"/>
            <rFont val="Tahoma"/>
            <family val="2"/>
          </rPr>
          <t>El aporte total  se debe discriminar asi:
El empleador:   8,5%
Trabajador:     4.0%
Tope Minimo: 1 SMLMV--      $ 689.455
Tope maximo 25 SMLMV - $17.236.375</t>
        </r>
      </text>
    </comment>
    <comment ref="F33" authorId="2" shapeId="0" xr:uid="{00000000-0006-0000-0300-000017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3" shapeId="0" xr:uid="{00000000-0006-0000-0300-000018000000}">
      <text>
        <r>
          <rPr>
            <sz val="11"/>
            <color indexed="81"/>
            <rFont val="Tahoma"/>
            <family val="2"/>
          </rPr>
          <t>Ampara al trabajador contra contingencias de vejez, invalidez y muerte, mediante el reconocimiento de pensiones y prestaciones.</t>
        </r>
      </text>
    </comment>
    <comment ref="C34" authorId="1" shapeId="0" xr:uid="{00000000-0006-0000-0300-000019000000}">
      <text>
        <r>
          <rPr>
            <sz val="11"/>
            <color indexed="81"/>
            <rFont val="Tahoma"/>
            <family val="2"/>
          </rPr>
          <t>Este valor es la suma del aporte de la empresa y el trabajador
Para el calculo no se  suma el auxilio de transporte</t>
        </r>
      </text>
    </comment>
    <comment ref="D34" authorId="1" shapeId="0" xr:uid="{00000000-0006-0000-0300-00001A000000}">
      <text>
        <r>
          <rPr>
            <sz val="11"/>
            <color indexed="81"/>
            <rFont val="Tahoma"/>
            <family val="2"/>
          </rPr>
          <t>El aporte total  se debe discriminar asi:
El empleador:  12%
Trabajador:     4.0%
Tope Minimo: 1 SMLMV--       $689.454
Tope maximo 25 SMLMV - $17.236.250</t>
        </r>
      </text>
    </comment>
    <comment ref="B35" authorId="3" shapeId="0" xr:uid="{00000000-0006-0000-03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1" shapeId="0" xr:uid="{00000000-0006-0000-0300-00001C000000}">
      <text>
        <r>
          <rPr>
            <sz val="11"/>
            <color indexed="81"/>
            <rFont val="Tahoma"/>
            <family val="2"/>
          </rPr>
          <t>Decreto 1772 de 1994, Art 13
Tope Minimo: 1 SMLMV -      $689.455
Tope maximo 25 SMLMV - $17.236.375     
Para el calculo no se suma el auxilio de transporte.
Esta a cargo exclusivo del empleador.</t>
        </r>
      </text>
    </comment>
    <comment ref="B41" authorId="3" shapeId="0" xr:uid="{00000000-0006-0000-03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1" shapeId="0" xr:uid="{00000000-0006-0000-0300-00001E000000}">
      <text>
        <r>
          <rPr>
            <sz val="11"/>
            <color indexed="81"/>
            <rFont val="Tahoma"/>
            <family val="2"/>
          </rPr>
          <t>El auxilio de transporte no se tiene en cuenta para este calculo. Art 17 ley 344/96
El trabajador que devengue en el mes hasta 4 veces el salario minimos ($2.757.820) tiene derecho al pago del subsidio en dinero.</t>
        </r>
      </text>
    </comment>
    <comment ref="D41" authorId="4" shapeId="0" xr:uid="{00000000-0006-0000-0300-00001F000000}">
      <text>
        <r>
          <rPr>
            <sz val="10"/>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r>
          <rPr>
            <sz val="9"/>
            <color indexed="81"/>
            <rFont val="Tahoma"/>
            <family val="2"/>
          </rPr>
          <t xml:space="preserve">
</t>
        </r>
      </text>
    </comment>
    <comment ref="C46" authorId="1" shapeId="0" xr:uid="{00000000-0006-0000-0300-000020000000}">
      <text>
        <r>
          <rPr>
            <sz val="11"/>
            <color indexed="81"/>
            <rFont val="Tahoma"/>
            <family val="2"/>
          </rPr>
          <t>Fecha de entrega
30 abril 
31 de agosto
20 de diciembre
Es obligacion entregarla solo a partir del tercer mes de vinculación laboral</t>
        </r>
      </text>
    </comment>
    <comment ref="F58" authorId="1" shapeId="0" xr:uid="{00000000-0006-0000-0300-000021000000}">
      <text>
        <r>
          <rPr>
            <sz val="11"/>
            <color indexed="81"/>
            <rFont val="Tahoma"/>
            <family val="2"/>
          </rPr>
          <t>Aquí se puede colocar el numero de horas por recargos y horas extras que se van a dar todos los meses, para calcular el costo mes.</t>
        </r>
      </text>
    </comment>
    <comment ref="E60" authorId="1" shapeId="0" xr:uid="{00000000-0006-0000-03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1" shapeId="0" xr:uid="{00000000-0006-0000-03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1" shapeId="0" xr:uid="{00000000-0006-0000-03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1" shapeId="0" xr:uid="{00000000-0006-0000-03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1" shapeId="0" xr:uid="{00000000-0006-0000-03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1" shapeId="0" xr:uid="{00000000-0006-0000-0300-000027000000}">
      <text>
        <r>
          <rPr>
            <sz val="11"/>
            <color indexed="81"/>
            <rFont val="Tahoma"/>
            <family val="2"/>
          </rPr>
          <t>Trabajador:     4.0%
Base Tope Minimo: 1 SMLMV--       $689.455
Base Tope maximo 25 SMLMV - $ 17.236.375</t>
        </r>
      </text>
    </comment>
    <comment ref="E74" authorId="1" shapeId="0" xr:uid="{00000000-0006-0000-0300-000028000000}">
      <text>
        <r>
          <rPr>
            <sz val="11"/>
            <color indexed="81"/>
            <rFont val="Tahoma"/>
            <family val="2"/>
          </rPr>
          <t>Trabajador:     4.0%
Tope Minimo: 1 SMLMV--       $ 689.455
Tope maximo 25 SMLMV - $ 17.236.375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5" authorId="0" shapeId="0" xr:uid="{00000000-0006-0000-0400-000001000000}">
      <text>
        <r>
          <rPr>
            <sz val="11"/>
            <color indexed="81"/>
            <rFont val="Tahoma"/>
            <family val="2"/>
          </rPr>
          <t>Decreto 2731 de 2014</t>
        </r>
      </text>
    </comment>
    <comment ref="C6" authorId="0" shapeId="0" xr:uid="{00000000-0006-0000-0400-000002000000}">
      <text>
        <r>
          <rPr>
            <sz val="11"/>
            <color indexed="81"/>
            <rFont val="Tahoma"/>
            <family val="2"/>
          </rPr>
          <t xml:space="preserve">Decreto 2732 de 2014
                    </t>
        </r>
      </text>
    </comment>
    <comment ref="C10" authorId="0" shapeId="0" xr:uid="{00000000-0006-0000-0400-000003000000}">
      <text>
        <r>
          <rPr>
            <sz val="11"/>
            <color indexed="81"/>
            <rFont val="Tahoma"/>
            <family val="2"/>
          </rPr>
          <t>Este calculo solo aplica para contratos  que no son de salario integral</t>
        </r>
      </text>
    </comment>
    <comment ref="C11" authorId="0" shapeId="0" xr:uid="{00000000-0006-0000-04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400-000005000000}">
      <text>
        <r>
          <rPr>
            <sz val="11"/>
            <color indexed="81"/>
            <rFont val="Tahoma"/>
            <family val="2"/>
          </rPr>
          <t>NOTA: Solo colocar si el salario es hasta $1.288.700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$ 115.000, obviamente puede ser mayor o menor dependiendo de la calidad de la dotación.</t>
        </r>
      </text>
    </comment>
    <comment ref="C13" authorId="0" shapeId="0" xr:uid="{00000000-0006-0000-0400-000006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400-000007000000}">
      <text>
        <r>
          <rPr>
            <b/>
            <sz val="10"/>
            <color indexed="81"/>
            <rFont val="Tahoma"/>
            <family val="2"/>
          </rPr>
          <t xml:space="preserve">Calculo de un trabajador para un empleador que solo tiene un trabajador en su nómina.
</t>
        </r>
      </text>
    </comment>
    <comment ref="F15" authorId="1" shapeId="0" xr:uid="{00000000-0006-0000-0400-000008000000}">
      <text>
        <r>
          <rPr>
            <sz val="9"/>
            <color indexed="81"/>
            <rFont val="Tahoma"/>
            <family val="2"/>
          </rPr>
          <t>Calculo para un empleador que tiene dos o mas trabajadores, el cual esta exento de pagar el aporte de salud del empleador y tambien exonerado de pagar SENA, ICBF
Ley 1607 de 2012.
Es requisito devengar menos de 10 SMMLV</t>
        </r>
      </text>
    </comment>
    <comment ref="G15" authorId="1" shapeId="0" xr:uid="{00000000-0006-0000-0400-000009000000}">
      <text>
        <r>
          <rPr>
            <sz val="8"/>
            <color indexed="81"/>
            <rFont val="Tahoma"/>
            <family val="2"/>
          </rPr>
          <t xml:space="preserve">Conversion para el caso de un solo trabajador donde no existe exencion de salud y SENA , ICBF
</t>
        </r>
      </text>
    </comment>
    <comment ref="C18" authorId="0" shapeId="0" xr:uid="{00000000-0006-0000-0400-00000A000000}">
      <text>
        <r>
          <rPr>
            <sz val="11"/>
            <color indexed="81"/>
            <rFont val="Tahoma"/>
            <family val="2"/>
          </rPr>
          <t>No puede ser inferior al minimo legal, o sea $ 644.350</t>
        </r>
      </text>
    </comment>
    <comment ref="E18" authorId="0" shapeId="0" xr:uid="{00000000-0006-0000-0400-00000B000000}">
      <text>
        <r>
          <rPr>
            <sz val="11"/>
            <color indexed="81"/>
            <rFont val="Tahoma"/>
            <family val="2"/>
          </rPr>
          <t>Si sale la palabra FALSO es porque esta colocando un valor inferior al minimo legal, y no calcula.</t>
        </r>
      </text>
    </comment>
    <comment ref="B19" authorId="2" shapeId="0" xr:uid="{00000000-0006-0000-04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400-00000D000000}">
      <text>
        <r>
          <rPr>
            <sz val="11"/>
            <color indexed="81"/>
            <rFont val="Tahoma"/>
            <family val="2"/>
          </rPr>
          <t>A quien trabaje entre las 10 p.m y las 6 a.m</t>
        </r>
      </text>
    </comment>
    <comment ref="C21" authorId="0" shapeId="0" xr:uid="{00000000-0006-0000-0400-00000E000000}">
      <text>
        <r>
          <rPr>
            <sz val="11"/>
            <color indexed="81"/>
            <rFont val="Tahoma"/>
            <family val="2"/>
          </rPr>
          <t>Ademas del recargo del 75% por trabajar un domingo,si se trabajo en horario nocturno se recarga con el 35%.
Cuando no se toma el descanso compensatorio  habiendo trabajado el dominical se paga una vez mas.</t>
        </r>
      </text>
    </comment>
    <comment ref="B22" authorId="1" shapeId="0" xr:uid="{00000000-0006-0000-0400-00000F000000}">
      <text>
        <r>
          <rPr>
            <sz val="10"/>
            <color indexed="81"/>
            <rFont val="Tahoma"/>
            <family val="2"/>
          </rPr>
          <t>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t>
        </r>
        <r>
          <rPr>
            <sz val="11"/>
            <color indexed="81"/>
            <rFont val="Tahoma"/>
            <family val="2"/>
          </rPr>
          <t xml:space="preserve"> Decreto 13 de 1967 Art 1 y 2.</t>
        </r>
        <r>
          <rPr>
            <sz val="10"/>
            <color indexed="81"/>
            <rFont val="Tahoma"/>
            <family val="2"/>
          </rPr>
          <t xml:space="preserve">
</t>
        </r>
      </text>
    </comment>
    <comment ref="C26" authorId="0" shapeId="0" xr:uid="{00000000-0006-0000-04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400-000011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400-000012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4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400-000014000000}">
      <text>
        <r>
          <rPr>
            <sz val="11"/>
            <color indexed="81"/>
            <rFont val="Tahoma"/>
            <family val="2"/>
          </rPr>
          <t xml:space="preserve">Protege al trabajador contra contingencias de enfermedad general y maternidad
</t>
        </r>
      </text>
    </comment>
    <comment ref="C33" authorId="0" shapeId="0" xr:uid="{00000000-0006-0000-04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400-000016000000}">
      <text>
        <r>
          <rPr>
            <sz val="11"/>
            <color indexed="81"/>
            <rFont val="Tahoma"/>
            <family val="2"/>
          </rPr>
          <t>El aporte total  se debe discriminar asi:
El empleador:   8,5%
Trabajador:     4.0%
Tope Minimo: 1 SMLMV--      $ 644.350
Tope maximo 25 SMLMV - $16.108.750</t>
        </r>
      </text>
    </comment>
    <comment ref="F33" authorId="1" shapeId="0" xr:uid="{00000000-0006-0000-0400-000017000000}">
      <text>
        <r>
          <rPr>
            <sz val="10"/>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400-000018000000}">
      <text>
        <r>
          <rPr>
            <sz val="11"/>
            <color indexed="81"/>
            <rFont val="Tahoma"/>
            <family val="2"/>
          </rPr>
          <t>Ampara al trabajador contra contingencias de vejez, invalidez y muerte, mediante el reconocimiento de pensiones y prestaciones.</t>
        </r>
      </text>
    </comment>
    <comment ref="C34" authorId="0" shapeId="0" xr:uid="{00000000-0006-0000-0400-000019000000}">
      <text>
        <r>
          <rPr>
            <sz val="11"/>
            <color indexed="81"/>
            <rFont val="Tahoma"/>
            <family val="2"/>
          </rPr>
          <t>Este valor es la suma del aporte de la empresa y el trabajador
Para el calculo no se  suma el auxilio de transporte</t>
        </r>
      </text>
    </comment>
    <comment ref="D34" authorId="0" shapeId="0" xr:uid="{00000000-0006-0000-0400-00001A000000}">
      <text>
        <r>
          <rPr>
            <sz val="11"/>
            <color indexed="81"/>
            <rFont val="Tahoma"/>
            <family val="2"/>
          </rPr>
          <t>El aporte total  se debe discriminar asi:
El empleador:  12%
Trabajador:     4.0%
Tope Minimo: 1 SMLMV--       $644.350
Tope maximo 25 SMLMV - $16.108.750</t>
        </r>
      </text>
    </comment>
    <comment ref="B35" authorId="2" shapeId="0" xr:uid="{00000000-0006-0000-04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400-00001C000000}">
      <text>
        <r>
          <rPr>
            <sz val="11"/>
            <color indexed="81"/>
            <rFont val="Tahoma"/>
            <family val="2"/>
          </rPr>
          <t>Decreto 1772 de 1994, Art 13
Tope Minimo: 1 SMLMV -      $644.350
Tope maximo 25 SMLMV - $16.108.750     
Para el calculo no se suma el auxilio de transporte.
Esta a cargo exclusivo del empleador.</t>
        </r>
      </text>
    </comment>
    <comment ref="B41" authorId="2" shapeId="0" xr:uid="{00000000-0006-0000-04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400-00001E000000}">
      <text>
        <r>
          <rPr>
            <sz val="11"/>
            <color indexed="81"/>
            <rFont val="Tahoma"/>
            <family val="2"/>
          </rPr>
          <t>El auxilio de transporte no se tiene en cuenta para este calculo. Art 17 ley 344/96
El trabajador que devengue en el mes hasta 4 veces el salario minimos ($2.577.400) tiene derecho al pago del subsidio en dinero.</t>
        </r>
      </text>
    </comment>
    <comment ref="D41" authorId="3" shapeId="0" xr:uid="{00000000-0006-0000-0400-00001F000000}">
      <text>
        <r>
          <rPr>
            <sz val="9"/>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9"/>
            <color indexed="81"/>
            <rFont val="Tahoma"/>
            <family val="2"/>
          </rPr>
          <t xml:space="preserve"> las sociedades y personas jurídicas y asimiladas</t>
        </r>
        <r>
          <rPr>
            <sz val="9"/>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9"/>
            <color indexed="81"/>
            <rFont val="Tahoma"/>
            <family val="2"/>
          </rPr>
          <t>personas naturales empleadoras</t>
        </r>
        <r>
          <rPr>
            <sz val="9"/>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text>
    </comment>
    <comment ref="C46" authorId="0" shapeId="0" xr:uid="{00000000-0006-0000-0400-000020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400-000021000000}">
      <text>
        <r>
          <rPr>
            <sz val="11"/>
            <color indexed="81"/>
            <rFont val="Tahoma"/>
            <family val="2"/>
          </rPr>
          <t>Aquí se puede colocar el numero de horas por recargos y horas extras que se van a dar todos los meses, para calcular el costo mes.</t>
        </r>
      </text>
    </comment>
    <comment ref="E60" authorId="0" shapeId="0" xr:uid="{00000000-0006-0000-04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4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4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4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4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400-000027000000}">
      <text>
        <r>
          <rPr>
            <sz val="11"/>
            <color indexed="81"/>
            <rFont val="Tahoma"/>
            <family val="2"/>
          </rPr>
          <t>Trabajador:     4.0%
Base Tope Minimo: 1 SMLMV--       $644.350
Base Tope maximo 25 SMLMV - $ 16.108.750</t>
        </r>
      </text>
    </comment>
    <comment ref="E74" authorId="0" shapeId="0" xr:uid="{00000000-0006-0000-0400-000028000000}">
      <text>
        <r>
          <rPr>
            <sz val="11"/>
            <color indexed="81"/>
            <rFont val="Tahoma"/>
            <family val="2"/>
          </rPr>
          <t>Trabajador:     4.0%
Tope Minimo: 1 SMLMV--       $ 644.3500
Tope maximo 25 SMLMV - $ 16.108.750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5" authorId="0" shapeId="0" xr:uid="{00000000-0006-0000-0500-000001000000}">
      <text>
        <r>
          <rPr>
            <sz val="11"/>
            <color indexed="81"/>
            <rFont val="Tahoma"/>
            <family val="2"/>
          </rPr>
          <t>Decreto 3068 de 2013</t>
        </r>
      </text>
    </comment>
    <comment ref="C6" authorId="0" shapeId="0" xr:uid="{00000000-0006-0000-0500-000002000000}">
      <text>
        <r>
          <rPr>
            <sz val="11"/>
            <color indexed="81"/>
            <rFont val="Tahoma"/>
            <family val="2"/>
          </rPr>
          <t xml:space="preserve">Decreto 3069 de 2013
                    </t>
        </r>
      </text>
    </comment>
    <comment ref="C10" authorId="0" shapeId="0" xr:uid="{00000000-0006-0000-0500-000003000000}">
      <text>
        <r>
          <rPr>
            <sz val="11"/>
            <color indexed="81"/>
            <rFont val="Tahoma"/>
            <family val="2"/>
          </rPr>
          <t>Este calculo solo aplica para contratos  que no son de salario integral</t>
        </r>
      </text>
    </comment>
    <comment ref="C11" authorId="0" shapeId="0" xr:uid="{00000000-0006-0000-05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500-000005000000}">
      <text>
        <r>
          <rPr>
            <sz val="11"/>
            <color indexed="81"/>
            <rFont val="Tahoma"/>
            <family val="2"/>
          </rPr>
          <t>NOTA: Solo colocar si el salario es hasta $1.232.000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$ 110.000, obviamente puede ser mayor o menor dependiendo de la calidad de la dotación.</t>
        </r>
      </text>
    </comment>
    <comment ref="C13" authorId="0" shapeId="0" xr:uid="{00000000-0006-0000-0500-000006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500-000007000000}">
      <text>
        <r>
          <rPr>
            <b/>
            <sz val="10"/>
            <color indexed="81"/>
            <rFont val="Tahoma"/>
            <family val="2"/>
          </rPr>
          <t xml:space="preserve">Calculo de un trabajador para un empleador que solo tiene un trabajador en su nómina.
</t>
        </r>
      </text>
    </comment>
    <comment ref="F15" authorId="1" shapeId="0" xr:uid="{00000000-0006-0000-0500-000008000000}">
      <text>
        <r>
          <rPr>
            <sz val="9"/>
            <color indexed="81"/>
            <rFont val="Tahoma"/>
            <family val="2"/>
          </rPr>
          <t>Calculo para un empleador que tiene dos o mas trabajadores, el cual esta exento de pagar el aporte de salud del empleador y tambien exonerado de pagar SENA, ICBF
Ley 1607 de 2012.
Es requisito devengar menos de 10 SMMLV</t>
        </r>
      </text>
    </comment>
    <comment ref="G15" authorId="1" shapeId="0" xr:uid="{00000000-0006-0000-0500-000009000000}">
      <text>
        <r>
          <rPr>
            <sz val="8"/>
            <color indexed="81"/>
            <rFont val="Tahoma"/>
            <family val="2"/>
          </rPr>
          <t xml:space="preserve">Conversion para el caso de un solo trabajador donde no existe exencion de salud y SENA , ICBF
</t>
        </r>
      </text>
    </comment>
    <comment ref="C18" authorId="0" shapeId="0" xr:uid="{00000000-0006-0000-0500-00000A000000}">
      <text>
        <r>
          <rPr>
            <sz val="11"/>
            <color indexed="81"/>
            <rFont val="Tahoma"/>
            <family val="2"/>
          </rPr>
          <t>No puede ser inferior al minimo legal, o sea $ 616.000</t>
        </r>
      </text>
    </comment>
    <comment ref="E18" authorId="0" shapeId="0" xr:uid="{00000000-0006-0000-0500-00000B000000}">
      <text>
        <r>
          <rPr>
            <sz val="11"/>
            <color indexed="81"/>
            <rFont val="Tahoma"/>
            <family val="2"/>
          </rPr>
          <t>Si sale la palabra FALSO es porque esta colocando un valor inferior al minimo legal, y no calcula.</t>
        </r>
      </text>
    </comment>
    <comment ref="B19" authorId="2" shapeId="0" xr:uid="{00000000-0006-0000-05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500-00000D000000}">
      <text>
        <r>
          <rPr>
            <sz val="11"/>
            <color indexed="81"/>
            <rFont val="Tahoma"/>
            <family val="2"/>
          </rPr>
          <t>A quien trabaje entre las 10 p.m y las 6 a.m</t>
        </r>
      </text>
    </comment>
    <comment ref="C21" authorId="0" shapeId="0" xr:uid="{00000000-0006-0000-0500-00000E000000}">
      <text>
        <r>
          <rPr>
            <sz val="11"/>
            <color indexed="81"/>
            <rFont val="Tahoma"/>
            <family val="2"/>
          </rPr>
          <t>Ademas del recargo del 75% por trabajar un domingo,si se trabajo en horario nocturno se recarga con el 35%.
Cuando no se toma el descanso compensatorio  habiendo trabajado el dominical se paga una vez mas.</t>
        </r>
      </text>
    </comment>
    <comment ref="B22" authorId="1" shapeId="0" xr:uid="{00000000-0006-0000-0500-00000F000000}">
      <text>
        <r>
          <rPr>
            <sz val="10"/>
            <color indexed="81"/>
            <rFont val="Tahoma"/>
            <family val="2"/>
          </rPr>
          <t>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t>
        </r>
        <r>
          <rPr>
            <sz val="11"/>
            <color indexed="81"/>
            <rFont val="Tahoma"/>
            <family val="2"/>
          </rPr>
          <t xml:space="preserve"> Decreto 13 de 1967 Art 1 y 2.</t>
        </r>
        <r>
          <rPr>
            <sz val="10"/>
            <color indexed="81"/>
            <rFont val="Tahoma"/>
            <family val="2"/>
          </rPr>
          <t xml:space="preserve">
</t>
        </r>
      </text>
    </comment>
    <comment ref="C26" authorId="0" shapeId="0" xr:uid="{00000000-0006-0000-05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500-000011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500-000012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5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500-000014000000}">
      <text>
        <r>
          <rPr>
            <sz val="11"/>
            <color indexed="81"/>
            <rFont val="Tahoma"/>
            <family val="2"/>
          </rPr>
          <t xml:space="preserve">Protege al trabajador contra contingencias de enfermedad general y maternidad
</t>
        </r>
      </text>
    </comment>
    <comment ref="C33" authorId="0" shapeId="0" xr:uid="{00000000-0006-0000-05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500-000016000000}">
      <text>
        <r>
          <rPr>
            <sz val="11"/>
            <color indexed="81"/>
            <rFont val="Tahoma"/>
            <family val="2"/>
          </rPr>
          <t>El aporte total  se debe discriminar asi:
El empleador:   8,5%
Trabajador:     4.0%
Tope Minimo: 1 SMLMV--      $ 616.000
Tope maximo 25 SMLMV - $15.400.000</t>
        </r>
      </text>
    </comment>
    <comment ref="F33" authorId="1" shapeId="0" xr:uid="{00000000-0006-0000-0500-000017000000}">
      <text>
        <r>
          <rPr>
            <sz val="10"/>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500-000018000000}">
      <text>
        <r>
          <rPr>
            <sz val="11"/>
            <color indexed="81"/>
            <rFont val="Tahoma"/>
            <family val="2"/>
          </rPr>
          <t>Ampara al trabajador contra contingencias de vejez, invalidez y muerte, mediante el reconocimiento de pensiones y prestaciones.</t>
        </r>
      </text>
    </comment>
    <comment ref="C34" authorId="0" shapeId="0" xr:uid="{00000000-0006-0000-0500-000019000000}">
      <text>
        <r>
          <rPr>
            <sz val="11"/>
            <color indexed="81"/>
            <rFont val="Tahoma"/>
            <family val="2"/>
          </rPr>
          <t>Este valor es la suma del aporte de la empresa y el trabajador
Para el calculo no se  suma el auxilio de transporte</t>
        </r>
      </text>
    </comment>
    <comment ref="D34" authorId="0" shapeId="0" xr:uid="{00000000-0006-0000-0500-00001A000000}">
      <text>
        <r>
          <rPr>
            <sz val="11"/>
            <color indexed="81"/>
            <rFont val="Tahoma"/>
            <family val="2"/>
          </rPr>
          <t>El aporte total  se debe discriminar asi:
El empleador:  12%
Trabajador:     4.0%
Tope Minimo: 1 SMLMV--       $616.000
Tope maximo 25 SMLMV - $15.400.000</t>
        </r>
      </text>
    </comment>
    <comment ref="B35" authorId="2" shapeId="0" xr:uid="{00000000-0006-0000-05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500-00001C000000}">
      <text>
        <r>
          <rPr>
            <sz val="11"/>
            <color indexed="81"/>
            <rFont val="Tahoma"/>
            <family val="2"/>
          </rPr>
          <t>Decreto 1772 de 1994, Art 13
Tope Minimo: 1 SMLMV -      $616.000
Tope maximo 25 SMLMV - $15.400.000     
Para el calculo no se suma el auxilio de transporte.
Esta a cargo exclusivo del empleador.</t>
        </r>
      </text>
    </comment>
    <comment ref="B41" authorId="2" shapeId="0" xr:uid="{00000000-0006-0000-05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500-00001E000000}">
      <text>
        <r>
          <rPr>
            <sz val="11"/>
            <color indexed="81"/>
            <rFont val="Tahoma"/>
            <family val="2"/>
          </rPr>
          <t>El auxilio de transporte no se tiene en cuenta para este calculo. Art 17 ley 344/96
El trabajador que devengue en el mes hasta 4 veces el salario minimos ($2.464.000) tiene derecho al pago del subsidio en dinero.</t>
        </r>
      </text>
    </comment>
    <comment ref="D41" authorId="3" shapeId="0" xr:uid="{00000000-0006-0000-0500-00001F000000}">
      <text>
        <r>
          <rPr>
            <sz val="9"/>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9"/>
            <color indexed="81"/>
            <rFont val="Tahoma"/>
            <family val="2"/>
          </rPr>
          <t xml:space="preserve"> las sociedades y personas jurídicas y asimiladas</t>
        </r>
        <r>
          <rPr>
            <sz val="9"/>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9"/>
            <color indexed="81"/>
            <rFont val="Tahoma"/>
            <family val="2"/>
          </rPr>
          <t>personas naturales empleadoras</t>
        </r>
        <r>
          <rPr>
            <sz val="9"/>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text>
    </comment>
    <comment ref="C46" authorId="0" shapeId="0" xr:uid="{00000000-0006-0000-0500-000020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500-000021000000}">
      <text>
        <r>
          <rPr>
            <sz val="11"/>
            <color indexed="81"/>
            <rFont val="Tahoma"/>
            <family val="2"/>
          </rPr>
          <t>Aquí se puede colocar el numero de horas por recargos y horas extras que se van a dar todos los meses, para calcular el costo mes.</t>
        </r>
      </text>
    </comment>
    <comment ref="E60" authorId="0" shapeId="0" xr:uid="{00000000-0006-0000-05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5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5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5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5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500-000027000000}">
      <text>
        <r>
          <rPr>
            <sz val="11"/>
            <color indexed="81"/>
            <rFont val="Tahoma"/>
            <family val="2"/>
          </rPr>
          <t>Trabajador:     4.0%
Base Tope Minimo: 1 SMLMV--       $616.000
Base Tope maximo 25 SMLMV - $ 15.400.000</t>
        </r>
      </text>
    </comment>
    <comment ref="E74" authorId="0" shapeId="0" xr:uid="{00000000-0006-0000-0500-000028000000}">
      <text>
        <r>
          <rPr>
            <sz val="11"/>
            <color indexed="81"/>
            <rFont val="Tahoma"/>
            <family val="2"/>
          </rPr>
          <t>Trabajador:     4.0%
Tope Minimo: 1 SMLMV--       $ 616.000
Tope maximo 25 SMLMV - $ 15.400.000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ADMON</author>
  </authors>
  <commentList>
    <comment ref="C5" authorId="0" shapeId="0" xr:uid="{00000000-0006-0000-0600-000001000000}">
      <text>
        <r>
          <rPr>
            <sz val="11"/>
            <color indexed="81"/>
            <rFont val="Tahoma"/>
            <family val="2"/>
          </rPr>
          <t>Decreto 2738 de 2012</t>
        </r>
      </text>
    </comment>
    <comment ref="C6" authorId="0" shapeId="0" xr:uid="{00000000-0006-0000-0600-000002000000}">
      <text>
        <r>
          <rPr>
            <sz val="11"/>
            <color indexed="81"/>
            <rFont val="Tahoma"/>
            <family val="2"/>
          </rPr>
          <t xml:space="preserve">Decreto 2739 de 2012
                    </t>
        </r>
      </text>
    </comment>
    <comment ref="C10" authorId="0" shapeId="0" xr:uid="{00000000-0006-0000-0600-000003000000}">
      <text>
        <r>
          <rPr>
            <sz val="11"/>
            <color indexed="81"/>
            <rFont val="Tahoma"/>
            <family val="2"/>
          </rPr>
          <t>Este calculo solo aplica para contratos  que no son de salario integral</t>
        </r>
      </text>
    </comment>
    <comment ref="C11" authorId="0" shapeId="0" xr:uid="{00000000-0006-0000-06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600-000005000000}">
      <text>
        <r>
          <rPr>
            <sz val="11"/>
            <color indexed="81"/>
            <rFont val="Tahoma"/>
            <family val="2"/>
          </rPr>
          <t>NOTA: Solo colocar si el salario es hasta $1.179.000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$ 109.000, obviamente puede ser mayor o menor dependiendo de la calidad de la dotación.</t>
        </r>
      </text>
    </comment>
    <comment ref="C18" authorId="0" shapeId="0" xr:uid="{00000000-0006-0000-0600-000006000000}">
      <text>
        <r>
          <rPr>
            <sz val="11"/>
            <color indexed="81"/>
            <rFont val="Tahoma"/>
            <family val="2"/>
          </rPr>
          <t>No puede ser inferior al minimo legal, o sea $ 589.500</t>
        </r>
      </text>
    </comment>
    <comment ref="E18" authorId="0" shapeId="0" xr:uid="{00000000-0006-0000-0600-000007000000}">
      <text>
        <r>
          <rPr>
            <sz val="11"/>
            <color indexed="81"/>
            <rFont val="Tahoma"/>
            <family val="2"/>
          </rPr>
          <t>Si sale la palabra FALSO es porque esta colocando un valor inferior al minimo legal, y no calcula.</t>
        </r>
      </text>
    </comment>
    <comment ref="B19" authorId="1" shapeId="0" xr:uid="{00000000-0006-0000-06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600-000009000000}">
      <text>
        <r>
          <rPr>
            <sz val="11"/>
            <color indexed="81"/>
            <rFont val="Tahoma"/>
            <family val="2"/>
          </rPr>
          <t>A quien trabaje entre las 10 p.m y las 6 a.m</t>
        </r>
      </text>
    </comment>
    <comment ref="C21" authorId="0" shapeId="0" xr:uid="{00000000-0006-0000-06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6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600-00000C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600-00000D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6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600-00000F000000}">
      <text>
        <r>
          <rPr>
            <sz val="11"/>
            <color indexed="81"/>
            <rFont val="Tahoma"/>
            <family val="2"/>
          </rPr>
          <t xml:space="preserve">Protege al trabajador contra contingencias de enfermedad general y maternidad
</t>
        </r>
      </text>
    </comment>
    <comment ref="C33" authorId="0" shapeId="0" xr:uid="{00000000-0006-0000-0600-000010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600-000011000000}">
      <text>
        <r>
          <rPr>
            <sz val="11"/>
            <color indexed="81"/>
            <rFont val="Tahoma"/>
            <family val="2"/>
          </rPr>
          <t>El aporte total  se debe discriminar asi:
El empleador:   8,5%
Trabajador:     4.0%
Tope Minimo: 1 SMLMV--      $ 589.500
Tope maximo 25 SMLMV - $14.737.500</t>
        </r>
      </text>
    </comment>
    <comment ref="B34" authorId="1" shapeId="0" xr:uid="{00000000-0006-0000-06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600-000013000000}">
      <text>
        <r>
          <rPr>
            <sz val="11"/>
            <color indexed="81"/>
            <rFont val="Tahoma"/>
            <family val="2"/>
          </rPr>
          <t>Este valor es la suma del aporte de la empresa y el trabajador
Para el calculo no se  suma el auxilio de transporte</t>
        </r>
      </text>
    </comment>
    <comment ref="D34" authorId="0" shapeId="0" xr:uid="{00000000-0006-0000-0600-000014000000}">
      <text>
        <r>
          <rPr>
            <sz val="11"/>
            <color indexed="81"/>
            <rFont val="Tahoma"/>
            <family val="2"/>
          </rPr>
          <t>El aporte total  se debe discriminar asi:
El empleador:  12%
Trabajador:     4.0%
Tope Minimo: 1 SMLMV--       $589.500
Tope maximo 25 SMLMV - $14.737.500</t>
        </r>
      </text>
    </comment>
    <comment ref="B35" authorId="1" shapeId="0" xr:uid="{00000000-0006-0000-06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600-000016000000}">
      <text>
        <r>
          <rPr>
            <sz val="11"/>
            <color indexed="81"/>
            <rFont val="Tahoma"/>
            <family val="2"/>
          </rPr>
          <t>Decreto 1772 de 1994, Art 13
Tope Minimo: 1 SMLMV -      $ 589.500
Tope maximo 25 SMLMV - $14.737.500-     
Para el calculo no se suma el auxilio de transporte.
Esta a cargo exclusivo del empleador.</t>
        </r>
      </text>
    </comment>
    <comment ref="B41" authorId="1" shapeId="0" xr:uid="{00000000-0006-0000-06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600-000018000000}">
      <text>
        <r>
          <rPr>
            <sz val="11"/>
            <color indexed="81"/>
            <rFont val="Tahoma"/>
            <family val="2"/>
          </rPr>
          <t>El auxilio de transporte no se tiene en cuenta para este calculo. Art 17 ley 344/96
El trabajador que devengue en el mes hasta 4 veces el salario minimos ($2.358.000) tiene derecho al pago del subsidio en dinero.</t>
        </r>
      </text>
    </comment>
    <comment ref="D41" authorId="2" shapeId="0" xr:uid="{00000000-0006-0000-0600-000019000000}">
      <text>
        <r>
          <rPr>
            <sz val="9"/>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9"/>
            <color indexed="81"/>
            <rFont val="Tahoma"/>
            <family val="2"/>
          </rPr>
          <t xml:space="preserve"> las sociedades y personas jurídicas y asimiladas</t>
        </r>
        <r>
          <rPr>
            <sz val="9"/>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9"/>
            <color indexed="81"/>
            <rFont val="Tahoma"/>
            <family val="2"/>
          </rPr>
          <t>personas naturales empleadoras</t>
        </r>
        <r>
          <rPr>
            <sz val="9"/>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text>
    </comment>
    <comment ref="C46" authorId="0" shapeId="0" xr:uid="{00000000-0006-0000-0600-00001A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600-00001B000000}">
      <text>
        <r>
          <rPr>
            <sz val="11"/>
            <color indexed="81"/>
            <rFont val="Tahoma"/>
            <family val="2"/>
          </rPr>
          <t>Aquí se puede colocar el numero de horas por recargos y horas extras que se van a dar todos los meses, para calcular el costo mes.</t>
        </r>
      </text>
    </comment>
    <comment ref="E60" authorId="0" shapeId="0" xr:uid="{00000000-0006-0000-0600-00001C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600-00001D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600-00001E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600-00001F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600-000020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600-000021000000}">
      <text>
        <r>
          <rPr>
            <sz val="11"/>
            <color indexed="81"/>
            <rFont val="Tahoma"/>
            <family val="2"/>
          </rPr>
          <t>El aporte total  se debe discriminar asi:
El empleador:  8,5%
Trabajador:     4.0%
Tope Minimo: 1 SMLMV--       $ 589.500
Tope maximo 25 SMLMV - $ 14.737.500</t>
        </r>
      </text>
    </comment>
    <comment ref="E74" authorId="0" shapeId="0" xr:uid="{00000000-0006-0000-0600-000022000000}">
      <text>
        <r>
          <rPr>
            <sz val="11"/>
            <color indexed="81"/>
            <rFont val="Tahoma"/>
            <family val="2"/>
          </rPr>
          <t>El aporte total  se debe discriminar asi:
El empleador:  8,5%
Trabajador:     4.0%
Tope Minimo: 1 SMLMV--       $ 589.500
Tope maximo 25 SMLMV - $ 14.737.500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700-000001000000}">
      <text>
        <r>
          <rPr>
            <sz val="11"/>
            <color indexed="81"/>
            <rFont val="Tahoma"/>
            <family val="2"/>
          </rPr>
          <t xml:space="preserve">Decreto </t>
        </r>
      </text>
    </comment>
    <comment ref="C6" authorId="0" shapeId="0" xr:uid="{00000000-0006-0000-0700-000002000000}">
      <text>
        <r>
          <rPr>
            <sz val="11"/>
            <color indexed="81"/>
            <rFont val="Tahoma"/>
            <family val="2"/>
          </rPr>
          <t xml:space="preserve">Decreto 
                    </t>
        </r>
      </text>
    </comment>
    <comment ref="C10" authorId="0" shapeId="0" xr:uid="{00000000-0006-0000-0700-000003000000}">
      <text>
        <r>
          <rPr>
            <sz val="11"/>
            <color indexed="81"/>
            <rFont val="Tahoma"/>
            <family val="2"/>
          </rPr>
          <t>Este calculo solo aplica para contratos  que no son de salario integral</t>
        </r>
      </text>
    </comment>
    <comment ref="C11" authorId="0" shapeId="0" xr:uid="{00000000-0006-0000-07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700-000005000000}">
      <text>
        <r>
          <rPr>
            <sz val="11"/>
            <color indexed="81"/>
            <rFont val="Tahoma"/>
            <family val="2"/>
          </rPr>
          <t>NOTA: Solo colocar si el salario es hasta $1.133.400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$ 95.000, obviamente puede ser mayor o menor dependiendo de la calidad de la dotación.</t>
        </r>
      </text>
    </comment>
    <comment ref="C18" authorId="0" shapeId="0" xr:uid="{00000000-0006-0000-0700-000006000000}">
      <text>
        <r>
          <rPr>
            <sz val="11"/>
            <color indexed="81"/>
            <rFont val="Tahoma"/>
            <family val="2"/>
          </rPr>
          <t>No puede ser inferior al minimo legal, o sea $ 566.700</t>
        </r>
      </text>
    </comment>
    <comment ref="E18" authorId="0" shapeId="0" xr:uid="{00000000-0006-0000-0700-000007000000}">
      <text>
        <r>
          <rPr>
            <sz val="11"/>
            <color indexed="81"/>
            <rFont val="Tahoma"/>
            <family val="2"/>
          </rPr>
          <t>Si sale la palabra FALSO es porque esta colocando un valor inferior al minimo legal, y no calcula.</t>
        </r>
      </text>
    </comment>
    <comment ref="B19" authorId="1" shapeId="0" xr:uid="{00000000-0006-0000-07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700-000009000000}">
      <text>
        <r>
          <rPr>
            <sz val="11"/>
            <color indexed="81"/>
            <rFont val="Tahoma"/>
            <family val="2"/>
          </rPr>
          <t>A quien trabaje entre las 10 p.m y las 6 a.m</t>
        </r>
      </text>
    </comment>
    <comment ref="C21" authorId="0" shapeId="0" xr:uid="{00000000-0006-0000-07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7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700-00000C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700-00000D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7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700-00000F000000}">
      <text>
        <r>
          <rPr>
            <sz val="11"/>
            <color indexed="81"/>
            <rFont val="Tahoma"/>
            <family val="2"/>
          </rPr>
          <t xml:space="preserve">Protege al trabajador contra contingencias de enfermedad general y maternidad
</t>
        </r>
      </text>
    </comment>
    <comment ref="C33" authorId="0" shapeId="0" xr:uid="{00000000-0006-0000-0700-000010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700-000011000000}">
      <text>
        <r>
          <rPr>
            <sz val="11"/>
            <color indexed="81"/>
            <rFont val="Tahoma"/>
            <family val="2"/>
          </rPr>
          <t>El aporte total  se debe discriminar asi:
El empleador:  8,5%
Trabajador:     4.0%
Tope Minimo: 1 SMLMV--        $ 566.700
Tope maximo 25 SMLMV - $14.167.500</t>
        </r>
      </text>
    </comment>
    <comment ref="B34" authorId="1" shapeId="0" xr:uid="{00000000-0006-0000-07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700-000013000000}">
      <text>
        <r>
          <rPr>
            <sz val="11"/>
            <color indexed="81"/>
            <rFont val="Tahoma"/>
            <family val="2"/>
          </rPr>
          <t>Este valor es la suma del aporte de la empresa y el trabajador
Para el calculo no se  suma el auxilio de transporte</t>
        </r>
      </text>
    </comment>
    <comment ref="D34" authorId="0" shapeId="0" xr:uid="{00000000-0006-0000-0700-000014000000}">
      <text>
        <r>
          <rPr>
            <sz val="11"/>
            <color indexed="81"/>
            <rFont val="Tahoma"/>
            <family val="2"/>
          </rPr>
          <t>El aporte total  se debe discriminar asi:
El empleador:  12%
Trabajador:     4.0%
Tope Minimo: 1 SMLMV--        $566.700
Tope maximo 25 SMLMV - $14.167.500</t>
        </r>
      </text>
    </comment>
    <comment ref="B35" authorId="1" shapeId="0" xr:uid="{00000000-0006-0000-07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700-000016000000}">
      <text>
        <r>
          <rPr>
            <sz val="11"/>
            <color indexed="81"/>
            <rFont val="Tahoma"/>
            <family val="2"/>
          </rPr>
          <t>Decreto 1772 de 1994, Art 13
Tope Minimo: 1 SMLMV -      $ 566.700
Tope maximo 25 SMLMV - $14.167.500-     
Para el calculo no se suma el auxilio de transporte.
Esta a cargo exclusivo del empleador.</t>
        </r>
      </text>
    </comment>
    <comment ref="B41" authorId="1" shapeId="0" xr:uid="{00000000-0006-0000-07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700-000018000000}">
      <text>
        <r>
          <rPr>
            <sz val="11"/>
            <color indexed="81"/>
            <rFont val="Tahoma"/>
            <family val="2"/>
          </rPr>
          <t>El auxilio de transporte no se tiene en cuenta para este calculo. Art 17 ley 344/96
El trabajador que devengue en el mes hasta 4 veces el salario minimos ($2.266.800) tiene derecho al pago del subsidio en dinero.</t>
        </r>
      </text>
    </comment>
    <comment ref="C46" authorId="0" shapeId="0" xr:uid="{00000000-0006-0000-07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7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7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7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7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7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7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700-000020000000}">
      <text>
        <r>
          <rPr>
            <sz val="11"/>
            <color indexed="81"/>
            <rFont val="Tahoma"/>
            <family val="2"/>
          </rPr>
          <t>El aporte total  se debe discriminar asi:
El empleador:  8,5%
Trabajador:     4.0%
Tope Minimo: 1 SMLMV--        $ 566.700
Tope maximo 25 SMLMV - $ 14.167.500</t>
        </r>
      </text>
    </comment>
    <comment ref="E74" authorId="0" shapeId="0" xr:uid="{00000000-0006-0000-0700-000021000000}">
      <text>
        <r>
          <rPr>
            <sz val="11"/>
            <color indexed="81"/>
            <rFont val="Tahoma"/>
            <family val="2"/>
          </rPr>
          <t>El aporte total  se debe discriminar asi:
El empleador:  8,5%
Trabajador:     4.0%
Tope Minimo: 1 SMLMV--        $ 566.700
Tope maximo 25 SMLMV - $ 14.167.500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800-000001000000}">
      <text>
        <r>
          <rPr>
            <sz val="11"/>
            <color indexed="81"/>
            <rFont val="Tahoma"/>
            <family val="2"/>
          </rPr>
          <t>Decreto 033 de 2011</t>
        </r>
      </text>
    </comment>
    <comment ref="C6" authorId="0" shapeId="0" xr:uid="{00000000-0006-0000-0800-000002000000}">
      <text>
        <r>
          <rPr>
            <sz val="11"/>
            <color indexed="81"/>
            <rFont val="Tahoma"/>
            <family val="2"/>
          </rPr>
          <t xml:space="preserve">Decreto 4835 de 2010
                    </t>
        </r>
      </text>
    </comment>
    <comment ref="C10" authorId="0" shapeId="0" xr:uid="{00000000-0006-0000-0800-000003000000}">
      <text>
        <r>
          <rPr>
            <sz val="11"/>
            <color indexed="81"/>
            <rFont val="Tahoma"/>
            <family val="2"/>
          </rPr>
          <t>Este calculo solo aplica para contratos  que no son de salario integral</t>
        </r>
      </text>
    </comment>
    <comment ref="C11" authorId="0" shapeId="0" xr:uid="{00000000-0006-0000-08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800-000005000000}">
      <text>
        <r>
          <rPr>
            <sz val="11"/>
            <color indexed="81"/>
            <rFont val="Tahoma"/>
            <family val="2"/>
          </rPr>
          <t>NOTA: Solo colocar si el salario es hasta $1.071.200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$90.000, obviamente puede ser mayor o menor dependiendo de la calidad de la dotación.</t>
        </r>
      </text>
    </comment>
    <comment ref="C18" authorId="0" shapeId="0" xr:uid="{00000000-0006-0000-0800-000006000000}">
      <text>
        <r>
          <rPr>
            <sz val="11"/>
            <color indexed="81"/>
            <rFont val="Tahoma"/>
            <family val="2"/>
          </rPr>
          <t>No puede ser inferior al minimo legal, o sea $ 535.600</t>
        </r>
      </text>
    </comment>
    <comment ref="E18" authorId="0" shapeId="0" xr:uid="{00000000-0006-0000-0800-000007000000}">
      <text>
        <r>
          <rPr>
            <sz val="11"/>
            <color indexed="81"/>
            <rFont val="Tahoma"/>
            <family val="2"/>
          </rPr>
          <t>Si sale la palabra FALSO es porque esta colocando un valor inferior al minimo legal, y no calcula.</t>
        </r>
      </text>
    </comment>
    <comment ref="B19" authorId="1" shapeId="0" xr:uid="{00000000-0006-0000-08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800-000009000000}">
      <text>
        <r>
          <rPr>
            <sz val="11"/>
            <color indexed="81"/>
            <rFont val="Tahoma"/>
            <family val="2"/>
          </rPr>
          <t>A quien trabaje entre las 10 p.m y las 6 a.m</t>
        </r>
      </text>
    </comment>
    <comment ref="C21" authorId="0" shapeId="0" xr:uid="{00000000-0006-0000-08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8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800-00000C000000}">
      <text>
        <r>
          <rPr>
            <sz val="12"/>
            <color indexed="81"/>
            <rFont val="Tahoma"/>
            <family val="2"/>
          </rPr>
          <t>Equivale al uno por ciento por cada mes trabajado.Lo que significa el 12% al año.
Intereses=   salario x No dias trabajados X 0.12
                  -----------------------------------------------
                                         360</t>
        </r>
      </text>
    </comment>
    <comment ref="C28" authorId="0" shapeId="0" xr:uid="{00000000-0006-0000-0800-00000D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8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800-00000F000000}">
      <text>
        <r>
          <rPr>
            <sz val="11"/>
            <color indexed="81"/>
            <rFont val="Tahoma"/>
            <family val="2"/>
          </rPr>
          <t xml:space="preserve">Protege al trabajador contra contingencias de enfermedad general y maternidad
</t>
        </r>
      </text>
    </comment>
    <comment ref="C33" authorId="0" shapeId="0" xr:uid="{00000000-0006-0000-0800-000010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800-000011000000}">
      <text>
        <r>
          <rPr>
            <sz val="11"/>
            <color indexed="81"/>
            <rFont val="Tahoma"/>
            <family val="2"/>
          </rPr>
          <t>El aporte total  se debe discriminar asi:
El empleador:  8,5%
Trabajador:     4.0%
Tope Minimo: 1 SMLMV--        $ 535.600
Tope maximo 25 SMLMV - $13.390.000</t>
        </r>
      </text>
    </comment>
    <comment ref="B34" authorId="1" shapeId="0" xr:uid="{00000000-0006-0000-08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800-000013000000}">
      <text>
        <r>
          <rPr>
            <sz val="11"/>
            <color indexed="81"/>
            <rFont val="Tahoma"/>
            <family val="2"/>
          </rPr>
          <t>Este valor es la suma del aporte de la empresa y el trabajador
Para el calculo no se  suma el auxilio de transporte</t>
        </r>
      </text>
    </comment>
    <comment ref="D34" authorId="0" shapeId="0" xr:uid="{00000000-0006-0000-0800-000014000000}">
      <text>
        <r>
          <rPr>
            <sz val="11"/>
            <color indexed="81"/>
            <rFont val="Tahoma"/>
            <family val="2"/>
          </rPr>
          <t>El aporte total  se debe discriminar asi:
El empleador:  12%
Trabajador:     4.0%
Tope Minimo: 1 SMLMV--        $535.600
Tope maximo 25 SMLMV - $13.390.000</t>
        </r>
      </text>
    </comment>
    <comment ref="B35" authorId="1" shapeId="0" xr:uid="{00000000-0006-0000-08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800-000016000000}">
      <text>
        <r>
          <rPr>
            <sz val="11"/>
            <color indexed="81"/>
            <rFont val="Tahoma"/>
            <family val="2"/>
          </rPr>
          <t>Decreto 1772 de 1994, Art 13
Tope Minimo: 1 SMLMV -      $ 535.600
Tope maximo 20 SMLMV - $10.712.000-     
Para el calculo no se suma el auxilio de transporte.
Esta a cargo exclusivo del empleador.</t>
        </r>
      </text>
    </comment>
    <comment ref="B41" authorId="1" shapeId="0" xr:uid="{00000000-0006-0000-08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800-000018000000}">
      <text>
        <r>
          <rPr>
            <sz val="11"/>
            <color indexed="81"/>
            <rFont val="Tahoma"/>
            <family val="2"/>
          </rPr>
          <t>El auxilio de transporte no se tiene en cuenta para este calculo. Art 17 ley 344/96
El trabajador que devengue en el mes hasta 4 veces el salario minimos ($2.142.400) tiene derecho al pago del subsidio en dinero.</t>
        </r>
      </text>
    </comment>
    <comment ref="C46" authorId="0" shapeId="0" xr:uid="{00000000-0006-0000-08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8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8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8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8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8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8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800-000020000000}">
      <text>
        <r>
          <rPr>
            <sz val="11"/>
            <color indexed="81"/>
            <rFont val="Tahoma"/>
            <family val="2"/>
          </rPr>
          <t>El aporte total  se debe discriminar asi:
El empleador:  8,5%
Trabajador:     4.0%
Tope Minimo: 1 SMLMV--        $535.600
Tope maximo 25 SMLMV - $ 13.390.000</t>
        </r>
      </text>
    </comment>
    <comment ref="E74" authorId="0" shapeId="0" xr:uid="{00000000-0006-0000-0800-000021000000}">
      <text>
        <r>
          <rPr>
            <sz val="11"/>
            <color indexed="81"/>
            <rFont val="Tahoma"/>
            <family val="2"/>
          </rPr>
          <t>El aporte total  se debe discriminar asi:
El empleador:  8,5%
Trabajador:     4.0%
Tope Minimo: 1 SMLMV--        $ 535.600
Tope maximo 25 SMLMV - $ 13.390.000</t>
        </r>
      </text>
    </comment>
  </commentList>
</comments>
</file>

<file path=xl/sharedStrings.xml><?xml version="1.0" encoding="utf-8"?>
<sst xmlns="http://schemas.openxmlformats.org/spreadsheetml/2006/main" count="1175" uniqueCount="155">
  <si>
    <t>CALCULO DEL COSTO DE UN TRABAJADOR COLOMBIANO CONFORME A LA MINIMAS EXIGENCIAS LEGALES</t>
  </si>
  <si>
    <t>AÑO 2019</t>
  </si>
  <si>
    <t>Salario minimo legal mensual</t>
  </si>
  <si>
    <t>Auxilio de transporte mes</t>
  </si>
  <si>
    <t>DATOS A COMPLETAR</t>
  </si>
  <si>
    <t>DIGITE SOLO ESTOS CUATRO RENGLONES</t>
  </si>
  <si>
    <t>Colocar salario pactado</t>
  </si>
  <si>
    <t>Riesgo al que esta expuesto %</t>
  </si>
  <si>
    <t>Costo de una dotación</t>
  </si>
  <si>
    <t>Valor en pesos de un dólar, euro etc</t>
  </si>
  <si>
    <t>Dólar</t>
  </si>
  <si>
    <t>CONCEPTOS</t>
  </si>
  <si>
    <t>Explicaciones-</t>
  </si>
  <si>
    <t>%</t>
  </si>
  <si>
    <t>VALOR mes un trabajador</t>
  </si>
  <si>
    <t>VALOR mes exonerados</t>
  </si>
  <si>
    <t>CONVERSION Moneda extranjera</t>
  </si>
  <si>
    <t>1, Salarios y Transporte</t>
  </si>
  <si>
    <t>Salario Básico</t>
  </si>
  <si>
    <t>El pactado entre las partes</t>
  </si>
  <si>
    <t>Auxilio de Transporte</t>
  </si>
  <si>
    <t>A quien devenga hasta  $1.656.232 (2 SMLMV)</t>
  </si>
  <si>
    <t>Recargos Nocturnos</t>
  </si>
  <si>
    <t>Sobre el valor de la hora basica se recarga el 35%</t>
  </si>
  <si>
    <t>Recargo Dominical, festivos, compensatorios</t>
  </si>
  <si>
    <t>Por trabajar en domingo o festivo</t>
  </si>
  <si>
    <t>Horas Extras</t>
  </si>
  <si>
    <t>Lo que exceda de 8 horas dia o 48 a la semana, o la que se pacto</t>
  </si>
  <si>
    <t>Subtotal Salarios y Transporte</t>
  </si>
  <si>
    <t>2, Prestaciones Sociales y Vacaciones Provisión</t>
  </si>
  <si>
    <t>Cesantías</t>
  </si>
  <si>
    <t>Salarios + Sub. Transporte./12 meses</t>
  </si>
  <si>
    <t>Intereses sobre Cesantías</t>
  </si>
  <si>
    <t>El 12% del valor de las cesantías</t>
  </si>
  <si>
    <t>Primas</t>
  </si>
  <si>
    <t>Vacaciones</t>
  </si>
  <si>
    <t xml:space="preserve">Equivale a 15 dias hábiles de salario al año </t>
  </si>
  <si>
    <t>Subtotal Prestaciones</t>
  </si>
  <si>
    <t>3, Seguridad Social</t>
  </si>
  <si>
    <t>Salud     (Total 12,5%, Empresa:8;5%)</t>
  </si>
  <si>
    <t>Pensión   (Total 16%, Empresa 12%)</t>
  </si>
  <si>
    <t>Riesgos Laborales</t>
  </si>
  <si>
    <t>A los salarios se le aplica la tarifa según el riesgo.</t>
  </si>
  <si>
    <t>Provisión vacaciones salud</t>
  </si>
  <si>
    <t>Provision vacaciones pension</t>
  </si>
  <si>
    <t>Subtotal Seguridad Social</t>
  </si>
  <si>
    <t>4, Aportes Parafiscales</t>
  </si>
  <si>
    <t>Sena, ICBF, Caja de Compensacion</t>
  </si>
  <si>
    <r>
      <rPr>
        <i/>
        <sz val="12"/>
        <color indexed="30"/>
        <rFont val="Arial"/>
        <family val="2"/>
      </rPr>
      <t xml:space="preserve">Sena 2%,   ICBF 3%; </t>
    </r>
    <r>
      <rPr>
        <i/>
        <sz val="12"/>
        <color indexed="10"/>
        <rFont val="Arial"/>
        <family val="2"/>
      </rPr>
      <t xml:space="preserve"> </t>
    </r>
    <r>
      <rPr>
        <i/>
        <sz val="12"/>
        <rFont val="Arial"/>
        <family val="2"/>
      </rPr>
      <t xml:space="preserve">  Caja de Compensación 4%</t>
    </r>
  </si>
  <si>
    <t>Provision vacaciones</t>
  </si>
  <si>
    <t>Subtotal Aportes Parafiscales</t>
  </si>
  <si>
    <t>5, Dotación</t>
  </si>
  <si>
    <t>*</t>
  </si>
  <si>
    <t>Dotación</t>
  </si>
  <si>
    <t xml:space="preserve">Son 3 dotaciones al año.    ( IV -VIII - ,XII)/ 12 </t>
  </si>
  <si>
    <t>TOTAL MENSUAL (1+2+3+4+5)</t>
  </si>
  <si>
    <t>Factor prestacional</t>
  </si>
  <si>
    <t>Costo Total Anual para un trabajador</t>
  </si>
  <si>
    <t>Días Hábiles en el año 2019</t>
  </si>
  <si>
    <t>Costo por dia  trabajado</t>
  </si>
  <si>
    <t>Costo por hora trabajada.</t>
  </si>
  <si>
    <t>RECARGOS Y HORAS EXTRAS</t>
  </si>
  <si>
    <t>Valor</t>
  </si>
  <si>
    <t>No horas</t>
  </si>
  <si>
    <t>Valor Hora Ordinaria</t>
  </si>
  <si>
    <t>Entre las 6 a.m y las 9 p.m</t>
  </si>
  <si>
    <t xml:space="preserve">Recargo Nocturno </t>
  </si>
  <si>
    <t>Entre las 9 p.m y las 6 a.m</t>
  </si>
  <si>
    <t>Recargo  Hora Ord. Dominical o Festiva</t>
  </si>
  <si>
    <t xml:space="preserve">recargo del 75% sobre el valor de la hora basica </t>
  </si>
  <si>
    <t>Recargo Hora Ord dominical  sin descanso</t>
  </si>
  <si>
    <t>Recargo del 75% sobre la hora basic+ compensatorio</t>
  </si>
  <si>
    <t xml:space="preserve">Rec Hora Nocturna dominical festiva </t>
  </si>
  <si>
    <t>Recargo 75% festiva + 35% recargo nocturno</t>
  </si>
  <si>
    <t>Rec.hora nocturna dominical  sin descanso</t>
  </si>
  <si>
    <t>Recargo 75% festiva + 35% recargo nocturno+compensatorio</t>
  </si>
  <si>
    <t>Hora Extra  Ordinaria</t>
  </si>
  <si>
    <t>Hora basica +25%de recargo</t>
  </si>
  <si>
    <t xml:space="preserve">Hora Extra Nocturna </t>
  </si>
  <si>
    <t>Hora basica + 75% recargo nocturno</t>
  </si>
  <si>
    <t>Hora Extra ordinaria dominical o Festiva</t>
  </si>
  <si>
    <t>Hora basica+75% festiva+25% recargo</t>
  </si>
  <si>
    <t>Hora Extra Nocturna dominical o  Festiva</t>
  </si>
  <si>
    <t>Hora basica+ 75% festiva + 75% nocturno</t>
  </si>
  <si>
    <t>V 1.0 -23.12. 2018</t>
  </si>
  <si>
    <t>DEDUCCIONES AL TRABAJADOR</t>
  </si>
  <si>
    <t>Retefuente</t>
  </si>
  <si>
    <t>Debe calcularse de acuerdo a la tabla</t>
  </si>
  <si>
    <t>Aporte salud</t>
  </si>
  <si>
    <t>Corresponde el 4% al trabajador</t>
  </si>
  <si>
    <t>Aporte Fondo  de Pensiones</t>
  </si>
  <si>
    <t>Equivale a 1/4 del aporte del 16%</t>
  </si>
  <si>
    <t>Fondo de solidaridad</t>
  </si>
  <si>
    <t>El 1% a quien devenga 4 o mas SMLMV</t>
  </si>
  <si>
    <t>Fondo solidaridad  Cta Subsistencia</t>
  </si>
  <si>
    <t>Se aplica para quien devenga mas de 16 SMLMV</t>
  </si>
  <si>
    <t>TOTAL DEDUCCIONES</t>
  </si>
  <si>
    <t>Aporte Fondo de Solidaridad Subsist</t>
  </si>
  <si>
    <t>Menor a 16 SMLMV</t>
  </si>
  <si>
    <t>De 16 a 17 SMLMV</t>
  </si>
  <si>
    <t>De 17 a 18 SMLMV</t>
  </si>
  <si>
    <t>De 18 a  19 SMLMV</t>
  </si>
  <si>
    <t>De 19 a  20 SMLMV</t>
  </si>
  <si>
    <t>Mas de 20 SMLMV</t>
  </si>
  <si>
    <t>AÑO 2018</t>
  </si>
  <si>
    <t>A quien devenga hasta  $1.562.484(2 SMLMV)</t>
  </si>
  <si>
    <t>Días Hábiles en el año 2018</t>
  </si>
  <si>
    <t>V 1.0 -30.12. 2017</t>
  </si>
  <si>
    <t>AÑO 2017</t>
  </si>
  <si>
    <t>A quien devenga hasta  $1.475.434 (2 SMLMV)</t>
  </si>
  <si>
    <t>Lo que exceda de 8 horas dia o 48 a la semana</t>
  </si>
  <si>
    <t>Días Hábiles en el año 2016</t>
  </si>
  <si>
    <t>Entre las 6 a.m y las 10 p.m</t>
  </si>
  <si>
    <t>Entre las 10 p.m y las 6 a.m</t>
  </si>
  <si>
    <t>V 1.0 29 enero 2017</t>
  </si>
  <si>
    <t>AÑO 2016</t>
  </si>
  <si>
    <t>VALOR mes mas de un trabajador</t>
  </si>
  <si>
    <t>A quien devenga hasta  $1.378.910 (2 SMLMV)</t>
  </si>
  <si>
    <t>Recargo Dominical, fest, compensatorios</t>
  </si>
  <si>
    <t>Riesgos Profesionales</t>
  </si>
  <si>
    <t>V1.0 4 enero 2016</t>
  </si>
  <si>
    <t>AÑO 2015</t>
  </si>
  <si>
    <t>A quien devenga hasta  $1.288.700 (2 SMLMV)</t>
  </si>
  <si>
    <t>Días Hábiles en el año 2015</t>
  </si>
  <si>
    <t>V1..0 Enero 12 de 2014</t>
  </si>
  <si>
    <t>AÑO 2014</t>
  </si>
  <si>
    <t>A quien devenga hasta  $1.232.000 (2 SMLMV)</t>
  </si>
  <si>
    <t>Días Hábiles en el año 2013</t>
  </si>
  <si>
    <t>V1.2 Enero 4 de 2014</t>
  </si>
  <si>
    <t>AÑO 2013</t>
  </si>
  <si>
    <t>DIGITE SOLO ESTOS TRES RENGLONES</t>
  </si>
  <si>
    <t>VALOR mes</t>
  </si>
  <si>
    <t>A quien devenga hasta  $1.179.000 (2 SMLMV)</t>
  </si>
  <si>
    <r>
      <rPr>
        <i/>
        <sz val="12"/>
        <color indexed="10"/>
        <rFont val="Arial"/>
        <family val="2"/>
      </rPr>
      <t xml:space="preserve">Sena 2%,   ICBF 3%;  </t>
    </r>
    <r>
      <rPr>
        <i/>
        <sz val="12"/>
        <rFont val="Arial"/>
        <family val="2"/>
      </rPr>
      <t xml:space="preserve">  Caja de Compensación 4%</t>
    </r>
  </si>
  <si>
    <t>V1 .0 Enero 1 de 2013</t>
  </si>
  <si>
    <t>AÑO 2012</t>
  </si>
  <si>
    <t>A quien devenga hasta  $1.133.400 (2 SMLMV)</t>
  </si>
  <si>
    <t>Sena 2%,   ICBF 3%;    Caja de Compensación 4%</t>
  </si>
  <si>
    <t>Costo Total Anual</t>
  </si>
  <si>
    <t>Días Hábiles en el año 2012</t>
  </si>
  <si>
    <t>V1 .1 dici  26 de 2011</t>
  </si>
  <si>
    <t>AÑO 2011</t>
  </si>
  <si>
    <t>A quien devenga hasta  $1.071.200 (2 SMLMV)</t>
  </si>
  <si>
    <t>Días Hábiles en el año 2011</t>
  </si>
  <si>
    <t>V2  enero 12 de 2011</t>
  </si>
  <si>
    <t>AÑO 2010</t>
  </si>
  <si>
    <t>A quien devenga hasta  $1.030.000 (2 SMLMV)</t>
  </si>
  <si>
    <t>Días Hábiles en el año 2010</t>
  </si>
  <si>
    <t>V4.01  enero 5 de 2010</t>
  </si>
  <si>
    <t>AÑO 2009</t>
  </si>
  <si>
    <t>1, Salarios</t>
  </si>
  <si>
    <t>A quien devenga hasta  $993.800 (2 SMLMV)</t>
  </si>
  <si>
    <t>Subtotal Salarios</t>
  </si>
  <si>
    <t>Días Hábiles en el año 2009</t>
  </si>
  <si>
    <t>V3.9   Enero 19 de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</si>
</sst>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164" formatCode="_ * #,##0.00_ ;_ * \-#,##0.00_ ;_ * &quot;-&quot;??_ ;_ @_ "/>
    <numFmt numFmtId="165" formatCode="0.000%"/>
    <numFmt numFmtId="166" formatCode="0.0000%"/>
    <numFmt numFmtId="167" formatCode="0.0%"/>
    <numFmt numFmtId="168" formatCode="#,##0.0000;[Red]\-#,##0.0000"/>
    <numFmt numFmtId="169" formatCode="_ * #,##0_ ;_ * \-#,##0_ ;_ * &quot;-&quot;??_ ;_ @_ "/>
    <numFmt numFmtId="170" formatCode="0.0000"/>
    <numFmt numFmtId="171" formatCode="_ * #.##0.0_ ;_ * \-#.##0.0_ ;_ * &quot;-&quot;??_ ;_ @_ "/>
  </numFmts>
  <fonts count="66" x14ac:knownFonts="1">
    <font>
      <sz val="10"/>
      <name val="Arial"/>
    </font>
    <font>
      <sz val="10"/>
      <name val="Arial"/>
    </font>
    <font>
      <b/>
      <sz val="10"/>
      <name val="Arial"/>
      <family val="2"/>
    </font>
    <font>
      <i/>
      <sz val="6"/>
      <name val="Arial"/>
      <family val="2"/>
    </font>
    <font>
      <sz val="10"/>
      <color indexed="10"/>
      <name val="Arial"/>
      <family val="2"/>
    </font>
    <font>
      <b/>
      <sz val="12"/>
      <name val="Arial"/>
      <family val="2"/>
    </font>
    <font>
      <sz val="12"/>
      <name val="Arial"/>
      <family val="2"/>
    </font>
    <font>
      <sz val="8"/>
      <name val="Arial"/>
      <family val="2"/>
    </font>
    <font>
      <b/>
      <sz val="10"/>
      <color indexed="10"/>
      <name val="Arial"/>
      <family val="2"/>
    </font>
    <font>
      <b/>
      <i/>
      <sz val="12"/>
      <color indexed="12"/>
      <name val="Arial"/>
      <family val="2"/>
    </font>
    <font>
      <u/>
      <sz val="10"/>
      <color indexed="12"/>
      <name val="Arial"/>
      <family val="2"/>
    </font>
    <font>
      <i/>
      <sz val="12"/>
      <name val="Arial"/>
      <family val="2"/>
    </font>
    <font>
      <b/>
      <sz val="12"/>
      <color indexed="12"/>
      <name val="Arial"/>
      <family val="2"/>
    </font>
    <font>
      <b/>
      <sz val="12"/>
      <color indexed="10"/>
      <name val="Arial"/>
      <family val="2"/>
    </font>
    <font>
      <b/>
      <u/>
      <sz val="12"/>
      <color indexed="10"/>
      <name val="Arial"/>
      <family val="2"/>
    </font>
    <font>
      <b/>
      <i/>
      <u/>
      <sz val="12"/>
      <color indexed="10"/>
      <name val="Arial"/>
      <family val="2"/>
    </font>
    <font>
      <sz val="12"/>
      <color indexed="10"/>
      <name val="Arial"/>
      <family val="2"/>
    </font>
    <font>
      <b/>
      <i/>
      <sz val="12"/>
      <name val="Arial"/>
      <family val="2"/>
    </font>
    <font>
      <b/>
      <sz val="11"/>
      <name val="Arial"/>
      <family val="2"/>
    </font>
    <font>
      <sz val="10"/>
      <name val="Arial"/>
      <family val="2"/>
    </font>
    <font>
      <sz val="12"/>
      <color indexed="81"/>
      <name val="Tahoma"/>
      <family val="2"/>
    </font>
    <font>
      <b/>
      <sz val="12"/>
      <color indexed="81"/>
      <name val="Tahoma"/>
      <family val="2"/>
    </font>
    <font>
      <sz val="11"/>
      <color indexed="81"/>
      <name val="Tahoma"/>
      <family val="2"/>
    </font>
    <font>
      <b/>
      <sz val="8"/>
      <color indexed="81"/>
      <name val="Tahoma"/>
      <family val="2"/>
    </font>
    <font>
      <sz val="7"/>
      <name val="Arial"/>
      <family val="2"/>
    </font>
    <font>
      <b/>
      <u/>
      <sz val="11"/>
      <color indexed="10"/>
      <name val="Arial"/>
      <family val="2"/>
    </font>
    <font>
      <b/>
      <sz val="12"/>
      <color indexed="57"/>
      <name val="Arial"/>
      <family val="2"/>
    </font>
    <font>
      <b/>
      <i/>
      <sz val="8"/>
      <name val="Arial"/>
      <family val="2"/>
    </font>
    <font>
      <sz val="8"/>
      <color indexed="81"/>
      <name val="Tahoma"/>
      <family val="2"/>
    </font>
    <font>
      <b/>
      <sz val="11"/>
      <color indexed="81"/>
      <name val="Tahoma"/>
      <family val="2"/>
    </font>
    <font>
      <i/>
      <sz val="6"/>
      <color indexed="10"/>
      <name val="Arial"/>
      <family val="2"/>
    </font>
    <font>
      <i/>
      <sz val="14"/>
      <color indexed="10"/>
      <name val="Arial"/>
      <family val="2"/>
    </font>
    <font>
      <b/>
      <i/>
      <sz val="6"/>
      <color indexed="10"/>
      <name val="Arial"/>
      <family val="2"/>
    </font>
    <font>
      <u/>
      <sz val="10"/>
      <color indexed="10"/>
      <name val="Arial"/>
      <family val="2"/>
    </font>
    <font>
      <b/>
      <i/>
      <sz val="12"/>
      <color indexed="10"/>
      <name val="Arial"/>
      <family val="2"/>
    </font>
    <font>
      <i/>
      <sz val="12"/>
      <color indexed="10"/>
      <name val="Arial"/>
      <family val="2"/>
    </font>
    <font>
      <i/>
      <sz val="8"/>
      <color indexed="10"/>
      <name val="Arial"/>
      <family val="2"/>
    </font>
    <font>
      <i/>
      <sz val="11"/>
      <color indexed="10"/>
      <name val="Arial"/>
      <family val="2"/>
    </font>
    <font>
      <b/>
      <i/>
      <sz val="8"/>
      <color indexed="10"/>
      <name val="Arial"/>
      <family val="2"/>
    </font>
    <font>
      <b/>
      <sz val="12"/>
      <name val="Times New Roman"/>
      <family val="1"/>
    </font>
    <font>
      <sz val="9"/>
      <color indexed="81"/>
      <name val="Tahoma"/>
      <family val="2"/>
    </font>
    <font>
      <b/>
      <sz val="9"/>
      <color indexed="81"/>
      <name val="Tahoma"/>
      <family val="2"/>
    </font>
    <font>
      <sz val="10"/>
      <color indexed="81"/>
      <name val="Tahoma"/>
      <family val="2"/>
    </font>
    <font>
      <i/>
      <sz val="12"/>
      <color indexed="30"/>
      <name val="Arial"/>
      <family val="2"/>
    </font>
    <font>
      <b/>
      <sz val="10"/>
      <color indexed="81"/>
      <name val="Tahoma"/>
      <family val="2"/>
    </font>
    <font>
      <b/>
      <sz val="8"/>
      <name val="Arial"/>
      <family val="2"/>
    </font>
    <font>
      <sz val="10"/>
      <color rgb="FFFF0000"/>
      <name val="Arial"/>
      <family val="2"/>
    </font>
    <font>
      <i/>
      <sz val="6"/>
      <color rgb="FFFF0000"/>
      <name val="Arial"/>
      <family val="2"/>
    </font>
    <font>
      <i/>
      <sz val="14"/>
      <color rgb="FFFF0000"/>
      <name val="Arial"/>
      <family val="2"/>
    </font>
    <font>
      <sz val="8"/>
      <color rgb="FFFF0000"/>
      <name val="Arial"/>
      <family val="2"/>
    </font>
    <font>
      <sz val="12"/>
      <color rgb="FFFF0000"/>
      <name val="Arial"/>
      <family val="2"/>
    </font>
    <font>
      <b/>
      <sz val="12"/>
      <color rgb="FFFF0000"/>
      <name val="Arial"/>
      <family val="2"/>
    </font>
    <font>
      <b/>
      <sz val="10"/>
      <color rgb="FFFF0000"/>
      <name val="Arial"/>
      <family val="2"/>
    </font>
    <font>
      <b/>
      <i/>
      <sz val="6"/>
      <color rgb="FFFF0000"/>
      <name val="Arial"/>
      <family val="2"/>
    </font>
    <font>
      <u/>
      <sz val="10"/>
      <color rgb="FFFF0000"/>
      <name val="Arial"/>
      <family val="2"/>
    </font>
    <font>
      <b/>
      <i/>
      <sz val="12"/>
      <color rgb="FFFF0000"/>
      <name val="Arial"/>
      <family val="2"/>
    </font>
    <font>
      <i/>
      <sz val="12"/>
      <color rgb="FFFF0000"/>
      <name val="Arial"/>
      <family val="2"/>
    </font>
    <font>
      <b/>
      <u/>
      <sz val="12"/>
      <color rgb="FFFF0000"/>
      <name val="Arial"/>
      <family val="2"/>
    </font>
    <font>
      <b/>
      <i/>
      <u/>
      <sz val="12"/>
      <color rgb="FFFF0000"/>
      <name val="Arial"/>
      <family val="2"/>
    </font>
    <font>
      <b/>
      <u/>
      <sz val="11"/>
      <color rgb="FFFF0000"/>
      <name val="Arial"/>
      <family val="2"/>
    </font>
    <font>
      <i/>
      <sz val="8"/>
      <color rgb="FFFF0000"/>
      <name val="Arial"/>
      <family val="2"/>
    </font>
    <font>
      <i/>
      <sz val="11"/>
      <color rgb="FFFF0000"/>
      <name val="Arial"/>
      <family val="2"/>
    </font>
    <font>
      <sz val="12"/>
      <color rgb="FF0070C0"/>
      <name val="Arial"/>
      <family val="2"/>
    </font>
    <font>
      <b/>
      <i/>
      <sz val="8"/>
      <color rgb="FFFF0000"/>
      <name val="Arial"/>
      <family val="2"/>
    </font>
    <font>
      <b/>
      <sz val="14"/>
      <color theme="0"/>
      <name val="Arial"/>
      <family val="2"/>
    </font>
    <font>
      <b/>
      <sz val="10"/>
      <color theme="1"/>
      <name val="Arial"/>
      <family val="2"/>
    </font>
  </fonts>
  <fills count="1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rgb="FFCCFFCC"/>
        <bgColor indexed="64"/>
      </patternFill>
    </fill>
    <fill>
      <patternFill patternType="solid">
        <fgColor theme="6"/>
        <bgColor indexed="64"/>
      </patternFill>
    </fill>
    <fill>
      <patternFill patternType="solid">
        <fgColor theme="0"/>
        <bgColor indexed="64"/>
      </patternFill>
    </fill>
  </fills>
  <borders count="43">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medium">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hair">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diagonal/>
    </border>
    <border>
      <left/>
      <right style="hair">
        <color auto="1"/>
      </right>
      <top style="hair">
        <color auto="1"/>
      </top>
      <bottom/>
      <diagonal/>
    </border>
    <border>
      <left style="medium">
        <color auto="1"/>
      </left>
      <right style="hair">
        <color auto="1"/>
      </right>
      <top/>
      <bottom style="hair">
        <color auto="1"/>
      </bottom>
      <diagonal/>
    </border>
    <border>
      <left/>
      <right style="hair">
        <color auto="1"/>
      </right>
      <top/>
      <bottom style="hair">
        <color auto="1"/>
      </bottom>
      <diagonal/>
    </border>
    <border>
      <left style="medium">
        <color auto="1"/>
      </left>
      <right style="medium">
        <color auto="1"/>
      </right>
      <top style="medium">
        <color auto="1"/>
      </top>
      <bottom style="medium">
        <color auto="1"/>
      </bottom>
      <diagonal/>
    </border>
    <border>
      <left/>
      <right style="hair">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style="medium">
        <color auto="1"/>
      </right>
      <top style="medium">
        <color auto="1"/>
      </top>
      <bottom/>
      <diagonal/>
    </border>
    <border>
      <left style="hair">
        <color auto="1"/>
      </left>
      <right style="medium">
        <color auto="1"/>
      </right>
      <top/>
      <bottom style="hair">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style="medium">
        <color auto="1"/>
      </right>
      <top style="medium">
        <color auto="1"/>
      </top>
      <bottom style="hair">
        <color auto="1"/>
      </bottom>
      <diagonal/>
    </border>
    <border>
      <left style="thin">
        <color auto="1"/>
      </left>
      <right/>
      <top style="medium">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s>
  <cellStyleXfs count="5">
    <xf numFmtId="0" fontId="0" fillId="0" borderId="0"/>
    <xf numFmtId="0" fontId="10" fillId="0" borderId="0" applyNumberFormat="0" applyFill="0" applyBorder="0" applyAlignment="0" applyProtection="0">
      <alignment vertical="top"/>
      <protection locked="0"/>
    </xf>
    <xf numFmtId="164" fontId="1"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cellStyleXfs>
  <cellXfs count="361">
    <xf numFmtId="0" fontId="0" fillId="0" borderId="0" xfId="0"/>
    <xf numFmtId="0" fontId="0" fillId="0" borderId="0" xfId="0" applyFill="1"/>
    <xf numFmtId="0" fontId="3" fillId="0" borderId="0" xfId="0" applyFont="1" applyFill="1"/>
    <xf numFmtId="165" fontId="3" fillId="0" borderId="0" xfId="3" applyNumberFormat="1" applyFont="1" applyFill="1" applyAlignment="1">
      <alignment horizontal="center"/>
    </xf>
    <xf numFmtId="38" fontId="4" fillId="0" borderId="0" xfId="0" applyNumberFormat="1" applyFont="1" applyFill="1" applyAlignment="1">
      <alignment horizontal="center"/>
    </xf>
    <xf numFmtId="0" fontId="0" fillId="0" borderId="0" xfId="0" applyFill="1" applyAlignment="1">
      <alignment horizontal="center"/>
    </xf>
    <xf numFmtId="0" fontId="6" fillId="2" borderId="1" xfId="0" applyFont="1" applyFill="1" applyBorder="1" applyAlignment="1">
      <alignment horizontal="left"/>
    </xf>
    <xf numFmtId="166" fontId="7" fillId="0" borderId="0" xfId="3" applyNumberFormat="1" applyFont="1" applyFill="1"/>
    <xf numFmtId="0" fontId="6" fillId="0" borderId="0" xfId="0" applyFont="1" applyFill="1" applyBorder="1"/>
    <xf numFmtId="0" fontId="2" fillId="0" borderId="0" xfId="0" applyFont="1" applyFill="1" applyAlignment="1">
      <alignment horizontal="center"/>
    </xf>
    <xf numFmtId="38" fontId="8" fillId="0" borderId="0" xfId="0" applyNumberFormat="1" applyFont="1" applyFill="1" applyBorder="1" applyAlignment="1">
      <alignment horizontal="center"/>
    </xf>
    <xf numFmtId="0" fontId="6" fillId="3" borderId="1" xfId="0" applyFont="1" applyFill="1" applyBorder="1"/>
    <xf numFmtId="0" fontId="0" fillId="0" borderId="0" xfId="0" applyFill="1" applyBorder="1"/>
    <xf numFmtId="0" fontId="6" fillId="3" borderId="3" xfId="0" applyFont="1" applyFill="1" applyBorder="1"/>
    <xf numFmtId="165" fontId="9" fillId="0" borderId="4" xfId="3" applyNumberFormat="1" applyFont="1" applyFill="1" applyBorder="1" applyAlignment="1" applyProtection="1">
      <alignment horizontal="center"/>
      <protection locked="0"/>
    </xf>
    <xf numFmtId="0" fontId="6" fillId="3" borderId="2" xfId="0" applyFont="1" applyFill="1" applyBorder="1"/>
    <xf numFmtId="40" fontId="0" fillId="0" borderId="0" xfId="0" applyNumberFormat="1" applyFill="1"/>
    <xf numFmtId="0" fontId="9" fillId="0" borderId="0" xfId="0" applyFont="1" applyFill="1" applyBorder="1" applyAlignment="1" applyProtection="1">
      <alignment horizontal="center"/>
      <protection locked="0"/>
    </xf>
    <xf numFmtId="0" fontId="6" fillId="0" borderId="0" xfId="0" applyFont="1" applyFill="1"/>
    <xf numFmtId="0" fontId="6" fillId="0" borderId="0" xfId="0" applyFont="1" applyFill="1" applyAlignment="1">
      <alignment horizontal="center"/>
    </xf>
    <xf numFmtId="40" fontId="6" fillId="0" borderId="0" xfId="0" applyNumberFormat="1" applyFont="1" applyFill="1"/>
    <xf numFmtId="38" fontId="13" fillId="0" borderId="5" xfId="0" applyNumberFormat="1" applyFont="1" applyFill="1" applyBorder="1" applyAlignment="1">
      <alignment horizontal="center"/>
    </xf>
    <xf numFmtId="0" fontId="14" fillId="0" borderId="6" xfId="0" quotePrefix="1" applyFont="1" applyFill="1" applyBorder="1" applyAlignment="1">
      <alignment horizontal="left"/>
    </xf>
    <xf numFmtId="0" fontId="15" fillId="0" borderId="7" xfId="0" quotePrefix="1" applyFont="1" applyFill="1" applyBorder="1" applyAlignment="1">
      <alignment horizontal="left"/>
    </xf>
    <xf numFmtId="165" fontId="14" fillId="0" borderId="7" xfId="3" quotePrefix="1" applyNumberFormat="1" applyFont="1" applyFill="1" applyBorder="1" applyAlignment="1">
      <alignment horizontal="center"/>
    </xf>
    <xf numFmtId="38" fontId="16" fillId="0" borderId="8" xfId="0" applyNumberFormat="1" applyFont="1" applyFill="1" applyBorder="1" applyAlignment="1">
      <alignment horizontal="center"/>
    </xf>
    <xf numFmtId="0" fontId="6" fillId="0" borderId="6" xfId="0" applyFont="1" applyFill="1" applyBorder="1"/>
    <xf numFmtId="0" fontId="11" fillId="0" borderId="7" xfId="0" applyFont="1" applyFill="1" applyBorder="1"/>
    <xf numFmtId="165" fontId="6" fillId="0" borderId="7" xfId="3" applyNumberFormat="1" applyFont="1" applyFill="1" applyBorder="1" applyAlignment="1">
      <alignment horizontal="center"/>
    </xf>
    <xf numFmtId="38" fontId="5" fillId="3" borderId="8" xfId="0" applyNumberFormat="1" applyFont="1" applyFill="1" applyBorder="1" applyAlignment="1">
      <alignment horizontal="center"/>
    </xf>
    <xf numFmtId="38" fontId="5" fillId="4" borderId="8" xfId="0" applyNumberFormat="1" applyFont="1" applyFill="1" applyBorder="1" applyAlignment="1">
      <alignment horizontal="center"/>
    </xf>
    <xf numFmtId="0" fontId="5" fillId="0" borderId="6" xfId="0" applyFont="1" applyFill="1" applyBorder="1"/>
    <xf numFmtId="0" fontId="17" fillId="0" borderId="7" xfId="0" applyFont="1" applyFill="1" applyBorder="1"/>
    <xf numFmtId="165" fontId="5" fillId="0" borderId="7" xfId="3" applyNumberFormat="1" applyFont="1" applyFill="1" applyBorder="1" applyAlignment="1">
      <alignment horizontal="center"/>
    </xf>
    <xf numFmtId="38" fontId="13" fillId="0" borderId="8" xfId="0" applyNumberFormat="1" applyFont="1" applyFill="1" applyBorder="1" applyAlignment="1">
      <alignment horizontal="center"/>
    </xf>
    <xf numFmtId="10" fontId="6" fillId="0" borderId="7" xfId="3" applyNumberFormat="1" applyFont="1" applyFill="1" applyBorder="1" applyAlignment="1">
      <alignment horizontal="center"/>
    </xf>
    <xf numFmtId="167" fontId="6" fillId="0" borderId="7" xfId="3" applyNumberFormat="1" applyFont="1" applyFill="1" applyBorder="1" applyAlignment="1">
      <alignment horizontal="center"/>
    </xf>
    <xf numFmtId="0" fontId="11" fillId="0" borderId="7" xfId="0" applyFont="1" applyFill="1" applyBorder="1" applyAlignment="1">
      <alignment horizontal="left"/>
    </xf>
    <xf numFmtId="0" fontId="17" fillId="0" borderId="7" xfId="0" applyFont="1" applyFill="1" applyBorder="1" applyAlignment="1">
      <alignment horizontal="right"/>
    </xf>
    <xf numFmtId="0" fontId="6" fillId="0" borderId="6" xfId="0" applyFont="1" applyFill="1" applyBorder="1" applyAlignment="1">
      <alignment horizontal="left"/>
    </xf>
    <xf numFmtId="0" fontId="11" fillId="0" borderId="0" xfId="0" applyFont="1" applyFill="1" applyBorder="1" applyAlignment="1">
      <alignment horizontal="left"/>
    </xf>
    <xf numFmtId="40" fontId="5" fillId="0" borderId="0" xfId="0" applyNumberFormat="1" applyFont="1" applyFill="1" applyBorder="1" applyAlignment="1">
      <alignment horizontal="center"/>
    </xf>
    <xf numFmtId="38" fontId="6" fillId="0" borderId="8" xfId="0" applyNumberFormat="1" applyFont="1" applyFill="1" applyBorder="1" applyAlignment="1">
      <alignment horizontal="center"/>
    </xf>
    <xf numFmtId="0" fontId="11" fillId="0" borderId="9" xfId="0" quotePrefix="1" applyFont="1" applyFill="1" applyBorder="1" applyAlignment="1">
      <alignment horizontal="left"/>
    </xf>
    <xf numFmtId="165" fontId="11" fillId="0" borderId="9" xfId="3" quotePrefix="1" applyNumberFormat="1" applyFont="1" applyFill="1" applyBorder="1" applyAlignment="1">
      <alignment horizontal="center"/>
    </xf>
    <xf numFmtId="0" fontId="18"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38" fontId="5" fillId="2" borderId="16" xfId="0" applyNumberFormat="1" applyFont="1" applyFill="1" applyBorder="1" applyAlignment="1">
      <alignment horizontal="center"/>
    </xf>
    <xf numFmtId="0" fontId="5" fillId="2" borderId="17" xfId="0" applyFont="1" applyFill="1" applyBorder="1" applyAlignment="1">
      <alignment horizontal="center"/>
    </xf>
    <xf numFmtId="0" fontId="6" fillId="0" borderId="10" xfId="0" applyFont="1" applyFill="1" applyBorder="1"/>
    <xf numFmtId="0" fontId="11" fillId="0" borderId="18" xfId="0" applyFont="1" applyFill="1" applyBorder="1"/>
    <xf numFmtId="1" fontId="6" fillId="0" borderId="18" xfId="3" applyNumberFormat="1" applyFont="1" applyFill="1" applyBorder="1" applyAlignment="1">
      <alignment horizontal="center"/>
    </xf>
    <xf numFmtId="40" fontId="5" fillId="3" borderId="11" xfId="0" applyNumberFormat="1" applyFont="1" applyFill="1" applyBorder="1" applyAlignment="1">
      <alignment horizontal="center"/>
    </xf>
    <xf numFmtId="9" fontId="6" fillId="0" borderId="7" xfId="3" quotePrefix="1" applyNumberFormat="1" applyFont="1" applyFill="1" applyBorder="1" applyAlignment="1">
      <alignment horizontal="center"/>
    </xf>
    <xf numFmtId="40" fontId="5" fillId="3" borderId="8" xfId="0" applyNumberFormat="1" applyFont="1" applyFill="1" applyBorder="1" applyAlignment="1">
      <alignment horizontal="center"/>
    </xf>
    <xf numFmtId="0" fontId="6" fillId="0" borderId="19" xfId="0" applyFont="1" applyFill="1" applyBorder="1" applyAlignment="1">
      <alignment horizontal="left"/>
    </xf>
    <xf numFmtId="0" fontId="11" fillId="0" borderId="20" xfId="0" applyFont="1" applyFill="1" applyBorder="1" applyAlignment="1">
      <alignment horizontal="left"/>
    </xf>
    <xf numFmtId="9" fontId="6" fillId="0" borderId="20" xfId="3" quotePrefix="1" applyNumberFormat="1" applyFont="1" applyFill="1" applyBorder="1" applyAlignment="1">
      <alignment horizontal="center"/>
    </xf>
    <xf numFmtId="0" fontId="6" fillId="0" borderId="21" xfId="0" quotePrefix="1" applyFont="1" applyFill="1" applyBorder="1" applyAlignment="1">
      <alignment horizontal="left"/>
    </xf>
    <xf numFmtId="0" fontId="11" fillId="0" borderId="22" xfId="0" applyFont="1" applyFill="1" applyBorder="1" applyAlignment="1">
      <alignment horizontal="left"/>
    </xf>
    <xf numFmtId="9" fontId="6" fillId="0" borderId="22" xfId="3" quotePrefix="1" applyNumberFormat="1" applyFont="1" applyFill="1" applyBorder="1" applyAlignment="1">
      <alignment horizontal="center"/>
    </xf>
    <xf numFmtId="0" fontId="6" fillId="0" borderId="6" xfId="0" quotePrefix="1" applyFont="1" applyFill="1" applyBorder="1" applyAlignment="1">
      <alignment horizontal="left"/>
    </xf>
    <xf numFmtId="0" fontId="6" fillId="0" borderId="12" xfId="0" quotePrefix="1" applyFont="1" applyFill="1" applyBorder="1" applyAlignment="1">
      <alignment horizontal="left"/>
    </xf>
    <xf numFmtId="0" fontId="11" fillId="0" borderId="9" xfId="0" applyFont="1" applyFill="1" applyBorder="1" applyAlignment="1">
      <alignment horizontal="left"/>
    </xf>
    <xf numFmtId="9" fontId="6" fillId="0" borderId="9" xfId="3" quotePrefix="1" applyNumberFormat="1" applyFont="1" applyFill="1" applyBorder="1" applyAlignment="1">
      <alignment horizontal="center"/>
    </xf>
    <xf numFmtId="0" fontId="5" fillId="4" borderId="23" xfId="0" applyFont="1" applyFill="1" applyBorder="1" applyAlignment="1">
      <alignment horizontal="center"/>
    </xf>
    <xf numFmtId="0" fontId="11" fillId="0" borderId="24" xfId="0" applyFont="1" applyFill="1" applyBorder="1" applyAlignment="1">
      <alignment horizontal="left"/>
    </xf>
    <xf numFmtId="38" fontId="17" fillId="3" borderId="25" xfId="0" applyNumberFormat="1" applyFont="1" applyFill="1" applyBorder="1" applyAlignment="1">
      <alignment horizontal="center"/>
    </xf>
    <xf numFmtId="0" fontId="11" fillId="0" borderId="9" xfId="0" applyFont="1" applyFill="1" applyBorder="1"/>
    <xf numFmtId="38" fontId="5" fillId="4" borderId="26" xfId="0" applyNumberFormat="1" applyFont="1" applyFill="1" applyBorder="1" applyAlignment="1">
      <alignment horizontal="center"/>
    </xf>
    <xf numFmtId="0" fontId="18" fillId="2" borderId="27" xfId="0" applyFont="1" applyFill="1" applyBorder="1" applyAlignment="1">
      <alignment horizontal="center"/>
    </xf>
    <xf numFmtId="0" fontId="11" fillId="0" borderId="0" xfId="0" applyFont="1" applyFill="1"/>
    <xf numFmtId="38" fontId="6" fillId="0" borderId="0" xfId="0" applyNumberFormat="1" applyFont="1" applyFill="1" applyAlignment="1">
      <alignment horizontal="center"/>
    </xf>
    <xf numFmtId="0" fontId="6" fillId="0" borderId="10" xfId="0" applyFont="1" applyFill="1" applyBorder="1" applyAlignment="1">
      <alignment horizontal="left"/>
    </xf>
    <xf numFmtId="167" fontId="6" fillId="0" borderId="24" xfId="3" applyNumberFormat="1" applyFont="1" applyFill="1" applyBorder="1" applyAlignment="1">
      <alignment horizontal="center"/>
    </xf>
    <xf numFmtId="38" fontId="5" fillId="3" borderId="11" xfId="0" applyNumberFormat="1" applyFont="1" applyFill="1" applyBorder="1" applyAlignment="1">
      <alignment horizontal="center"/>
    </xf>
    <xf numFmtId="167" fontId="6" fillId="0" borderId="22" xfId="3" quotePrefix="1" applyNumberFormat="1" applyFont="1" applyFill="1" applyBorder="1" applyAlignment="1">
      <alignment horizontal="center"/>
    </xf>
    <xf numFmtId="38" fontId="5" fillId="3" borderId="28" xfId="0" applyNumberFormat="1" applyFont="1" applyFill="1" applyBorder="1" applyAlignment="1">
      <alignment horizontal="center"/>
    </xf>
    <xf numFmtId="167" fontId="6" fillId="0" borderId="7" xfId="3" quotePrefix="1" applyNumberFormat="1" applyFont="1" applyFill="1" applyBorder="1" applyAlignment="1">
      <alignment horizontal="center"/>
    </xf>
    <xf numFmtId="0" fontId="6" fillId="0" borderId="12" xfId="0" applyFont="1" applyFill="1" applyBorder="1" applyAlignment="1">
      <alignment horizontal="left"/>
    </xf>
    <xf numFmtId="167" fontId="6" fillId="0" borderId="9" xfId="3" quotePrefix="1" applyNumberFormat="1" applyFont="1" applyFill="1" applyBorder="1" applyAlignment="1">
      <alignment horizontal="center"/>
    </xf>
    <xf numFmtId="38" fontId="5" fillId="3" borderId="13" xfId="0" applyNumberFormat="1" applyFont="1" applyFill="1" applyBorder="1" applyAlignment="1">
      <alignment horizontal="center"/>
    </xf>
    <xf numFmtId="2" fontId="6" fillId="0" borderId="0" xfId="0" applyNumberFormat="1" applyFont="1" applyFill="1"/>
    <xf numFmtId="40" fontId="17" fillId="3" borderId="25" xfId="0" applyNumberFormat="1" applyFont="1" applyFill="1" applyBorder="1" applyAlignment="1">
      <alignment horizontal="center"/>
    </xf>
    <xf numFmtId="0" fontId="11" fillId="0" borderId="7" xfId="0" applyFont="1" applyFill="1" applyBorder="1" applyAlignment="1">
      <alignment horizontal="center"/>
    </xf>
    <xf numFmtId="0" fontId="6" fillId="0" borderId="21" xfId="0" applyFont="1" applyFill="1" applyBorder="1"/>
    <xf numFmtId="0" fontId="5" fillId="2" borderId="0" xfId="0" applyFont="1" applyFill="1"/>
    <xf numFmtId="0" fontId="3" fillId="2" borderId="0" xfId="0" applyFont="1" applyFill="1"/>
    <xf numFmtId="165" fontId="3" fillId="2" borderId="0" xfId="3" applyNumberFormat="1" applyFont="1" applyFill="1" applyAlignment="1">
      <alignment horizontal="center"/>
    </xf>
    <xf numFmtId="38" fontId="4" fillId="2" borderId="0" xfId="0" applyNumberFormat="1" applyFont="1" applyFill="1" applyAlignment="1">
      <alignment horizontal="center"/>
    </xf>
    <xf numFmtId="9" fontId="11" fillId="0" borderId="7" xfId="0" applyNumberFormat="1" applyFont="1" applyFill="1" applyBorder="1" applyAlignment="1">
      <alignment horizontal="center"/>
    </xf>
    <xf numFmtId="9" fontId="11" fillId="0" borderId="22" xfId="0" applyNumberFormat="1" applyFont="1" applyFill="1" applyBorder="1" applyAlignment="1">
      <alignment horizontal="center"/>
    </xf>
    <xf numFmtId="10" fontId="6" fillId="0" borderId="13" xfId="3" applyNumberFormat="1" applyFont="1" applyFill="1" applyBorder="1" applyAlignment="1">
      <alignment horizontal="center"/>
    </xf>
    <xf numFmtId="0" fontId="5" fillId="0" borderId="12" xfId="0" applyFont="1" applyFill="1" applyBorder="1"/>
    <xf numFmtId="0" fontId="24" fillId="0" borderId="0" xfId="0" applyFont="1" applyFill="1" applyBorder="1" applyAlignment="1">
      <alignment horizontal="left"/>
    </xf>
    <xf numFmtId="0" fontId="5" fillId="2" borderId="1" xfId="0" applyFont="1" applyFill="1" applyBorder="1" applyAlignment="1">
      <alignment horizontal="center"/>
    </xf>
    <xf numFmtId="0" fontId="5" fillId="2" borderId="29" xfId="0" applyFont="1" applyFill="1" applyBorder="1" applyAlignment="1">
      <alignment horizontal="center"/>
    </xf>
    <xf numFmtId="165" fontId="6" fillId="2" borderId="29" xfId="3" applyNumberFormat="1" applyFont="1" applyFill="1" applyBorder="1" applyAlignment="1">
      <alignment horizontal="center"/>
    </xf>
    <xf numFmtId="38" fontId="5" fillId="2" borderId="30" xfId="0" applyNumberFormat="1" applyFont="1" applyFill="1" applyBorder="1" applyAlignment="1">
      <alignment horizontal="center"/>
    </xf>
    <xf numFmtId="38" fontId="12" fillId="0" borderId="11" xfId="0" applyNumberFormat="1" applyFont="1" applyFill="1" applyBorder="1" applyAlignment="1">
      <alignment horizontal="center"/>
    </xf>
    <xf numFmtId="0" fontId="25" fillId="0" borderId="6" xfId="0" quotePrefix="1" applyFont="1" applyFill="1" applyBorder="1" applyAlignment="1">
      <alignment horizontal="left"/>
    </xf>
    <xf numFmtId="40" fontId="17" fillId="3" borderId="26" xfId="0" applyNumberFormat="1" applyFont="1" applyFill="1" applyBorder="1" applyAlignment="1">
      <alignment horizontal="center"/>
    </xf>
    <xf numFmtId="40" fontId="6" fillId="0" borderId="8" xfId="0" applyNumberFormat="1" applyFont="1" applyFill="1" applyBorder="1" applyAlignment="1">
      <alignment horizontal="center"/>
    </xf>
    <xf numFmtId="40" fontId="5" fillId="4" borderId="8" xfId="0" applyNumberFormat="1" applyFont="1" applyFill="1" applyBorder="1" applyAlignment="1">
      <alignment horizontal="center"/>
    </xf>
    <xf numFmtId="165" fontId="17" fillId="2" borderId="16" xfId="3" applyNumberFormat="1" applyFont="1" applyFill="1" applyBorder="1" applyAlignment="1">
      <alignment horizontal="center"/>
    </xf>
    <xf numFmtId="40" fontId="0" fillId="0" borderId="0" xfId="0" applyNumberFormat="1" applyFill="1" applyAlignment="1">
      <alignment horizontal="center"/>
    </xf>
    <xf numFmtId="40" fontId="6" fillId="0" borderId="25" xfId="3" applyNumberFormat="1" applyFont="1" applyFill="1" applyBorder="1" applyAlignment="1">
      <alignment horizontal="center"/>
    </xf>
    <xf numFmtId="40" fontId="16" fillId="0" borderId="8" xfId="0" applyNumberFormat="1" applyFont="1" applyFill="1" applyBorder="1" applyAlignment="1">
      <alignment horizontal="center"/>
    </xf>
    <xf numFmtId="40" fontId="16" fillId="0" borderId="13" xfId="0" applyNumberFormat="1" applyFont="1" applyFill="1" applyBorder="1" applyAlignment="1">
      <alignment horizontal="center"/>
    </xf>
    <xf numFmtId="40" fontId="5" fillId="0" borderId="0" xfId="0" applyNumberFormat="1" applyFont="1" applyFill="1" applyAlignment="1">
      <alignment horizontal="center"/>
    </xf>
    <xf numFmtId="165" fontId="26" fillId="0" borderId="0" xfId="3" applyNumberFormat="1" applyFont="1" applyFill="1" applyBorder="1" applyAlignment="1">
      <alignment horizontal="center"/>
    </xf>
    <xf numFmtId="38" fontId="12" fillId="0" borderId="31" xfId="0" applyNumberFormat="1" applyFont="1" applyFill="1" applyBorder="1" applyAlignment="1">
      <alignment horizontal="center"/>
    </xf>
    <xf numFmtId="0" fontId="18" fillId="2" borderId="15" xfId="0" applyFont="1" applyFill="1" applyBorder="1" applyAlignment="1">
      <alignment horizontal="center"/>
    </xf>
    <xf numFmtId="0" fontId="27" fillId="2" borderId="16" xfId="0" applyFont="1" applyFill="1" applyBorder="1"/>
    <xf numFmtId="0" fontId="30" fillId="0" borderId="0" xfId="0" applyFont="1" applyFill="1"/>
    <xf numFmtId="165" fontId="30" fillId="0" borderId="0" xfId="3" applyNumberFormat="1" applyFont="1" applyFill="1" applyAlignment="1">
      <alignment horizontal="center"/>
    </xf>
    <xf numFmtId="0" fontId="31" fillId="0" borderId="0" xfId="0" applyFont="1" applyFill="1"/>
    <xf numFmtId="165" fontId="32" fillId="0" borderId="0" xfId="3" applyNumberFormat="1" applyFont="1" applyFill="1" applyBorder="1" applyAlignment="1">
      <alignment horizontal="center"/>
    </xf>
    <xf numFmtId="165" fontId="33" fillId="0" borderId="0" xfId="1" applyNumberFormat="1" applyFont="1" applyFill="1" applyBorder="1" applyAlignment="1" applyProtection="1">
      <alignment horizontal="center"/>
    </xf>
    <xf numFmtId="165" fontId="34" fillId="0" borderId="0" xfId="3" applyNumberFormat="1" applyFont="1" applyFill="1" applyBorder="1" applyAlignment="1" applyProtection="1">
      <alignment horizontal="center"/>
      <protection locked="0"/>
    </xf>
    <xf numFmtId="0" fontId="34" fillId="0" borderId="0" xfId="0" applyFont="1" applyFill="1" applyBorder="1" applyAlignment="1" applyProtection="1">
      <alignment horizontal="center"/>
      <protection locked="0"/>
    </xf>
    <xf numFmtId="0" fontId="35" fillId="0" borderId="0" xfId="0" applyNumberFormat="1" applyFont="1" applyFill="1"/>
    <xf numFmtId="0" fontId="30" fillId="0" borderId="0" xfId="3" applyNumberFormat="1" applyFont="1" applyFill="1" applyAlignment="1">
      <alignment horizontal="center"/>
    </xf>
    <xf numFmtId="0" fontId="35" fillId="0" borderId="7" xfId="0" applyFont="1" applyFill="1" applyBorder="1"/>
    <xf numFmtId="0" fontId="34" fillId="0" borderId="7" xfId="0" quotePrefix="1" applyFont="1" applyFill="1" applyBorder="1" applyAlignment="1">
      <alignment horizontal="right"/>
    </xf>
    <xf numFmtId="0" fontId="34" fillId="0" borderId="7" xfId="0" applyFont="1" applyFill="1" applyBorder="1"/>
    <xf numFmtId="0" fontId="35" fillId="0" borderId="7" xfId="0" applyFont="1" applyFill="1" applyBorder="1" applyAlignment="1">
      <alignment horizontal="left"/>
    </xf>
    <xf numFmtId="0" fontId="34" fillId="0" borderId="7" xfId="0" applyFont="1" applyFill="1" applyBorder="1" applyAlignment="1">
      <alignment horizontal="right"/>
    </xf>
    <xf numFmtId="0" fontId="35" fillId="0" borderId="9" xfId="0" quotePrefix="1" applyFont="1" applyFill="1" applyBorder="1" applyAlignment="1">
      <alignment horizontal="left"/>
    </xf>
    <xf numFmtId="165" fontId="35" fillId="0" borderId="9" xfId="3" quotePrefix="1" applyNumberFormat="1" applyFont="1" applyFill="1" applyBorder="1" applyAlignment="1">
      <alignment horizontal="center"/>
    </xf>
    <xf numFmtId="0" fontId="35" fillId="0" borderId="0" xfId="0" quotePrefix="1" applyFont="1" applyFill="1" applyBorder="1" applyAlignment="1">
      <alignment horizontal="left"/>
    </xf>
    <xf numFmtId="165" fontId="35" fillId="0" borderId="0" xfId="3" quotePrefix="1" applyNumberFormat="1" applyFont="1" applyFill="1" applyBorder="1" applyAlignment="1">
      <alignment horizontal="center"/>
    </xf>
    <xf numFmtId="165" fontId="35" fillId="0" borderId="24" xfId="3" quotePrefix="1" applyNumberFormat="1" applyFont="1" applyFill="1" applyBorder="1" applyAlignment="1">
      <alignment horizontal="center"/>
    </xf>
    <xf numFmtId="165" fontId="35" fillId="0" borderId="7" xfId="3" applyNumberFormat="1" applyFont="1" applyFill="1" applyBorder="1" applyAlignment="1">
      <alignment horizontal="center"/>
    </xf>
    <xf numFmtId="0" fontId="35" fillId="0" borderId="9" xfId="0" applyFont="1" applyFill="1" applyBorder="1"/>
    <xf numFmtId="165" fontId="35" fillId="0" borderId="9" xfId="3" applyNumberFormat="1" applyFont="1" applyFill="1" applyBorder="1" applyAlignment="1">
      <alignment horizontal="center"/>
    </xf>
    <xf numFmtId="0" fontId="35" fillId="0" borderId="0" xfId="0" applyFont="1" applyFill="1" applyBorder="1"/>
    <xf numFmtId="165" fontId="35" fillId="0" borderId="0" xfId="3" applyNumberFormat="1" applyFont="1" applyFill="1" applyBorder="1" applyAlignment="1">
      <alignment horizontal="center"/>
    </xf>
    <xf numFmtId="0" fontId="35" fillId="3" borderId="10" xfId="0" applyFont="1" applyFill="1" applyBorder="1" applyAlignment="1">
      <alignment horizontal="center"/>
    </xf>
    <xf numFmtId="0" fontId="35" fillId="0" borderId="0" xfId="0" applyFont="1" applyFill="1"/>
    <xf numFmtId="0" fontId="36" fillId="0" borderId="0" xfId="0" applyFont="1" applyFill="1" applyBorder="1"/>
    <xf numFmtId="165" fontId="36" fillId="0" borderId="0" xfId="3" applyNumberFormat="1" applyFont="1" applyFill="1" applyBorder="1" applyAlignment="1">
      <alignment horizontal="center"/>
    </xf>
    <xf numFmtId="165" fontId="37" fillId="0" borderId="0" xfId="3" applyNumberFormat="1" applyFont="1" applyFill="1" applyAlignment="1">
      <alignment horizontal="center"/>
    </xf>
    <xf numFmtId="38" fontId="6" fillId="0" borderId="0" xfId="0" applyNumberFormat="1" applyFont="1" applyFill="1"/>
    <xf numFmtId="38" fontId="7" fillId="0" borderId="0" xfId="0" applyNumberFormat="1" applyFont="1" applyFill="1" applyAlignment="1">
      <alignment horizontal="center"/>
    </xf>
    <xf numFmtId="0" fontId="5" fillId="5" borderId="27" xfId="0" applyFont="1" applyFill="1" applyBorder="1" applyAlignment="1">
      <alignment horizontal="center"/>
    </xf>
    <xf numFmtId="0" fontId="8" fillId="0" borderId="0" xfId="0" applyFont="1" applyFill="1" applyBorder="1" applyAlignment="1">
      <alignment horizontal="center"/>
    </xf>
    <xf numFmtId="0" fontId="17" fillId="0" borderId="6" xfId="0" quotePrefix="1" applyFont="1" applyFill="1" applyBorder="1" applyAlignment="1">
      <alignment horizontal="center"/>
    </xf>
    <xf numFmtId="38" fontId="7" fillId="0" borderId="0" xfId="0" applyNumberFormat="1" applyFont="1" applyFill="1" applyBorder="1" applyAlignment="1">
      <alignment horizontal="center"/>
    </xf>
    <xf numFmtId="2" fontId="0" fillId="0" borderId="0" xfId="0" applyNumberFormat="1" applyFill="1"/>
    <xf numFmtId="164" fontId="6" fillId="0" borderId="0" xfId="2" applyNumberFormat="1" applyFont="1" applyFill="1"/>
    <xf numFmtId="164" fontId="35" fillId="3" borderId="33" xfId="2" applyFont="1" applyFill="1" applyBorder="1" applyAlignment="1">
      <alignment horizontal="center"/>
    </xf>
    <xf numFmtId="0" fontId="35" fillId="3" borderId="33" xfId="0" applyFont="1" applyFill="1" applyBorder="1" applyAlignment="1">
      <alignment horizontal="center"/>
    </xf>
    <xf numFmtId="165" fontId="38" fillId="0" borderId="0" xfId="3" applyNumberFormat="1" applyFont="1" applyFill="1" applyBorder="1" applyAlignment="1" applyProtection="1">
      <alignment horizontal="center"/>
      <protection locked="0"/>
    </xf>
    <xf numFmtId="0" fontId="4" fillId="0" borderId="0" xfId="0" applyFont="1" applyFill="1"/>
    <xf numFmtId="0" fontId="4" fillId="0" borderId="0" xfId="0" applyFont="1" applyFill="1" applyAlignment="1">
      <alignment horizontal="center"/>
    </xf>
    <xf numFmtId="164" fontId="4" fillId="0" borderId="0" xfId="2" applyFont="1" applyFill="1" applyAlignment="1">
      <alignment horizontal="center"/>
    </xf>
    <xf numFmtId="169" fontId="4" fillId="0" borderId="0" xfId="2" applyNumberFormat="1" applyFont="1" applyFill="1" applyAlignment="1">
      <alignment horizontal="center"/>
    </xf>
    <xf numFmtId="0" fontId="6" fillId="2" borderId="2" xfId="0" applyFont="1" applyFill="1" applyBorder="1"/>
    <xf numFmtId="169" fontId="4" fillId="0" borderId="0" xfId="2" applyNumberFormat="1" applyFont="1" applyFill="1" applyAlignment="1">
      <alignment horizontal="left"/>
    </xf>
    <xf numFmtId="0" fontId="16" fillId="0" borderId="0" xfId="0" applyFont="1" applyFill="1" applyBorder="1"/>
    <xf numFmtId="0" fontId="13" fillId="0" borderId="0" xfId="0" applyFont="1" applyFill="1" applyBorder="1" applyAlignment="1">
      <alignment horizontal="center"/>
    </xf>
    <xf numFmtId="40" fontId="8" fillId="0" borderId="0" xfId="0" applyNumberFormat="1" applyFont="1" applyFill="1" applyBorder="1" applyAlignment="1">
      <alignment horizontal="center"/>
    </xf>
    <xf numFmtId="38" fontId="12" fillId="0" borderId="13" xfId="0" applyNumberFormat="1" applyFont="1" applyFill="1" applyBorder="1" applyAlignment="1">
      <alignment horizontal="center"/>
    </xf>
    <xf numFmtId="0" fontId="4" fillId="0" borderId="0" xfId="0" applyNumberFormat="1" applyFont="1" applyFill="1"/>
    <xf numFmtId="0" fontId="4" fillId="0" borderId="0" xfId="0" applyNumberFormat="1" applyFont="1" applyFill="1" applyAlignment="1">
      <alignment horizontal="center"/>
    </xf>
    <xf numFmtId="0" fontId="16" fillId="0" borderId="0" xfId="0" applyFont="1" applyFill="1"/>
    <xf numFmtId="0" fontId="16" fillId="0" borderId="0" xfId="0" applyFont="1" applyFill="1" applyAlignment="1">
      <alignment horizontal="center"/>
    </xf>
    <xf numFmtId="0" fontId="13" fillId="0" borderId="32" xfId="0" applyFont="1" applyFill="1" applyBorder="1" applyAlignment="1">
      <alignment horizontal="center"/>
    </xf>
    <xf numFmtId="165" fontId="16" fillId="0" borderId="7" xfId="3" applyNumberFormat="1" applyFont="1" applyFill="1" applyBorder="1" applyAlignment="1">
      <alignment horizontal="center"/>
    </xf>
    <xf numFmtId="40" fontId="16" fillId="0" borderId="0" xfId="0" applyNumberFormat="1" applyFont="1" applyFill="1" applyAlignment="1">
      <alignment horizontal="center"/>
    </xf>
    <xf numFmtId="165" fontId="13" fillId="0" borderId="7" xfId="3" quotePrefix="1" applyNumberFormat="1" applyFont="1" applyFill="1" applyBorder="1" applyAlignment="1">
      <alignment horizontal="center"/>
    </xf>
    <xf numFmtId="0" fontId="13" fillId="0" borderId="0" xfId="0" applyFont="1" applyFill="1" applyAlignment="1">
      <alignment horizontal="center"/>
    </xf>
    <xf numFmtId="0" fontId="13" fillId="0" borderId="6" xfId="0" applyFont="1" applyFill="1" applyBorder="1"/>
    <xf numFmtId="165" fontId="13" fillId="0" borderId="7" xfId="3" applyNumberFormat="1" applyFont="1" applyFill="1" applyBorder="1" applyAlignment="1">
      <alignment horizontal="center"/>
    </xf>
    <xf numFmtId="170" fontId="16" fillId="0" borderId="0" xfId="0" applyNumberFormat="1" applyFont="1" applyFill="1" applyAlignment="1">
      <alignment horizontal="center"/>
    </xf>
    <xf numFmtId="0" fontId="17" fillId="0" borderId="6" xfId="0" applyFont="1" applyFill="1" applyBorder="1" applyAlignment="1">
      <alignment horizontal="center"/>
    </xf>
    <xf numFmtId="0" fontId="16" fillId="0" borderId="6" xfId="0" applyFont="1" applyFill="1" applyBorder="1"/>
    <xf numFmtId="38" fontId="16" fillId="0" borderId="0" xfId="0" applyNumberFormat="1" applyFont="1" applyFill="1" applyAlignment="1">
      <alignment horizontal="center"/>
    </xf>
    <xf numFmtId="0" fontId="16" fillId="0" borderId="6" xfId="0" applyFont="1" applyFill="1" applyBorder="1" applyAlignment="1">
      <alignment horizontal="left"/>
    </xf>
    <xf numFmtId="10" fontId="16" fillId="0" borderId="7" xfId="3" quotePrefix="1" applyNumberFormat="1" applyFont="1" applyFill="1" applyBorder="1" applyAlignment="1">
      <alignment horizontal="center"/>
    </xf>
    <xf numFmtId="165" fontId="16" fillId="0" borderId="25" xfId="3" applyNumberFormat="1" applyFont="1" applyFill="1" applyBorder="1"/>
    <xf numFmtId="168" fontId="13" fillId="0" borderId="0" xfId="0" applyNumberFormat="1" applyFont="1" applyFill="1" applyAlignment="1">
      <alignment horizontal="center"/>
    </xf>
    <xf numFmtId="0" fontId="13" fillId="0" borderId="0" xfId="0" quotePrefix="1" applyFont="1" applyFill="1" applyBorder="1" applyAlignment="1">
      <alignment horizontal="center"/>
    </xf>
    <xf numFmtId="38" fontId="13" fillId="0" borderId="0" xfId="0" applyNumberFormat="1" applyFont="1" applyFill="1" applyBorder="1" applyAlignment="1">
      <alignment horizontal="center"/>
    </xf>
    <xf numFmtId="0" fontId="16" fillId="0" borderId="24" xfId="0" quotePrefix="1" applyFont="1" applyFill="1" applyBorder="1" applyAlignment="1">
      <alignment horizontal="left"/>
    </xf>
    <xf numFmtId="38" fontId="5" fillId="4" borderId="11" xfId="0" applyNumberFormat="1" applyFont="1" applyFill="1" applyBorder="1" applyAlignment="1">
      <alignment horizontal="center"/>
    </xf>
    <xf numFmtId="0" fontId="6" fillId="0" borderId="12" xfId="0" applyFont="1" applyFill="1" applyBorder="1"/>
    <xf numFmtId="0" fontId="16" fillId="0" borderId="6" xfId="0" applyFont="1" applyFill="1" applyBorder="1" applyAlignment="1">
      <alignment horizontal="center"/>
    </xf>
    <xf numFmtId="164" fontId="17" fillId="3" borderId="25" xfId="2" applyFont="1" applyFill="1" applyBorder="1" applyAlignment="1">
      <alignment horizontal="center"/>
    </xf>
    <xf numFmtId="0" fontId="16" fillId="0" borderId="19" xfId="0" applyFont="1" applyFill="1" applyBorder="1" applyAlignment="1">
      <alignment horizontal="center"/>
    </xf>
    <xf numFmtId="0" fontId="16" fillId="0" borderId="12" xfId="0" applyFont="1" applyFill="1" applyBorder="1" applyAlignment="1">
      <alignment horizontal="center"/>
    </xf>
    <xf numFmtId="164" fontId="17" fillId="3" borderId="26" xfId="2" applyFont="1" applyFill="1" applyBorder="1" applyAlignment="1">
      <alignment horizontal="center"/>
    </xf>
    <xf numFmtId="38" fontId="13" fillId="0" borderId="11" xfId="0" applyNumberFormat="1" applyFont="1" applyFill="1" applyBorder="1" applyAlignment="1">
      <alignment horizontal="center"/>
    </xf>
    <xf numFmtId="38" fontId="5" fillId="3" borderId="5" xfId="0" applyNumberFormat="1" applyFont="1" applyFill="1" applyBorder="1" applyAlignment="1">
      <alignment horizontal="center"/>
    </xf>
    <xf numFmtId="0" fontId="6" fillId="0" borderId="9" xfId="0" applyFont="1" applyFill="1" applyBorder="1" applyAlignment="1">
      <alignment horizontal="center"/>
    </xf>
    <xf numFmtId="167" fontId="16" fillId="0" borderId="0" xfId="3" applyNumberFormat="1" applyFont="1" applyFill="1" applyBorder="1" applyAlignment="1">
      <alignment horizontal="center"/>
    </xf>
    <xf numFmtId="169" fontId="11" fillId="0" borderId="24" xfId="2" quotePrefix="1" applyNumberFormat="1" applyFont="1" applyFill="1" applyBorder="1" applyAlignment="1">
      <alignment horizontal="left"/>
    </xf>
    <xf numFmtId="38" fontId="13" fillId="3" borderId="11" xfId="0" applyNumberFormat="1" applyFont="1" applyFill="1" applyBorder="1" applyAlignment="1">
      <alignment horizontal="center"/>
    </xf>
    <xf numFmtId="169" fontId="11" fillId="0" borderId="22" xfId="2" quotePrefix="1" applyNumberFormat="1" applyFont="1" applyFill="1" applyBorder="1" applyAlignment="1">
      <alignment horizontal="left"/>
    </xf>
    <xf numFmtId="38" fontId="13" fillId="3" borderId="28" xfId="0" applyNumberFormat="1" applyFont="1" applyFill="1" applyBorder="1" applyAlignment="1">
      <alignment horizontal="center"/>
    </xf>
    <xf numFmtId="169" fontId="11" fillId="0" borderId="7" xfId="2" quotePrefix="1" applyNumberFormat="1" applyFont="1" applyFill="1" applyBorder="1" applyAlignment="1">
      <alignment horizontal="left"/>
    </xf>
    <xf numFmtId="38" fontId="13" fillId="3" borderId="8" xfId="0" applyNumberFormat="1" applyFont="1" applyFill="1" applyBorder="1" applyAlignment="1">
      <alignment horizontal="center"/>
    </xf>
    <xf numFmtId="169" fontId="11" fillId="0" borderId="9" xfId="2" quotePrefix="1" applyNumberFormat="1" applyFont="1" applyFill="1" applyBorder="1" applyAlignment="1">
      <alignment horizontal="left"/>
    </xf>
    <xf numFmtId="38" fontId="13" fillId="3" borderId="13" xfId="0" applyNumberFormat="1" applyFont="1" applyFill="1" applyBorder="1" applyAlignment="1">
      <alignment horizontal="center"/>
    </xf>
    <xf numFmtId="0" fontId="4" fillId="0" borderId="0" xfId="0" applyFont="1" applyFill="1" applyBorder="1"/>
    <xf numFmtId="164" fontId="19" fillId="0" borderId="0" xfId="2" applyFont="1" applyFill="1" applyAlignment="1">
      <alignment horizontal="center"/>
    </xf>
    <xf numFmtId="0" fontId="19" fillId="0" borderId="0" xfId="0" applyFont="1" applyFill="1" applyAlignment="1">
      <alignment horizontal="center"/>
    </xf>
    <xf numFmtId="169" fontId="19" fillId="0" borderId="0" xfId="2" applyNumberFormat="1" applyFont="1" applyFill="1" applyAlignment="1">
      <alignment horizontal="center"/>
    </xf>
    <xf numFmtId="38" fontId="19" fillId="0" borderId="0" xfId="0" applyNumberFormat="1" applyFont="1" applyFill="1" applyAlignment="1">
      <alignment horizontal="center"/>
    </xf>
    <xf numFmtId="38" fontId="2" fillId="0" borderId="0" xfId="0" applyNumberFormat="1" applyFont="1" applyFill="1" applyBorder="1" applyAlignment="1">
      <alignment horizontal="center"/>
    </xf>
    <xf numFmtId="40" fontId="2" fillId="0" borderId="0" xfId="0" applyNumberFormat="1" applyFont="1" applyFill="1" applyBorder="1" applyAlignment="1">
      <alignment horizontal="center"/>
    </xf>
    <xf numFmtId="40" fontId="39" fillId="3" borderId="11" xfId="0" applyNumberFormat="1" applyFont="1" applyFill="1" applyBorder="1" applyAlignment="1">
      <alignment horizontal="center"/>
    </xf>
    <xf numFmtId="40" fontId="39" fillId="3" borderId="8" xfId="0" applyNumberFormat="1" applyFont="1" applyFill="1" applyBorder="1" applyAlignment="1">
      <alignment horizontal="center"/>
    </xf>
    <xf numFmtId="40" fontId="39" fillId="3" borderId="25" xfId="0" applyNumberFormat="1" applyFont="1" applyFill="1" applyBorder="1" applyAlignment="1">
      <alignment horizontal="center"/>
    </xf>
    <xf numFmtId="40" fontId="39" fillId="3" borderId="26" xfId="0" applyNumberFormat="1" applyFont="1" applyFill="1" applyBorder="1" applyAlignment="1">
      <alignment horizontal="center"/>
    </xf>
    <xf numFmtId="38" fontId="5" fillId="3" borderId="25" xfId="0" applyNumberFormat="1" applyFont="1" applyFill="1" applyBorder="1" applyAlignment="1">
      <alignment horizontal="center"/>
    </xf>
    <xf numFmtId="169" fontId="6" fillId="0" borderId="24" xfId="2" quotePrefix="1" applyNumberFormat="1" applyFont="1" applyFill="1" applyBorder="1" applyAlignment="1">
      <alignment horizontal="left"/>
    </xf>
    <xf numFmtId="169" fontId="6" fillId="0" borderId="22" xfId="2" quotePrefix="1" applyNumberFormat="1" applyFont="1" applyFill="1" applyBorder="1" applyAlignment="1">
      <alignment horizontal="left"/>
    </xf>
    <xf numFmtId="169" fontId="6" fillId="0" borderId="7" xfId="2" quotePrefix="1" applyNumberFormat="1" applyFont="1" applyFill="1" applyBorder="1" applyAlignment="1">
      <alignment horizontal="left"/>
    </xf>
    <xf numFmtId="169" fontId="6" fillId="0" borderId="9" xfId="2" quotePrefix="1" applyNumberFormat="1" applyFont="1" applyFill="1" applyBorder="1" applyAlignment="1">
      <alignment horizontal="left"/>
    </xf>
    <xf numFmtId="9" fontId="6" fillId="0" borderId="7" xfId="0" applyNumberFormat="1" applyFont="1" applyFill="1" applyBorder="1" applyAlignment="1">
      <alignment horizontal="center"/>
    </xf>
    <xf numFmtId="9" fontId="6" fillId="0" borderId="22" xfId="0" applyNumberFormat="1" applyFont="1" applyFill="1" applyBorder="1" applyAlignment="1">
      <alignment horizontal="center"/>
    </xf>
    <xf numFmtId="165" fontId="12" fillId="0" borderId="4" xfId="3" applyNumberFormat="1" applyFont="1" applyFill="1" applyBorder="1" applyAlignment="1" applyProtection="1">
      <alignment horizontal="center"/>
      <protection locked="0"/>
    </xf>
    <xf numFmtId="0" fontId="46" fillId="0" borderId="0" xfId="0" applyFont="1" applyFill="1"/>
    <xf numFmtId="0" fontId="47" fillId="0" borderId="0" xfId="0" applyFont="1" applyFill="1"/>
    <xf numFmtId="165" fontId="47" fillId="0" borderId="0" xfId="3" applyNumberFormat="1" applyFont="1" applyFill="1" applyAlignment="1">
      <alignment horizontal="center"/>
    </xf>
    <xf numFmtId="38" fontId="46" fillId="0" borderId="0" xfId="0" applyNumberFormat="1" applyFont="1" applyFill="1" applyAlignment="1">
      <alignment horizontal="center"/>
    </xf>
    <xf numFmtId="0" fontId="47" fillId="2" borderId="0" xfId="0" applyFont="1" applyFill="1"/>
    <xf numFmtId="165" fontId="47" fillId="2" borderId="0" xfId="3" applyNumberFormat="1" applyFont="1" applyFill="1" applyAlignment="1">
      <alignment horizontal="center"/>
    </xf>
    <xf numFmtId="38" fontId="46" fillId="2" borderId="0" xfId="0" applyNumberFormat="1" applyFont="1" applyFill="1" applyAlignment="1">
      <alignment horizontal="center"/>
    </xf>
    <xf numFmtId="0" fontId="48" fillId="0" borderId="0" xfId="0" applyFont="1" applyFill="1"/>
    <xf numFmtId="164" fontId="46" fillId="0" borderId="0" xfId="2" applyFont="1" applyFill="1" applyAlignment="1">
      <alignment horizontal="center"/>
    </xf>
    <xf numFmtId="169" fontId="46" fillId="0" borderId="0" xfId="2" applyNumberFormat="1" applyFont="1" applyFill="1" applyAlignment="1">
      <alignment horizontal="center"/>
    </xf>
    <xf numFmtId="169" fontId="46" fillId="0" borderId="0" xfId="2" applyNumberFormat="1" applyFont="1" applyFill="1" applyAlignment="1">
      <alignment horizontal="left"/>
    </xf>
    <xf numFmtId="2" fontId="46" fillId="0" borderId="0" xfId="0" applyNumberFormat="1" applyFont="1" applyFill="1"/>
    <xf numFmtId="166" fontId="49" fillId="0" borderId="0" xfId="3" applyNumberFormat="1" applyFont="1" applyFill="1"/>
    <xf numFmtId="0" fontId="50" fillId="0" borderId="0" xfId="0" applyFont="1" applyFill="1" applyBorder="1"/>
    <xf numFmtId="0" fontId="51" fillId="0" borderId="0" xfId="0" applyFont="1" applyFill="1" applyBorder="1" applyAlignment="1">
      <alignment horizontal="center"/>
    </xf>
    <xf numFmtId="0" fontId="52" fillId="0" borderId="0" xfId="0" applyFont="1" applyFill="1" applyBorder="1" applyAlignment="1">
      <alignment horizontal="center"/>
    </xf>
    <xf numFmtId="165" fontId="53" fillId="0" borderId="0" xfId="3" applyNumberFormat="1" applyFont="1" applyFill="1" applyBorder="1" applyAlignment="1">
      <alignment horizontal="center"/>
    </xf>
    <xf numFmtId="38" fontId="52" fillId="0" borderId="0" xfId="0" applyNumberFormat="1" applyFont="1" applyFill="1" applyBorder="1" applyAlignment="1">
      <alignment horizontal="center"/>
    </xf>
    <xf numFmtId="165" fontId="54" fillId="0" borderId="0" xfId="1" applyNumberFormat="1" applyFont="1" applyFill="1" applyBorder="1" applyAlignment="1" applyProtection="1">
      <alignment horizontal="center"/>
    </xf>
    <xf numFmtId="40" fontId="52" fillId="0" borderId="0" xfId="0" applyNumberFormat="1" applyFont="1" applyFill="1" applyBorder="1" applyAlignment="1">
      <alignment horizontal="center"/>
    </xf>
    <xf numFmtId="0" fontId="46" fillId="0" borderId="0" xfId="0" applyFont="1" applyFill="1" applyBorder="1"/>
    <xf numFmtId="38" fontId="51" fillId="0" borderId="13" xfId="0" applyNumberFormat="1" applyFont="1" applyFill="1" applyBorder="1" applyAlignment="1">
      <alignment horizontal="center"/>
    </xf>
    <xf numFmtId="0" fontId="55" fillId="0" borderId="0" xfId="0" applyFont="1" applyFill="1" applyBorder="1" applyAlignment="1" applyProtection="1">
      <alignment horizontal="center"/>
      <protection locked="0"/>
    </xf>
    <xf numFmtId="40" fontId="46" fillId="0" borderId="0" xfId="0" applyNumberFormat="1" applyFont="1" applyFill="1"/>
    <xf numFmtId="0" fontId="50" fillId="0" borderId="0" xfId="0" applyFont="1" applyFill="1"/>
    <xf numFmtId="0" fontId="46" fillId="0" borderId="0" xfId="0" applyNumberFormat="1" applyFont="1" applyFill="1"/>
    <xf numFmtId="0" fontId="56" fillId="0" borderId="0" xfId="0" applyNumberFormat="1" applyFont="1" applyFill="1"/>
    <xf numFmtId="0" fontId="47" fillId="0" borderId="0" xfId="3" applyNumberFormat="1" applyFont="1" applyFill="1" applyAlignment="1">
      <alignment horizontal="center"/>
    </xf>
    <xf numFmtId="40" fontId="50" fillId="0" borderId="0" xfId="0" applyNumberFormat="1" applyFont="1" applyFill="1"/>
    <xf numFmtId="0" fontId="51" fillId="0" borderId="32" xfId="0" applyFont="1" applyFill="1" applyBorder="1" applyAlignment="1">
      <alignment horizontal="center"/>
    </xf>
    <xf numFmtId="38" fontId="51" fillId="0" borderId="5" xfId="0" applyNumberFormat="1" applyFont="1" applyFill="1" applyBorder="1" applyAlignment="1">
      <alignment horizontal="center"/>
    </xf>
    <xf numFmtId="0" fontId="57" fillId="0" borderId="6" xfId="0" quotePrefix="1" applyFont="1" applyFill="1" applyBorder="1" applyAlignment="1">
      <alignment horizontal="left"/>
    </xf>
    <xf numFmtId="0" fontId="58" fillId="0" borderId="7" xfId="0" quotePrefix="1" applyFont="1" applyFill="1" applyBorder="1" applyAlignment="1">
      <alignment horizontal="left"/>
    </xf>
    <xf numFmtId="165" fontId="57" fillId="0" borderId="7" xfId="3" quotePrefix="1" applyNumberFormat="1" applyFont="1" applyFill="1" applyBorder="1" applyAlignment="1">
      <alignment horizontal="center"/>
    </xf>
    <xf numFmtId="38" fontId="50" fillId="0" borderId="8" xfId="0" applyNumberFormat="1" applyFont="1" applyFill="1" applyBorder="1" applyAlignment="1">
      <alignment horizontal="center"/>
    </xf>
    <xf numFmtId="0" fontId="50" fillId="0" borderId="6" xfId="0" applyFont="1" applyFill="1" applyBorder="1"/>
    <xf numFmtId="0" fontId="56" fillId="0" borderId="7" xfId="0" applyFont="1" applyFill="1" applyBorder="1"/>
    <xf numFmtId="165" fontId="50" fillId="0" borderId="7" xfId="3" applyNumberFormat="1" applyFont="1" applyFill="1" applyBorder="1" applyAlignment="1">
      <alignment horizontal="center"/>
    </xf>
    <xf numFmtId="38" fontId="51" fillId="0" borderId="8" xfId="0" applyNumberFormat="1" applyFont="1" applyFill="1" applyBorder="1" applyAlignment="1">
      <alignment horizontal="center"/>
    </xf>
    <xf numFmtId="164" fontId="50" fillId="0" borderId="0" xfId="2" applyNumberFormat="1" applyFont="1" applyFill="1"/>
    <xf numFmtId="0" fontId="55" fillId="0" borderId="7" xfId="0" quotePrefix="1" applyFont="1" applyFill="1" applyBorder="1" applyAlignment="1">
      <alignment horizontal="right"/>
    </xf>
    <xf numFmtId="165" fontId="51" fillId="0" borderId="7" xfId="3" quotePrefix="1" applyNumberFormat="1" applyFont="1" applyFill="1" applyBorder="1" applyAlignment="1">
      <alignment horizontal="center"/>
    </xf>
    <xf numFmtId="0" fontId="51" fillId="0" borderId="6" xfId="0" applyFont="1" applyFill="1" applyBorder="1"/>
    <xf numFmtId="0" fontId="55" fillId="0" borderId="7" xfId="0" applyFont="1" applyFill="1" applyBorder="1"/>
    <xf numFmtId="165" fontId="51" fillId="0" borderId="7" xfId="3" applyNumberFormat="1" applyFont="1" applyFill="1" applyBorder="1" applyAlignment="1">
      <alignment horizontal="center"/>
    </xf>
    <xf numFmtId="0" fontId="59" fillId="0" borderId="6" xfId="0" quotePrefix="1" applyFont="1" applyFill="1" applyBorder="1" applyAlignment="1">
      <alignment horizontal="left"/>
    </xf>
    <xf numFmtId="0" fontId="56" fillId="0" borderId="7" xfId="0" applyFont="1" applyFill="1" applyBorder="1" applyAlignment="1">
      <alignment horizontal="left"/>
    </xf>
    <xf numFmtId="0" fontId="55" fillId="0" borderId="7" xfId="0" applyFont="1" applyFill="1" applyBorder="1" applyAlignment="1">
      <alignment horizontal="right"/>
    </xf>
    <xf numFmtId="0" fontId="50" fillId="0" borderId="6" xfId="0" applyFont="1" applyFill="1" applyBorder="1" applyAlignment="1">
      <alignment horizontal="left"/>
    </xf>
    <xf numFmtId="0" fontId="56" fillId="0" borderId="0" xfId="0" applyFont="1" applyFill="1" applyBorder="1" applyAlignment="1">
      <alignment horizontal="left"/>
    </xf>
    <xf numFmtId="38" fontId="50" fillId="0" borderId="0" xfId="0" applyNumberFormat="1" applyFont="1" applyFill="1"/>
    <xf numFmtId="40" fontId="51" fillId="0" borderId="0" xfId="0" applyNumberFormat="1" applyFont="1" applyFill="1" applyBorder="1" applyAlignment="1">
      <alignment horizontal="center"/>
    </xf>
    <xf numFmtId="165" fontId="50" fillId="0" borderId="25" xfId="3" applyNumberFormat="1" applyFont="1" applyFill="1" applyBorder="1"/>
    <xf numFmtId="0" fontId="51" fillId="0" borderId="0" xfId="0" quotePrefix="1" applyFont="1" applyFill="1" applyBorder="1" applyAlignment="1">
      <alignment horizontal="center"/>
    </xf>
    <xf numFmtId="0" fontId="56" fillId="0" borderId="0" xfId="0" quotePrefix="1" applyFont="1" applyFill="1" applyBorder="1" applyAlignment="1">
      <alignment horizontal="left"/>
    </xf>
    <xf numFmtId="165" fontId="56" fillId="0" borderId="0" xfId="3" quotePrefix="1" applyNumberFormat="1" applyFont="1" applyFill="1" applyBorder="1" applyAlignment="1">
      <alignment horizontal="center"/>
    </xf>
    <xf numFmtId="38" fontId="51" fillId="0" borderId="0" xfId="0" applyNumberFormat="1" applyFont="1" applyFill="1" applyBorder="1" applyAlignment="1">
      <alignment horizontal="center"/>
    </xf>
    <xf numFmtId="0" fontId="56" fillId="0" borderId="0" xfId="0" applyFont="1" applyFill="1" applyBorder="1"/>
    <xf numFmtId="165" fontId="56" fillId="0" borderId="0" xfId="3" applyNumberFormat="1" applyFont="1" applyFill="1" applyBorder="1" applyAlignment="1">
      <alignment horizontal="center"/>
    </xf>
    <xf numFmtId="2" fontId="50" fillId="0" borderId="0" xfId="0" applyNumberFormat="1" applyFont="1" applyFill="1"/>
    <xf numFmtId="167" fontId="50" fillId="0" borderId="0" xfId="3" applyNumberFormat="1" applyFont="1" applyFill="1" applyBorder="1" applyAlignment="1">
      <alignment horizontal="center"/>
    </xf>
    <xf numFmtId="0" fontId="56" fillId="0" borderId="0" xfId="0" applyFont="1" applyFill="1"/>
    <xf numFmtId="0" fontId="60" fillId="0" borderId="0" xfId="0" applyFont="1" applyFill="1" applyBorder="1"/>
    <xf numFmtId="165" fontId="60" fillId="0" borderId="0" xfId="3" applyNumberFormat="1" applyFont="1" applyFill="1" applyBorder="1" applyAlignment="1">
      <alignment horizontal="center"/>
    </xf>
    <xf numFmtId="165" fontId="61" fillId="0" borderId="0" xfId="3" applyNumberFormat="1" applyFont="1" applyFill="1" applyAlignment="1">
      <alignment horizontal="center"/>
    </xf>
    <xf numFmtId="38" fontId="49" fillId="0" borderId="0" xfId="0" applyNumberFormat="1" applyFont="1" applyFill="1" applyAlignment="1">
      <alignment horizontal="center"/>
    </xf>
    <xf numFmtId="38" fontId="5" fillId="0" borderId="11" xfId="0" applyNumberFormat="1" applyFont="1" applyFill="1" applyBorder="1" applyAlignment="1">
      <alignment horizontal="center"/>
    </xf>
    <xf numFmtId="165" fontId="5" fillId="0" borderId="4" xfId="3" applyNumberFormat="1" applyFont="1" applyFill="1" applyBorder="1" applyAlignment="1" applyProtection="1">
      <alignment horizontal="center"/>
      <protection locked="0"/>
    </xf>
    <xf numFmtId="10" fontId="6" fillId="0" borderId="7" xfId="3" quotePrefix="1" applyNumberFormat="1" applyFont="1" applyFill="1" applyBorder="1" applyAlignment="1">
      <alignment horizontal="center"/>
    </xf>
    <xf numFmtId="0" fontId="6" fillId="0" borderId="24" xfId="0" quotePrefix="1" applyFont="1" applyFill="1" applyBorder="1" applyAlignment="1">
      <alignment horizontal="left"/>
    </xf>
    <xf numFmtId="165" fontId="11" fillId="0" borderId="24" xfId="3" quotePrefix="1" applyNumberFormat="1" applyFont="1" applyFill="1" applyBorder="1" applyAlignment="1">
      <alignment horizontal="center"/>
    </xf>
    <xf numFmtId="165" fontId="11" fillId="0" borderId="7" xfId="3" applyNumberFormat="1" applyFont="1" applyFill="1" applyBorder="1" applyAlignment="1">
      <alignment horizontal="center"/>
    </xf>
    <xf numFmtId="165" fontId="11" fillId="0" borderId="9" xfId="3" applyNumberFormat="1" applyFont="1" applyFill="1" applyBorder="1" applyAlignment="1">
      <alignment horizontal="center"/>
    </xf>
    <xf numFmtId="164" fontId="11" fillId="3" borderId="33" xfId="2" applyFont="1" applyFill="1" applyBorder="1" applyAlignment="1">
      <alignment horizontal="center"/>
    </xf>
    <xf numFmtId="169" fontId="2" fillId="0" borderId="0" xfId="2" applyNumberFormat="1" applyFont="1" applyFill="1" applyAlignment="1">
      <alignment horizontal="center"/>
    </xf>
    <xf numFmtId="169" fontId="51" fillId="0" borderId="0" xfId="2" applyNumberFormat="1" applyFont="1" applyFill="1" applyAlignment="1">
      <alignment horizontal="center"/>
    </xf>
    <xf numFmtId="169" fontId="5" fillId="2" borderId="16" xfId="2" applyNumberFormat="1" applyFont="1" applyFill="1" applyBorder="1" applyAlignment="1">
      <alignment horizontal="center"/>
    </xf>
    <xf numFmtId="169" fontId="11" fillId="3" borderId="10" xfId="2" applyNumberFormat="1" applyFont="1" applyFill="1" applyBorder="1" applyAlignment="1">
      <alignment horizontal="center"/>
    </xf>
    <xf numFmtId="169" fontId="50" fillId="0" borderId="6" xfId="2" applyNumberFormat="1" applyFont="1" applyFill="1" applyBorder="1" applyAlignment="1">
      <alignment horizontal="center"/>
    </xf>
    <xf numFmtId="169" fontId="50" fillId="0" borderId="19" xfId="2" applyNumberFormat="1" applyFont="1" applyFill="1" applyBorder="1" applyAlignment="1">
      <alignment horizontal="center"/>
    </xf>
    <xf numFmtId="169" fontId="6" fillId="0" borderId="6" xfId="2" applyNumberFormat="1" applyFont="1" applyFill="1" applyBorder="1" applyAlignment="1">
      <alignment horizontal="center"/>
    </xf>
    <xf numFmtId="169" fontId="6" fillId="0" borderId="12" xfId="2" applyNumberFormat="1" applyFont="1" applyFill="1" applyBorder="1" applyAlignment="1">
      <alignment horizontal="center"/>
    </xf>
    <xf numFmtId="38" fontId="5" fillId="2" borderId="34" xfId="0" applyNumberFormat="1" applyFont="1" applyFill="1" applyBorder="1" applyAlignment="1">
      <alignment horizontal="center" wrapText="1"/>
    </xf>
    <xf numFmtId="169" fontId="46" fillId="0" borderId="35" xfId="2" applyNumberFormat="1" applyFont="1" applyFill="1" applyBorder="1" applyAlignment="1">
      <alignment horizontal="center"/>
    </xf>
    <xf numFmtId="169" fontId="18" fillId="6" borderId="36" xfId="2" applyNumberFormat="1" applyFont="1" applyFill="1" applyBorder="1" applyAlignment="1">
      <alignment horizontal="center" wrapText="1"/>
    </xf>
    <xf numFmtId="0" fontId="62" fillId="0" borderId="6" xfId="0" applyFont="1" applyFill="1" applyBorder="1" applyAlignment="1">
      <alignment horizontal="left"/>
    </xf>
    <xf numFmtId="165" fontId="27" fillId="0" borderId="0" xfId="3" applyNumberFormat="1" applyFont="1" applyFill="1" applyBorder="1" applyAlignment="1" applyProtection="1">
      <alignment horizontal="center"/>
      <protection locked="0"/>
    </xf>
    <xf numFmtId="165" fontId="17" fillId="0" borderId="0" xfId="3" applyNumberFormat="1" applyFont="1" applyFill="1" applyBorder="1" applyAlignment="1" applyProtection="1">
      <alignment horizontal="center"/>
      <protection locked="0"/>
    </xf>
    <xf numFmtId="0" fontId="17" fillId="0" borderId="0" xfId="0" applyFont="1" applyFill="1" applyBorder="1" applyAlignment="1" applyProtection="1">
      <alignment horizontal="center"/>
      <protection locked="0"/>
    </xf>
    <xf numFmtId="40" fontId="45" fillId="2" borderId="27" xfId="0" applyNumberFormat="1" applyFont="1" applyFill="1" applyBorder="1" applyAlignment="1">
      <alignment horizontal="center" wrapText="1"/>
    </xf>
    <xf numFmtId="38" fontId="5" fillId="4" borderId="37" xfId="0" applyNumberFormat="1" applyFont="1" applyFill="1" applyBorder="1" applyAlignment="1">
      <alignment horizontal="center"/>
    </xf>
    <xf numFmtId="38" fontId="5" fillId="3" borderId="38" xfId="0" applyNumberFormat="1" applyFont="1" applyFill="1" applyBorder="1" applyAlignment="1">
      <alignment horizontal="center"/>
    </xf>
    <xf numFmtId="38" fontId="5" fillId="3" borderId="39" xfId="0" applyNumberFormat="1" applyFont="1" applyFill="1" applyBorder="1" applyAlignment="1">
      <alignment horizontal="center"/>
    </xf>
    <xf numFmtId="40" fontId="6" fillId="0" borderId="40" xfId="0" applyNumberFormat="1" applyFont="1" applyFill="1" applyBorder="1" applyAlignment="1">
      <alignment horizontal="center"/>
    </xf>
    <xf numFmtId="40" fontId="6" fillId="0" borderId="41" xfId="0" applyNumberFormat="1" applyFont="1" applyFill="1" applyBorder="1" applyAlignment="1">
      <alignment horizontal="center"/>
    </xf>
    <xf numFmtId="38" fontId="6" fillId="0" borderId="40" xfId="0" applyNumberFormat="1" applyFont="1" applyFill="1" applyBorder="1" applyAlignment="1">
      <alignment horizontal="center"/>
    </xf>
    <xf numFmtId="40" fontId="5" fillId="7" borderId="42" xfId="0" applyNumberFormat="1" applyFont="1" applyFill="1" applyBorder="1" applyAlignment="1">
      <alignment horizontal="center"/>
    </xf>
    <xf numFmtId="0" fontId="19" fillId="0" borderId="0" xfId="0" applyFont="1" applyFill="1"/>
    <xf numFmtId="0" fontId="46" fillId="0" borderId="0" xfId="0" applyFont="1" applyFill="1" applyAlignment="1">
      <alignment horizontal="center"/>
    </xf>
    <xf numFmtId="165" fontId="63" fillId="0" borderId="0" xfId="3" applyNumberFormat="1" applyFont="1" applyFill="1" applyBorder="1" applyAlignment="1" applyProtection="1">
      <alignment horizontal="center"/>
      <protection locked="0"/>
    </xf>
    <xf numFmtId="165" fontId="55" fillId="0" borderId="0" xfId="3" applyNumberFormat="1" applyFont="1" applyFill="1" applyBorder="1" applyAlignment="1" applyProtection="1">
      <alignment horizontal="center"/>
      <protection locked="0"/>
    </xf>
    <xf numFmtId="38" fontId="5" fillId="0" borderId="13" xfId="0" applyNumberFormat="1" applyFont="1" applyFill="1" applyBorder="1" applyAlignment="1">
      <alignment horizontal="center"/>
    </xf>
    <xf numFmtId="0" fontId="46" fillId="0" borderId="0" xfId="0" applyNumberFormat="1" applyFont="1" applyFill="1" applyAlignment="1">
      <alignment horizontal="center"/>
    </xf>
    <xf numFmtId="0" fontId="50" fillId="0" borderId="0" xfId="0" applyFont="1" applyFill="1" applyAlignment="1">
      <alignment horizontal="center"/>
    </xf>
    <xf numFmtId="40" fontId="50" fillId="0" borderId="0" xfId="0" applyNumberFormat="1" applyFont="1" applyFill="1" applyAlignment="1">
      <alignment horizontal="center"/>
    </xf>
    <xf numFmtId="0" fontId="51" fillId="0" borderId="0" xfId="0" applyFont="1" applyFill="1" applyAlignment="1">
      <alignment horizontal="center"/>
    </xf>
    <xf numFmtId="170" fontId="50" fillId="0" borderId="0" xfId="0" applyNumberFormat="1" applyFont="1" applyFill="1" applyAlignment="1">
      <alignment horizontal="center"/>
    </xf>
    <xf numFmtId="38" fontId="50" fillId="0" borderId="0" xfId="0" applyNumberFormat="1" applyFont="1" applyFill="1" applyAlignment="1">
      <alignment horizontal="center"/>
    </xf>
    <xf numFmtId="168" fontId="51" fillId="0" borderId="0" xfId="0" applyNumberFormat="1" applyFont="1" applyFill="1" applyAlignment="1">
      <alignment horizontal="center"/>
    </xf>
    <xf numFmtId="0" fontId="11" fillId="3" borderId="10" xfId="0" applyFont="1" applyFill="1" applyBorder="1" applyAlignment="1">
      <alignment horizontal="center"/>
    </xf>
    <xf numFmtId="0" fontId="50" fillId="0" borderId="6" xfId="0" applyFont="1" applyFill="1" applyBorder="1" applyAlignment="1">
      <alignment horizontal="center"/>
    </xf>
    <xf numFmtId="0" fontId="50" fillId="0" borderId="19" xfId="0" applyFont="1" applyFill="1" applyBorder="1" applyAlignment="1">
      <alignment horizontal="center"/>
    </xf>
    <xf numFmtId="0" fontId="6" fillId="0" borderId="6" xfId="0" applyFont="1" applyFill="1" applyBorder="1" applyAlignment="1">
      <alignment horizontal="center"/>
    </xf>
    <xf numFmtId="0" fontId="6" fillId="0" borderId="12" xfId="0" applyFont="1" applyFill="1" applyBorder="1" applyAlignment="1">
      <alignment horizontal="center"/>
    </xf>
    <xf numFmtId="38" fontId="5" fillId="0" borderId="8" xfId="0" applyNumberFormat="1" applyFont="1" applyFill="1" applyBorder="1" applyAlignment="1">
      <alignment horizontal="center"/>
    </xf>
    <xf numFmtId="164" fontId="46" fillId="0" borderId="0" xfId="2" applyNumberFormat="1" applyFont="1" applyFill="1" applyAlignment="1">
      <alignment horizontal="center"/>
    </xf>
    <xf numFmtId="164" fontId="52" fillId="0" borderId="0" xfId="2" applyNumberFormat="1" applyFont="1" applyFill="1" applyBorder="1" applyAlignment="1">
      <alignment horizontal="center"/>
    </xf>
    <xf numFmtId="0" fontId="64" fillId="8" borderId="27" xfId="0" applyFont="1" applyFill="1" applyBorder="1" applyAlignment="1">
      <alignment horizontal="center"/>
    </xf>
    <xf numFmtId="171" fontId="46" fillId="0" borderId="0" xfId="2" applyNumberFormat="1" applyFont="1" applyFill="1" applyAlignment="1">
      <alignment horizontal="center"/>
    </xf>
    <xf numFmtId="0" fontId="6" fillId="9" borderId="1" xfId="0" applyFont="1" applyFill="1" applyBorder="1" applyAlignment="1">
      <alignment horizontal="left"/>
    </xf>
    <xf numFmtId="0" fontId="6" fillId="9" borderId="2" xfId="0" applyFont="1" applyFill="1" applyBorder="1"/>
    <xf numFmtId="38" fontId="5" fillId="0" borderId="11" xfId="0" applyNumberFormat="1" applyFont="1" applyFill="1" applyBorder="1" applyAlignment="1" applyProtection="1">
      <alignment horizontal="center"/>
      <protection locked="0"/>
    </xf>
    <xf numFmtId="38" fontId="51" fillId="0" borderId="13" xfId="0" applyNumberFormat="1" applyFont="1" applyFill="1" applyBorder="1" applyAlignment="1" applyProtection="1">
      <alignment horizontal="center"/>
      <protection locked="0"/>
    </xf>
    <xf numFmtId="38" fontId="12" fillId="0" borderId="31" xfId="0" applyNumberFormat="1" applyFont="1" applyFill="1" applyBorder="1" applyAlignment="1" applyProtection="1">
      <alignment horizontal="center"/>
      <protection locked="0"/>
    </xf>
    <xf numFmtId="0" fontId="46" fillId="0" borderId="0" xfId="0" applyFont="1" applyFill="1" applyProtection="1">
      <protection locked="0"/>
    </xf>
    <xf numFmtId="164" fontId="46" fillId="0" borderId="0" xfId="2" applyFont="1" applyFill="1" applyAlignment="1" applyProtection="1">
      <alignment horizontal="center"/>
      <protection locked="0"/>
    </xf>
    <xf numFmtId="2" fontId="4" fillId="0" borderId="0" xfId="3" applyNumberFormat="1" applyFont="1" applyFill="1" applyAlignment="1">
      <alignment horizontal="center"/>
    </xf>
    <xf numFmtId="2" fontId="17" fillId="3" borderId="25" xfId="0" applyNumberFormat="1" applyFont="1" applyFill="1" applyBorder="1" applyAlignment="1">
      <alignment horizontal="center"/>
    </xf>
    <xf numFmtId="2" fontId="17" fillId="3" borderId="26" xfId="0" applyNumberFormat="1" applyFont="1" applyFill="1" applyBorder="1" applyAlignment="1">
      <alignment horizontal="center"/>
    </xf>
    <xf numFmtId="0" fontId="11" fillId="0" borderId="24" xfId="0" quotePrefix="1" applyFont="1" applyFill="1" applyBorder="1" applyAlignment="1">
      <alignment horizontal="center"/>
    </xf>
    <xf numFmtId="0" fontId="11" fillId="0" borderId="22" xfId="0" quotePrefix="1" applyFont="1" applyFill="1" applyBorder="1" applyAlignment="1">
      <alignment horizontal="center"/>
    </xf>
    <xf numFmtId="0" fontId="11" fillId="0" borderId="7" xfId="0" quotePrefix="1" applyFont="1" applyFill="1" applyBorder="1" applyAlignment="1">
      <alignment horizontal="center"/>
    </xf>
    <xf numFmtId="0" fontId="11" fillId="0" borderId="9" xfId="0" quotePrefix="1" applyFont="1" applyFill="1" applyBorder="1" applyAlignment="1">
      <alignment horizontal="center"/>
    </xf>
    <xf numFmtId="164" fontId="65" fillId="0" borderId="0" xfId="2" applyFont="1" applyFill="1" applyAlignment="1">
      <alignment horizontal="center"/>
    </xf>
    <xf numFmtId="41" fontId="50" fillId="0" borderId="0" xfId="4" applyFont="1" applyFill="1"/>
    <xf numFmtId="41" fontId="46" fillId="0" borderId="0" xfId="4" applyFont="1" applyFill="1"/>
  </cellXfs>
  <cellStyles count="5">
    <cellStyle name="Hipervínculo" xfId="1" builtinId="8"/>
    <cellStyle name="Millares" xfId="2" builtinId="3"/>
    <cellStyle name="Millares [0]" xfId="4" builtinId="6"/>
    <cellStyle name="Normal" xfId="0" builtinId="0"/>
    <cellStyle name="Porcentaj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372020</xdr:colOff>
      <xdr:row>46</xdr:row>
      <xdr:rowOff>179596</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rot="16200000">
          <a:off x="11221392" y="7130068"/>
          <a:ext cx="4715022" cy="33243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318135</xdr:colOff>
      <xdr:row>20</xdr:row>
      <xdr:rowOff>200025</xdr:rowOff>
    </xdr:from>
    <xdr:to>
      <xdr:col>5</xdr:col>
      <xdr:colOff>690064</xdr:colOff>
      <xdr:row>44</xdr:row>
      <xdr:rowOff>49539</xdr:rowOff>
    </xdr:to>
    <xdr:sp macro="" textlink="">
      <xdr:nvSpPr>
        <xdr:cNvPr id="1025" name="AutoShape 1">
          <a:extLst>
            <a:ext uri="{FF2B5EF4-FFF2-40B4-BE49-F238E27FC236}">
              <a16:creationId xmlns:a16="http://schemas.microsoft.com/office/drawing/2014/main" id="{00000000-0008-0000-0900-000001040000}"/>
            </a:ext>
          </a:extLst>
        </xdr:cNvPr>
        <xdr:cNvSpPr>
          <a:spLocks noChangeArrowheads="1"/>
        </xdr:cNvSpPr>
      </xdr:nvSpPr>
      <xdr:spPr bwMode="auto">
        <a:xfrm rot="16200000">
          <a:off x="6772275" y="6858000"/>
          <a:ext cx="5553075" cy="352425"/>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333375</xdr:colOff>
      <xdr:row>20</xdr:row>
      <xdr:rowOff>226695</xdr:rowOff>
    </xdr:from>
    <xdr:to>
      <xdr:col>6</xdr:col>
      <xdr:colOff>4729</xdr:colOff>
      <xdr:row>44</xdr:row>
      <xdr:rowOff>47641</xdr:rowOff>
    </xdr:to>
    <xdr:sp macro="" textlink="">
      <xdr:nvSpPr>
        <xdr:cNvPr id="1025" name="AutoShape 1">
          <a:extLst>
            <a:ext uri="{FF2B5EF4-FFF2-40B4-BE49-F238E27FC236}">
              <a16:creationId xmlns:a16="http://schemas.microsoft.com/office/drawing/2014/main" id="{00000000-0008-0000-0A00-000001040000}"/>
            </a:ext>
          </a:extLst>
        </xdr:cNvPr>
        <xdr:cNvSpPr>
          <a:spLocks noChangeArrowheads="1"/>
        </xdr:cNvSpPr>
      </xdr:nvSpPr>
      <xdr:spPr bwMode="auto">
        <a:xfrm rot="16200000">
          <a:off x="6772275" y="6858000"/>
          <a:ext cx="5553075" cy="352425"/>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372020</xdr:colOff>
      <xdr:row>46</xdr:row>
      <xdr:rowOff>179596</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rot="16200000">
          <a:off x="11191759" y="7202163"/>
          <a:ext cx="4762230" cy="33243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2" name="AutoShape 1">
          <a:extLst>
            <a:ext uri="{FF2B5EF4-FFF2-40B4-BE49-F238E27FC236}">
              <a16:creationId xmlns:a16="http://schemas.microsoft.com/office/drawing/2014/main" id="{00000000-0008-0000-0200-000002000000}"/>
            </a:ext>
          </a:extLst>
        </xdr:cNvPr>
        <xdr:cNvSpPr>
          <a:spLocks noChangeArrowheads="1"/>
        </xdr:cNvSpPr>
      </xdr:nvSpPr>
      <xdr:spPr bwMode="auto">
        <a:xfrm rot="16200000">
          <a:off x="9112661" y="7867199"/>
          <a:ext cx="5542967" cy="371918"/>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2" name="AutoShape 1">
          <a:extLst>
            <a:ext uri="{FF2B5EF4-FFF2-40B4-BE49-F238E27FC236}">
              <a16:creationId xmlns:a16="http://schemas.microsoft.com/office/drawing/2014/main" id="{00000000-0008-0000-0300-000002000000}"/>
            </a:ext>
          </a:extLst>
        </xdr:cNvPr>
        <xdr:cNvSpPr>
          <a:spLocks noChangeArrowheads="1"/>
        </xdr:cNvSpPr>
      </xdr:nvSpPr>
      <xdr:spPr bwMode="auto">
        <a:xfrm rot="16200000">
          <a:off x="9112661" y="7762424"/>
          <a:ext cx="5542967" cy="371918"/>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2" name="AutoShape 1">
          <a:extLst>
            <a:ext uri="{FF2B5EF4-FFF2-40B4-BE49-F238E27FC236}">
              <a16:creationId xmlns:a16="http://schemas.microsoft.com/office/drawing/2014/main" id="{00000000-0008-0000-0400-000002000000}"/>
            </a:ext>
          </a:extLst>
        </xdr:cNvPr>
        <xdr:cNvSpPr>
          <a:spLocks noChangeArrowheads="1"/>
        </xdr:cNvSpPr>
      </xdr:nvSpPr>
      <xdr:spPr bwMode="auto">
        <a:xfrm rot="16200000">
          <a:off x="9112661" y="7762424"/>
          <a:ext cx="5542967" cy="371918"/>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3" name="AutoShape 1">
          <a:extLst>
            <a:ext uri="{FF2B5EF4-FFF2-40B4-BE49-F238E27FC236}">
              <a16:creationId xmlns:a16="http://schemas.microsoft.com/office/drawing/2014/main" id="{00000000-0008-0000-0500-000003000000}"/>
            </a:ext>
          </a:extLst>
        </xdr:cNvPr>
        <xdr:cNvSpPr>
          <a:spLocks noChangeArrowheads="1"/>
        </xdr:cNvSpPr>
      </xdr:nvSpPr>
      <xdr:spPr bwMode="auto">
        <a:xfrm rot="16200000">
          <a:off x="9450504" y="7729134"/>
          <a:ext cx="5547773" cy="38145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318135</xdr:colOff>
      <xdr:row>20</xdr:row>
      <xdr:rowOff>201930</xdr:rowOff>
    </xdr:from>
    <xdr:to>
      <xdr:col>5</xdr:col>
      <xdr:colOff>690064</xdr:colOff>
      <xdr:row>44</xdr:row>
      <xdr:rowOff>49547</xdr:rowOff>
    </xdr:to>
    <xdr:sp macro="" textlink="">
      <xdr:nvSpPr>
        <xdr:cNvPr id="2" name="AutoShape 1">
          <a:extLst>
            <a:ext uri="{FF2B5EF4-FFF2-40B4-BE49-F238E27FC236}">
              <a16:creationId xmlns:a16="http://schemas.microsoft.com/office/drawing/2014/main" id="{00000000-0008-0000-0600-000002000000}"/>
            </a:ext>
          </a:extLst>
        </xdr:cNvPr>
        <xdr:cNvSpPr>
          <a:spLocks noChangeArrowheads="1"/>
        </xdr:cNvSpPr>
      </xdr:nvSpPr>
      <xdr:spPr bwMode="auto">
        <a:xfrm rot="16200000">
          <a:off x="7079198" y="6762532"/>
          <a:ext cx="5516897" cy="38145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316230</xdr:colOff>
      <xdr:row>20</xdr:row>
      <xdr:rowOff>200025</xdr:rowOff>
    </xdr:from>
    <xdr:to>
      <xdr:col>5</xdr:col>
      <xdr:colOff>680212</xdr:colOff>
      <xdr:row>44</xdr:row>
      <xdr:rowOff>49533</xdr:rowOff>
    </xdr:to>
    <xdr:sp macro="" textlink="">
      <xdr:nvSpPr>
        <xdr:cNvPr id="2" name="AutoShape 1">
          <a:extLst>
            <a:ext uri="{FF2B5EF4-FFF2-40B4-BE49-F238E27FC236}">
              <a16:creationId xmlns:a16="http://schemas.microsoft.com/office/drawing/2014/main" id="{00000000-0008-0000-0700-000002000000}"/>
            </a:ext>
          </a:extLst>
        </xdr:cNvPr>
        <xdr:cNvSpPr>
          <a:spLocks noChangeArrowheads="1"/>
        </xdr:cNvSpPr>
      </xdr:nvSpPr>
      <xdr:spPr bwMode="auto">
        <a:xfrm rot="16200000">
          <a:off x="7080904" y="6781781"/>
          <a:ext cx="5499738" cy="360086"/>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318135</xdr:colOff>
      <xdr:row>20</xdr:row>
      <xdr:rowOff>201930</xdr:rowOff>
    </xdr:from>
    <xdr:to>
      <xdr:col>5</xdr:col>
      <xdr:colOff>690064</xdr:colOff>
      <xdr:row>44</xdr:row>
      <xdr:rowOff>51470</xdr:rowOff>
    </xdr:to>
    <xdr:sp macro="" textlink="">
      <xdr:nvSpPr>
        <xdr:cNvPr id="2" name="AutoShape 1">
          <a:extLst>
            <a:ext uri="{FF2B5EF4-FFF2-40B4-BE49-F238E27FC236}">
              <a16:creationId xmlns:a16="http://schemas.microsoft.com/office/drawing/2014/main" id="{00000000-0008-0000-0800-000002000000}"/>
            </a:ext>
          </a:extLst>
        </xdr:cNvPr>
        <xdr:cNvSpPr>
          <a:spLocks noChangeArrowheads="1"/>
        </xdr:cNvSpPr>
      </xdr:nvSpPr>
      <xdr:spPr bwMode="auto">
        <a:xfrm rot="16200000">
          <a:off x="6773245" y="6845600"/>
          <a:ext cx="5554986" cy="360086"/>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65536"/>
  <sheetViews>
    <sheetView tabSelected="1" topLeftCell="B82" zoomScale="120" zoomScaleNormal="120" zoomScalePageLayoutView="120" workbookViewId="0">
      <selection activeCell="B94" sqref="B94"/>
    </sheetView>
  </sheetViews>
  <sheetFormatPr baseColWidth="10" defaultColWidth="11.42578125" defaultRowHeight="12.75" x14ac:dyDescent="0.2"/>
  <cols>
    <col min="1" max="1" width="3.28515625" style="225" customWidth="1"/>
    <col min="2" max="2" width="45.28515625" style="225" customWidth="1"/>
    <col min="3" max="3" width="59.42578125" style="226" customWidth="1"/>
    <col min="4" max="4" width="11" style="227" customWidth="1"/>
    <col min="5" max="5" width="17.28515625" style="228" customWidth="1"/>
    <col min="6" max="6" width="17.42578125" style="234" customWidth="1"/>
    <col min="7" max="7" width="13.85546875" style="208"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342" t="s">
        <v>1</v>
      </c>
      <c r="C4" s="232"/>
      <c r="E4" s="233"/>
      <c r="I4" s="360"/>
    </row>
    <row r="5" spans="2:256" ht="18.75" customHeight="1" x14ac:dyDescent="0.25">
      <c r="B5" s="344" t="s">
        <v>2</v>
      </c>
      <c r="C5" s="76">
        <v>828116</v>
      </c>
      <c r="E5" s="358"/>
      <c r="F5" s="340"/>
      <c r="G5" s="209"/>
      <c r="I5" s="299"/>
    </row>
    <row r="6" spans="2:256" ht="18.75" customHeight="1" thickBot="1" x14ac:dyDescent="0.3">
      <c r="B6" s="345" t="s">
        <v>3</v>
      </c>
      <c r="C6" s="82">
        <v>97032</v>
      </c>
      <c r="E6" s="350"/>
      <c r="F6" s="233"/>
      <c r="G6" s="209"/>
      <c r="I6" s="235"/>
      <c r="J6" s="236"/>
      <c r="IV6" s="237">
        <v>5.2199999999999998E-3</v>
      </c>
    </row>
    <row r="7" spans="2:256" ht="13.5" customHeight="1" x14ac:dyDescent="0.25">
      <c r="B7" s="238"/>
      <c r="C7" s="239"/>
      <c r="G7" s="209"/>
      <c r="IV7" s="237">
        <v>1.044E-2</v>
      </c>
    </row>
    <row r="8" spans="2:256" ht="12.75" customHeight="1" x14ac:dyDescent="0.2">
      <c r="B8" s="238"/>
      <c r="C8" s="238"/>
      <c r="G8" s="209"/>
      <c r="IV8" s="237">
        <v>2.436E-2</v>
      </c>
    </row>
    <row r="9" spans="2:256" ht="12" customHeight="1" thickBot="1" x14ac:dyDescent="0.25">
      <c r="B9" s="9" t="s">
        <v>4</v>
      </c>
      <c r="C9" s="240" t="s">
        <v>5</v>
      </c>
      <c r="D9" s="241"/>
      <c r="E9" s="242"/>
      <c r="IV9" s="237">
        <v>4.3499999999999997E-2</v>
      </c>
    </row>
    <row r="10" spans="2:256" ht="18.75" customHeight="1" x14ac:dyDescent="0.25">
      <c r="B10" s="11" t="s">
        <v>6</v>
      </c>
      <c r="C10" s="346">
        <v>828116</v>
      </c>
      <c r="D10" s="243"/>
      <c r="E10" s="242"/>
      <c r="F10" s="343"/>
      <c r="G10" s="311"/>
      <c r="H10" s="245"/>
      <c r="IV10" s="237">
        <v>6.9599999999999995E-2</v>
      </c>
    </row>
    <row r="11" spans="2:256" ht="18.75" customHeight="1" x14ac:dyDescent="0.25">
      <c r="B11" s="13" t="s">
        <v>7</v>
      </c>
      <c r="C11" s="292">
        <v>1.044E-2</v>
      </c>
      <c r="D11" s="241"/>
      <c r="E11" s="244"/>
      <c r="G11" s="312"/>
      <c r="H11" s="245"/>
    </row>
    <row r="12" spans="2:256" ht="18.75" customHeight="1" thickBot="1" x14ac:dyDescent="0.3">
      <c r="B12" s="15" t="s">
        <v>8</v>
      </c>
      <c r="C12" s="347">
        <v>0</v>
      </c>
      <c r="D12" s="241"/>
      <c r="E12" s="242"/>
      <c r="G12" s="313"/>
      <c r="H12" s="245"/>
      <c r="IR12" s="248"/>
      <c r="IV12" s="249"/>
    </row>
    <row r="13" spans="2:256" s="1" customFormat="1" ht="18.75" customHeight="1" thickBot="1" x14ac:dyDescent="0.3">
      <c r="B13" s="15" t="s">
        <v>9</v>
      </c>
      <c r="C13" s="348">
        <v>3100</v>
      </c>
      <c r="D13" s="111" t="s">
        <v>10</v>
      </c>
      <c r="E13" s="10"/>
      <c r="F13" s="106"/>
      <c r="G13" s="17"/>
      <c r="H13" s="12"/>
      <c r="IR13" s="16"/>
      <c r="IV13" s="18" t="s">
        <v>10</v>
      </c>
    </row>
    <row r="14" spans="2:256" ht="10.5" customHeight="1" thickBot="1" x14ac:dyDescent="0.25">
      <c r="B14" s="250"/>
      <c r="C14" s="251"/>
      <c r="D14" s="252"/>
      <c r="F14" s="308"/>
      <c r="G14" s="312"/>
      <c r="H14" s="245"/>
      <c r="IR14" s="248"/>
    </row>
    <row r="15" spans="2:256" s="249" customFormat="1" ht="41.25" customHeight="1" x14ac:dyDescent="0.25">
      <c r="B15" s="96" t="s">
        <v>11</v>
      </c>
      <c r="C15" s="97" t="s">
        <v>12</v>
      </c>
      <c r="D15" s="98" t="s">
        <v>13</v>
      </c>
      <c r="E15" s="307" t="s">
        <v>14</v>
      </c>
      <c r="F15" s="309" t="s">
        <v>15</v>
      </c>
      <c r="G15" s="314" t="s">
        <v>16</v>
      </c>
      <c r="H15" s="245"/>
      <c r="IR15" s="253"/>
    </row>
    <row r="16" spans="2:256" s="249" customFormat="1" ht="9" customHeight="1" x14ac:dyDescent="0.25">
      <c r="B16" s="254"/>
      <c r="C16" s="239"/>
      <c r="D16" s="239"/>
      <c r="E16" s="255"/>
      <c r="F16" s="255"/>
      <c r="G16" s="107"/>
      <c r="IR16" s="253"/>
    </row>
    <row r="17" spans="2:252" s="249" customFormat="1" ht="15.75" x14ac:dyDescent="0.25">
      <c r="B17" s="256" t="s">
        <v>17</v>
      </c>
      <c r="C17" s="257"/>
      <c r="D17" s="258"/>
      <c r="E17" s="259"/>
      <c r="F17" s="259"/>
      <c r="G17" s="108"/>
      <c r="IR17" s="253"/>
    </row>
    <row r="18" spans="2:252" s="249" customFormat="1" ht="15.75" x14ac:dyDescent="0.25">
      <c r="B18" s="26" t="s">
        <v>18</v>
      </c>
      <c r="C18" s="27" t="s">
        <v>19</v>
      </c>
      <c r="D18" s="28"/>
      <c r="E18" s="29">
        <f>IF(C10&lt;C5,FALSE,C10)</f>
        <v>828116</v>
      </c>
      <c r="F18" s="29">
        <f>+E18</f>
        <v>828116</v>
      </c>
      <c r="G18" s="103">
        <f t="shared" ref="G18:G23" si="0">+E18/$C$13</f>
        <v>267.13419354838709</v>
      </c>
      <c r="IR18" s="253"/>
    </row>
    <row r="19" spans="2:252" s="249" customFormat="1" ht="15.75" x14ac:dyDescent="0.25">
      <c r="B19" s="26" t="s">
        <v>20</v>
      </c>
      <c r="C19" s="27" t="s">
        <v>21</v>
      </c>
      <c r="D19" s="28"/>
      <c r="E19" s="29">
        <f>IF(E18+E20+E21+E22&lt;=(C5*2),C6,0)</f>
        <v>97032</v>
      </c>
      <c r="F19" s="29">
        <f>+E19</f>
        <v>97032</v>
      </c>
      <c r="G19" s="103">
        <f t="shared" si="0"/>
        <v>31.300645161290323</v>
      </c>
      <c r="I19" s="284"/>
    </row>
    <row r="20" spans="2:252" s="249" customFormat="1" ht="15.75" x14ac:dyDescent="0.25">
      <c r="B20" s="26" t="s">
        <v>22</v>
      </c>
      <c r="C20" s="27" t="s">
        <v>23</v>
      </c>
      <c r="D20" s="262"/>
      <c r="E20" s="339">
        <f>+G60+G63</f>
        <v>0</v>
      </c>
      <c r="F20" s="42">
        <f>+E20</f>
        <v>0</v>
      </c>
      <c r="G20" s="103">
        <f t="shared" si="0"/>
        <v>0</v>
      </c>
      <c r="J20" s="264"/>
    </row>
    <row r="21" spans="2:252" s="249" customFormat="1" ht="15.75" x14ac:dyDescent="0.25">
      <c r="B21" s="26" t="s">
        <v>24</v>
      </c>
      <c r="C21" s="27" t="s">
        <v>25</v>
      </c>
      <c r="D21" s="262"/>
      <c r="E21" s="339">
        <f>+G61+G62+G64</f>
        <v>0</v>
      </c>
      <c r="F21" s="42">
        <f>+E21</f>
        <v>0</v>
      </c>
      <c r="G21" s="103">
        <f t="shared" si="0"/>
        <v>0</v>
      </c>
    </row>
    <row r="22" spans="2:252" s="249" customFormat="1" ht="15.75" x14ac:dyDescent="0.25">
      <c r="B22" s="26" t="s">
        <v>26</v>
      </c>
      <c r="C22" s="27" t="s">
        <v>27</v>
      </c>
      <c r="D22" s="262"/>
      <c r="E22" s="339">
        <f>+G65+G66+G67+G68</f>
        <v>0</v>
      </c>
      <c r="F22" s="42">
        <f>+E22</f>
        <v>0</v>
      </c>
      <c r="G22" s="103">
        <f t="shared" si="0"/>
        <v>0</v>
      </c>
    </row>
    <row r="23" spans="2:252" s="249" customFormat="1" ht="15.75" x14ac:dyDescent="0.25">
      <c r="B23" s="148" t="s">
        <v>28</v>
      </c>
      <c r="C23" s="265"/>
      <c r="D23" s="266"/>
      <c r="E23" s="30">
        <f>SUM(E18:E22)</f>
        <v>925148</v>
      </c>
      <c r="F23" s="30">
        <f>SUM(F18:F22)</f>
        <v>925148</v>
      </c>
      <c r="G23" s="104">
        <f t="shared" si="0"/>
        <v>298.43483870967742</v>
      </c>
    </row>
    <row r="24" spans="2:252" s="249" customFormat="1" ht="15.75" x14ac:dyDescent="0.25">
      <c r="B24" s="267"/>
      <c r="C24" s="268"/>
      <c r="D24" s="269"/>
      <c r="E24" s="263"/>
      <c r="F24" s="263"/>
      <c r="G24" s="108"/>
    </row>
    <row r="25" spans="2:252" s="249" customFormat="1" ht="15.75" x14ac:dyDescent="0.25">
      <c r="B25" s="270" t="s">
        <v>29</v>
      </c>
      <c r="C25" s="257"/>
      <c r="D25" s="258"/>
      <c r="E25" s="263"/>
      <c r="F25" s="263"/>
      <c r="G25" s="108"/>
    </row>
    <row r="26" spans="2:252" s="249" customFormat="1" ht="15.75" x14ac:dyDescent="0.25">
      <c r="B26" s="26" t="s">
        <v>30</v>
      </c>
      <c r="C26" s="27" t="s">
        <v>31</v>
      </c>
      <c r="D26" s="35">
        <v>8.3333333333333343E-2</v>
      </c>
      <c r="E26" s="29">
        <f>E23*D26</f>
        <v>77095.666666666672</v>
      </c>
      <c r="F26" s="29">
        <f>+E26</f>
        <v>77095.666666666672</v>
      </c>
      <c r="G26" s="103">
        <f>+E26/$C$13</f>
        <v>24.86956989247312</v>
      </c>
    </row>
    <row r="27" spans="2:252" s="249" customFormat="1" ht="15.75" x14ac:dyDescent="0.25">
      <c r="B27" s="26" t="s">
        <v>32</v>
      </c>
      <c r="C27" s="27" t="s">
        <v>33</v>
      </c>
      <c r="D27" s="36">
        <v>0.12</v>
      </c>
      <c r="E27" s="29">
        <f>+E26*D27</f>
        <v>9251.48</v>
      </c>
      <c r="F27" s="29">
        <f>+E27</f>
        <v>9251.48</v>
      </c>
      <c r="G27" s="103">
        <f>+E27/$C$13</f>
        <v>2.984348387096774</v>
      </c>
    </row>
    <row r="28" spans="2:252" s="249" customFormat="1" ht="15.75" x14ac:dyDescent="0.25">
      <c r="B28" s="26" t="s">
        <v>34</v>
      </c>
      <c r="C28" s="27" t="s">
        <v>31</v>
      </c>
      <c r="D28" s="35">
        <v>8.3333333333333343E-2</v>
      </c>
      <c r="E28" s="29">
        <f>E23*D28</f>
        <v>77095.666666666672</v>
      </c>
      <c r="F28" s="29">
        <f>+E28</f>
        <v>77095.666666666672</v>
      </c>
      <c r="G28" s="103">
        <f>+E28/$C$13</f>
        <v>24.86956989247312</v>
      </c>
    </row>
    <row r="29" spans="2:252" s="249" customFormat="1" ht="15.75" x14ac:dyDescent="0.25">
      <c r="B29" s="26" t="s">
        <v>35</v>
      </c>
      <c r="C29" s="37" t="s">
        <v>36</v>
      </c>
      <c r="D29" s="35">
        <v>4.1666666666666664E-2</v>
      </c>
      <c r="E29" s="29">
        <f>(E18+E20)*D29</f>
        <v>34504.833333333328</v>
      </c>
      <c r="F29" s="29">
        <f>+E29</f>
        <v>34504.833333333328</v>
      </c>
      <c r="G29" s="103">
        <f>+E29/$C$13</f>
        <v>11.130591397849461</v>
      </c>
    </row>
    <row r="30" spans="2:252" s="249" customFormat="1" ht="15.75" x14ac:dyDescent="0.25">
      <c r="B30" s="177" t="s">
        <v>37</v>
      </c>
      <c r="C30" s="38"/>
      <c r="D30" s="33"/>
      <c r="E30" s="30">
        <f>SUM(E26:E29)</f>
        <v>197947.64666666667</v>
      </c>
      <c r="F30" s="30">
        <f>SUM(F26:F29)</f>
        <v>197947.64666666667</v>
      </c>
      <c r="G30" s="104">
        <f>+E30/$C$13</f>
        <v>63.854079569892477</v>
      </c>
    </row>
    <row r="31" spans="2:252" s="249" customFormat="1" ht="15" x14ac:dyDescent="0.2">
      <c r="B31" s="260"/>
      <c r="C31" s="261"/>
      <c r="D31" s="262"/>
      <c r="E31" s="259"/>
      <c r="F31" s="259"/>
      <c r="G31" s="108"/>
      <c r="H31" s="238"/>
    </row>
    <row r="32" spans="2:252" s="249" customFormat="1" ht="15.75" x14ac:dyDescent="0.25">
      <c r="B32" s="256" t="s">
        <v>38</v>
      </c>
      <c r="C32" s="257"/>
      <c r="D32" s="258"/>
      <c r="E32" s="259"/>
      <c r="F32" s="259"/>
      <c r="G32" s="108"/>
      <c r="H32" s="238"/>
    </row>
    <row r="33" spans="2:14" s="249" customFormat="1" ht="15.75" x14ac:dyDescent="0.25">
      <c r="B33" s="310" t="s">
        <v>39</v>
      </c>
      <c r="C33" s="85">
        <f>ROUND(IF($E$18+E20+E21+E22&lt;=($C$5*25),ROUND($E$18+E20+E21+E22,-3),ROUND($C$5*25,-3))*0.125,-2)</f>
        <v>103500</v>
      </c>
      <c r="D33" s="36">
        <v>8.5000000000000006E-2</v>
      </c>
      <c r="E33" s="29">
        <f>C33-E73</f>
        <v>70400</v>
      </c>
      <c r="F33" s="29">
        <v>0</v>
      </c>
      <c r="G33" s="103">
        <f t="shared" ref="G33:G38" si="1">+E33/$C$13</f>
        <v>22.70967741935484</v>
      </c>
      <c r="H33" s="274"/>
      <c r="I33" s="275"/>
    </row>
    <row r="34" spans="2:14" s="249" customFormat="1" ht="15.75" x14ac:dyDescent="0.25">
      <c r="B34" s="26" t="s">
        <v>40</v>
      </c>
      <c r="C34" s="85">
        <f>ROUND(IF($E$18+E20+E21+E22&lt;=($C$5*25),ROUND($E$18+E20+E21+E22,-3),ROUND($C$5*25,-3))*0.16,-2)</f>
        <v>132500</v>
      </c>
      <c r="D34" s="36">
        <v>0.12</v>
      </c>
      <c r="E34" s="29">
        <f>C34-E74</f>
        <v>99400</v>
      </c>
      <c r="F34" s="29">
        <f>+E34</f>
        <v>99400</v>
      </c>
      <c r="G34" s="103">
        <f t="shared" si="1"/>
        <v>32.064516129032256</v>
      </c>
      <c r="H34" s="276"/>
    </row>
    <row r="35" spans="2:14" s="249" customFormat="1" ht="15.75" x14ac:dyDescent="0.25">
      <c r="B35" s="26" t="s">
        <v>41</v>
      </c>
      <c r="C35" s="37" t="s">
        <v>42</v>
      </c>
      <c r="D35" s="28">
        <f>C11</f>
        <v>1.044E-2</v>
      </c>
      <c r="E35" s="29">
        <f>ROUND(IF($E$18+E21+E20+E22&lt;=($C$5*20),ROUND($E$18+E20+E21+E22,-3),ROUND($C$5*20,-3))*D35,-2)</f>
        <v>8600</v>
      </c>
      <c r="F35" s="29">
        <f>+E35</f>
        <v>8600</v>
      </c>
      <c r="G35" s="103">
        <f t="shared" si="1"/>
        <v>2.774193548387097</v>
      </c>
      <c r="H35" s="238"/>
    </row>
    <row r="36" spans="2:14" s="249" customFormat="1" ht="15.75" x14ac:dyDescent="0.25">
      <c r="B36" s="26" t="s">
        <v>43</v>
      </c>
      <c r="C36" s="271"/>
      <c r="D36" s="36">
        <v>8.5000000000000006E-2</v>
      </c>
      <c r="E36" s="29">
        <f>ROUND(IF($E$29&lt;=($C$5*25),ROUND($E$29,-3),ROUND($C$5*25,-3))*D36,-2)</f>
        <v>3000</v>
      </c>
      <c r="F36" s="29">
        <v>0</v>
      </c>
      <c r="G36" s="103">
        <f t="shared" si="1"/>
        <v>0.967741935483871</v>
      </c>
    </row>
    <row r="37" spans="2:14" s="249" customFormat="1" ht="15.75" x14ac:dyDescent="0.25">
      <c r="B37" s="26" t="s">
        <v>44</v>
      </c>
      <c r="C37" s="271"/>
      <c r="D37" s="36">
        <v>0.12</v>
      </c>
      <c r="E37" s="29">
        <f>ROUND(IF($E$29&lt;=($C$5*25),ROUND($E$29,-3),ROUND($C$5*25,-3))*D37,-2)</f>
        <v>4200</v>
      </c>
      <c r="F37" s="29">
        <f>+E37</f>
        <v>4200</v>
      </c>
      <c r="G37" s="103">
        <f t="shared" si="1"/>
        <v>1.3548387096774193</v>
      </c>
    </row>
    <row r="38" spans="2:14" s="249" customFormat="1" ht="15.75" x14ac:dyDescent="0.25">
      <c r="B38" s="177" t="s">
        <v>45</v>
      </c>
      <c r="C38" s="272"/>
      <c r="D38" s="269"/>
      <c r="E38" s="30">
        <f>SUM(E33:E37)</f>
        <v>185600</v>
      </c>
      <c r="F38" s="30">
        <f>SUM(F33:F37)</f>
        <v>112200</v>
      </c>
      <c r="G38" s="104">
        <f t="shared" si="1"/>
        <v>59.87096774193548</v>
      </c>
    </row>
    <row r="39" spans="2:14" s="249" customFormat="1" ht="15" x14ac:dyDescent="0.2">
      <c r="B39" s="260"/>
      <c r="C39" s="261"/>
      <c r="D39" s="262"/>
      <c r="E39" s="259"/>
      <c r="F39" s="259"/>
      <c r="G39" s="108"/>
      <c r="J39" s="359"/>
    </row>
    <row r="40" spans="2:14" s="249" customFormat="1" ht="15.75" x14ac:dyDescent="0.25">
      <c r="B40" s="256" t="s">
        <v>46</v>
      </c>
      <c r="C40" s="257"/>
      <c r="D40" s="258"/>
      <c r="E40" s="259"/>
      <c r="F40" s="259"/>
      <c r="G40" s="108"/>
    </row>
    <row r="41" spans="2:14" s="249" customFormat="1" ht="15.75" x14ac:dyDescent="0.25">
      <c r="B41" s="26" t="s">
        <v>47</v>
      </c>
      <c r="C41" s="37" t="s">
        <v>48</v>
      </c>
      <c r="D41" s="36">
        <v>0.09</v>
      </c>
      <c r="E41" s="29">
        <f>ROUND(ROUND(E18+E20+E21+E22,-3)*D41,-2)</f>
        <v>74500</v>
      </c>
      <c r="F41" s="29">
        <f>ROUND(ROUND(F18+F20+F21+F22,-3)*0.04,-2)</f>
        <v>33100</v>
      </c>
      <c r="G41" s="103">
        <f>+E41/$C$13</f>
        <v>24.032258064516128</v>
      </c>
    </row>
    <row r="42" spans="2:14" s="249" customFormat="1" ht="15.75" x14ac:dyDescent="0.25">
      <c r="B42" s="26" t="s">
        <v>49</v>
      </c>
      <c r="C42" s="37"/>
      <c r="D42" s="36">
        <v>0.09</v>
      </c>
      <c r="E42" s="29">
        <f>ROUND(ROUND(E29,-3)*D42,-2)</f>
        <v>3200</v>
      </c>
      <c r="F42" s="29">
        <f>ROUND(ROUND(F29,-3)*0.04,-2)</f>
        <v>1400</v>
      </c>
      <c r="G42" s="103">
        <f>+E42/$C$13</f>
        <v>1.032258064516129</v>
      </c>
    </row>
    <row r="43" spans="2:14" s="249" customFormat="1" ht="15.75" x14ac:dyDescent="0.25">
      <c r="B43" s="177" t="s">
        <v>50</v>
      </c>
      <c r="C43" s="38"/>
      <c r="D43" s="33"/>
      <c r="E43" s="30">
        <f>SUM(E41:E42)</f>
        <v>77700</v>
      </c>
      <c r="F43" s="30">
        <f>SUM(F41:F42)</f>
        <v>34500</v>
      </c>
      <c r="G43" s="104">
        <f>+E43/$C$13</f>
        <v>25.06451612903226</v>
      </c>
    </row>
    <row r="44" spans="2:14" s="249" customFormat="1" ht="15" x14ac:dyDescent="0.2">
      <c r="B44" s="273"/>
      <c r="C44" s="271"/>
      <c r="D44" s="262"/>
      <c r="E44" s="259"/>
      <c r="F44" s="259"/>
      <c r="G44" s="108"/>
    </row>
    <row r="45" spans="2:14" s="249" customFormat="1" ht="15.75" x14ac:dyDescent="0.25">
      <c r="B45" s="256" t="s">
        <v>51</v>
      </c>
      <c r="C45" s="257"/>
      <c r="D45" s="258"/>
      <c r="E45" s="259"/>
      <c r="F45" s="259"/>
      <c r="G45" s="108"/>
      <c r="N45" s="249" t="s">
        <v>52</v>
      </c>
    </row>
    <row r="46" spans="2:14" s="249" customFormat="1" ht="15.75" x14ac:dyDescent="0.25">
      <c r="B46" s="39" t="s">
        <v>53</v>
      </c>
      <c r="C46" s="37" t="s">
        <v>54</v>
      </c>
      <c r="D46" s="293"/>
      <c r="E46" s="29">
        <f>IF(E18+E20+E21+E22&lt;=C5*2,(C12*3)/12,0)</f>
        <v>0</v>
      </c>
      <c r="F46" s="29">
        <f>+E46</f>
        <v>0</v>
      </c>
      <c r="G46" s="104">
        <f>+E46/$C$13</f>
        <v>0</v>
      </c>
    </row>
    <row r="47" spans="2:14" s="249" customFormat="1" ht="15" x14ac:dyDescent="0.2">
      <c r="B47" s="260"/>
      <c r="C47" s="261"/>
      <c r="D47" s="262"/>
      <c r="E47" s="277"/>
      <c r="F47" s="277"/>
      <c r="G47" s="108"/>
    </row>
    <row r="48" spans="2:14" s="249" customFormat="1" ht="15.75" x14ac:dyDescent="0.25">
      <c r="B48" s="31" t="s">
        <v>55</v>
      </c>
      <c r="C48" s="32"/>
      <c r="D48" s="33"/>
      <c r="E48" s="30">
        <f>E23+E30+E38+E43+E46</f>
        <v>1386395.6466666667</v>
      </c>
      <c r="F48" s="30">
        <f>F23+F30+F38+F43+F46</f>
        <v>1269795.6466666667</v>
      </c>
      <c r="G48" s="104">
        <f>+E48/$C$13</f>
        <v>447.22440215053763</v>
      </c>
      <c r="I48" s="275"/>
    </row>
    <row r="49" spans="1:10" s="249" customFormat="1" ht="15.75" thickBot="1" x14ac:dyDescent="0.25">
      <c r="B49" s="80" t="s">
        <v>56</v>
      </c>
      <c r="C49" s="43"/>
      <c r="D49" s="44"/>
      <c r="E49" s="93">
        <f>+(E48/(E23-E19))-1</f>
        <v>0.67415633397575547</v>
      </c>
      <c r="F49" s="93">
        <f>+(F48/(F23-F19))-1</f>
        <v>0.53335480375535149</v>
      </c>
      <c r="G49" s="109"/>
    </row>
    <row r="50" spans="1:10" s="249" customFormat="1" ht="15.75" x14ac:dyDescent="0.25">
      <c r="B50" s="278"/>
      <c r="C50" s="279"/>
      <c r="D50" s="280"/>
      <c r="E50" s="281"/>
      <c r="F50" s="300"/>
      <c r="G50" s="110"/>
    </row>
    <row r="51" spans="1:10" s="249" customFormat="1" ht="16.5" thickBot="1" x14ac:dyDescent="0.3">
      <c r="B51" s="278"/>
      <c r="C51" s="279"/>
      <c r="D51" s="280"/>
      <c r="E51" s="281"/>
      <c r="F51" s="300"/>
      <c r="G51" s="110"/>
    </row>
    <row r="52" spans="1:10" s="249" customFormat="1" ht="15.75" x14ac:dyDescent="0.25">
      <c r="A52" s="225"/>
      <c r="B52" s="74" t="s">
        <v>57</v>
      </c>
      <c r="C52" s="294"/>
      <c r="D52" s="295"/>
      <c r="E52" s="187">
        <f>E48*12</f>
        <v>16636747.760000002</v>
      </c>
      <c r="F52" s="315">
        <f>F48*12</f>
        <v>15237547.760000002</v>
      </c>
      <c r="G52" s="321">
        <f>+E52/$C$13</f>
        <v>5366.6928258064518</v>
      </c>
      <c r="H52" s="225"/>
    </row>
    <row r="53" spans="1:10" s="249" customFormat="1" ht="15.75" x14ac:dyDescent="0.25">
      <c r="A53" s="225"/>
      <c r="B53" s="26" t="s">
        <v>58</v>
      </c>
      <c r="C53" s="27"/>
      <c r="D53" s="296"/>
      <c r="E53" s="29">
        <v>297</v>
      </c>
      <c r="F53" s="316">
        <v>297</v>
      </c>
      <c r="G53" s="320">
        <v>297</v>
      </c>
      <c r="H53" s="225"/>
    </row>
    <row r="54" spans="1:10" s="249" customFormat="1" ht="15.75" x14ac:dyDescent="0.25">
      <c r="A54" s="225"/>
      <c r="B54" s="26" t="s">
        <v>59</v>
      </c>
      <c r="C54" s="27"/>
      <c r="D54" s="296"/>
      <c r="E54" s="29">
        <f>E52/E53</f>
        <v>56015.985723905731</v>
      </c>
      <c r="F54" s="316">
        <f>F52/F53</f>
        <v>51304.874612794621</v>
      </c>
      <c r="G54" s="318">
        <f>+E54/$C$13</f>
        <v>18.069672814163138</v>
      </c>
      <c r="H54" s="225"/>
    </row>
    <row r="55" spans="1:10" s="249" customFormat="1" ht="16.5" thickBot="1" x14ac:dyDescent="0.3">
      <c r="A55" s="225"/>
      <c r="B55" s="188" t="s">
        <v>60</v>
      </c>
      <c r="C55" s="69"/>
      <c r="D55" s="297"/>
      <c r="E55" s="82">
        <f>E54/8</f>
        <v>7001.9982154882164</v>
      </c>
      <c r="F55" s="317">
        <f>F54/8</f>
        <v>6413.1093265993277</v>
      </c>
      <c r="G55" s="319">
        <f>+E55/$C$13</f>
        <v>2.2587091017703922</v>
      </c>
      <c r="H55" s="225"/>
    </row>
    <row r="56" spans="1:10" s="249" customFormat="1" ht="15.75" x14ac:dyDescent="0.25">
      <c r="A56" s="225"/>
      <c r="B56" s="238"/>
      <c r="C56" s="282"/>
      <c r="D56" s="283"/>
      <c r="E56" s="281"/>
      <c r="F56" s="234"/>
      <c r="G56" s="208"/>
      <c r="H56" s="225"/>
    </row>
    <row r="57" spans="1:10" s="249" customFormat="1" ht="16.5" thickBot="1" x14ac:dyDescent="0.3">
      <c r="A57" s="225"/>
      <c r="B57" s="238"/>
      <c r="C57" s="282"/>
      <c r="D57" s="283"/>
      <c r="E57" s="281"/>
      <c r="F57" s="234"/>
      <c r="G57" s="208"/>
      <c r="H57" s="225"/>
    </row>
    <row r="58" spans="1:10" s="249" customFormat="1" ht="16.5" thickBot="1" x14ac:dyDescent="0.3">
      <c r="A58" s="225"/>
      <c r="B58" s="45" t="s">
        <v>61</v>
      </c>
      <c r="C58" s="46"/>
      <c r="D58" s="47" t="s">
        <v>13</v>
      </c>
      <c r="E58" s="48" t="s">
        <v>62</v>
      </c>
      <c r="F58" s="301" t="s">
        <v>63</v>
      </c>
      <c r="G58" s="49" t="s">
        <v>62</v>
      </c>
    </row>
    <row r="59" spans="1:10" s="249" customFormat="1" ht="15.75" x14ac:dyDescent="0.25">
      <c r="A59" s="225"/>
      <c r="B59" s="50" t="s">
        <v>64</v>
      </c>
      <c r="C59" s="51" t="s">
        <v>65</v>
      </c>
      <c r="D59" s="52"/>
      <c r="E59" s="213">
        <f>(E18/30)/8</f>
        <v>3450.4833333333331</v>
      </c>
      <c r="F59" s="302"/>
      <c r="G59" s="298"/>
      <c r="H59" s="225"/>
      <c r="I59" s="253"/>
    </row>
    <row r="60" spans="1:10" s="249" customFormat="1" ht="15.75" x14ac:dyDescent="0.25">
      <c r="A60" s="225"/>
      <c r="B60" s="39" t="s">
        <v>66</v>
      </c>
      <c r="C60" s="37" t="s">
        <v>67</v>
      </c>
      <c r="D60" s="54">
        <v>0.35</v>
      </c>
      <c r="E60" s="214">
        <f>$E$59*D60</f>
        <v>1207.6691666666666</v>
      </c>
      <c r="F60" s="303"/>
      <c r="G60" s="190">
        <f t="shared" ref="G60:G68" si="2">E60*F60</f>
        <v>0</v>
      </c>
      <c r="H60" s="225"/>
      <c r="I60" s="284"/>
      <c r="J60" s="264"/>
    </row>
    <row r="61" spans="1:10" s="249" customFormat="1" ht="15.75" x14ac:dyDescent="0.25">
      <c r="A61" s="225"/>
      <c r="B61" s="39" t="s">
        <v>68</v>
      </c>
      <c r="C61" s="37" t="s">
        <v>69</v>
      </c>
      <c r="D61" s="54">
        <v>0.75</v>
      </c>
      <c r="E61" s="214">
        <f>$E$59*D61</f>
        <v>2587.8624999999997</v>
      </c>
      <c r="F61" s="303"/>
      <c r="G61" s="190">
        <f t="shared" si="2"/>
        <v>0</v>
      </c>
      <c r="H61" s="225"/>
      <c r="I61" s="284"/>
    </row>
    <row r="62" spans="1:10" s="249" customFormat="1" ht="15.75" x14ac:dyDescent="0.25">
      <c r="A62" s="225"/>
      <c r="B62" s="56" t="s">
        <v>70</v>
      </c>
      <c r="C62" s="57" t="s">
        <v>71</v>
      </c>
      <c r="D62" s="58">
        <v>1.75</v>
      </c>
      <c r="E62" s="214">
        <f>$E$59*D62</f>
        <v>6038.3458333333328</v>
      </c>
      <c r="F62" s="304"/>
      <c r="G62" s="190">
        <f t="shared" si="2"/>
        <v>0</v>
      </c>
      <c r="H62" s="225"/>
      <c r="I62" s="253"/>
    </row>
    <row r="63" spans="1:10" s="249" customFormat="1" ht="15.75" x14ac:dyDescent="0.25">
      <c r="A63" s="225"/>
      <c r="B63" s="26" t="s">
        <v>72</v>
      </c>
      <c r="C63" s="27" t="s">
        <v>73</v>
      </c>
      <c r="D63" s="222">
        <v>1.1000000000000001</v>
      </c>
      <c r="E63" s="215">
        <f t="shared" ref="E63:E68" si="3">$E$59*D63</f>
        <v>3795.5316666666668</v>
      </c>
      <c r="F63" s="304"/>
      <c r="G63" s="190">
        <f t="shared" si="2"/>
        <v>0</v>
      </c>
      <c r="H63" s="225"/>
      <c r="I63" s="253"/>
    </row>
    <row r="64" spans="1:10" s="249" customFormat="1" ht="15.75" x14ac:dyDescent="0.25">
      <c r="A64" s="225"/>
      <c r="B64" s="86" t="s">
        <v>74</v>
      </c>
      <c r="C64" s="27" t="s">
        <v>75</v>
      </c>
      <c r="D64" s="223">
        <v>2.1</v>
      </c>
      <c r="E64" s="215">
        <f t="shared" si="3"/>
        <v>7246.0149999999994</v>
      </c>
      <c r="F64" s="304"/>
      <c r="G64" s="190">
        <f t="shared" si="2"/>
        <v>0</v>
      </c>
      <c r="H64" s="225"/>
      <c r="J64" s="253"/>
    </row>
    <row r="65" spans="1:10" s="249" customFormat="1" ht="15.75" x14ac:dyDescent="0.25">
      <c r="A65" s="225"/>
      <c r="B65" s="59" t="s">
        <v>76</v>
      </c>
      <c r="C65" s="60" t="s">
        <v>77</v>
      </c>
      <c r="D65" s="61">
        <v>1.25</v>
      </c>
      <c r="E65" s="215">
        <f t="shared" si="3"/>
        <v>4313.1041666666661</v>
      </c>
      <c r="F65" s="303"/>
      <c r="G65" s="190">
        <f t="shared" si="2"/>
        <v>0</v>
      </c>
      <c r="H65" s="225"/>
      <c r="J65" s="253"/>
    </row>
    <row r="66" spans="1:10" s="249" customFormat="1" ht="15.75" x14ac:dyDescent="0.25">
      <c r="A66" s="225"/>
      <c r="B66" s="62" t="s">
        <v>78</v>
      </c>
      <c r="C66" s="37" t="s">
        <v>79</v>
      </c>
      <c r="D66" s="54">
        <v>1.75</v>
      </c>
      <c r="E66" s="215">
        <f t="shared" si="3"/>
        <v>6038.3458333333328</v>
      </c>
      <c r="F66" s="305"/>
      <c r="G66" s="190">
        <f t="shared" si="2"/>
        <v>0</v>
      </c>
      <c r="H66" s="225"/>
    </row>
    <row r="67" spans="1:10" s="249" customFormat="1" ht="15.75" x14ac:dyDescent="0.25">
      <c r="A67" s="225"/>
      <c r="B67" s="62" t="s">
        <v>80</v>
      </c>
      <c r="C67" s="37" t="s">
        <v>81</v>
      </c>
      <c r="D67" s="54">
        <v>2</v>
      </c>
      <c r="E67" s="215">
        <f t="shared" si="3"/>
        <v>6900.9666666666662</v>
      </c>
      <c r="F67" s="305"/>
      <c r="G67" s="190">
        <f t="shared" si="2"/>
        <v>0</v>
      </c>
      <c r="H67" s="225"/>
    </row>
    <row r="68" spans="1:10" s="249" customFormat="1" ht="16.5" thickBot="1" x14ac:dyDescent="0.3">
      <c r="A68" s="225"/>
      <c r="B68" s="63" t="s">
        <v>82</v>
      </c>
      <c r="C68" s="64" t="s">
        <v>83</v>
      </c>
      <c r="D68" s="65">
        <v>2.5</v>
      </c>
      <c r="E68" s="216">
        <f t="shared" si="3"/>
        <v>8626.2083333333321</v>
      </c>
      <c r="F68" s="306"/>
      <c r="G68" s="193">
        <f t="shared" si="2"/>
        <v>0</v>
      </c>
      <c r="H68" s="225"/>
    </row>
    <row r="69" spans="1:10" s="249" customFormat="1" ht="16.5" thickBot="1" x14ac:dyDescent="0.3">
      <c r="A69" s="225"/>
      <c r="B69" s="95" t="s">
        <v>84</v>
      </c>
      <c r="C69" s="226"/>
      <c r="D69" s="227"/>
      <c r="E69" s="228"/>
      <c r="F69" s="234"/>
      <c r="G69" s="66">
        <f>SUM(G60:G68)</f>
        <v>0</v>
      </c>
      <c r="H69" s="225"/>
      <c r="I69" s="208"/>
    </row>
    <row r="70" spans="1:10" s="249" customFormat="1" ht="16.5" thickBot="1" x14ac:dyDescent="0.3">
      <c r="A70" s="225"/>
      <c r="B70" s="238"/>
      <c r="C70" s="282"/>
      <c r="D70" s="283"/>
      <c r="E70" s="281"/>
      <c r="F70" s="234"/>
      <c r="G70" s="208"/>
      <c r="H70" s="225"/>
    </row>
    <row r="71" spans="1:10" s="249" customFormat="1" ht="16.5" thickBot="1" x14ac:dyDescent="0.3">
      <c r="A71" s="225"/>
      <c r="B71" s="113" t="s">
        <v>85</v>
      </c>
      <c r="C71" s="114"/>
      <c r="D71" s="105" t="s">
        <v>13</v>
      </c>
      <c r="E71" s="48" t="s">
        <v>62</v>
      </c>
      <c r="F71" s="234"/>
      <c r="G71" s="208"/>
      <c r="H71" s="225"/>
    </row>
    <row r="72" spans="1:10" s="249" customFormat="1" ht="15.75" x14ac:dyDescent="0.25">
      <c r="A72" s="225"/>
      <c r="B72" s="74" t="s">
        <v>86</v>
      </c>
      <c r="C72" s="67" t="s">
        <v>87</v>
      </c>
      <c r="D72" s="295"/>
      <c r="E72" s="291"/>
      <c r="F72" s="234"/>
      <c r="G72" s="208"/>
      <c r="H72" s="225"/>
    </row>
    <row r="73" spans="1:10" s="249" customFormat="1" ht="15.75" x14ac:dyDescent="0.25">
      <c r="A73" s="225"/>
      <c r="B73" s="26" t="s">
        <v>88</v>
      </c>
      <c r="C73" s="27" t="s">
        <v>89</v>
      </c>
      <c r="D73" s="54">
        <v>0.04</v>
      </c>
      <c r="E73" s="217">
        <f>ROUND(IF($E$18+E20+E21+E22&lt;=($C$5*25),ROUND($E$18+E20+E21+E22,-3),ROUND($C$5*25,-3))*D73,-2)</f>
        <v>33100</v>
      </c>
      <c r="F73" s="234"/>
      <c r="H73" s="225"/>
    </row>
    <row r="74" spans="1:10" s="249" customFormat="1" ht="15.75" x14ac:dyDescent="0.25">
      <c r="A74" s="225"/>
      <c r="B74" s="26" t="s">
        <v>90</v>
      </c>
      <c r="C74" s="37" t="s">
        <v>91</v>
      </c>
      <c r="D74" s="54">
        <v>0.04</v>
      </c>
      <c r="E74" s="217">
        <f>ROUND(IF($E$18+E20+E21+E22&lt;=($C$5*25),ROUND($E$18+E20+E21+E22,-3),ROUND($C$5*25,-3))*D74,-2)</f>
        <v>33100</v>
      </c>
      <c r="F74" s="234"/>
      <c r="G74" s="208"/>
      <c r="H74" s="225"/>
    </row>
    <row r="75" spans="1:10" s="249" customFormat="1" ht="15.75" x14ac:dyDescent="0.25">
      <c r="A75" s="225"/>
      <c r="B75" s="26" t="s">
        <v>92</v>
      </c>
      <c r="C75" s="37" t="s">
        <v>93</v>
      </c>
      <c r="D75" s="79">
        <f>IF(E18+E20+E21+E22&lt;(C5*4),0,0.01)</f>
        <v>0</v>
      </c>
      <c r="E75" s="29">
        <f>IF(E18+E20+E21+E22&lt;(C5*4),0,(E18+E20+E21+E22)*D75)</f>
        <v>0</v>
      </c>
      <c r="F75" s="234"/>
      <c r="G75" s="208"/>
      <c r="H75" s="225"/>
    </row>
    <row r="76" spans="1:10" s="249" customFormat="1" ht="15.75" x14ac:dyDescent="0.25">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6.5" thickBot="1" x14ac:dyDescent="0.3">
      <c r="A77" s="225"/>
      <c r="B77" s="94" t="s">
        <v>96</v>
      </c>
      <c r="C77" s="69"/>
      <c r="D77" s="196"/>
      <c r="E77" s="70">
        <f>SUM(E72:E76)</f>
        <v>66200</v>
      </c>
      <c r="F77" s="234"/>
      <c r="G77" s="208"/>
      <c r="H77" s="225"/>
    </row>
    <row r="78" spans="1:10" s="249" customFormat="1" ht="15.75" x14ac:dyDescent="0.25">
      <c r="A78" s="225"/>
      <c r="B78" s="238"/>
      <c r="C78" s="282"/>
      <c r="D78" s="283"/>
      <c r="E78" s="281"/>
      <c r="F78" s="234"/>
      <c r="G78" s="208"/>
      <c r="H78" s="225"/>
    </row>
    <row r="79" spans="1:10" ht="16.5" thickBot="1" x14ac:dyDescent="0.3">
      <c r="B79" s="238"/>
      <c r="C79" s="282"/>
      <c r="D79" s="285"/>
      <c r="E79" s="281"/>
    </row>
    <row r="80" spans="1:10" ht="16.5" thickBot="1" x14ac:dyDescent="0.3">
      <c r="B80" s="71" t="s">
        <v>97</v>
      </c>
      <c r="C80" s="72"/>
      <c r="D80" s="19"/>
      <c r="E80" s="73"/>
    </row>
    <row r="81" spans="2:5" s="225" customFormat="1" ht="15.75" x14ac:dyDescent="0.25">
      <c r="B81" s="74" t="s">
        <v>98</v>
      </c>
      <c r="C81" s="218">
        <f>$C$5*16</f>
        <v>13249856</v>
      </c>
      <c r="D81" s="75">
        <v>0</v>
      </c>
      <c r="E81" s="76"/>
    </row>
    <row r="82" spans="2:5" s="225" customFormat="1" ht="15.75" x14ac:dyDescent="0.25">
      <c r="B82" s="39" t="s">
        <v>99</v>
      </c>
      <c r="C82" s="219">
        <f>$C$5*17</f>
        <v>14077972</v>
      </c>
      <c r="D82" s="77">
        <v>2E-3</v>
      </c>
      <c r="E82" s="78"/>
    </row>
    <row r="83" spans="2:5" s="225" customFormat="1" ht="15.75" x14ac:dyDescent="0.25">
      <c r="B83" s="39" t="s">
        <v>100</v>
      </c>
      <c r="C83" s="220">
        <f>$C$5*18</f>
        <v>14906088</v>
      </c>
      <c r="D83" s="79">
        <v>4.0000000000000001E-3</v>
      </c>
      <c r="E83" s="29"/>
    </row>
    <row r="84" spans="2:5" s="225" customFormat="1" ht="15.75" x14ac:dyDescent="0.25">
      <c r="B84" s="39" t="s">
        <v>101</v>
      </c>
      <c r="C84" s="220">
        <f>$C$5*19</f>
        <v>15734204</v>
      </c>
      <c r="D84" s="79">
        <v>6.0000000000000001E-3</v>
      </c>
      <c r="E84" s="29"/>
    </row>
    <row r="85" spans="2:5" s="225" customFormat="1" ht="15.75" x14ac:dyDescent="0.25">
      <c r="B85" s="39" t="s">
        <v>102</v>
      </c>
      <c r="C85" s="220">
        <f>$C$5*20</f>
        <v>16562320</v>
      </c>
      <c r="D85" s="79">
        <v>8.0000000000000002E-3</v>
      </c>
      <c r="E85" s="29"/>
    </row>
    <row r="86" spans="2:5" s="225" customFormat="1" ht="16.5" thickBot="1" x14ac:dyDescent="0.3">
      <c r="B86" s="80" t="s">
        <v>103</v>
      </c>
      <c r="C86" s="221">
        <f>+C85</f>
        <v>16562320</v>
      </c>
      <c r="D86" s="81">
        <v>0.01</v>
      </c>
      <c r="E86" s="82"/>
    </row>
    <row r="87" spans="2:5" s="225" customFormat="1" x14ac:dyDescent="0.2">
      <c r="B87" s="245"/>
      <c r="C87" s="287"/>
      <c r="D87" s="288"/>
      <c r="E87" s="149" t="str">
        <f>+B69</f>
        <v>V 1.0 -23.12. 2018</v>
      </c>
    </row>
    <row r="88" spans="2:5" s="225" customFormat="1" ht="14.25" x14ac:dyDescent="0.2">
      <c r="C88" s="226"/>
      <c r="D88" s="289"/>
      <c r="E88" s="290"/>
    </row>
    <row r="89" spans="2:5" s="225" customFormat="1" ht="15" x14ac:dyDescent="0.2">
      <c r="C89" s="286"/>
      <c r="D89" s="227"/>
      <c r="E89" s="228"/>
    </row>
    <row r="90" spans="2:5" s="225" customFormat="1" ht="15" x14ac:dyDescent="0.2">
      <c r="B90" s="349"/>
      <c r="C90" s="286"/>
      <c r="D90" s="227"/>
      <c r="E90" s="228"/>
    </row>
    <row r="91" spans="2:5" s="225" customFormat="1" ht="15" x14ac:dyDescent="0.2">
      <c r="C91" s="286"/>
      <c r="D91" s="227"/>
      <c r="E91" s="228"/>
    </row>
    <row r="92" spans="2:5" s="225" customFormat="1" ht="15" x14ac:dyDescent="0.2">
      <c r="C92" s="286"/>
      <c r="D92" s="227"/>
      <c r="E92" s="228"/>
    </row>
    <row r="93" spans="2:5" s="225" customFormat="1" ht="15" x14ac:dyDescent="0.2">
      <c r="C93" s="286"/>
      <c r="D93" s="227"/>
      <c r="E93" s="228"/>
    </row>
    <row r="94" spans="2:5" s="225" customFormat="1" ht="15" x14ac:dyDescent="0.2">
      <c r="C94" s="286"/>
      <c r="D94" s="227"/>
      <c r="E94" s="228"/>
    </row>
    <row r="95" spans="2:5" s="225" customFormat="1" ht="15" x14ac:dyDescent="0.2">
      <c r="C95" s="286"/>
      <c r="D95" s="227"/>
      <c r="E95" s="228"/>
    </row>
    <row r="96" spans="2:5" s="225" customFormat="1" ht="15" x14ac:dyDescent="0.2">
      <c r="C96" s="286"/>
      <c r="D96" s="227"/>
      <c r="E96" s="228"/>
    </row>
    <row r="97" spans="3:3" s="225" customFormat="1" ht="15" x14ac:dyDescent="0.2">
      <c r="C97" s="286"/>
    </row>
    <row r="98" spans="3:3" s="225" customFormat="1" ht="15" x14ac:dyDescent="0.2">
      <c r="C98" s="286"/>
    </row>
    <row r="99" spans="3:3" s="225" customFormat="1" ht="15" x14ac:dyDescent="0.2">
      <c r="C99" s="286"/>
    </row>
    <row r="65536" spans="256:256" s="225" customFormat="1" x14ac:dyDescent="0.2">
      <c r="IV65536" s="322">
        <v>2017</v>
      </c>
    </row>
  </sheetData>
  <sheetProtection password="CCF3" sheet="1" objects="1" scenarios="1"/>
  <phoneticPr fontId="7" type="noConversion"/>
  <dataValidations count="2">
    <dataValidation type="list" allowBlank="1" showInputMessage="1" showErrorMessage="1" sqref="C11" xr:uid="{00000000-0002-0000-0000-000000000000}">
      <formula1>$IV$6:$IV$10</formula1>
    </dataValidation>
    <dataValidation type="list" allowBlank="1" showInputMessage="1" showErrorMessage="1" sqref="D13" xr:uid="{00000000-0002-0000-0000-000001000000}">
      <formula1>$IV$13:$IV$16</formula1>
    </dataValidation>
  </dataValidations>
  <pageMargins left="0.25" right="0.25" top="0.75" bottom="0.75" header="0.3" footer="0.3"/>
  <pageSetup scale="10" orientation="portrait" horizontalDpi="0" verticalDpi="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26"/>
    <pageSetUpPr fitToPage="1"/>
  </sheetPr>
  <dimension ref="A1:IV65536"/>
  <sheetViews>
    <sheetView showGridLines="0" zoomScaleSheetLayoutView="70" workbookViewId="0">
      <selection activeCell="H33" sqref="H33"/>
    </sheetView>
  </sheetViews>
  <sheetFormatPr baseColWidth="10" defaultColWidth="11.42578125" defaultRowHeight="12.75" x14ac:dyDescent="0.2"/>
  <cols>
    <col min="1" max="1" width="3.28515625" style="1" customWidth="1"/>
    <col min="2" max="2" width="45.28515625" style="1" customWidth="1"/>
    <col min="3" max="3" width="58.85546875" style="2" customWidth="1"/>
    <col min="4" max="4" width="11" style="3" customWidth="1"/>
    <col min="5" max="5" width="17.28515625" style="4" customWidth="1"/>
    <col min="6" max="6" width="10.42578125" style="5" customWidth="1"/>
    <col min="7" max="7" width="13.85546875" style="5" customWidth="1"/>
    <col min="8" max="8" width="7.7109375" style="1" customWidth="1"/>
    <col min="9" max="9" width="13.28515625" style="1" bestFit="1" customWidth="1"/>
    <col min="10" max="10" width="12" style="1" bestFit="1" customWidth="1"/>
    <col min="11" max="16384" width="11.42578125" style="1"/>
  </cols>
  <sheetData>
    <row r="1" spans="1:256" ht="11.25" customHeight="1" x14ac:dyDescent="0.2">
      <c r="A1" s="155"/>
      <c r="B1" s="155"/>
      <c r="C1" s="115"/>
      <c r="D1" s="116"/>
      <c r="F1" s="156"/>
      <c r="G1" s="156"/>
    </row>
    <row r="2" spans="1:256" ht="18" customHeight="1" x14ac:dyDescent="0.25">
      <c r="A2" s="155"/>
      <c r="B2" s="87" t="s">
        <v>0</v>
      </c>
      <c r="C2" s="88"/>
      <c r="D2" s="89"/>
      <c r="E2" s="90"/>
      <c r="F2" s="156"/>
      <c r="G2" s="156"/>
    </row>
    <row r="3" spans="1:256" ht="14.25" customHeight="1" thickBot="1" x14ac:dyDescent="0.25">
      <c r="A3" s="155"/>
      <c r="B3" s="155"/>
      <c r="C3" s="115"/>
      <c r="D3" s="116"/>
      <c r="F3" s="156"/>
      <c r="G3" s="156"/>
    </row>
    <row r="4" spans="1:256" ht="18.75" customHeight="1" thickBot="1" x14ac:dyDescent="0.35">
      <c r="A4" s="155"/>
      <c r="B4" s="146" t="s">
        <v>145</v>
      </c>
      <c r="C4" s="117"/>
      <c r="D4" s="116"/>
      <c r="F4" s="156"/>
      <c r="G4" s="156"/>
    </row>
    <row r="5" spans="1:256" ht="18.75" customHeight="1" x14ac:dyDescent="0.25">
      <c r="A5" s="155"/>
      <c r="B5" s="6" t="s">
        <v>2</v>
      </c>
      <c r="C5" s="76">
        <v>515000</v>
      </c>
      <c r="D5" s="116"/>
      <c r="E5" s="351"/>
      <c r="F5" s="156"/>
      <c r="G5" s="156"/>
      <c r="I5" s="156"/>
    </row>
    <row r="6" spans="1:256" ht="18.75" customHeight="1" thickBot="1" x14ac:dyDescent="0.3">
      <c r="A6" s="155"/>
      <c r="B6" s="159" t="s">
        <v>3</v>
      </c>
      <c r="C6" s="82">
        <v>61500</v>
      </c>
      <c r="D6" s="116"/>
      <c r="F6" s="156"/>
      <c r="G6" s="156"/>
      <c r="I6" s="160"/>
      <c r="J6" s="150"/>
      <c r="IV6" s="7">
        <v>5.2199999999999998E-3</v>
      </c>
    </row>
    <row r="7" spans="1:256" ht="13.5" customHeight="1" x14ac:dyDescent="0.25">
      <c r="A7" s="155"/>
      <c r="B7" s="161"/>
      <c r="C7" s="162"/>
      <c r="D7" s="116"/>
      <c r="F7" s="156"/>
      <c r="G7" s="156"/>
      <c r="IV7" s="7">
        <v>1.044E-2</v>
      </c>
    </row>
    <row r="8" spans="1:256" ht="12.75" customHeight="1" x14ac:dyDescent="0.2">
      <c r="A8" s="155"/>
      <c r="B8" s="161"/>
      <c r="C8" s="161"/>
      <c r="D8" s="116"/>
      <c r="F8" s="156"/>
      <c r="G8" s="156"/>
      <c r="IV8" s="7">
        <v>2.436E-2</v>
      </c>
    </row>
    <row r="9" spans="1:256" ht="12" customHeight="1" thickBot="1" x14ac:dyDescent="0.25">
      <c r="A9" s="155"/>
      <c r="B9" s="9" t="s">
        <v>4</v>
      </c>
      <c r="C9" s="147" t="s">
        <v>130</v>
      </c>
      <c r="D9" s="118"/>
      <c r="E9" s="10"/>
      <c r="F9" s="156"/>
      <c r="G9" s="156"/>
      <c r="IV9" s="7">
        <v>4.3499999999999997E-2</v>
      </c>
    </row>
    <row r="10" spans="1:256" ht="18.75" customHeight="1" x14ac:dyDescent="0.25">
      <c r="A10" s="155"/>
      <c r="B10" s="11" t="s">
        <v>6</v>
      </c>
      <c r="C10" s="100">
        <v>515000</v>
      </c>
      <c r="D10" s="119"/>
      <c r="E10" s="163"/>
      <c r="F10" s="156"/>
      <c r="G10" s="120"/>
      <c r="H10" s="12"/>
      <c r="IV10" s="7">
        <v>6.9599999999999995E-2</v>
      </c>
    </row>
    <row r="11" spans="1:256" ht="18.75" customHeight="1" x14ac:dyDescent="0.2">
      <c r="A11" s="155"/>
      <c r="B11" s="13" t="s">
        <v>7</v>
      </c>
      <c r="C11" s="14">
        <v>5.2199999999999998E-3</v>
      </c>
      <c r="D11" s="118"/>
      <c r="E11" s="10"/>
      <c r="F11" s="156"/>
      <c r="G11" s="120"/>
      <c r="H11" s="12"/>
    </row>
    <row r="12" spans="1:256" ht="18.75" customHeight="1" thickBot="1" x14ac:dyDescent="0.3">
      <c r="A12" s="155"/>
      <c r="B12" s="15" t="s">
        <v>8</v>
      </c>
      <c r="C12" s="164"/>
      <c r="D12" s="118"/>
      <c r="E12" s="10"/>
      <c r="F12" s="156"/>
      <c r="G12" s="121"/>
      <c r="H12" s="12"/>
      <c r="IR12" s="16"/>
      <c r="IV12" s="18"/>
    </row>
    <row r="13" spans="1:256" ht="10.5" customHeight="1" x14ac:dyDescent="0.2">
      <c r="A13" s="155"/>
      <c r="B13" s="161"/>
      <c r="C13" s="121"/>
      <c r="D13" s="118"/>
      <c r="E13" s="10"/>
      <c r="F13" s="156"/>
      <c r="G13" s="120"/>
      <c r="H13" s="12"/>
      <c r="IR13" s="16"/>
    </row>
    <row r="14" spans="1:256" ht="10.5" customHeight="1" thickBot="1" x14ac:dyDescent="0.25">
      <c r="A14" s="155"/>
      <c r="B14" s="165"/>
      <c r="C14" s="122"/>
      <c r="D14" s="123"/>
      <c r="F14" s="166"/>
      <c r="G14" s="120"/>
      <c r="H14" s="12"/>
      <c r="IR14" s="16"/>
    </row>
    <row r="15" spans="1:256" s="18" customFormat="1" ht="18.75" customHeight="1" x14ac:dyDescent="0.25">
      <c r="A15" s="167"/>
      <c r="B15" s="96" t="s">
        <v>11</v>
      </c>
      <c r="C15" s="97" t="s">
        <v>12</v>
      </c>
      <c r="D15" s="98" t="s">
        <v>13</v>
      </c>
      <c r="E15" s="99" t="s">
        <v>131</v>
      </c>
      <c r="F15" s="168"/>
      <c r="G15" s="120"/>
      <c r="H15" s="12"/>
      <c r="IR15" s="20"/>
    </row>
    <row r="16" spans="1:256" s="18" customFormat="1" ht="9" customHeight="1" x14ac:dyDescent="0.25">
      <c r="A16" s="167"/>
      <c r="B16" s="169"/>
      <c r="C16" s="162"/>
      <c r="D16" s="162"/>
      <c r="E16" s="21"/>
      <c r="F16" s="168"/>
      <c r="G16" s="168"/>
      <c r="IR16" s="20"/>
    </row>
    <row r="17" spans="1:252" s="18" customFormat="1" ht="18.75" customHeight="1" x14ac:dyDescent="0.25">
      <c r="A17" s="167"/>
      <c r="B17" s="22" t="s">
        <v>17</v>
      </c>
      <c r="C17" s="23"/>
      <c r="D17" s="24"/>
      <c r="E17" s="25"/>
      <c r="F17" s="168"/>
      <c r="G17" s="168"/>
      <c r="IR17" s="20"/>
    </row>
    <row r="18" spans="1:252" s="18" customFormat="1" ht="18.75" customHeight="1" x14ac:dyDescent="0.25">
      <c r="A18" s="167"/>
      <c r="B18" s="26" t="s">
        <v>18</v>
      </c>
      <c r="C18" s="27" t="s">
        <v>19</v>
      </c>
      <c r="D18" s="170"/>
      <c r="E18" s="29">
        <f>IF(C10&lt;C5,FALSE,C10)</f>
        <v>515000</v>
      </c>
      <c r="F18" s="171"/>
      <c r="G18" s="168"/>
      <c r="IR18" s="20"/>
    </row>
    <row r="19" spans="1:252" s="18" customFormat="1" ht="18.75" customHeight="1" x14ac:dyDescent="0.25">
      <c r="A19" s="167"/>
      <c r="B19" s="26" t="s">
        <v>20</v>
      </c>
      <c r="C19" s="27" t="s">
        <v>146</v>
      </c>
      <c r="D19" s="170"/>
      <c r="E19" s="29">
        <f>IF(E18+E20+E21+E22&lt;=(C5*2),C6,0)</f>
        <v>61500</v>
      </c>
      <c r="F19" s="171"/>
      <c r="G19" s="168"/>
    </row>
    <row r="20" spans="1:252" s="18" customFormat="1" ht="18.75" customHeight="1" x14ac:dyDescent="0.25">
      <c r="A20" s="167"/>
      <c r="B20" s="26" t="s">
        <v>22</v>
      </c>
      <c r="C20" s="27" t="s">
        <v>23</v>
      </c>
      <c r="D20" s="170"/>
      <c r="E20" s="34"/>
      <c r="F20" s="171"/>
      <c r="G20" s="168"/>
      <c r="J20" s="151"/>
    </row>
    <row r="21" spans="1:252" s="18" customFormat="1" ht="18.75" customHeight="1" x14ac:dyDescent="0.25">
      <c r="A21" s="167"/>
      <c r="B21" s="26" t="s">
        <v>118</v>
      </c>
      <c r="C21" s="27" t="s">
        <v>25</v>
      </c>
      <c r="D21" s="170"/>
      <c r="E21" s="34"/>
      <c r="F21" s="171"/>
      <c r="G21" s="168"/>
    </row>
    <row r="22" spans="1:252" s="18" customFormat="1" ht="18.75" customHeight="1" x14ac:dyDescent="0.25">
      <c r="A22" s="167"/>
      <c r="B22" s="26" t="s">
        <v>26</v>
      </c>
      <c r="C22" s="27" t="s">
        <v>110</v>
      </c>
      <c r="D22" s="170"/>
      <c r="E22" s="34"/>
      <c r="F22" s="171"/>
      <c r="G22" s="168"/>
    </row>
    <row r="23" spans="1:252" s="18" customFormat="1" ht="18.75" customHeight="1" x14ac:dyDescent="0.25">
      <c r="A23" s="167"/>
      <c r="B23" s="148" t="s">
        <v>28</v>
      </c>
      <c r="C23" s="125"/>
      <c r="D23" s="172"/>
      <c r="E23" s="30">
        <f>SUM(E18:E22)</f>
        <v>576500</v>
      </c>
      <c r="F23" s="173"/>
      <c r="G23" s="173"/>
    </row>
    <row r="24" spans="1:252" s="18" customFormat="1" ht="18.75" customHeight="1" x14ac:dyDescent="0.25">
      <c r="A24" s="167"/>
      <c r="B24" s="174"/>
      <c r="C24" s="126"/>
      <c r="D24" s="175"/>
      <c r="E24" s="34"/>
      <c r="F24" s="173"/>
      <c r="G24" s="173"/>
    </row>
    <row r="25" spans="1:252" s="18" customFormat="1" ht="18.75" customHeight="1" x14ac:dyDescent="0.25">
      <c r="A25" s="167"/>
      <c r="B25" s="101" t="s">
        <v>29</v>
      </c>
      <c r="C25" s="23"/>
      <c r="D25" s="24"/>
      <c r="E25" s="34"/>
      <c r="F25" s="173"/>
      <c r="G25" s="173"/>
    </row>
    <row r="26" spans="1:252" s="18" customFormat="1" ht="18.75" customHeight="1" x14ac:dyDescent="0.25">
      <c r="A26" s="167"/>
      <c r="B26" s="26" t="s">
        <v>30</v>
      </c>
      <c r="C26" s="27" t="s">
        <v>31</v>
      </c>
      <c r="D26" s="35">
        <v>8.3333333333333343E-2</v>
      </c>
      <c r="E26" s="29">
        <f>E23*D26</f>
        <v>48041.666666666672</v>
      </c>
      <c r="F26" s="168"/>
      <c r="G26" s="168"/>
    </row>
    <row r="27" spans="1:252" s="18" customFormat="1" ht="18.75" customHeight="1" x14ac:dyDescent="0.25">
      <c r="A27" s="167"/>
      <c r="B27" s="26" t="s">
        <v>32</v>
      </c>
      <c r="C27" s="27" t="s">
        <v>33</v>
      </c>
      <c r="D27" s="36">
        <v>0.12</v>
      </c>
      <c r="E27" s="29">
        <f>+E26*D27</f>
        <v>5765</v>
      </c>
      <c r="F27" s="168"/>
      <c r="G27" s="168"/>
    </row>
    <row r="28" spans="1:252" s="18" customFormat="1" ht="18.75" customHeight="1" x14ac:dyDescent="0.25">
      <c r="A28" s="167"/>
      <c r="B28" s="26" t="s">
        <v>34</v>
      </c>
      <c r="C28" s="27" t="s">
        <v>31</v>
      </c>
      <c r="D28" s="35">
        <v>8.3333333333333343E-2</v>
      </c>
      <c r="E28" s="29">
        <f>E23*D28</f>
        <v>48041.666666666672</v>
      </c>
      <c r="F28" s="168"/>
      <c r="G28" s="168"/>
    </row>
    <row r="29" spans="1:252" s="18" customFormat="1" ht="18.75" customHeight="1" x14ac:dyDescent="0.25">
      <c r="A29" s="167"/>
      <c r="B29" s="26" t="s">
        <v>35</v>
      </c>
      <c r="C29" s="37" t="s">
        <v>36</v>
      </c>
      <c r="D29" s="35">
        <v>4.1666666666666664E-2</v>
      </c>
      <c r="E29" s="29">
        <f>(E18+E20)*D29</f>
        <v>21458.333333333332</v>
      </c>
      <c r="F29" s="168"/>
      <c r="G29" s="176"/>
    </row>
    <row r="30" spans="1:252" s="18" customFormat="1" ht="18.75" customHeight="1" x14ac:dyDescent="0.25">
      <c r="A30" s="167"/>
      <c r="B30" s="177" t="s">
        <v>37</v>
      </c>
      <c r="C30" s="128"/>
      <c r="D30" s="175"/>
      <c r="E30" s="30">
        <f>SUM(E26:E29)</f>
        <v>123306.66666666667</v>
      </c>
      <c r="F30" s="168"/>
      <c r="G30" s="168"/>
    </row>
    <row r="31" spans="1:252" s="18" customFormat="1" ht="18.75" customHeight="1" x14ac:dyDescent="0.2">
      <c r="A31" s="167"/>
      <c r="B31" s="178"/>
      <c r="C31" s="124"/>
      <c r="D31" s="170"/>
      <c r="E31" s="25"/>
      <c r="F31" s="168"/>
      <c r="G31" s="168"/>
      <c r="H31" s="8"/>
    </row>
    <row r="32" spans="1:252" s="18" customFormat="1" ht="18.75" customHeight="1" x14ac:dyDescent="0.25">
      <c r="A32" s="167"/>
      <c r="B32" s="22" t="s">
        <v>38</v>
      </c>
      <c r="C32" s="23"/>
      <c r="D32" s="24"/>
      <c r="E32" s="25"/>
      <c r="F32" s="168"/>
      <c r="G32" s="168"/>
      <c r="H32" s="8"/>
    </row>
    <row r="33" spans="1:9" s="18" customFormat="1" ht="18.75" customHeight="1" x14ac:dyDescent="0.25">
      <c r="A33" s="167"/>
      <c r="B33" s="39" t="s">
        <v>39</v>
      </c>
      <c r="C33" s="85">
        <f>ROUND(IF($E$18+E20+E21+E22&lt;=($C$5*25),ROUND($E$18+E20+E21+E22,-3),ROUND($C$5*25,-3))*0.125,-2)</f>
        <v>64400</v>
      </c>
      <c r="D33" s="36">
        <v>8.5000000000000006E-2</v>
      </c>
      <c r="E33" s="29">
        <f>C33-E73</f>
        <v>43800</v>
      </c>
      <c r="F33" s="168"/>
      <c r="G33" s="179"/>
      <c r="H33" s="40"/>
      <c r="I33" s="144"/>
    </row>
    <row r="34" spans="1:9" s="18" customFormat="1" ht="18.75" customHeight="1" x14ac:dyDescent="0.25">
      <c r="A34" s="167"/>
      <c r="B34" s="26" t="s">
        <v>40</v>
      </c>
      <c r="C34" s="85">
        <f>ROUND(IF($E$18+E20+E21+E22&lt;=($C$5*25),ROUND($E$18+E20+E21+E22,-3),ROUND($C$5*25,-3))*0.16,-2)</f>
        <v>82400</v>
      </c>
      <c r="D34" s="36">
        <v>0.12</v>
      </c>
      <c r="E34" s="29">
        <f>C34-E74</f>
        <v>61800</v>
      </c>
      <c r="F34" s="168"/>
      <c r="G34" s="179"/>
      <c r="H34" s="41"/>
    </row>
    <row r="35" spans="1:9" s="18" customFormat="1" ht="18.75" customHeight="1" x14ac:dyDescent="0.25">
      <c r="A35" s="167"/>
      <c r="B35" s="26" t="s">
        <v>119</v>
      </c>
      <c r="C35" s="37" t="s">
        <v>42</v>
      </c>
      <c r="D35" s="28">
        <f>C11</f>
        <v>5.2199999999999998E-3</v>
      </c>
      <c r="E35" s="29">
        <f>ROUND(IF($E$18+E21+E20+E22&lt;=($C$5*20),ROUND($E$18+E20+E21+E22,-3),ROUND($C$5*20,-3))*D35,-2)</f>
        <v>2700</v>
      </c>
      <c r="F35" s="168"/>
      <c r="G35" s="168"/>
      <c r="H35" s="8"/>
    </row>
    <row r="36" spans="1:9" s="18" customFormat="1" ht="18.75" customHeight="1" x14ac:dyDescent="0.25">
      <c r="A36" s="167"/>
      <c r="B36" s="26" t="s">
        <v>43</v>
      </c>
      <c r="C36" s="127"/>
      <c r="D36" s="36">
        <v>8.5000000000000006E-2</v>
      </c>
      <c r="E36" s="29">
        <f>ROUND(IF($E$29&lt;=($C$5*25),ROUND($E$29,-3),ROUND($C$5*25,-3))*D36,-2)</f>
        <v>1800</v>
      </c>
      <c r="F36" s="168"/>
      <c r="G36" s="168"/>
    </row>
    <row r="37" spans="1:9" s="18" customFormat="1" ht="18.75" customHeight="1" x14ac:dyDescent="0.25">
      <c r="A37" s="167"/>
      <c r="B37" s="26" t="s">
        <v>44</v>
      </c>
      <c r="C37" s="127"/>
      <c r="D37" s="36">
        <v>0.12</v>
      </c>
      <c r="E37" s="29">
        <f>ROUND(IF($E$29&lt;=($C$5*25),ROUND($E$29,-3),ROUND($C$5*25,-3))*D37,-2)</f>
        <v>2500</v>
      </c>
      <c r="F37" s="168"/>
      <c r="G37" s="168"/>
    </row>
    <row r="38" spans="1:9" s="18" customFormat="1" ht="18.75" customHeight="1" x14ac:dyDescent="0.25">
      <c r="A38" s="167"/>
      <c r="B38" s="177" t="s">
        <v>45</v>
      </c>
      <c r="C38" s="128"/>
      <c r="D38" s="175"/>
      <c r="E38" s="30">
        <f>SUM(E33:E37)</f>
        <v>112600</v>
      </c>
      <c r="F38" s="168"/>
      <c r="G38" s="168"/>
    </row>
    <row r="39" spans="1:9" s="18" customFormat="1" ht="18.75" customHeight="1" x14ac:dyDescent="0.2">
      <c r="A39" s="167"/>
      <c r="B39" s="178"/>
      <c r="C39" s="124"/>
      <c r="D39" s="170"/>
      <c r="E39" s="25"/>
      <c r="F39" s="168"/>
      <c r="G39" s="168"/>
    </row>
    <row r="40" spans="1:9" s="18" customFormat="1" ht="18.75" customHeight="1" x14ac:dyDescent="0.25">
      <c r="A40" s="167"/>
      <c r="B40" s="22" t="s">
        <v>46</v>
      </c>
      <c r="C40" s="23"/>
      <c r="D40" s="24"/>
      <c r="E40" s="25"/>
      <c r="F40" s="168"/>
      <c r="G40" s="168"/>
    </row>
    <row r="41" spans="1:9" s="18" customFormat="1" ht="18.75" customHeight="1" x14ac:dyDescent="0.25">
      <c r="A41" s="167"/>
      <c r="B41" s="26" t="s">
        <v>47</v>
      </c>
      <c r="C41" s="37" t="s">
        <v>137</v>
      </c>
      <c r="D41" s="36">
        <v>0.09</v>
      </c>
      <c r="E41" s="29">
        <f>ROUND(ROUND(E18+E20+E21+E22,-3)*D41,-2)</f>
        <v>46400</v>
      </c>
      <c r="F41" s="168"/>
      <c r="G41" s="168"/>
    </row>
    <row r="42" spans="1:9" s="18" customFormat="1" ht="18.75" customHeight="1" x14ac:dyDescent="0.25">
      <c r="A42" s="167"/>
      <c r="B42" s="26" t="s">
        <v>49</v>
      </c>
      <c r="C42" s="127"/>
      <c r="D42" s="36">
        <v>0.09</v>
      </c>
      <c r="E42" s="29">
        <f>ROUND(ROUND(E29,-3)*D42,-2)</f>
        <v>1900</v>
      </c>
      <c r="F42" s="168"/>
      <c r="G42" s="168"/>
    </row>
    <row r="43" spans="1:9" s="18" customFormat="1" ht="18.75" customHeight="1" x14ac:dyDescent="0.25">
      <c r="A43" s="167"/>
      <c r="B43" s="177" t="s">
        <v>50</v>
      </c>
      <c r="C43" s="128"/>
      <c r="D43" s="175"/>
      <c r="E43" s="30">
        <f>SUM(E41:E42)</f>
        <v>48300</v>
      </c>
      <c r="F43" s="168"/>
      <c r="G43" s="168"/>
    </row>
    <row r="44" spans="1:9" s="18" customFormat="1" ht="18.75" customHeight="1" x14ac:dyDescent="0.2">
      <c r="A44" s="167"/>
      <c r="B44" s="180"/>
      <c r="C44" s="127"/>
      <c r="D44" s="170"/>
      <c r="E44" s="25"/>
      <c r="F44" s="168"/>
      <c r="G44" s="168"/>
    </row>
    <row r="45" spans="1:9" s="18" customFormat="1" ht="18.75" customHeight="1" x14ac:dyDescent="0.25">
      <c r="A45" s="167"/>
      <c r="B45" s="22" t="s">
        <v>51</v>
      </c>
      <c r="C45" s="23"/>
      <c r="D45" s="24"/>
      <c r="E45" s="25"/>
      <c r="F45" s="168"/>
      <c r="G45" s="168"/>
    </row>
    <row r="46" spans="1:9" s="18" customFormat="1" ht="18.75" customHeight="1" x14ac:dyDescent="0.25">
      <c r="A46" s="167"/>
      <c r="B46" s="39" t="s">
        <v>53</v>
      </c>
      <c r="C46" s="37" t="s">
        <v>54</v>
      </c>
      <c r="D46" s="181"/>
      <c r="E46" s="29">
        <f>IF(E18+E20+E21+E22&lt;=C5*2,(C12*3)/12,0)</f>
        <v>0</v>
      </c>
      <c r="F46" s="168"/>
      <c r="G46" s="168"/>
    </row>
    <row r="47" spans="1:9" s="18" customFormat="1" ht="18.75" customHeight="1" x14ac:dyDescent="0.2">
      <c r="A47" s="167"/>
      <c r="B47" s="178"/>
      <c r="C47" s="124"/>
      <c r="D47" s="170"/>
      <c r="E47" s="182"/>
      <c r="F47" s="168"/>
      <c r="G47" s="168"/>
    </row>
    <row r="48" spans="1:9" s="18" customFormat="1" ht="18.75" customHeight="1" x14ac:dyDescent="0.25">
      <c r="A48" s="167"/>
      <c r="B48" s="31" t="s">
        <v>55</v>
      </c>
      <c r="C48" s="126"/>
      <c r="D48" s="175"/>
      <c r="E48" s="30">
        <f>E23+E30+E38+E43+E46</f>
        <v>860706.66666666663</v>
      </c>
      <c r="F48" s="183"/>
      <c r="G48" s="173"/>
    </row>
    <row r="49" spans="1:10" s="18" customFormat="1" ht="18.75" customHeight="1" thickBot="1" x14ac:dyDescent="0.3">
      <c r="A49" s="167"/>
      <c r="B49" s="80" t="s">
        <v>56</v>
      </c>
      <c r="C49" s="129"/>
      <c r="D49" s="130"/>
      <c r="E49" s="93">
        <f>+(E48/(E23-E19))-1</f>
        <v>0.67127508090614874</v>
      </c>
      <c r="F49" s="173"/>
      <c r="G49" s="173"/>
    </row>
    <row r="50" spans="1:10" s="18" customFormat="1" ht="13.5" customHeight="1" x14ac:dyDescent="0.25">
      <c r="A50" s="167"/>
      <c r="B50" s="184"/>
      <c r="C50" s="131"/>
      <c r="D50" s="132"/>
      <c r="E50" s="185"/>
      <c r="F50" s="173"/>
      <c r="G50" s="173"/>
    </row>
    <row r="51" spans="1:10" s="18" customFormat="1" ht="13.5" customHeight="1" thickBot="1" x14ac:dyDescent="0.3">
      <c r="A51" s="167"/>
      <c r="B51" s="184"/>
      <c r="C51" s="131"/>
      <c r="D51" s="132"/>
      <c r="E51" s="185"/>
      <c r="F51" s="173"/>
      <c r="G51" s="173"/>
    </row>
    <row r="52" spans="1:10" s="18" customFormat="1" ht="18.75" customHeight="1" x14ac:dyDescent="0.25">
      <c r="A52" s="155"/>
      <c r="B52" s="74" t="s">
        <v>138</v>
      </c>
      <c r="C52" s="186"/>
      <c r="D52" s="133"/>
      <c r="E52" s="187">
        <f>E48*12</f>
        <v>10328480</v>
      </c>
      <c r="F52" s="156"/>
      <c r="G52" s="156"/>
      <c r="H52" s="1"/>
    </row>
    <row r="53" spans="1:10" s="18" customFormat="1" ht="18.75" customHeight="1" x14ac:dyDescent="0.25">
      <c r="A53" s="155"/>
      <c r="B53" s="26" t="s">
        <v>147</v>
      </c>
      <c r="C53" s="124"/>
      <c r="D53" s="134"/>
      <c r="E53" s="29">
        <f>24+24+26+24+24+24+25+24+26+25+24+25</f>
        <v>295</v>
      </c>
      <c r="F53" s="156"/>
      <c r="G53" s="156"/>
      <c r="H53" s="1"/>
    </row>
    <row r="54" spans="1:10" s="18" customFormat="1" ht="18.75" customHeight="1" x14ac:dyDescent="0.25">
      <c r="A54" s="155"/>
      <c r="B54" s="26" t="s">
        <v>59</v>
      </c>
      <c r="C54" s="124"/>
      <c r="D54" s="134"/>
      <c r="E54" s="29">
        <f>E52/E53</f>
        <v>35011.796610169491</v>
      </c>
      <c r="F54" s="156"/>
      <c r="G54" s="156"/>
      <c r="H54" s="1"/>
    </row>
    <row r="55" spans="1:10" s="18" customFormat="1" ht="18.75" customHeight="1" thickBot="1" x14ac:dyDescent="0.3">
      <c r="A55" s="155"/>
      <c r="B55" s="188" t="s">
        <v>60</v>
      </c>
      <c r="C55" s="135"/>
      <c r="D55" s="136"/>
      <c r="E55" s="82">
        <f>E54/8</f>
        <v>4376.4745762711864</v>
      </c>
      <c r="F55" s="156"/>
      <c r="G55" s="156"/>
      <c r="H55" s="1"/>
    </row>
    <row r="56" spans="1:10" s="18" customFormat="1" ht="11.25" customHeight="1" x14ac:dyDescent="0.25">
      <c r="A56" s="155"/>
      <c r="B56" s="161"/>
      <c r="C56" s="137"/>
      <c r="D56" s="138"/>
      <c r="E56" s="185"/>
      <c r="F56" s="156"/>
      <c r="G56" s="156"/>
      <c r="H56" s="1"/>
    </row>
    <row r="57" spans="1:10" s="18" customFormat="1" ht="11.25" customHeight="1" thickBot="1" x14ac:dyDescent="0.3">
      <c r="A57" s="155"/>
      <c r="B57" s="161"/>
      <c r="C57" s="137"/>
      <c r="D57" s="138"/>
      <c r="E57" s="185"/>
      <c r="F57" s="156"/>
      <c r="G57" s="156"/>
      <c r="H57" s="1"/>
    </row>
    <row r="58" spans="1:10" s="18" customFormat="1" ht="18.75" customHeight="1" thickBot="1" x14ac:dyDescent="0.3">
      <c r="A58" s="155"/>
      <c r="B58" s="45" t="s">
        <v>61</v>
      </c>
      <c r="C58" s="46"/>
      <c r="D58" s="47" t="s">
        <v>13</v>
      </c>
      <c r="E58" s="48" t="s">
        <v>62</v>
      </c>
      <c r="F58" s="47" t="s">
        <v>63</v>
      </c>
      <c r="G58" s="49" t="s">
        <v>62</v>
      </c>
    </row>
    <row r="59" spans="1:10" s="18" customFormat="1" ht="18.75" customHeight="1" x14ac:dyDescent="0.25">
      <c r="A59" s="155"/>
      <c r="B59" s="50" t="s">
        <v>64</v>
      </c>
      <c r="C59" s="51" t="s">
        <v>112</v>
      </c>
      <c r="D59" s="52"/>
      <c r="E59" s="53">
        <f>(E18/30)/8</f>
        <v>2145.8333333333335</v>
      </c>
      <c r="F59" s="139"/>
      <c r="G59" s="152"/>
      <c r="H59" s="1"/>
    </row>
    <row r="60" spans="1:10" s="18" customFormat="1" ht="18.75" customHeight="1" x14ac:dyDescent="0.25">
      <c r="A60" s="155"/>
      <c r="B60" s="39" t="s">
        <v>66</v>
      </c>
      <c r="C60" s="37" t="s">
        <v>113</v>
      </c>
      <c r="D60" s="54">
        <v>0.35</v>
      </c>
      <c r="E60" s="55">
        <f>$E$59*D60</f>
        <v>751.04166666666663</v>
      </c>
      <c r="F60" s="189"/>
      <c r="G60" s="190">
        <f t="shared" ref="G60:G68" si="0">E60*F60</f>
        <v>0</v>
      </c>
      <c r="H60" s="1"/>
      <c r="I60" s="83"/>
      <c r="J60" s="151"/>
    </row>
    <row r="61" spans="1:10" s="18" customFormat="1" ht="18.75" customHeight="1" x14ac:dyDescent="0.25">
      <c r="A61" s="155"/>
      <c r="B61" s="39" t="s">
        <v>68</v>
      </c>
      <c r="C61" s="37" t="s">
        <v>69</v>
      </c>
      <c r="D61" s="54">
        <v>0.75</v>
      </c>
      <c r="E61" s="55">
        <f>$E$59*D61</f>
        <v>1609.375</v>
      </c>
      <c r="F61" s="189"/>
      <c r="G61" s="190">
        <f t="shared" si="0"/>
        <v>0</v>
      </c>
      <c r="H61" s="1"/>
      <c r="I61" s="83"/>
    </row>
    <row r="62" spans="1:10" s="18" customFormat="1" ht="18.75" customHeight="1" x14ac:dyDescent="0.25">
      <c r="A62" s="155"/>
      <c r="B62" s="56" t="s">
        <v>70</v>
      </c>
      <c r="C62" s="57" t="s">
        <v>71</v>
      </c>
      <c r="D62" s="58">
        <v>1.75</v>
      </c>
      <c r="E62" s="55">
        <f>$E$59*D62</f>
        <v>3755.2083333333335</v>
      </c>
      <c r="F62" s="191"/>
      <c r="G62" s="190">
        <f t="shared" si="0"/>
        <v>0</v>
      </c>
      <c r="H62" s="1"/>
    </row>
    <row r="63" spans="1:10" s="18" customFormat="1" ht="18.75" customHeight="1" x14ac:dyDescent="0.2">
      <c r="A63" s="155"/>
      <c r="B63" s="26" t="s">
        <v>72</v>
      </c>
      <c r="C63" s="27" t="s">
        <v>73</v>
      </c>
      <c r="D63" s="91">
        <v>1.1000000000000001</v>
      </c>
      <c r="E63" s="84">
        <f t="shared" ref="E63:E68" si="1">$E$59*D63</f>
        <v>2360.416666666667</v>
      </c>
      <c r="F63" s="191"/>
      <c r="G63" s="190">
        <f t="shared" si="0"/>
        <v>0</v>
      </c>
      <c r="H63" s="1"/>
    </row>
    <row r="64" spans="1:10" s="18" customFormat="1" ht="18.75" customHeight="1" x14ac:dyDescent="0.2">
      <c r="A64" s="155"/>
      <c r="B64" s="86" t="s">
        <v>74</v>
      </c>
      <c r="C64" s="27" t="s">
        <v>75</v>
      </c>
      <c r="D64" s="92">
        <v>2.1</v>
      </c>
      <c r="E64" s="84">
        <f t="shared" si="1"/>
        <v>4506.2500000000009</v>
      </c>
      <c r="F64" s="191"/>
      <c r="G64" s="190">
        <f t="shared" si="0"/>
        <v>0</v>
      </c>
      <c r="H64" s="1"/>
      <c r="J64" s="20"/>
    </row>
    <row r="65" spans="1:10" s="18" customFormat="1" ht="18.75" customHeight="1" x14ac:dyDescent="0.2">
      <c r="A65" s="155"/>
      <c r="B65" s="59" t="s">
        <v>76</v>
      </c>
      <c r="C65" s="60" t="s">
        <v>77</v>
      </c>
      <c r="D65" s="61">
        <v>1.25</v>
      </c>
      <c r="E65" s="84">
        <f t="shared" si="1"/>
        <v>2682.291666666667</v>
      </c>
      <c r="F65" s="189"/>
      <c r="G65" s="190">
        <f t="shared" si="0"/>
        <v>0</v>
      </c>
      <c r="H65" s="1"/>
      <c r="J65" s="20"/>
    </row>
    <row r="66" spans="1:10" s="18" customFormat="1" ht="18.75" customHeight="1" x14ac:dyDescent="0.2">
      <c r="A66" s="155"/>
      <c r="B66" s="62" t="s">
        <v>78</v>
      </c>
      <c r="C66" s="37" t="s">
        <v>79</v>
      </c>
      <c r="D66" s="54">
        <v>1.75</v>
      </c>
      <c r="E66" s="84">
        <f t="shared" si="1"/>
        <v>3755.2083333333335</v>
      </c>
      <c r="F66" s="189"/>
      <c r="G66" s="190">
        <f t="shared" si="0"/>
        <v>0</v>
      </c>
      <c r="H66" s="1"/>
    </row>
    <row r="67" spans="1:10" s="18" customFormat="1" ht="18.75" customHeight="1" x14ac:dyDescent="0.2">
      <c r="A67" s="155"/>
      <c r="B67" s="62" t="s">
        <v>80</v>
      </c>
      <c r="C67" s="37" t="s">
        <v>81</v>
      </c>
      <c r="D67" s="54">
        <v>2</v>
      </c>
      <c r="E67" s="84">
        <f t="shared" si="1"/>
        <v>4291.666666666667</v>
      </c>
      <c r="F67" s="189"/>
      <c r="G67" s="190">
        <f t="shared" si="0"/>
        <v>0</v>
      </c>
      <c r="H67" s="1"/>
    </row>
    <row r="68" spans="1:10" s="18" customFormat="1" ht="18.75" customHeight="1" thickBot="1" x14ac:dyDescent="0.25">
      <c r="A68" s="155"/>
      <c r="B68" s="63" t="s">
        <v>82</v>
      </c>
      <c r="C68" s="64" t="s">
        <v>83</v>
      </c>
      <c r="D68" s="65">
        <v>2.5</v>
      </c>
      <c r="E68" s="102">
        <f t="shared" si="1"/>
        <v>5364.5833333333339</v>
      </c>
      <c r="F68" s="192"/>
      <c r="G68" s="193">
        <f t="shared" si="0"/>
        <v>0</v>
      </c>
      <c r="H68" s="1"/>
    </row>
    <row r="69" spans="1:10" s="18" customFormat="1" ht="18.75" customHeight="1" thickBot="1" x14ac:dyDescent="0.3">
      <c r="A69" s="155"/>
      <c r="B69" s="95" t="s">
        <v>148</v>
      </c>
      <c r="C69" s="115"/>
      <c r="D69" s="116"/>
      <c r="E69" s="4"/>
      <c r="F69" s="156"/>
      <c r="G69" s="66">
        <f>SUM(G60:G68)</f>
        <v>0</v>
      </c>
      <c r="H69" s="1"/>
    </row>
    <row r="70" spans="1:10" s="18" customFormat="1" ht="13.5" customHeight="1" thickBot="1" x14ac:dyDescent="0.3">
      <c r="A70" s="155"/>
      <c r="B70" s="161"/>
      <c r="C70" s="137"/>
      <c r="D70" s="138"/>
      <c r="E70" s="185"/>
      <c r="F70" s="156"/>
      <c r="G70" s="156"/>
      <c r="H70" s="1"/>
    </row>
    <row r="71" spans="1:10" s="18" customFormat="1" ht="18.75" customHeight="1" thickBot="1" x14ac:dyDescent="0.3">
      <c r="A71" s="155"/>
      <c r="B71" s="113" t="s">
        <v>85</v>
      </c>
      <c r="C71" s="114"/>
      <c r="D71" s="105" t="s">
        <v>13</v>
      </c>
      <c r="E71" s="48" t="s">
        <v>62</v>
      </c>
      <c r="F71" s="156"/>
      <c r="G71" s="156"/>
      <c r="H71" s="1"/>
    </row>
    <row r="72" spans="1:10" s="18" customFormat="1" ht="18.75" customHeight="1" x14ac:dyDescent="0.25">
      <c r="A72" s="155"/>
      <c r="B72" s="74" t="s">
        <v>86</v>
      </c>
      <c r="C72" s="67" t="s">
        <v>87</v>
      </c>
      <c r="D72" s="133"/>
      <c r="E72" s="194"/>
      <c r="F72" s="156"/>
      <c r="G72" s="156"/>
      <c r="H72" s="1"/>
    </row>
    <row r="73" spans="1:10" s="18" customFormat="1" ht="18.75" customHeight="1" x14ac:dyDescent="0.2">
      <c r="A73" s="155"/>
      <c r="B73" s="26" t="s">
        <v>88</v>
      </c>
      <c r="C73" s="27" t="s">
        <v>89</v>
      </c>
      <c r="D73" s="54">
        <v>0.04</v>
      </c>
      <c r="E73" s="68">
        <f>ROUND(IF($E$18+E20+E21+E22&lt;=($C$5*25),ROUND($E$18+E20+E21+E22,-3),ROUND($C$5*25,-3))*D73,-2)</f>
        <v>20600</v>
      </c>
      <c r="F73" s="156"/>
      <c r="G73" s="156"/>
      <c r="H73" s="1"/>
    </row>
    <row r="74" spans="1:10" s="18" customFormat="1" ht="18.75" customHeight="1" x14ac:dyDescent="0.2">
      <c r="A74" s="155"/>
      <c r="B74" s="26" t="s">
        <v>90</v>
      </c>
      <c r="C74" s="37" t="s">
        <v>91</v>
      </c>
      <c r="D74" s="54">
        <v>0.04</v>
      </c>
      <c r="E74" s="68">
        <f>ROUND(IF($E$18+E20+E21+E22&lt;=($C$5*25),ROUND($E$18+E20+E21+E22,-3),ROUND($C$5*25,-3))*D74,-2)</f>
        <v>20600</v>
      </c>
      <c r="F74" s="156"/>
      <c r="G74" s="156"/>
      <c r="H74" s="1"/>
    </row>
    <row r="75" spans="1:10" s="18" customFormat="1" ht="18.75" customHeight="1" x14ac:dyDescent="0.25">
      <c r="A75" s="155"/>
      <c r="B75" s="26" t="s">
        <v>92</v>
      </c>
      <c r="C75" s="37" t="s">
        <v>93</v>
      </c>
      <c r="D75" s="79">
        <f>IF(E18+E20+E21+E22&lt;(C5*4),0,0.01)</f>
        <v>0</v>
      </c>
      <c r="E75" s="29">
        <f>IF(E18+E20+E21+E22&lt;(C5*4),0,(E18+E20+E21+E22)*D75)</f>
        <v>0</v>
      </c>
      <c r="F75" s="156"/>
      <c r="G75" s="156"/>
      <c r="H75" s="1"/>
    </row>
    <row r="76" spans="1:10" s="18" customFormat="1" ht="18.75" customHeight="1" x14ac:dyDescent="0.25">
      <c r="A76" s="155"/>
      <c r="B76" s="26" t="s">
        <v>94</v>
      </c>
      <c r="C76" s="37" t="s">
        <v>95</v>
      </c>
      <c r="D76" s="36">
        <f>IF(E18+E20+E21+E22&lt;C81,D81,IF(E18+E20+E21+E22&lt;C82,D82,IF(E18+E20+E21+E22&lt;C83,D83,IF(E18+E20+E21+E22&lt;C84,D84,IF(E18+E20+E21+E22&lt;C85,D85,D86)))))</f>
        <v>0</v>
      </c>
      <c r="E76" s="195">
        <f>(E18+E20+E21+E22)*D76</f>
        <v>0</v>
      </c>
      <c r="F76" s="156"/>
      <c r="G76" s="156"/>
      <c r="H76" s="1"/>
    </row>
    <row r="77" spans="1:10" s="18" customFormat="1" ht="18.75" customHeight="1" thickBot="1" x14ac:dyDescent="0.3">
      <c r="A77" s="155"/>
      <c r="B77" s="94" t="s">
        <v>96</v>
      </c>
      <c r="C77" s="69"/>
      <c r="D77" s="196"/>
      <c r="E77" s="70">
        <f>SUM(E72:E76)</f>
        <v>41200</v>
      </c>
      <c r="F77" s="156"/>
      <c r="G77" s="156"/>
      <c r="H77" s="1"/>
    </row>
    <row r="78" spans="1:10" s="18" customFormat="1" ht="13.5" customHeight="1" x14ac:dyDescent="0.25">
      <c r="A78" s="155"/>
      <c r="B78" s="161"/>
      <c r="C78" s="137"/>
      <c r="D78" s="138"/>
      <c r="E78" s="185"/>
      <c r="F78" s="156"/>
      <c r="G78" s="156"/>
      <c r="H78" s="1"/>
    </row>
    <row r="79" spans="1:10" ht="13.5" customHeight="1" thickBot="1" x14ac:dyDescent="0.3">
      <c r="A79" s="155"/>
      <c r="B79" s="161"/>
      <c r="C79" s="137"/>
      <c r="D79" s="197"/>
      <c r="E79" s="185"/>
      <c r="F79" s="156"/>
      <c r="G79" s="156"/>
    </row>
    <row r="80" spans="1:10" ht="16.5" thickBot="1" x14ac:dyDescent="0.3">
      <c r="A80" s="155"/>
      <c r="B80" s="71" t="s">
        <v>97</v>
      </c>
      <c r="C80" s="140"/>
      <c r="D80" s="168"/>
      <c r="E80" s="179"/>
      <c r="F80" s="156"/>
      <c r="G80" s="156"/>
    </row>
    <row r="81" spans="1:256" ht="15.75" x14ac:dyDescent="0.25">
      <c r="A81" s="155"/>
      <c r="B81" s="74" t="s">
        <v>98</v>
      </c>
      <c r="C81" s="198">
        <f>$C$5*16</f>
        <v>8240000</v>
      </c>
      <c r="D81" s="75">
        <v>0</v>
      </c>
      <c r="E81" s="199"/>
      <c r="F81" s="156"/>
      <c r="G81" s="156"/>
    </row>
    <row r="82" spans="1:256" ht="15.75" x14ac:dyDescent="0.25">
      <c r="A82" s="155"/>
      <c r="B82" s="39" t="s">
        <v>99</v>
      </c>
      <c r="C82" s="200">
        <f>$C$5*17</f>
        <v>8755000</v>
      </c>
      <c r="D82" s="77">
        <v>2E-3</v>
      </c>
      <c r="E82" s="201"/>
      <c r="F82" s="156"/>
      <c r="G82" s="156"/>
    </row>
    <row r="83" spans="1:256" ht="15.75" x14ac:dyDescent="0.25">
      <c r="A83" s="155"/>
      <c r="B83" s="39" t="s">
        <v>100</v>
      </c>
      <c r="C83" s="202">
        <f>$C$5*18</f>
        <v>9270000</v>
      </c>
      <c r="D83" s="79">
        <v>4.0000000000000001E-3</v>
      </c>
      <c r="E83" s="203"/>
      <c r="F83" s="156"/>
      <c r="G83" s="156"/>
    </row>
    <row r="84" spans="1:256" ht="15.75" x14ac:dyDescent="0.25">
      <c r="A84" s="155"/>
      <c r="B84" s="39" t="s">
        <v>101</v>
      </c>
      <c r="C84" s="202">
        <f>$C$5*19</f>
        <v>9785000</v>
      </c>
      <c r="D84" s="79">
        <v>6.0000000000000001E-3</v>
      </c>
      <c r="E84" s="203"/>
      <c r="F84" s="156"/>
      <c r="G84" s="156"/>
    </row>
    <row r="85" spans="1:256" ht="15.75" x14ac:dyDescent="0.25">
      <c r="A85" s="155"/>
      <c r="B85" s="39" t="s">
        <v>102</v>
      </c>
      <c r="C85" s="202">
        <f>$C$5*20</f>
        <v>10300000</v>
      </c>
      <c r="D85" s="79">
        <v>8.0000000000000002E-3</v>
      </c>
      <c r="E85" s="203"/>
      <c r="F85" s="156"/>
      <c r="G85" s="156"/>
    </row>
    <row r="86" spans="1:256" ht="16.5" thickBot="1" x14ac:dyDescent="0.3">
      <c r="A86" s="155"/>
      <c r="B86" s="80" t="s">
        <v>103</v>
      </c>
      <c r="C86" s="204">
        <v>10300000</v>
      </c>
      <c r="D86" s="81">
        <v>0.01</v>
      </c>
      <c r="E86" s="205"/>
      <c r="F86" s="156"/>
      <c r="G86" s="156"/>
      <c r="IV86" s="1">
        <v>2010</v>
      </c>
    </row>
    <row r="87" spans="1:256" x14ac:dyDescent="0.2">
      <c r="A87" s="155"/>
      <c r="B87" s="206"/>
      <c r="C87" s="141"/>
      <c r="D87" s="142"/>
      <c r="E87" s="149" t="str">
        <f>+B69</f>
        <v>V4.01  enero 5 de 2010</v>
      </c>
      <c r="F87" s="156"/>
      <c r="G87" s="156"/>
    </row>
    <row r="88" spans="1:256" ht="14.25" x14ac:dyDescent="0.2">
      <c r="A88" s="155"/>
      <c r="B88" s="155"/>
      <c r="C88" s="115"/>
      <c r="D88" s="143"/>
      <c r="E88" s="145"/>
      <c r="F88" s="156"/>
      <c r="G88" s="156"/>
    </row>
    <row r="89" spans="1:256" ht="15" x14ac:dyDescent="0.2">
      <c r="A89" s="155"/>
      <c r="B89" s="155"/>
      <c r="C89" s="140"/>
      <c r="D89" s="116"/>
      <c r="F89" s="156"/>
      <c r="G89" s="156"/>
    </row>
    <row r="90" spans="1:256" ht="15" x14ac:dyDescent="0.2">
      <c r="A90" s="155"/>
      <c r="B90" s="155"/>
      <c r="C90" s="140"/>
      <c r="D90" s="116"/>
      <c r="F90" s="156"/>
      <c r="G90" s="156"/>
    </row>
    <row r="91" spans="1:256" ht="15" x14ac:dyDescent="0.2">
      <c r="A91" s="155"/>
      <c r="B91" s="155"/>
      <c r="C91" s="140"/>
      <c r="D91" s="116"/>
      <c r="F91" s="156"/>
      <c r="G91" s="156"/>
    </row>
    <row r="92" spans="1:256" ht="15" x14ac:dyDescent="0.2">
      <c r="A92" s="155"/>
      <c r="B92" s="155"/>
      <c r="C92" s="140"/>
      <c r="D92" s="116"/>
      <c r="F92" s="156"/>
      <c r="G92" s="156"/>
    </row>
    <row r="93" spans="1:256" ht="15" x14ac:dyDescent="0.2">
      <c r="A93" s="155"/>
      <c r="B93" s="155"/>
      <c r="C93" s="140"/>
      <c r="D93" s="116"/>
      <c r="F93" s="156"/>
      <c r="G93" s="156"/>
    </row>
    <row r="94" spans="1:256" ht="15" x14ac:dyDescent="0.2">
      <c r="A94" s="155"/>
      <c r="B94" s="155"/>
      <c r="C94" s="140"/>
      <c r="D94" s="116"/>
      <c r="F94" s="156"/>
      <c r="G94" s="156"/>
    </row>
    <row r="95" spans="1:256" ht="15" x14ac:dyDescent="0.2">
      <c r="A95" s="155"/>
      <c r="B95" s="155"/>
      <c r="C95" s="140"/>
      <c r="D95" s="116"/>
      <c r="F95" s="156"/>
      <c r="G95" s="156"/>
    </row>
    <row r="96" spans="1:256" ht="15" x14ac:dyDescent="0.2">
      <c r="A96" s="155"/>
      <c r="B96" s="155"/>
      <c r="C96" s="140"/>
      <c r="D96" s="116"/>
      <c r="F96" s="156"/>
      <c r="G96" s="156"/>
    </row>
    <row r="97" spans="1:7" ht="15" x14ac:dyDescent="0.2">
      <c r="A97" s="155"/>
      <c r="B97" s="155"/>
      <c r="C97" s="140"/>
      <c r="D97" s="116"/>
      <c r="F97" s="156"/>
      <c r="G97" s="156"/>
    </row>
    <row r="98" spans="1:7" ht="15" x14ac:dyDescent="0.2">
      <c r="A98" s="155"/>
      <c r="B98" s="155"/>
      <c r="C98" s="140"/>
      <c r="D98" s="116"/>
      <c r="F98" s="156"/>
      <c r="G98" s="156"/>
    </row>
    <row r="99" spans="1:7" ht="15" x14ac:dyDescent="0.2">
      <c r="A99" s="155"/>
      <c r="B99" s="155"/>
      <c r="C99" s="140"/>
      <c r="D99" s="116"/>
      <c r="F99" s="156"/>
      <c r="G99" s="156"/>
    </row>
    <row r="100" spans="1:7" x14ac:dyDescent="0.2">
      <c r="A100" s="155"/>
      <c r="B100" s="155"/>
      <c r="C100" s="115"/>
      <c r="D100" s="116"/>
      <c r="F100" s="156"/>
      <c r="G100" s="156"/>
    </row>
    <row r="101" spans="1:7" x14ac:dyDescent="0.2">
      <c r="A101" s="155"/>
      <c r="B101" s="155"/>
      <c r="C101" s="115"/>
      <c r="D101" s="116"/>
      <c r="F101" s="156"/>
      <c r="G101" s="156"/>
    </row>
    <row r="102" spans="1:7" x14ac:dyDescent="0.2">
      <c r="A102" s="155"/>
      <c r="B102" s="155"/>
      <c r="C102" s="115"/>
      <c r="D102" s="116"/>
      <c r="F102" s="156"/>
      <c r="G102" s="156"/>
    </row>
    <row r="103" spans="1:7" x14ac:dyDescent="0.2">
      <c r="A103" s="155"/>
      <c r="B103" s="155"/>
      <c r="C103" s="115"/>
      <c r="D103" s="116"/>
      <c r="F103" s="156"/>
      <c r="G103" s="156"/>
    </row>
    <row r="65536" spans="256:256" x14ac:dyDescent="0.2">
      <c r="IV65536" s="1">
        <v>2010</v>
      </c>
    </row>
  </sheetData>
  <sheetProtection password="CC63" sheet="1"/>
  <protectedRanges>
    <protectedRange sqref="E20:E22" name="Rango5"/>
    <protectedRange sqref="C10:C12" name="Rango4"/>
    <protectedRange sqref="F60:F68" name="Rango2"/>
    <protectedRange sqref="E72" name="Rango3"/>
  </protectedRanges>
  <customSheetViews>
    <customSheetView guid="{005D785A-2C1A-7642-8E14-813F8ABC12DD}" showGridLines="0" fitToPage="1">
      <selection activeCell="H9" sqref="H9"/>
      <colBreaks count="1" manualBreakCount="1">
        <brk id="7" max="1048575" man="1"/>
      </colBreaks>
      <pageMargins left="0" right="0" top="0" bottom="0" header="0" footer="0"/>
      <pageSetup scale="54" orientation="portrait" verticalDpi="300" r:id="rId1"/>
      <headerFooter alignWithMargins="0"/>
    </customSheetView>
  </customSheetViews>
  <phoneticPr fontId="7" type="noConversion"/>
  <dataValidations disablePrompts="1" count="1">
    <dataValidation type="list" allowBlank="1" showInputMessage="1" showErrorMessage="1" sqref="C11" xr:uid="{00000000-0002-0000-0900-000000000000}">
      <formula1>$IV$6:$IV$10</formula1>
    </dataValidation>
  </dataValidations>
  <pageMargins left="0.75" right="0.75" top="0.78" bottom="0.59" header="0" footer="0"/>
  <pageSetup scale="54" orientation="portrait" verticalDpi="300" r:id="rId2"/>
  <headerFooter alignWithMargins="0"/>
  <colBreaks count="1" manualBreakCount="1">
    <brk id="7" max="1048575" man="1"/>
  </colBreaks>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IV65536"/>
  <sheetViews>
    <sheetView showGridLines="0" zoomScale="88" zoomScaleNormal="88" zoomScalePageLayoutView="88" workbookViewId="0">
      <selection activeCell="H22" sqref="H22"/>
    </sheetView>
  </sheetViews>
  <sheetFormatPr baseColWidth="10" defaultColWidth="11.42578125" defaultRowHeight="12.75" x14ac:dyDescent="0.2"/>
  <cols>
    <col min="1" max="1" width="3.28515625" style="1" customWidth="1"/>
    <col min="2" max="2" width="45.28515625" style="1" customWidth="1"/>
    <col min="3" max="3" width="58.85546875" style="2" customWidth="1"/>
    <col min="4" max="4" width="11" style="3" customWidth="1"/>
    <col min="5" max="5" width="17.28515625" style="4" customWidth="1"/>
    <col min="6" max="6" width="10.42578125" style="5" customWidth="1"/>
    <col min="7" max="7" width="13.85546875" style="5" bestFit="1" customWidth="1"/>
    <col min="8" max="8" width="7.7109375" style="1" customWidth="1"/>
    <col min="9" max="9" width="13.140625" style="1" bestFit="1" customWidth="1"/>
    <col min="10" max="16384" width="11.42578125" style="1"/>
  </cols>
  <sheetData>
    <row r="1" spans="1:256" ht="11.25" customHeight="1" x14ac:dyDescent="0.2">
      <c r="A1" s="155"/>
      <c r="B1" s="155"/>
      <c r="C1" s="115"/>
      <c r="D1" s="116"/>
      <c r="F1" s="156"/>
      <c r="G1" s="156"/>
    </row>
    <row r="2" spans="1:256" ht="18" customHeight="1" x14ac:dyDescent="0.25">
      <c r="A2" s="155"/>
      <c r="B2" s="87" t="s">
        <v>0</v>
      </c>
      <c r="C2" s="88"/>
      <c r="D2" s="89"/>
      <c r="E2" s="90"/>
      <c r="F2" s="156"/>
      <c r="G2" s="156"/>
    </row>
    <row r="3" spans="1:256" ht="14.25" customHeight="1" thickBot="1" x14ac:dyDescent="0.25">
      <c r="A3" s="155"/>
      <c r="B3" s="155"/>
      <c r="C3" s="115"/>
      <c r="D3" s="116"/>
      <c r="F3" s="156"/>
      <c r="G3" s="156"/>
    </row>
    <row r="4" spans="1:256" ht="18.75" customHeight="1" thickBot="1" x14ac:dyDescent="0.35">
      <c r="A4" s="155"/>
      <c r="B4" s="146" t="s">
        <v>149</v>
      </c>
      <c r="C4" s="117"/>
      <c r="D4" s="116"/>
      <c r="F4" s="156"/>
      <c r="G4" s="156"/>
    </row>
    <row r="5" spans="1:256" ht="18.75" customHeight="1" x14ac:dyDescent="0.25">
      <c r="A5" s="155"/>
      <c r="B5" s="6" t="s">
        <v>2</v>
      </c>
      <c r="C5" s="76">
        <v>496900</v>
      </c>
      <c r="D5" s="116"/>
      <c r="E5" s="351"/>
      <c r="F5" s="156"/>
      <c r="G5" s="156"/>
    </row>
    <row r="6" spans="1:256" ht="18.75" customHeight="1" thickBot="1" x14ac:dyDescent="0.3">
      <c r="A6" s="155"/>
      <c r="B6" s="159" t="s">
        <v>3</v>
      </c>
      <c r="C6" s="82">
        <v>59300</v>
      </c>
      <c r="D6" s="116"/>
      <c r="F6" s="156"/>
      <c r="G6" s="156"/>
      <c r="IV6" s="7">
        <v>5.2199999999999998E-3</v>
      </c>
    </row>
    <row r="7" spans="1:256" ht="13.5" customHeight="1" x14ac:dyDescent="0.25">
      <c r="A7" s="155"/>
      <c r="B7" s="161"/>
      <c r="C7" s="162"/>
      <c r="D7" s="116"/>
      <c r="F7" s="156"/>
      <c r="G7" s="156"/>
      <c r="IV7" s="7">
        <v>1.044E-2</v>
      </c>
    </row>
    <row r="8" spans="1:256" ht="12.75" customHeight="1" x14ac:dyDescent="0.2">
      <c r="A8" s="155"/>
      <c r="B8" s="161"/>
      <c r="C8" s="161"/>
      <c r="D8" s="116"/>
      <c r="F8" s="156"/>
      <c r="G8" s="156"/>
      <c r="IV8" s="7">
        <v>2.436E-2</v>
      </c>
    </row>
    <row r="9" spans="1:256" ht="12" customHeight="1" thickBot="1" x14ac:dyDescent="0.25">
      <c r="A9" s="155"/>
      <c r="B9" s="9" t="s">
        <v>4</v>
      </c>
      <c r="C9" s="147" t="s">
        <v>130</v>
      </c>
      <c r="D9" s="118"/>
      <c r="E9" s="10"/>
      <c r="F9" s="156"/>
      <c r="G9" s="156"/>
      <c r="IV9" s="7">
        <v>4.3499999999999997E-2</v>
      </c>
    </row>
    <row r="10" spans="1:256" ht="18.75" customHeight="1" x14ac:dyDescent="0.25">
      <c r="A10" s="155"/>
      <c r="B10" s="11" t="s">
        <v>6</v>
      </c>
      <c r="C10" s="100">
        <v>496900</v>
      </c>
      <c r="D10" s="119"/>
      <c r="E10" s="10"/>
      <c r="F10" s="156"/>
      <c r="G10" s="120"/>
      <c r="H10" s="12"/>
      <c r="IV10" s="7">
        <v>6.9599999999999995E-2</v>
      </c>
    </row>
    <row r="11" spans="1:256" ht="18.75" customHeight="1" x14ac:dyDescent="0.2">
      <c r="A11" s="155"/>
      <c r="B11" s="13" t="s">
        <v>7</v>
      </c>
      <c r="C11" s="14">
        <v>5.2199999999999998E-3</v>
      </c>
      <c r="D11" s="118"/>
      <c r="E11" s="10"/>
      <c r="F11" s="156"/>
      <c r="G11" s="120"/>
      <c r="H11" s="12"/>
    </row>
    <row r="12" spans="1:256" ht="18.75" customHeight="1" thickBot="1" x14ac:dyDescent="0.3">
      <c r="A12" s="155"/>
      <c r="B12" s="15" t="s">
        <v>8</v>
      </c>
      <c r="C12" s="164"/>
      <c r="D12" s="118"/>
      <c r="E12" s="10"/>
      <c r="F12" s="156"/>
      <c r="G12" s="121"/>
      <c r="H12" s="12"/>
      <c r="IR12" s="16"/>
      <c r="IV12" s="18"/>
    </row>
    <row r="13" spans="1:256" ht="10.5" customHeight="1" x14ac:dyDescent="0.2">
      <c r="A13" s="155"/>
      <c r="B13" s="161"/>
      <c r="C13" s="121"/>
      <c r="D13" s="118"/>
      <c r="E13" s="10"/>
      <c r="F13" s="156"/>
      <c r="G13" s="120"/>
      <c r="H13" s="12"/>
      <c r="IR13" s="16"/>
    </row>
    <row r="14" spans="1:256" ht="10.5" customHeight="1" thickBot="1" x14ac:dyDescent="0.25">
      <c r="A14" s="155"/>
      <c r="B14" s="165"/>
      <c r="C14" s="122"/>
      <c r="D14" s="123"/>
      <c r="F14" s="166"/>
      <c r="G14" s="120"/>
      <c r="H14" s="12"/>
      <c r="IR14" s="16"/>
    </row>
    <row r="15" spans="1:256" s="18" customFormat="1" ht="18.75" customHeight="1" x14ac:dyDescent="0.25">
      <c r="A15" s="167"/>
      <c r="B15" s="96" t="s">
        <v>11</v>
      </c>
      <c r="C15" s="97" t="s">
        <v>12</v>
      </c>
      <c r="D15" s="98" t="s">
        <v>13</v>
      </c>
      <c r="E15" s="99" t="s">
        <v>131</v>
      </c>
      <c r="F15" s="168"/>
      <c r="G15" s="120"/>
      <c r="H15" s="12"/>
      <c r="IR15" s="20"/>
    </row>
    <row r="16" spans="1:256" s="18" customFormat="1" ht="9" customHeight="1" x14ac:dyDescent="0.25">
      <c r="A16" s="167"/>
      <c r="B16" s="169"/>
      <c r="C16" s="162"/>
      <c r="D16" s="162"/>
      <c r="E16" s="21"/>
      <c r="F16" s="168"/>
      <c r="G16" s="168"/>
      <c r="IR16" s="20"/>
    </row>
    <row r="17" spans="1:252" s="18" customFormat="1" ht="18.75" customHeight="1" x14ac:dyDescent="0.25">
      <c r="A17" s="167"/>
      <c r="B17" s="22" t="s">
        <v>150</v>
      </c>
      <c r="C17" s="23"/>
      <c r="D17" s="24"/>
      <c r="E17" s="25"/>
      <c r="F17" s="168"/>
      <c r="G17" s="168"/>
      <c r="IR17" s="20"/>
    </row>
    <row r="18" spans="1:252" s="18" customFormat="1" ht="18.75" customHeight="1" x14ac:dyDescent="0.25">
      <c r="A18" s="167"/>
      <c r="B18" s="26" t="s">
        <v>18</v>
      </c>
      <c r="C18" s="27" t="s">
        <v>19</v>
      </c>
      <c r="D18" s="170"/>
      <c r="E18" s="29">
        <f>IF(C10&lt;C5,FALSE,C10)</f>
        <v>496900</v>
      </c>
      <c r="F18" s="171"/>
      <c r="G18" s="168"/>
      <c r="IR18" s="20"/>
    </row>
    <row r="19" spans="1:252" s="18" customFormat="1" ht="18.75" customHeight="1" x14ac:dyDescent="0.25">
      <c r="A19" s="167"/>
      <c r="B19" s="26" t="s">
        <v>20</v>
      </c>
      <c r="C19" s="27" t="s">
        <v>151</v>
      </c>
      <c r="D19" s="170"/>
      <c r="E19" s="29">
        <f>IF(E18+E20+E21+E22&lt;=(C5*2),C6,0)</f>
        <v>59300</v>
      </c>
      <c r="F19" s="171"/>
      <c r="G19" s="168"/>
    </row>
    <row r="20" spans="1:252" s="18" customFormat="1" ht="18.75" customHeight="1" x14ac:dyDescent="0.25">
      <c r="A20" s="167"/>
      <c r="B20" s="26" t="s">
        <v>22</v>
      </c>
      <c r="C20" s="27" t="s">
        <v>23</v>
      </c>
      <c r="D20" s="170"/>
      <c r="E20" s="34"/>
      <c r="F20" s="171"/>
      <c r="G20" s="168"/>
    </row>
    <row r="21" spans="1:252" s="18" customFormat="1" ht="18.75" customHeight="1" x14ac:dyDescent="0.25">
      <c r="A21" s="167"/>
      <c r="B21" s="26" t="s">
        <v>118</v>
      </c>
      <c r="C21" s="27" t="s">
        <v>25</v>
      </c>
      <c r="D21" s="170"/>
      <c r="E21" s="34"/>
      <c r="F21" s="171"/>
      <c r="G21" s="168"/>
    </row>
    <row r="22" spans="1:252" s="18" customFormat="1" ht="18.75" customHeight="1" x14ac:dyDescent="0.25">
      <c r="A22" s="167"/>
      <c r="B22" s="26" t="s">
        <v>26</v>
      </c>
      <c r="C22" s="27" t="s">
        <v>110</v>
      </c>
      <c r="D22" s="170"/>
      <c r="E22" s="34"/>
      <c r="F22" s="171"/>
      <c r="G22" s="168"/>
    </row>
    <row r="23" spans="1:252" s="18" customFormat="1" ht="18.75" customHeight="1" x14ac:dyDescent="0.25">
      <c r="A23" s="167"/>
      <c r="B23" s="148" t="s">
        <v>152</v>
      </c>
      <c r="C23" s="125"/>
      <c r="D23" s="172"/>
      <c r="E23" s="30">
        <f>SUM(E18:E22)</f>
        <v>556200</v>
      </c>
      <c r="F23" s="173"/>
      <c r="G23" s="173"/>
    </row>
    <row r="24" spans="1:252" s="18" customFormat="1" ht="18.75" customHeight="1" x14ac:dyDescent="0.25">
      <c r="A24" s="167"/>
      <c r="B24" s="174"/>
      <c r="C24" s="126"/>
      <c r="D24" s="175"/>
      <c r="E24" s="34"/>
      <c r="F24" s="173"/>
      <c r="G24" s="173"/>
    </row>
    <row r="25" spans="1:252" s="18" customFormat="1" ht="18.75" customHeight="1" x14ac:dyDescent="0.25">
      <c r="A25" s="167"/>
      <c r="B25" s="101" t="s">
        <v>29</v>
      </c>
      <c r="C25" s="23"/>
      <c r="D25" s="24"/>
      <c r="E25" s="34"/>
      <c r="F25" s="173"/>
      <c r="G25" s="173"/>
    </row>
    <row r="26" spans="1:252" s="18" customFormat="1" ht="18.75" customHeight="1" x14ac:dyDescent="0.25">
      <c r="A26" s="167"/>
      <c r="B26" s="26" t="s">
        <v>30</v>
      </c>
      <c r="C26" s="27" t="s">
        <v>31</v>
      </c>
      <c r="D26" s="35">
        <v>8.3333333333333343E-2</v>
      </c>
      <c r="E26" s="29">
        <f>E23*D26</f>
        <v>46350.000000000007</v>
      </c>
      <c r="F26" s="168"/>
      <c r="G26" s="168"/>
    </row>
    <row r="27" spans="1:252" s="18" customFormat="1" ht="18.75" customHeight="1" x14ac:dyDescent="0.25">
      <c r="A27" s="167"/>
      <c r="B27" s="26" t="s">
        <v>32</v>
      </c>
      <c r="C27" s="27" t="s">
        <v>33</v>
      </c>
      <c r="D27" s="36">
        <v>0.12</v>
      </c>
      <c r="E27" s="29">
        <f>E26*D27</f>
        <v>5562.0000000000009</v>
      </c>
      <c r="F27" s="168"/>
      <c r="G27" s="168"/>
    </row>
    <row r="28" spans="1:252" s="18" customFormat="1" ht="18.75" customHeight="1" x14ac:dyDescent="0.25">
      <c r="A28" s="167"/>
      <c r="B28" s="26" t="s">
        <v>34</v>
      </c>
      <c r="C28" s="27" t="s">
        <v>31</v>
      </c>
      <c r="D28" s="35">
        <v>8.3333333333333343E-2</v>
      </c>
      <c r="E28" s="29">
        <f>E23*D28</f>
        <v>46350.000000000007</v>
      </c>
      <c r="F28" s="168"/>
      <c r="G28" s="168"/>
    </row>
    <row r="29" spans="1:252" s="18" customFormat="1" ht="18.75" customHeight="1" x14ac:dyDescent="0.25">
      <c r="A29" s="167"/>
      <c r="B29" s="26" t="s">
        <v>35</v>
      </c>
      <c r="C29" s="37" t="s">
        <v>36</v>
      </c>
      <c r="D29" s="35">
        <v>4.1666666666666664E-2</v>
      </c>
      <c r="E29" s="29">
        <f>(E18+E20)*D29</f>
        <v>20704.166666666664</v>
      </c>
      <c r="F29" s="168"/>
      <c r="G29" s="176"/>
    </row>
    <row r="30" spans="1:252" s="18" customFormat="1" ht="18.75" customHeight="1" x14ac:dyDescent="0.25">
      <c r="A30" s="167"/>
      <c r="B30" s="177" t="s">
        <v>37</v>
      </c>
      <c r="C30" s="128"/>
      <c r="D30" s="175"/>
      <c r="E30" s="30">
        <f>SUM(E26:E29)</f>
        <v>118966.16666666669</v>
      </c>
      <c r="F30" s="168"/>
      <c r="G30" s="168"/>
    </row>
    <row r="31" spans="1:252" s="18" customFormat="1" ht="18.75" customHeight="1" x14ac:dyDescent="0.2">
      <c r="A31" s="167"/>
      <c r="B31" s="178"/>
      <c r="C31" s="124"/>
      <c r="D31" s="170"/>
      <c r="E31" s="25"/>
      <c r="F31" s="168"/>
      <c r="G31" s="168"/>
      <c r="H31" s="8"/>
    </row>
    <row r="32" spans="1:252" s="18" customFormat="1" ht="18.75" customHeight="1" x14ac:dyDescent="0.25">
      <c r="A32" s="167"/>
      <c r="B32" s="22" t="s">
        <v>38</v>
      </c>
      <c r="C32" s="23"/>
      <c r="D32" s="24"/>
      <c r="E32" s="25"/>
      <c r="F32" s="168"/>
      <c r="G32" s="168"/>
      <c r="H32" s="8"/>
    </row>
    <row r="33" spans="1:9" s="18" customFormat="1" ht="18.75" customHeight="1" x14ac:dyDescent="0.25">
      <c r="A33" s="167"/>
      <c r="B33" s="39" t="s">
        <v>39</v>
      </c>
      <c r="C33" s="85">
        <f>ROUND(IF($E$18+E20+E21+E22&lt;=($C$5*25),ROUND($E$18+E20+E21+E22,-3),ROUND($C$5*25,-3))*0.125,-2)</f>
        <v>62100</v>
      </c>
      <c r="D33" s="36">
        <v>8.5000000000000006E-2</v>
      </c>
      <c r="E33" s="29">
        <f>C33-E73</f>
        <v>42200</v>
      </c>
      <c r="F33" s="168"/>
      <c r="G33" s="168"/>
      <c r="H33" s="40"/>
      <c r="I33" s="144"/>
    </row>
    <row r="34" spans="1:9" s="18" customFormat="1" ht="18.75" customHeight="1" x14ac:dyDescent="0.25">
      <c r="A34" s="167"/>
      <c r="B34" s="26" t="s">
        <v>40</v>
      </c>
      <c r="C34" s="85">
        <f>ROUND(IF($E$18+E20+E21+E22&lt;=($C$5*25),ROUND($E$18+E20+E21+E22,-3),ROUND($C$5*25,-3))*0.16,-2)</f>
        <v>79500</v>
      </c>
      <c r="D34" s="36">
        <v>0.12</v>
      </c>
      <c r="E34" s="29">
        <f>C34-E74</f>
        <v>59600</v>
      </c>
      <c r="F34" s="168"/>
      <c r="G34" s="168"/>
      <c r="H34" s="41"/>
    </row>
    <row r="35" spans="1:9" s="18" customFormat="1" ht="18.75" customHeight="1" x14ac:dyDescent="0.25">
      <c r="A35" s="167"/>
      <c r="B35" s="26" t="s">
        <v>119</v>
      </c>
      <c r="C35" s="37" t="s">
        <v>42</v>
      </c>
      <c r="D35" s="28">
        <f>C11</f>
        <v>5.2199999999999998E-3</v>
      </c>
      <c r="E35" s="29">
        <f>ROUND(IF($E$18+E21+E20+E22&lt;=($C$5*20),ROUND($E$18+E20+E21+E22,-3),ROUND($C$5*20,-3))*D35,-2)</f>
        <v>2600</v>
      </c>
      <c r="F35" s="168"/>
      <c r="G35" s="168"/>
      <c r="H35" s="8"/>
    </row>
    <row r="36" spans="1:9" s="18" customFormat="1" ht="18.75" customHeight="1" x14ac:dyDescent="0.25">
      <c r="A36" s="167"/>
      <c r="B36" s="26" t="s">
        <v>43</v>
      </c>
      <c r="C36" s="127"/>
      <c r="D36" s="36">
        <v>8.5000000000000006E-2</v>
      </c>
      <c r="E36" s="29">
        <f>ROUND(IF($E$29&lt;=($C$5*25),ROUND($E$29,-3),ROUND($C$5*25,-3))*D36,-2)</f>
        <v>1800</v>
      </c>
      <c r="F36" s="168"/>
      <c r="G36" s="168"/>
    </row>
    <row r="37" spans="1:9" s="18" customFormat="1" ht="18.75" customHeight="1" x14ac:dyDescent="0.25">
      <c r="A37" s="167"/>
      <c r="B37" s="26" t="s">
        <v>44</v>
      </c>
      <c r="C37" s="127"/>
      <c r="D37" s="36">
        <v>0.12</v>
      </c>
      <c r="E37" s="29">
        <f>ROUND(IF($E$29&lt;=($C$5*25),ROUND($E$29,-3),ROUND($C$5*25,-3))*D37,-2)</f>
        <v>2500</v>
      </c>
      <c r="F37" s="168"/>
      <c r="G37" s="168"/>
    </row>
    <row r="38" spans="1:9" s="18" customFormat="1" ht="18.75" customHeight="1" x14ac:dyDescent="0.25">
      <c r="A38" s="167"/>
      <c r="B38" s="177" t="s">
        <v>45</v>
      </c>
      <c r="C38" s="128"/>
      <c r="D38" s="175"/>
      <c r="E38" s="30">
        <f>SUM(E33:E37)</f>
        <v>108700</v>
      </c>
      <c r="F38" s="168"/>
      <c r="G38" s="168"/>
    </row>
    <row r="39" spans="1:9" s="18" customFormat="1" ht="18.75" customHeight="1" x14ac:dyDescent="0.2">
      <c r="A39" s="167"/>
      <c r="B39" s="178"/>
      <c r="C39" s="124"/>
      <c r="D39" s="170"/>
      <c r="E39" s="25"/>
      <c r="F39" s="168"/>
      <c r="G39" s="168"/>
    </row>
    <row r="40" spans="1:9" s="18" customFormat="1" ht="18.75" customHeight="1" x14ac:dyDescent="0.25">
      <c r="A40" s="167"/>
      <c r="B40" s="22" t="s">
        <v>46</v>
      </c>
      <c r="C40" s="23"/>
      <c r="D40" s="24"/>
      <c r="E40" s="25"/>
      <c r="F40" s="168"/>
      <c r="G40" s="168"/>
    </row>
    <row r="41" spans="1:9" s="18" customFormat="1" ht="18.75" customHeight="1" x14ac:dyDescent="0.25">
      <c r="A41" s="167"/>
      <c r="B41" s="26" t="s">
        <v>47</v>
      </c>
      <c r="C41" s="37" t="s">
        <v>137</v>
      </c>
      <c r="D41" s="36">
        <v>0.09</v>
      </c>
      <c r="E41" s="29">
        <f>ROUND(ROUND(E18+E20+E21+E22,-3)*D41,-2)</f>
        <v>44700</v>
      </c>
      <c r="F41" s="168"/>
      <c r="G41" s="168"/>
    </row>
    <row r="42" spans="1:9" s="18" customFormat="1" ht="18.75" customHeight="1" x14ac:dyDescent="0.25">
      <c r="A42" s="167"/>
      <c r="B42" s="26" t="s">
        <v>49</v>
      </c>
      <c r="C42" s="127"/>
      <c r="D42" s="36">
        <v>0.09</v>
      </c>
      <c r="E42" s="29">
        <f>ROUND(ROUND(E29,-3)*D42,-2)</f>
        <v>1900</v>
      </c>
      <c r="F42" s="168"/>
      <c r="G42" s="168"/>
    </row>
    <row r="43" spans="1:9" s="18" customFormat="1" ht="18.75" customHeight="1" x14ac:dyDescent="0.25">
      <c r="A43" s="167"/>
      <c r="B43" s="177" t="s">
        <v>50</v>
      </c>
      <c r="C43" s="128"/>
      <c r="D43" s="175"/>
      <c r="E43" s="30">
        <f>SUM(E41:E42)</f>
        <v>46600</v>
      </c>
      <c r="F43" s="168"/>
      <c r="G43" s="168"/>
    </row>
    <row r="44" spans="1:9" s="18" customFormat="1" ht="18.75" customHeight="1" x14ac:dyDescent="0.2">
      <c r="A44" s="167"/>
      <c r="B44" s="180"/>
      <c r="C44" s="127"/>
      <c r="D44" s="170"/>
      <c r="E44" s="25"/>
      <c r="F44" s="168"/>
      <c r="G44" s="168"/>
    </row>
    <row r="45" spans="1:9" s="18" customFormat="1" ht="18.75" customHeight="1" x14ac:dyDescent="0.25">
      <c r="A45" s="167"/>
      <c r="B45" s="22" t="s">
        <v>51</v>
      </c>
      <c r="C45" s="23"/>
      <c r="D45" s="24"/>
      <c r="E45" s="25"/>
      <c r="F45" s="168"/>
      <c r="G45" s="168"/>
    </row>
    <row r="46" spans="1:9" s="18" customFormat="1" ht="18.75" customHeight="1" x14ac:dyDescent="0.25">
      <c r="A46" s="167"/>
      <c r="B46" s="39" t="s">
        <v>53</v>
      </c>
      <c r="C46" s="37" t="s">
        <v>54</v>
      </c>
      <c r="D46" s="181"/>
      <c r="E46" s="29">
        <f>IF(E18+E20+E21+E22&lt;=C5*2,(C12*3)/12,0)</f>
        <v>0</v>
      </c>
      <c r="F46" s="168"/>
      <c r="G46" s="168"/>
    </row>
    <row r="47" spans="1:9" s="18" customFormat="1" ht="18.75" customHeight="1" x14ac:dyDescent="0.2">
      <c r="A47" s="167"/>
      <c r="B47" s="178"/>
      <c r="C47" s="124"/>
      <c r="D47" s="170"/>
      <c r="E47" s="182"/>
      <c r="F47" s="168"/>
      <c r="G47" s="168"/>
    </row>
    <row r="48" spans="1:9" s="18" customFormat="1" ht="18.75" customHeight="1" x14ac:dyDescent="0.25">
      <c r="A48" s="167"/>
      <c r="B48" s="31" t="s">
        <v>55</v>
      </c>
      <c r="C48" s="126"/>
      <c r="D48" s="175"/>
      <c r="E48" s="30">
        <f>E23+E30+E38+E43+E46</f>
        <v>830466.16666666674</v>
      </c>
      <c r="F48" s="183"/>
      <c r="G48" s="173"/>
    </row>
    <row r="49" spans="1:9" s="18" customFormat="1" ht="18.75" customHeight="1" thickBot="1" x14ac:dyDescent="0.3">
      <c r="A49" s="167"/>
      <c r="B49" s="80" t="s">
        <v>56</v>
      </c>
      <c r="C49" s="129"/>
      <c r="D49" s="130"/>
      <c r="E49" s="93">
        <f>+(E48/(E23-E19))-1</f>
        <v>0.6712943583551354</v>
      </c>
      <c r="F49" s="173"/>
      <c r="G49" s="173"/>
    </row>
    <row r="50" spans="1:9" s="18" customFormat="1" ht="13.5" customHeight="1" x14ac:dyDescent="0.25">
      <c r="A50" s="167"/>
      <c r="B50" s="184"/>
      <c r="C50" s="131"/>
      <c r="D50" s="132"/>
      <c r="E50" s="185"/>
      <c r="F50" s="173"/>
      <c r="G50" s="173"/>
    </row>
    <row r="51" spans="1:9" s="18" customFormat="1" ht="13.5" customHeight="1" thickBot="1" x14ac:dyDescent="0.3">
      <c r="A51" s="167"/>
      <c r="B51" s="184"/>
      <c r="C51" s="131"/>
      <c r="D51" s="132"/>
      <c r="E51" s="185"/>
      <c r="F51" s="173"/>
      <c r="G51" s="173"/>
    </row>
    <row r="52" spans="1:9" s="18" customFormat="1" ht="18.75" customHeight="1" x14ac:dyDescent="0.25">
      <c r="A52" s="155"/>
      <c r="B52" s="74" t="s">
        <v>138</v>
      </c>
      <c r="C52" s="186"/>
      <c r="D52" s="133"/>
      <c r="E52" s="187">
        <f>E48*12</f>
        <v>9965594</v>
      </c>
      <c r="F52" s="156"/>
      <c r="G52" s="156"/>
      <c r="H52" s="1"/>
    </row>
    <row r="53" spans="1:9" s="18" customFormat="1" ht="18.75" customHeight="1" x14ac:dyDescent="0.25">
      <c r="A53" s="155"/>
      <c r="B53" s="26" t="s">
        <v>153</v>
      </c>
      <c r="C53" s="124"/>
      <c r="D53" s="134"/>
      <c r="E53" s="29">
        <v>295</v>
      </c>
      <c r="F53" s="156"/>
      <c r="G53" s="156"/>
      <c r="H53" s="1"/>
    </row>
    <row r="54" spans="1:9" s="18" customFormat="1" ht="18.75" customHeight="1" x14ac:dyDescent="0.25">
      <c r="A54" s="155"/>
      <c r="B54" s="26" t="s">
        <v>59</v>
      </c>
      <c r="C54" s="124"/>
      <c r="D54" s="134"/>
      <c r="E54" s="29">
        <f>E52/E53</f>
        <v>33781.674576271187</v>
      </c>
      <c r="F54" s="156"/>
      <c r="G54" s="156"/>
      <c r="H54" s="1"/>
    </row>
    <row r="55" spans="1:9" s="18" customFormat="1" ht="18.75" customHeight="1" thickBot="1" x14ac:dyDescent="0.3">
      <c r="A55" s="155"/>
      <c r="B55" s="188" t="s">
        <v>60</v>
      </c>
      <c r="C55" s="135"/>
      <c r="D55" s="136"/>
      <c r="E55" s="82">
        <f>E54/8</f>
        <v>4222.7093220338984</v>
      </c>
      <c r="F55" s="156"/>
      <c r="G55" s="156"/>
      <c r="H55" s="1"/>
    </row>
    <row r="56" spans="1:9" s="18" customFormat="1" ht="11.25" customHeight="1" x14ac:dyDescent="0.25">
      <c r="A56" s="155"/>
      <c r="B56" s="161"/>
      <c r="C56" s="137"/>
      <c r="D56" s="138"/>
      <c r="E56" s="185"/>
      <c r="F56" s="156"/>
      <c r="G56" s="156"/>
      <c r="H56" s="1"/>
    </row>
    <row r="57" spans="1:9" s="18" customFormat="1" ht="11.25" customHeight="1" thickBot="1" x14ac:dyDescent="0.3">
      <c r="A57" s="155"/>
      <c r="B57" s="161"/>
      <c r="C57" s="137"/>
      <c r="D57" s="138"/>
      <c r="E57" s="185"/>
      <c r="F57" s="156"/>
      <c r="G57" s="156"/>
      <c r="H57" s="1"/>
    </row>
    <row r="58" spans="1:9" s="18" customFormat="1" ht="18.75" customHeight="1" thickBot="1" x14ac:dyDescent="0.3">
      <c r="A58" s="155"/>
      <c r="B58" s="45" t="s">
        <v>61</v>
      </c>
      <c r="C58" s="46"/>
      <c r="D58" s="47" t="s">
        <v>13</v>
      </c>
      <c r="E58" s="48" t="s">
        <v>62</v>
      </c>
      <c r="F58" s="47" t="s">
        <v>63</v>
      </c>
      <c r="G58" s="49" t="s">
        <v>62</v>
      </c>
    </row>
    <row r="59" spans="1:9" s="18" customFormat="1" ht="18.75" customHeight="1" x14ac:dyDescent="0.25">
      <c r="A59" s="155"/>
      <c r="B59" s="50" t="s">
        <v>64</v>
      </c>
      <c r="C59" s="51" t="s">
        <v>112</v>
      </c>
      <c r="D59" s="52"/>
      <c r="E59" s="53">
        <f>(E18/30)/8</f>
        <v>2070.4166666666665</v>
      </c>
      <c r="F59" s="139"/>
      <c r="G59" s="153"/>
      <c r="H59" s="1"/>
    </row>
    <row r="60" spans="1:9" s="18" customFormat="1" ht="18.75" customHeight="1" x14ac:dyDescent="0.25">
      <c r="A60" s="155"/>
      <c r="B60" s="39" t="s">
        <v>66</v>
      </c>
      <c r="C60" s="37" t="s">
        <v>113</v>
      </c>
      <c r="D60" s="54">
        <v>0.35</v>
      </c>
      <c r="E60" s="55">
        <f>$E$59*D60</f>
        <v>724.64583333333326</v>
      </c>
      <c r="F60" s="189"/>
      <c r="G60" s="352">
        <f t="shared" ref="G60:G68" si="0">E60*F60</f>
        <v>0</v>
      </c>
      <c r="H60" s="1"/>
      <c r="I60" s="83"/>
    </row>
    <row r="61" spans="1:9" s="18" customFormat="1" ht="18.75" customHeight="1" x14ac:dyDescent="0.25">
      <c r="A61" s="155"/>
      <c r="B61" s="39" t="s">
        <v>68</v>
      </c>
      <c r="C61" s="37" t="s">
        <v>69</v>
      </c>
      <c r="D61" s="54">
        <v>0.75</v>
      </c>
      <c r="E61" s="55">
        <f>$E$59*D61</f>
        <v>1552.8125</v>
      </c>
      <c r="F61" s="189"/>
      <c r="G61" s="352">
        <f t="shared" si="0"/>
        <v>0</v>
      </c>
      <c r="H61" s="1"/>
      <c r="I61" s="83"/>
    </row>
    <row r="62" spans="1:9" s="18" customFormat="1" ht="18.75" customHeight="1" x14ac:dyDescent="0.25">
      <c r="A62" s="155"/>
      <c r="B62" s="56" t="s">
        <v>70</v>
      </c>
      <c r="C62" s="57" t="s">
        <v>71</v>
      </c>
      <c r="D62" s="58">
        <v>1.75</v>
      </c>
      <c r="E62" s="55">
        <f>$E$59*D62</f>
        <v>3623.2291666666665</v>
      </c>
      <c r="F62" s="191"/>
      <c r="G62" s="352">
        <f t="shared" si="0"/>
        <v>0</v>
      </c>
      <c r="H62" s="1"/>
    </row>
    <row r="63" spans="1:9" s="18" customFormat="1" ht="18.75" customHeight="1" x14ac:dyDescent="0.2">
      <c r="A63" s="155"/>
      <c r="B63" s="26" t="s">
        <v>72</v>
      </c>
      <c r="C63" s="27" t="s">
        <v>73</v>
      </c>
      <c r="D63" s="91">
        <v>1.1000000000000001</v>
      </c>
      <c r="E63" s="84">
        <f t="shared" ref="E63:E68" si="1">$E$59*D63</f>
        <v>2277.4583333333335</v>
      </c>
      <c r="F63" s="191"/>
      <c r="G63" s="352">
        <f t="shared" si="0"/>
        <v>0</v>
      </c>
      <c r="H63" s="1"/>
    </row>
    <row r="64" spans="1:9" s="18" customFormat="1" ht="18.75" customHeight="1" x14ac:dyDescent="0.2">
      <c r="A64" s="155"/>
      <c r="B64" s="86" t="s">
        <v>74</v>
      </c>
      <c r="C64" s="27" t="s">
        <v>75</v>
      </c>
      <c r="D64" s="92">
        <v>2.1</v>
      </c>
      <c r="E64" s="84">
        <f t="shared" si="1"/>
        <v>4347.875</v>
      </c>
      <c r="F64" s="191"/>
      <c r="G64" s="352">
        <f t="shared" si="0"/>
        <v>0</v>
      </c>
      <c r="H64" s="1"/>
    </row>
    <row r="65" spans="1:8" s="18" customFormat="1" ht="18.75" customHeight="1" x14ac:dyDescent="0.2">
      <c r="A65" s="155"/>
      <c r="B65" s="59" t="s">
        <v>76</v>
      </c>
      <c r="C65" s="60" t="s">
        <v>77</v>
      </c>
      <c r="D65" s="61">
        <v>1.25</v>
      </c>
      <c r="E65" s="84">
        <f t="shared" si="1"/>
        <v>2588.020833333333</v>
      </c>
      <c r="F65" s="189"/>
      <c r="G65" s="352">
        <f t="shared" si="0"/>
        <v>0</v>
      </c>
      <c r="H65" s="1"/>
    </row>
    <row r="66" spans="1:8" s="18" customFormat="1" ht="18.75" customHeight="1" x14ac:dyDescent="0.2">
      <c r="A66" s="155"/>
      <c r="B66" s="62" t="s">
        <v>78</v>
      </c>
      <c r="C66" s="37" t="s">
        <v>79</v>
      </c>
      <c r="D66" s="54">
        <v>1.75</v>
      </c>
      <c r="E66" s="84">
        <f t="shared" si="1"/>
        <v>3623.2291666666665</v>
      </c>
      <c r="F66" s="189"/>
      <c r="G66" s="352">
        <f t="shared" si="0"/>
        <v>0</v>
      </c>
      <c r="H66" s="1"/>
    </row>
    <row r="67" spans="1:8" s="18" customFormat="1" ht="18.75" customHeight="1" x14ac:dyDescent="0.2">
      <c r="A67" s="155"/>
      <c r="B67" s="62" t="s">
        <v>80</v>
      </c>
      <c r="C67" s="37" t="s">
        <v>81</v>
      </c>
      <c r="D67" s="54">
        <v>2</v>
      </c>
      <c r="E67" s="84">
        <f t="shared" si="1"/>
        <v>4140.833333333333</v>
      </c>
      <c r="F67" s="189"/>
      <c r="G67" s="352">
        <f t="shared" si="0"/>
        <v>0</v>
      </c>
      <c r="H67" s="1"/>
    </row>
    <row r="68" spans="1:8" s="18" customFormat="1" ht="18.75" customHeight="1" thickBot="1" x14ac:dyDescent="0.25">
      <c r="A68" s="155"/>
      <c r="B68" s="63" t="s">
        <v>82</v>
      </c>
      <c r="C68" s="64" t="s">
        <v>83</v>
      </c>
      <c r="D68" s="65">
        <v>2.5</v>
      </c>
      <c r="E68" s="102">
        <f t="shared" si="1"/>
        <v>5176.0416666666661</v>
      </c>
      <c r="F68" s="192"/>
      <c r="G68" s="353">
        <f t="shared" si="0"/>
        <v>0</v>
      </c>
      <c r="H68" s="1"/>
    </row>
    <row r="69" spans="1:8" s="18" customFormat="1" ht="18.75" customHeight="1" thickBot="1" x14ac:dyDescent="0.3">
      <c r="A69" s="155"/>
      <c r="B69" s="95" t="s">
        <v>154</v>
      </c>
      <c r="C69" s="115"/>
      <c r="D69" s="116"/>
      <c r="E69" s="4"/>
      <c r="F69" s="156"/>
      <c r="G69" s="66">
        <f>SUM(G60:G68)</f>
        <v>0</v>
      </c>
      <c r="H69" s="1"/>
    </row>
    <row r="70" spans="1:8" s="18" customFormat="1" ht="13.5" customHeight="1" thickBot="1" x14ac:dyDescent="0.3">
      <c r="A70" s="155"/>
      <c r="B70" s="161"/>
      <c r="C70" s="137"/>
      <c r="D70" s="138"/>
      <c r="E70" s="185"/>
      <c r="F70" s="156"/>
      <c r="G70" s="156"/>
      <c r="H70" s="1"/>
    </row>
    <row r="71" spans="1:8" s="18" customFormat="1" ht="18.75" customHeight="1" thickBot="1" x14ac:dyDescent="0.3">
      <c r="A71" s="155"/>
      <c r="B71" s="113" t="s">
        <v>85</v>
      </c>
      <c r="C71" s="114"/>
      <c r="D71" s="105" t="s">
        <v>13</v>
      </c>
      <c r="E71" s="48" t="s">
        <v>62</v>
      </c>
      <c r="F71" s="156"/>
      <c r="G71" s="156"/>
      <c r="H71" s="1"/>
    </row>
    <row r="72" spans="1:8" s="18" customFormat="1" ht="18.75" customHeight="1" x14ac:dyDescent="0.25">
      <c r="A72" s="155"/>
      <c r="B72" s="74" t="s">
        <v>86</v>
      </c>
      <c r="C72" s="67" t="s">
        <v>87</v>
      </c>
      <c r="D72" s="133"/>
      <c r="E72" s="194"/>
      <c r="F72" s="156"/>
      <c r="G72" s="156"/>
      <c r="H72" s="1"/>
    </row>
    <row r="73" spans="1:8" s="18" customFormat="1" ht="18.75" customHeight="1" x14ac:dyDescent="0.2">
      <c r="A73" s="155"/>
      <c r="B73" s="26" t="s">
        <v>88</v>
      </c>
      <c r="C73" s="27" t="s">
        <v>89</v>
      </c>
      <c r="D73" s="54">
        <v>0.04</v>
      </c>
      <c r="E73" s="68">
        <f>ROUND(IF($E$18+E20+E21+E22&lt;=($C$5*25),ROUND($E$18+E20+E21+E22,-3),ROUND($C$5*25,-3))*D73,-2)</f>
        <v>19900</v>
      </c>
      <c r="F73" s="156"/>
      <c r="G73" s="156"/>
      <c r="H73" s="1"/>
    </row>
    <row r="74" spans="1:8" s="18" customFormat="1" ht="18.75" customHeight="1" x14ac:dyDescent="0.2">
      <c r="A74" s="155"/>
      <c r="B74" s="26" t="s">
        <v>90</v>
      </c>
      <c r="C74" s="37" t="s">
        <v>91</v>
      </c>
      <c r="D74" s="54">
        <v>0.04</v>
      </c>
      <c r="E74" s="68">
        <f>ROUND(IF($E$18+E20+E21+E22&lt;=($C$5*25),ROUND($E$18+E20+E21+E22,-3),ROUND($C$5*25,-3))*D74,-2)</f>
        <v>19900</v>
      </c>
      <c r="F74" s="156"/>
      <c r="G74" s="156"/>
      <c r="H74" s="1"/>
    </row>
    <row r="75" spans="1:8" s="18" customFormat="1" ht="18.75" customHeight="1" x14ac:dyDescent="0.25">
      <c r="A75" s="155"/>
      <c r="B75" s="26" t="s">
        <v>92</v>
      </c>
      <c r="C75" s="37" t="s">
        <v>93</v>
      </c>
      <c r="D75" s="79">
        <f>IF(E18+E20+E21+E22&lt;(C5*4),0,0.01)</f>
        <v>0</v>
      </c>
      <c r="E75" s="29">
        <f>IF(E18+E20+E21+E22&lt;(C5*4),0,(E18+E20+E21+E22)*D75)</f>
        <v>0</v>
      </c>
      <c r="F75" s="156"/>
      <c r="G75" s="156"/>
      <c r="H75" s="1"/>
    </row>
    <row r="76" spans="1:8" s="18" customFormat="1" ht="18.75" customHeight="1" x14ac:dyDescent="0.25">
      <c r="A76" s="155"/>
      <c r="B76" s="26" t="s">
        <v>94</v>
      </c>
      <c r="C76" s="37" t="s">
        <v>95</v>
      </c>
      <c r="D76" s="36">
        <f>IF(E18+E20+E21+E22&lt;C81,D81,IF(E18+E20+E21+E22&lt;C82,D82,IF(E18+E20+E21+E22&lt;C83,D83,IF(E18+E20+E21+E22&lt;C84,D84,IF(E18+E20+E21+E22&lt;C85,D85,D86)))))</f>
        <v>0</v>
      </c>
      <c r="E76" s="195">
        <f>(E18+E20+E21+E22)*D76</f>
        <v>0</v>
      </c>
      <c r="F76" s="156"/>
      <c r="G76" s="156"/>
      <c r="H76" s="1"/>
    </row>
    <row r="77" spans="1:8" s="18" customFormat="1" ht="18.75" customHeight="1" thickBot="1" x14ac:dyDescent="0.3">
      <c r="A77" s="155"/>
      <c r="B77" s="94" t="s">
        <v>96</v>
      </c>
      <c r="C77" s="69"/>
      <c r="D77" s="196"/>
      <c r="E77" s="70">
        <f>SUM(E72:E76)</f>
        <v>39800</v>
      </c>
      <c r="F77" s="156"/>
      <c r="G77" s="156"/>
      <c r="H77" s="1"/>
    </row>
    <row r="78" spans="1:8" s="18" customFormat="1" ht="13.5" customHeight="1" x14ac:dyDescent="0.25">
      <c r="A78" s="155"/>
      <c r="B78" s="161"/>
      <c r="C78" s="137"/>
      <c r="D78" s="138"/>
      <c r="E78" s="185"/>
      <c r="F78" s="156"/>
      <c r="G78" s="156"/>
      <c r="H78" s="1"/>
    </row>
    <row r="79" spans="1:8" ht="13.5" customHeight="1" thickBot="1" x14ac:dyDescent="0.3">
      <c r="A79" s="155"/>
      <c r="B79" s="161"/>
      <c r="C79" s="137"/>
      <c r="D79" s="197"/>
      <c r="E79" s="185"/>
      <c r="F79" s="156"/>
      <c r="G79" s="156"/>
    </row>
    <row r="80" spans="1:8" ht="16.5" thickBot="1" x14ac:dyDescent="0.3">
      <c r="A80" s="155"/>
      <c r="B80" s="71" t="s">
        <v>97</v>
      </c>
      <c r="C80" s="140"/>
      <c r="D80" s="168"/>
      <c r="E80" s="179"/>
      <c r="F80" s="156"/>
      <c r="G80" s="156"/>
    </row>
    <row r="81" spans="1:256" ht="15.75" x14ac:dyDescent="0.25">
      <c r="A81" s="155"/>
      <c r="B81" s="74" t="s">
        <v>98</v>
      </c>
      <c r="C81" s="354">
        <f>$C$5*16</f>
        <v>7950400</v>
      </c>
      <c r="D81" s="75">
        <v>0</v>
      </c>
      <c r="E81" s="199"/>
      <c r="F81" s="156"/>
      <c r="G81" s="156"/>
    </row>
    <row r="82" spans="1:256" ht="15.75" x14ac:dyDescent="0.25">
      <c r="A82" s="155"/>
      <c r="B82" s="39" t="s">
        <v>99</v>
      </c>
      <c r="C82" s="355">
        <f>$C$5*17</f>
        <v>8447300</v>
      </c>
      <c r="D82" s="77">
        <v>2E-3</v>
      </c>
      <c r="E82" s="201"/>
      <c r="F82" s="156"/>
      <c r="G82" s="156"/>
    </row>
    <row r="83" spans="1:256" ht="15.75" x14ac:dyDescent="0.25">
      <c r="A83" s="155"/>
      <c r="B83" s="39" t="s">
        <v>100</v>
      </c>
      <c r="C83" s="356">
        <f>$C$5*18</f>
        <v>8944200</v>
      </c>
      <c r="D83" s="79">
        <v>4.0000000000000001E-3</v>
      </c>
      <c r="E83" s="203"/>
      <c r="F83" s="156"/>
      <c r="G83" s="156"/>
    </row>
    <row r="84" spans="1:256" ht="15.75" x14ac:dyDescent="0.25">
      <c r="A84" s="155"/>
      <c r="B84" s="39" t="s">
        <v>101</v>
      </c>
      <c r="C84" s="356">
        <f>$C$5*19</f>
        <v>9441100</v>
      </c>
      <c r="D84" s="79">
        <v>6.0000000000000001E-3</v>
      </c>
      <c r="E84" s="203"/>
      <c r="F84" s="156"/>
      <c r="G84" s="156"/>
    </row>
    <row r="85" spans="1:256" ht="15.75" x14ac:dyDescent="0.25">
      <c r="A85" s="155"/>
      <c r="B85" s="39" t="s">
        <v>102</v>
      </c>
      <c r="C85" s="356">
        <f>$C$5*20</f>
        <v>9938000</v>
      </c>
      <c r="D85" s="79">
        <v>8.0000000000000002E-3</v>
      </c>
      <c r="E85" s="203"/>
      <c r="F85" s="156"/>
      <c r="G85" s="156"/>
    </row>
    <row r="86" spans="1:256" ht="16.5" thickBot="1" x14ac:dyDescent="0.3">
      <c r="A86" s="155"/>
      <c r="B86" s="80" t="s">
        <v>103</v>
      </c>
      <c r="C86" s="357">
        <v>9938000</v>
      </c>
      <c r="D86" s="81">
        <v>0.01</v>
      </c>
      <c r="E86" s="205"/>
      <c r="F86" s="156"/>
      <c r="G86" s="156"/>
      <c r="IV86" s="1">
        <v>2008</v>
      </c>
    </row>
    <row r="87" spans="1:256" x14ac:dyDescent="0.2">
      <c r="A87" s="155"/>
      <c r="B87" s="206"/>
      <c r="C87" s="141"/>
      <c r="D87" s="142"/>
      <c r="E87" s="149" t="str">
        <f>+B69</f>
        <v>V3.9   Enero 19 de 2009</v>
      </c>
      <c r="F87" s="156"/>
      <c r="G87" s="156"/>
    </row>
    <row r="88" spans="1:256" ht="14.25" x14ac:dyDescent="0.2">
      <c r="A88" s="155"/>
      <c r="B88" s="155"/>
      <c r="C88" s="115"/>
      <c r="D88" s="143"/>
      <c r="E88" s="145"/>
      <c r="F88" s="156"/>
      <c r="G88" s="156"/>
    </row>
    <row r="89" spans="1:256" ht="15" x14ac:dyDescent="0.2">
      <c r="A89" s="155"/>
      <c r="B89" s="155"/>
      <c r="C89" s="140"/>
      <c r="D89" s="116"/>
      <c r="F89" s="156"/>
      <c r="G89" s="156"/>
    </row>
    <row r="90" spans="1:256" ht="15" x14ac:dyDescent="0.2">
      <c r="A90" s="155"/>
      <c r="B90" s="155"/>
      <c r="C90" s="140"/>
      <c r="D90" s="116"/>
      <c r="F90" s="156"/>
      <c r="G90" s="156"/>
    </row>
    <row r="91" spans="1:256" ht="15" x14ac:dyDescent="0.2">
      <c r="A91" s="155"/>
      <c r="B91" s="155"/>
      <c r="C91" s="140"/>
      <c r="D91" s="116"/>
      <c r="F91" s="156"/>
      <c r="G91" s="156"/>
    </row>
    <row r="92" spans="1:256" ht="15" x14ac:dyDescent="0.2">
      <c r="A92" s="155"/>
      <c r="B92" s="155"/>
      <c r="C92" s="140"/>
      <c r="D92" s="116"/>
      <c r="F92" s="156"/>
      <c r="G92" s="156"/>
    </row>
    <row r="93" spans="1:256" ht="15" x14ac:dyDescent="0.2">
      <c r="A93" s="155"/>
      <c r="B93" s="155"/>
      <c r="C93" s="140"/>
      <c r="D93" s="116"/>
      <c r="F93" s="156"/>
      <c r="G93" s="156"/>
    </row>
    <row r="94" spans="1:256" ht="15" x14ac:dyDescent="0.2">
      <c r="A94" s="155"/>
      <c r="B94" s="155"/>
      <c r="C94" s="140"/>
      <c r="D94" s="116"/>
      <c r="F94" s="156"/>
      <c r="G94" s="156"/>
    </row>
    <row r="95" spans="1:256" ht="15" x14ac:dyDescent="0.2">
      <c r="A95" s="155"/>
      <c r="B95" s="155"/>
      <c r="C95" s="140"/>
      <c r="D95" s="116"/>
      <c r="F95" s="156"/>
      <c r="G95" s="156"/>
    </row>
    <row r="96" spans="1:256" ht="15" x14ac:dyDescent="0.2">
      <c r="A96" s="155"/>
      <c r="B96" s="155"/>
      <c r="C96" s="140"/>
      <c r="D96" s="116"/>
      <c r="F96" s="156"/>
      <c r="G96" s="156"/>
    </row>
    <row r="97" spans="1:7" ht="15" x14ac:dyDescent="0.2">
      <c r="A97" s="155"/>
      <c r="B97" s="155"/>
      <c r="C97" s="140"/>
      <c r="D97" s="116"/>
      <c r="F97" s="156"/>
      <c r="G97" s="156"/>
    </row>
    <row r="98" spans="1:7" ht="15" x14ac:dyDescent="0.2">
      <c r="A98" s="155"/>
      <c r="B98" s="155"/>
      <c r="C98" s="140"/>
      <c r="D98" s="116"/>
      <c r="F98" s="156"/>
      <c r="G98" s="156"/>
    </row>
    <row r="99" spans="1:7" ht="15" x14ac:dyDescent="0.2">
      <c r="A99" s="155"/>
      <c r="B99" s="155"/>
      <c r="C99" s="140"/>
      <c r="D99" s="116"/>
      <c r="F99" s="156"/>
      <c r="G99" s="156"/>
    </row>
    <row r="100" spans="1:7" x14ac:dyDescent="0.2">
      <c r="A100" s="155"/>
      <c r="B100" s="155"/>
      <c r="C100" s="115"/>
      <c r="D100" s="116"/>
      <c r="F100" s="156"/>
      <c r="G100" s="156"/>
    </row>
    <row r="101" spans="1:7" x14ac:dyDescent="0.2">
      <c r="A101" s="155"/>
      <c r="B101" s="155"/>
      <c r="C101" s="115"/>
      <c r="D101" s="116"/>
      <c r="F101" s="156"/>
      <c r="G101" s="156"/>
    </row>
    <row r="102" spans="1:7" x14ac:dyDescent="0.2">
      <c r="A102" s="155"/>
      <c r="B102" s="155"/>
      <c r="C102" s="115"/>
      <c r="D102" s="116"/>
      <c r="F102" s="156"/>
      <c r="G102" s="156"/>
    </row>
    <row r="103" spans="1:7" x14ac:dyDescent="0.2">
      <c r="A103" s="155"/>
      <c r="B103" s="155"/>
      <c r="C103" s="115"/>
      <c r="D103" s="116"/>
      <c r="F103" s="156"/>
      <c r="G103" s="156"/>
    </row>
    <row r="65536" spans="256:256" x14ac:dyDescent="0.2">
      <c r="IV65536" s="1">
        <v>2009</v>
      </c>
    </row>
  </sheetData>
  <sheetProtection password="CCFB" sheet="1" objects="1" scenarios="1"/>
  <protectedRanges>
    <protectedRange sqref="E20:E22" name="Rango5"/>
    <protectedRange sqref="C10:C12" name="Rango4"/>
    <protectedRange sqref="F60:F68" name="Rango2"/>
    <protectedRange sqref="E72" name="Rango3"/>
  </protectedRanges>
  <customSheetViews>
    <customSheetView guid="{005D785A-2C1A-7642-8E14-813F8ABC12DD}" scale="88" showGridLines="0">
      <selection activeCell="D10" sqref="D10"/>
      <pageMargins left="0" right="0" top="0" bottom="0" header="0" footer="0"/>
      <pageSetup orientation="portrait" r:id="rId1"/>
      <headerFooter alignWithMargins="0"/>
    </customSheetView>
  </customSheetViews>
  <phoneticPr fontId="7" type="noConversion"/>
  <dataValidations count="1">
    <dataValidation type="list" allowBlank="1" showInputMessage="1" showErrorMessage="1" sqref="C11" xr:uid="{00000000-0002-0000-0A00-000000000000}">
      <formula1>$IV$6:$IV$10</formula1>
    </dataValidation>
  </dataValidations>
  <pageMargins left="0.75" right="0.75" top="1" bottom="1" header="0" footer="0"/>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5536"/>
  <sheetViews>
    <sheetView topLeftCell="A27" zoomScale="110" zoomScaleNormal="110" zoomScalePageLayoutView="110" workbookViewId="0">
      <selection activeCell="I50" sqref="I50"/>
    </sheetView>
  </sheetViews>
  <sheetFormatPr baseColWidth="10" defaultColWidth="11.42578125" defaultRowHeight="12.75" x14ac:dyDescent="0.2"/>
  <cols>
    <col min="1" max="1" width="3.28515625" style="225" customWidth="1"/>
    <col min="2" max="2" width="45.28515625" style="225" customWidth="1"/>
    <col min="3" max="3" width="59.42578125" style="226" customWidth="1"/>
    <col min="4" max="4" width="11" style="227" customWidth="1"/>
    <col min="5" max="5" width="17.28515625" style="228" customWidth="1"/>
    <col min="6" max="6" width="17.42578125" style="234" customWidth="1"/>
    <col min="7" max="7" width="13.85546875" style="208"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342" t="s">
        <v>104</v>
      </c>
      <c r="C4" s="232"/>
      <c r="E4" s="233"/>
    </row>
    <row r="5" spans="2:256" ht="18.75" customHeight="1" x14ac:dyDescent="0.25">
      <c r="B5" s="344" t="s">
        <v>2</v>
      </c>
      <c r="C5" s="76">
        <v>781242</v>
      </c>
      <c r="E5" s="358">
        <f>+C5/30</f>
        <v>26041.4</v>
      </c>
      <c r="F5" s="340"/>
      <c r="G5" s="209"/>
      <c r="I5" s="299"/>
    </row>
    <row r="6" spans="2:256" ht="18.75" customHeight="1" thickBot="1" x14ac:dyDescent="0.3">
      <c r="B6" s="345" t="s">
        <v>3</v>
      </c>
      <c r="C6" s="82">
        <v>88211</v>
      </c>
      <c r="E6" s="350"/>
      <c r="F6" s="233"/>
      <c r="G6" s="209"/>
      <c r="I6" s="235"/>
      <c r="J6" s="236"/>
      <c r="IV6" s="237">
        <v>5.2199999999999998E-3</v>
      </c>
    </row>
    <row r="7" spans="2:256" ht="13.5" customHeight="1" x14ac:dyDescent="0.25">
      <c r="B7" s="238"/>
      <c r="C7" s="239"/>
      <c r="G7" s="209"/>
      <c r="IV7" s="237">
        <v>1.044E-2</v>
      </c>
    </row>
    <row r="8" spans="2:256" ht="12.75" customHeight="1" x14ac:dyDescent="0.2">
      <c r="B8" s="238"/>
      <c r="C8" s="238"/>
      <c r="G8" s="209"/>
      <c r="IV8" s="237">
        <v>2.436E-2</v>
      </c>
    </row>
    <row r="9" spans="2:256" ht="12" customHeight="1" thickBot="1" x14ac:dyDescent="0.25">
      <c r="B9" s="9" t="s">
        <v>4</v>
      </c>
      <c r="C9" s="240" t="s">
        <v>5</v>
      </c>
      <c r="D9" s="241"/>
      <c r="E9" s="242"/>
      <c r="IV9" s="237">
        <v>4.3499999999999997E-2</v>
      </c>
    </row>
    <row r="10" spans="2:256" ht="18.75" customHeight="1" x14ac:dyDescent="0.25">
      <c r="B10" s="11" t="s">
        <v>6</v>
      </c>
      <c r="C10" s="346">
        <v>781242</v>
      </c>
      <c r="D10" s="243"/>
      <c r="E10" s="244"/>
      <c r="F10" s="343"/>
      <c r="G10" s="311"/>
      <c r="H10" s="245"/>
      <c r="IV10" s="237">
        <v>6.9599999999999995E-2</v>
      </c>
    </row>
    <row r="11" spans="2:256" ht="18.75" customHeight="1" x14ac:dyDescent="0.25">
      <c r="B11" s="13" t="s">
        <v>7</v>
      </c>
      <c r="C11" s="292">
        <v>5.2199999999999998E-3</v>
      </c>
      <c r="D11" s="241"/>
      <c r="E11" s="244"/>
      <c r="G11" s="312"/>
      <c r="H11" s="245"/>
    </row>
    <row r="12" spans="2:256" ht="18.75" customHeight="1" thickBot="1" x14ac:dyDescent="0.3">
      <c r="B12" s="15" t="s">
        <v>8</v>
      </c>
      <c r="C12" s="347"/>
      <c r="D12" s="241"/>
      <c r="E12" s="242"/>
      <c r="G12" s="313"/>
      <c r="H12" s="245"/>
      <c r="IR12" s="248"/>
      <c r="IV12" s="249"/>
    </row>
    <row r="13" spans="2:256" s="1" customFormat="1" ht="18.75" customHeight="1" thickBot="1" x14ac:dyDescent="0.3">
      <c r="B13" s="15" t="s">
        <v>9</v>
      </c>
      <c r="C13" s="348">
        <v>3000</v>
      </c>
      <c r="D13" s="111" t="s">
        <v>10</v>
      </c>
      <c r="E13" s="10"/>
      <c r="F13" s="106"/>
      <c r="G13" s="17"/>
      <c r="H13" s="12"/>
      <c r="IR13" s="16"/>
      <c r="IV13" s="18" t="s">
        <v>10</v>
      </c>
    </row>
    <row r="14" spans="2:256" ht="10.5" customHeight="1" thickBot="1" x14ac:dyDescent="0.25">
      <c r="B14" s="250"/>
      <c r="C14" s="251"/>
      <c r="D14" s="252"/>
      <c r="F14" s="308"/>
      <c r="G14" s="312"/>
      <c r="H14" s="245"/>
      <c r="IR14" s="248"/>
    </row>
    <row r="15" spans="2:256" s="249" customFormat="1" ht="41.25" customHeight="1" x14ac:dyDescent="0.25">
      <c r="B15" s="96" t="s">
        <v>11</v>
      </c>
      <c r="C15" s="97" t="s">
        <v>12</v>
      </c>
      <c r="D15" s="98" t="s">
        <v>13</v>
      </c>
      <c r="E15" s="307" t="s">
        <v>14</v>
      </c>
      <c r="F15" s="309" t="s">
        <v>15</v>
      </c>
      <c r="G15" s="314" t="s">
        <v>16</v>
      </c>
      <c r="H15" s="245"/>
      <c r="IR15" s="253"/>
    </row>
    <row r="16" spans="2:256" s="249" customFormat="1" ht="9" customHeight="1" x14ac:dyDescent="0.25">
      <c r="B16" s="254"/>
      <c r="C16" s="239"/>
      <c r="D16" s="239"/>
      <c r="E16" s="255"/>
      <c r="F16" s="255"/>
      <c r="G16" s="107"/>
      <c r="IR16" s="253"/>
    </row>
    <row r="17" spans="2:252" s="249" customFormat="1" ht="15.75" x14ac:dyDescent="0.25">
      <c r="B17" s="256" t="s">
        <v>17</v>
      </c>
      <c r="C17" s="257"/>
      <c r="D17" s="258"/>
      <c r="E17" s="259"/>
      <c r="F17" s="259"/>
      <c r="G17" s="108"/>
      <c r="IR17" s="253"/>
    </row>
    <row r="18" spans="2:252" s="249" customFormat="1" ht="15.75" x14ac:dyDescent="0.25">
      <c r="B18" s="26" t="s">
        <v>18</v>
      </c>
      <c r="C18" s="27" t="s">
        <v>19</v>
      </c>
      <c r="D18" s="28"/>
      <c r="E18" s="29">
        <f>IF(C10&lt;C5,FALSE,C10)</f>
        <v>781242</v>
      </c>
      <c r="F18" s="29">
        <f>+E18</f>
        <v>781242</v>
      </c>
      <c r="G18" s="103">
        <f t="shared" ref="G18:G23" si="0">+E18/$C$13</f>
        <v>260.41399999999999</v>
      </c>
      <c r="IR18" s="253"/>
    </row>
    <row r="19" spans="2:252" s="249" customFormat="1" ht="15.75" x14ac:dyDescent="0.25">
      <c r="B19" s="26" t="s">
        <v>20</v>
      </c>
      <c r="C19" s="27" t="s">
        <v>105</v>
      </c>
      <c r="D19" s="28"/>
      <c r="E19" s="29">
        <f>IF(E18+E20+E21+E22&lt;=(C5*2),C6,0)</f>
        <v>88211</v>
      </c>
      <c r="F19" s="29">
        <f>+E19</f>
        <v>88211</v>
      </c>
      <c r="G19" s="103">
        <f t="shared" si="0"/>
        <v>29.403666666666666</v>
      </c>
      <c r="I19" s="284">
        <f>+E19/30</f>
        <v>2940.3666666666668</v>
      </c>
    </row>
    <row r="20" spans="2:252" s="249" customFormat="1" ht="15.75" x14ac:dyDescent="0.25">
      <c r="B20" s="26" t="s">
        <v>22</v>
      </c>
      <c r="C20" s="27" t="s">
        <v>23</v>
      </c>
      <c r="D20" s="262"/>
      <c r="E20" s="339">
        <f>+G60+G63</f>
        <v>0</v>
      </c>
      <c r="F20" s="42">
        <f>+E20</f>
        <v>0</v>
      </c>
      <c r="G20" s="103">
        <f t="shared" si="0"/>
        <v>0</v>
      </c>
      <c r="J20" s="264"/>
    </row>
    <row r="21" spans="2:252" s="249" customFormat="1" ht="15.75" x14ac:dyDescent="0.25">
      <c r="B21" s="26" t="s">
        <v>24</v>
      </c>
      <c r="C21" s="27" t="s">
        <v>25</v>
      </c>
      <c r="D21" s="262"/>
      <c r="E21" s="339">
        <f>+G61+G62+G64</f>
        <v>0</v>
      </c>
      <c r="F21" s="42">
        <f>+E21</f>
        <v>0</v>
      </c>
      <c r="G21" s="103">
        <f t="shared" si="0"/>
        <v>0</v>
      </c>
    </row>
    <row r="22" spans="2:252" s="249" customFormat="1" ht="15.75" x14ac:dyDescent="0.25">
      <c r="B22" s="26" t="s">
        <v>26</v>
      </c>
      <c r="C22" s="27" t="s">
        <v>27</v>
      </c>
      <c r="D22" s="262"/>
      <c r="E22" s="339">
        <f>+G65+G66+G67+G68</f>
        <v>0</v>
      </c>
      <c r="F22" s="42">
        <f>+E22</f>
        <v>0</v>
      </c>
      <c r="G22" s="103">
        <f t="shared" si="0"/>
        <v>0</v>
      </c>
    </row>
    <row r="23" spans="2:252" s="249" customFormat="1" ht="15.75" x14ac:dyDescent="0.25">
      <c r="B23" s="148" t="s">
        <v>28</v>
      </c>
      <c r="C23" s="265"/>
      <c r="D23" s="266"/>
      <c r="E23" s="30">
        <f>SUM(E18:E22)</f>
        <v>869453</v>
      </c>
      <c r="F23" s="30">
        <f>SUM(F18:F22)</f>
        <v>869453</v>
      </c>
      <c r="G23" s="104">
        <f t="shared" si="0"/>
        <v>289.81766666666664</v>
      </c>
    </row>
    <row r="24" spans="2:252" s="249" customFormat="1" ht="15.75" x14ac:dyDescent="0.25">
      <c r="B24" s="267"/>
      <c r="C24" s="268"/>
      <c r="D24" s="269"/>
      <c r="E24" s="263"/>
      <c r="F24" s="263"/>
      <c r="G24" s="108"/>
    </row>
    <row r="25" spans="2:252" s="249" customFormat="1" ht="15.75" x14ac:dyDescent="0.25">
      <c r="B25" s="270" t="s">
        <v>29</v>
      </c>
      <c r="C25" s="257"/>
      <c r="D25" s="258"/>
      <c r="E25" s="263"/>
      <c r="F25" s="263"/>
      <c r="G25" s="108"/>
    </row>
    <row r="26" spans="2:252" s="249" customFormat="1" ht="15.75" x14ac:dyDescent="0.25">
      <c r="B26" s="26" t="s">
        <v>30</v>
      </c>
      <c r="C26" s="27" t="s">
        <v>31</v>
      </c>
      <c r="D26" s="35">
        <v>8.3333333333333343E-2</v>
      </c>
      <c r="E26" s="29">
        <f>E23*D26</f>
        <v>72454.416666666672</v>
      </c>
      <c r="F26" s="29">
        <f>+E26</f>
        <v>72454.416666666672</v>
      </c>
      <c r="G26" s="103">
        <f>+E26/$C$13</f>
        <v>24.151472222222225</v>
      </c>
    </row>
    <row r="27" spans="2:252" s="249" customFormat="1" ht="15.75" x14ac:dyDescent="0.25">
      <c r="B27" s="26" t="s">
        <v>32</v>
      </c>
      <c r="C27" s="27" t="s">
        <v>33</v>
      </c>
      <c r="D27" s="36">
        <v>0.12</v>
      </c>
      <c r="E27" s="29">
        <f>+E26*D27</f>
        <v>8694.5300000000007</v>
      </c>
      <c r="F27" s="29">
        <f>+E27</f>
        <v>8694.5300000000007</v>
      </c>
      <c r="G27" s="103">
        <f>+E27/$C$13</f>
        <v>2.8981766666666671</v>
      </c>
    </row>
    <row r="28" spans="2:252" s="249" customFormat="1" ht="15.75" x14ac:dyDescent="0.25">
      <c r="B28" s="26" t="s">
        <v>34</v>
      </c>
      <c r="C28" s="27" t="s">
        <v>31</v>
      </c>
      <c r="D28" s="35">
        <v>8.3333333333333343E-2</v>
      </c>
      <c r="E28" s="29">
        <f>E23*D28</f>
        <v>72454.416666666672</v>
      </c>
      <c r="F28" s="29">
        <f>+E28</f>
        <v>72454.416666666672</v>
      </c>
      <c r="G28" s="103">
        <f>+E28/$C$13</f>
        <v>24.151472222222225</v>
      </c>
    </row>
    <row r="29" spans="2:252" s="249" customFormat="1" ht="15.75" x14ac:dyDescent="0.25">
      <c r="B29" s="26" t="s">
        <v>35</v>
      </c>
      <c r="C29" s="37" t="s">
        <v>36</v>
      </c>
      <c r="D29" s="35">
        <v>4.1666666666666664E-2</v>
      </c>
      <c r="E29" s="29">
        <f>(E18+E20)*D29</f>
        <v>32551.75</v>
      </c>
      <c r="F29" s="29">
        <f>+E29</f>
        <v>32551.75</v>
      </c>
      <c r="G29" s="103">
        <f>+E29/$C$13</f>
        <v>10.850583333333333</v>
      </c>
    </row>
    <row r="30" spans="2:252" s="249" customFormat="1" ht="15.75" x14ac:dyDescent="0.25">
      <c r="B30" s="177" t="s">
        <v>37</v>
      </c>
      <c r="C30" s="38"/>
      <c r="D30" s="33"/>
      <c r="E30" s="30">
        <f>SUM(E26:E29)</f>
        <v>186155.11333333334</v>
      </c>
      <c r="F30" s="30">
        <f>SUM(F26:F29)</f>
        <v>186155.11333333334</v>
      </c>
      <c r="G30" s="104">
        <f>+E30/$C$13</f>
        <v>62.051704444444447</v>
      </c>
    </row>
    <row r="31" spans="2:252" s="249" customFormat="1" ht="15" x14ac:dyDescent="0.2">
      <c r="B31" s="260"/>
      <c r="C31" s="261"/>
      <c r="D31" s="262"/>
      <c r="E31" s="259"/>
      <c r="F31" s="259"/>
      <c r="G31" s="108"/>
      <c r="H31" s="238"/>
    </row>
    <row r="32" spans="2:252" s="249" customFormat="1" ht="15.75" x14ac:dyDescent="0.25">
      <c r="B32" s="256" t="s">
        <v>38</v>
      </c>
      <c r="C32" s="257"/>
      <c r="D32" s="258"/>
      <c r="E32" s="259"/>
      <c r="F32" s="259"/>
      <c r="G32" s="108"/>
      <c r="H32" s="238"/>
    </row>
    <row r="33" spans="2:9" s="249" customFormat="1" ht="15.75" x14ac:dyDescent="0.25">
      <c r="B33" s="310" t="s">
        <v>39</v>
      </c>
      <c r="C33" s="85">
        <f>ROUND(IF($E$18+E20+E21+E22&lt;=($C$5*25),ROUND($E$18+E20+E21+E22,-3),ROUND($C$5*25,-3))*0.125,-2)</f>
        <v>97600</v>
      </c>
      <c r="D33" s="36">
        <v>8.5000000000000006E-2</v>
      </c>
      <c r="E33" s="29">
        <f>C33-E73</f>
        <v>66400</v>
      </c>
      <c r="F33" s="29">
        <v>0</v>
      </c>
      <c r="G33" s="103">
        <f t="shared" ref="G33:G38" si="1">+E33/$C$13</f>
        <v>22.133333333333333</v>
      </c>
      <c r="H33" s="274"/>
      <c r="I33" s="275"/>
    </row>
    <row r="34" spans="2:9" s="249" customFormat="1" ht="15.75" x14ac:dyDescent="0.25">
      <c r="B34" s="26" t="s">
        <v>40</v>
      </c>
      <c r="C34" s="85">
        <f>ROUND(IF($E$18+E20+E21+E22&lt;=($C$5*25),ROUND($E$18+E20+E21+E22,-3),ROUND($C$5*25,-3))*0.16,-2)</f>
        <v>125000</v>
      </c>
      <c r="D34" s="36">
        <v>0.12</v>
      </c>
      <c r="E34" s="29">
        <f>C34-E74</f>
        <v>93800</v>
      </c>
      <c r="F34" s="29">
        <f>+E34</f>
        <v>93800</v>
      </c>
      <c r="G34" s="103">
        <f t="shared" si="1"/>
        <v>31.266666666666666</v>
      </c>
      <c r="H34" s="276"/>
    </row>
    <row r="35" spans="2:9" s="249" customFormat="1" ht="15.75" x14ac:dyDescent="0.25">
      <c r="B35" s="26" t="s">
        <v>41</v>
      </c>
      <c r="C35" s="37" t="s">
        <v>42</v>
      </c>
      <c r="D35" s="28">
        <f>C11</f>
        <v>5.2199999999999998E-3</v>
      </c>
      <c r="E35" s="29">
        <f>ROUND(IF($E$18+E21+E20+E22&lt;=($C$5*20),ROUND($E$18+E20+E21+E22,-3),ROUND($C$5*20,-3))*D35,-2)</f>
        <v>4100</v>
      </c>
      <c r="F35" s="29">
        <f>+E35</f>
        <v>4100</v>
      </c>
      <c r="G35" s="103">
        <f t="shared" si="1"/>
        <v>1.3666666666666667</v>
      </c>
      <c r="H35" s="238"/>
    </row>
    <row r="36" spans="2:9" s="249" customFormat="1" ht="15.75" x14ac:dyDescent="0.25">
      <c r="B36" s="26" t="s">
        <v>43</v>
      </c>
      <c r="C36" s="271"/>
      <c r="D36" s="36">
        <v>8.5000000000000006E-2</v>
      </c>
      <c r="E36" s="29">
        <f>ROUND(IF($E$29&lt;=($C$5*25),ROUND($E$29,-3),ROUND($C$5*25,-3))*D36,-2)</f>
        <v>2800</v>
      </c>
      <c r="F36" s="29">
        <v>0</v>
      </c>
      <c r="G36" s="103">
        <f t="shared" si="1"/>
        <v>0.93333333333333335</v>
      </c>
    </row>
    <row r="37" spans="2:9" s="249" customFormat="1" ht="15.75" x14ac:dyDescent="0.25">
      <c r="B37" s="26" t="s">
        <v>44</v>
      </c>
      <c r="C37" s="271"/>
      <c r="D37" s="36">
        <v>0.12</v>
      </c>
      <c r="E37" s="29">
        <f>ROUND(IF($E$29&lt;=($C$5*25),ROUND($E$29,-3),ROUND($C$5*25,-3))*D37,-2)</f>
        <v>4000</v>
      </c>
      <c r="F37" s="29">
        <f>+E37</f>
        <v>4000</v>
      </c>
      <c r="G37" s="103">
        <f t="shared" si="1"/>
        <v>1.3333333333333333</v>
      </c>
    </row>
    <row r="38" spans="2:9" s="249" customFormat="1" ht="15.75" x14ac:dyDescent="0.25">
      <c r="B38" s="177" t="s">
        <v>45</v>
      </c>
      <c r="C38" s="272"/>
      <c r="D38" s="269"/>
      <c r="E38" s="30">
        <f>SUM(E33:E37)</f>
        <v>171100</v>
      </c>
      <c r="F38" s="30">
        <f>SUM(F33:F37)</f>
        <v>101900</v>
      </c>
      <c r="G38" s="104">
        <f t="shared" si="1"/>
        <v>57.033333333333331</v>
      </c>
    </row>
    <row r="39" spans="2:9" s="249" customFormat="1" ht="15" x14ac:dyDescent="0.2">
      <c r="B39" s="260"/>
      <c r="C39" s="261"/>
      <c r="D39" s="262"/>
      <c r="E39" s="259"/>
      <c r="F39" s="259"/>
      <c r="G39" s="108"/>
    </row>
    <row r="40" spans="2:9" s="249" customFormat="1" ht="15.75" x14ac:dyDescent="0.25">
      <c r="B40" s="256" t="s">
        <v>46</v>
      </c>
      <c r="C40" s="257"/>
      <c r="D40" s="258"/>
      <c r="E40" s="259"/>
      <c r="F40" s="259"/>
      <c r="G40" s="108"/>
    </row>
    <row r="41" spans="2:9" s="249" customFormat="1" ht="15.75" x14ac:dyDescent="0.25">
      <c r="B41" s="26" t="s">
        <v>47</v>
      </c>
      <c r="C41" s="37" t="s">
        <v>48</v>
      </c>
      <c r="D41" s="36">
        <v>0.09</v>
      </c>
      <c r="E41" s="29">
        <f>ROUND(ROUND(E18+E20+E21+E22,-3)*D41,-2)</f>
        <v>70300</v>
      </c>
      <c r="F41" s="29">
        <f>ROUND(ROUND(F18+F20+F21+F22,-3)*0.04,-2)</f>
        <v>31200</v>
      </c>
      <c r="G41" s="103">
        <f>+E41/$C$13</f>
        <v>23.433333333333334</v>
      </c>
    </row>
    <row r="42" spans="2:9" s="249" customFormat="1" ht="15.75" x14ac:dyDescent="0.25">
      <c r="B42" s="26" t="s">
        <v>49</v>
      </c>
      <c r="C42" s="37"/>
      <c r="D42" s="36">
        <v>0.09</v>
      </c>
      <c r="E42" s="29">
        <f>ROUND(ROUND(E29,-3)*D42,-2)</f>
        <v>3000</v>
      </c>
      <c r="F42" s="29">
        <f>ROUND(ROUND(F29,-3)*0.04,-2)</f>
        <v>1300</v>
      </c>
      <c r="G42" s="103">
        <f>+E42/$C$13</f>
        <v>1</v>
      </c>
    </row>
    <row r="43" spans="2:9" s="249" customFormat="1" ht="15.75" x14ac:dyDescent="0.25">
      <c r="B43" s="177" t="s">
        <v>50</v>
      </c>
      <c r="C43" s="38"/>
      <c r="D43" s="33"/>
      <c r="E43" s="30">
        <f>SUM(E41:E42)</f>
        <v>73300</v>
      </c>
      <c r="F43" s="30">
        <f>SUM(F41:F42)</f>
        <v>32500</v>
      </c>
      <c r="G43" s="104">
        <f>+E43/$C$13</f>
        <v>24.433333333333334</v>
      </c>
    </row>
    <row r="44" spans="2:9" s="249" customFormat="1" ht="15" x14ac:dyDescent="0.2">
      <c r="B44" s="273"/>
      <c r="C44" s="271"/>
      <c r="D44" s="262"/>
      <c r="E44" s="259"/>
      <c r="F44" s="259"/>
      <c r="G44" s="108"/>
    </row>
    <row r="45" spans="2:9" s="249" customFormat="1" ht="15.75" x14ac:dyDescent="0.25">
      <c r="B45" s="256" t="s">
        <v>51</v>
      </c>
      <c r="C45" s="257"/>
      <c r="D45" s="258"/>
      <c r="E45" s="259"/>
      <c r="F45" s="259"/>
      <c r="G45" s="108"/>
    </row>
    <row r="46" spans="2:9" s="249" customFormat="1" ht="15.75" x14ac:dyDescent="0.25">
      <c r="B46" s="39" t="s">
        <v>53</v>
      </c>
      <c r="C46" s="37" t="s">
        <v>54</v>
      </c>
      <c r="D46" s="293"/>
      <c r="E46" s="29">
        <f>IF(E18+E20+E21+E22&lt;=C5*2,(C12*3)/12,0)</f>
        <v>0</v>
      </c>
      <c r="F46" s="29">
        <f>+E46</f>
        <v>0</v>
      </c>
      <c r="G46" s="104">
        <f>+E46/$C$13</f>
        <v>0</v>
      </c>
    </row>
    <row r="47" spans="2:9" s="249" customFormat="1" ht="15" x14ac:dyDescent="0.2">
      <c r="B47" s="260"/>
      <c r="C47" s="261"/>
      <c r="D47" s="262"/>
      <c r="E47" s="277"/>
      <c r="F47" s="277"/>
      <c r="G47" s="108"/>
    </row>
    <row r="48" spans="2:9" s="249" customFormat="1" ht="15.75" x14ac:dyDescent="0.25">
      <c r="B48" s="31" t="s">
        <v>55</v>
      </c>
      <c r="C48" s="32"/>
      <c r="D48" s="33"/>
      <c r="E48" s="30">
        <f>E23+E30+E38+E43+E46</f>
        <v>1300008.1133333333</v>
      </c>
      <c r="F48" s="30">
        <f>F23+F30+F38+F43+F46</f>
        <v>1190008.1133333333</v>
      </c>
      <c r="G48" s="104">
        <f>+E48/$C$13</f>
        <v>433.33603777777773</v>
      </c>
      <c r="I48" s="275"/>
    </row>
    <row r="49" spans="1:10" s="249" customFormat="1" ht="15.75" thickBot="1" x14ac:dyDescent="0.25">
      <c r="B49" s="80" t="s">
        <v>56</v>
      </c>
      <c r="C49" s="43"/>
      <c r="D49" s="44"/>
      <c r="E49" s="93">
        <f>+(E48/(E23-E19))-1</f>
        <v>0.66402742470749554</v>
      </c>
      <c r="F49" s="93">
        <f>+(F48/(F23-F19))-1</f>
        <v>0.52322598290073152</v>
      </c>
      <c r="G49" s="109"/>
    </row>
    <row r="50" spans="1:10" s="249" customFormat="1" ht="15.75" x14ac:dyDescent="0.25">
      <c r="B50" s="278"/>
      <c r="C50" s="279"/>
      <c r="D50" s="280"/>
      <c r="E50" s="281"/>
      <c r="F50" s="300"/>
      <c r="G50" s="110"/>
    </row>
    <row r="51" spans="1:10" s="249" customFormat="1" ht="16.5" thickBot="1" x14ac:dyDescent="0.3">
      <c r="B51" s="278"/>
      <c r="C51" s="279"/>
      <c r="D51" s="280"/>
      <c r="E51" s="281"/>
      <c r="F51" s="300"/>
      <c r="G51" s="110"/>
    </row>
    <row r="52" spans="1:10" s="249" customFormat="1" ht="15.75" x14ac:dyDescent="0.25">
      <c r="A52" s="225"/>
      <c r="B52" s="74" t="s">
        <v>57</v>
      </c>
      <c r="C52" s="294"/>
      <c r="D52" s="295"/>
      <c r="E52" s="187">
        <f>E48*12</f>
        <v>15600097.359999999</v>
      </c>
      <c r="F52" s="315">
        <f>F48*12</f>
        <v>14280097.359999999</v>
      </c>
      <c r="G52" s="321">
        <f>+E52/$C$13</f>
        <v>5200.0324533333333</v>
      </c>
      <c r="H52" s="225"/>
    </row>
    <row r="53" spans="1:10" s="249" customFormat="1" ht="15.75" x14ac:dyDescent="0.25">
      <c r="A53" s="225"/>
      <c r="B53" s="26" t="s">
        <v>106</v>
      </c>
      <c r="C53" s="27"/>
      <c r="D53" s="296"/>
      <c r="E53" s="29">
        <v>295</v>
      </c>
      <c r="F53" s="316">
        <v>295</v>
      </c>
      <c r="G53" s="320">
        <v>295</v>
      </c>
      <c r="H53" s="225"/>
    </row>
    <row r="54" spans="1:10" s="249" customFormat="1" ht="15.75" x14ac:dyDescent="0.25">
      <c r="A54" s="225"/>
      <c r="B54" s="26" t="s">
        <v>59</v>
      </c>
      <c r="C54" s="27"/>
      <c r="D54" s="296"/>
      <c r="E54" s="29">
        <f>E52/E53</f>
        <v>52881.685966101693</v>
      </c>
      <c r="F54" s="316">
        <f>F52/F53</f>
        <v>48407.109694915249</v>
      </c>
      <c r="G54" s="318">
        <f>+E54/$C$13</f>
        <v>17.627228655367229</v>
      </c>
      <c r="H54" s="225"/>
    </row>
    <row r="55" spans="1:10" s="249" customFormat="1" ht="16.5" thickBot="1" x14ac:dyDescent="0.3">
      <c r="A55" s="225"/>
      <c r="B55" s="188" t="s">
        <v>60</v>
      </c>
      <c r="C55" s="69"/>
      <c r="D55" s="297"/>
      <c r="E55" s="82">
        <f>E54/8</f>
        <v>6610.2107457627117</v>
      </c>
      <c r="F55" s="317">
        <f>F54/8</f>
        <v>6050.8887118644061</v>
      </c>
      <c r="G55" s="319">
        <f>+E55/$C$13</f>
        <v>2.2034035819209037</v>
      </c>
      <c r="H55" s="225"/>
    </row>
    <row r="56" spans="1:10" s="249" customFormat="1" ht="15.75" x14ac:dyDescent="0.25">
      <c r="A56" s="225"/>
      <c r="B56" s="238"/>
      <c r="C56" s="282"/>
      <c r="D56" s="283"/>
      <c r="E56" s="281"/>
      <c r="F56" s="234"/>
      <c r="G56" s="208"/>
      <c r="H56" s="225"/>
    </row>
    <row r="57" spans="1:10" s="249" customFormat="1" ht="16.5" thickBot="1" x14ac:dyDescent="0.3">
      <c r="A57" s="225"/>
      <c r="B57" s="238"/>
      <c r="C57" s="282"/>
      <c r="D57" s="283"/>
      <c r="E57" s="281"/>
      <c r="F57" s="234"/>
      <c r="G57" s="208"/>
      <c r="H57" s="225"/>
    </row>
    <row r="58" spans="1:10" s="249" customFormat="1" ht="16.5" thickBot="1" x14ac:dyDescent="0.3">
      <c r="A58" s="225"/>
      <c r="B58" s="45" t="s">
        <v>61</v>
      </c>
      <c r="C58" s="46"/>
      <c r="D58" s="47" t="s">
        <v>13</v>
      </c>
      <c r="E58" s="48" t="s">
        <v>62</v>
      </c>
      <c r="F58" s="301" t="s">
        <v>63</v>
      </c>
      <c r="G58" s="49" t="s">
        <v>62</v>
      </c>
    </row>
    <row r="59" spans="1:10" s="249" customFormat="1" ht="15.75" x14ac:dyDescent="0.25">
      <c r="A59" s="225"/>
      <c r="B59" s="50" t="s">
        <v>64</v>
      </c>
      <c r="C59" s="51" t="s">
        <v>65</v>
      </c>
      <c r="D59" s="52"/>
      <c r="E59" s="213">
        <f>(E18/30)/8</f>
        <v>3255.1750000000002</v>
      </c>
      <c r="F59" s="302"/>
      <c r="G59" s="298"/>
      <c r="H59" s="225"/>
      <c r="I59" s="253"/>
    </row>
    <row r="60" spans="1:10" s="249" customFormat="1" ht="15.75" x14ac:dyDescent="0.25">
      <c r="A60" s="225"/>
      <c r="B60" s="39" t="s">
        <v>66</v>
      </c>
      <c r="C60" s="37" t="s">
        <v>67</v>
      </c>
      <c r="D60" s="54">
        <v>0.35</v>
      </c>
      <c r="E60" s="214">
        <f>$E$59*D60</f>
        <v>1139.31125</v>
      </c>
      <c r="F60" s="303"/>
      <c r="G60" s="190">
        <f t="shared" ref="G60:G68" si="2">E60*F60</f>
        <v>0</v>
      </c>
      <c r="H60" s="225"/>
      <c r="I60" s="284"/>
      <c r="J60" s="264"/>
    </row>
    <row r="61" spans="1:10" s="249" customFormat="1" ht="15.75" x14ac:dyDescent="0.25">
      <c r="A61" s="225"/>
      <c r="B61" s="39" t="s">
        <v>68</v>
      </c>
      <c r="C61" s="37" t="s">
        <v>69</v>
      </c>
      <c r="D61" s="54">
        <v>0.75</v>
      </c>
      <c r="E61" s="214">
        <f>$E$59*D61</f>
        <v>2441.3812500000004</v>
      </c>
      <c r="F61" s="303"/>
      <c r="G61" s="190">
        <f t="shared" si="2"/>
        <v>0</v>
      </c>
      <c r="H61" s="225"/>
      <c r="I61" s="284"/>
    </row>
    <row r="62" spans="1:10" s="249" customFormat="1" ht="15.75" x14ac:dyDescent="0.25">
      <c r="A62" s="225"/>
      <c r="B62" s="56" t="s">
        <v>70</v>
      </c>
      <c r="C62" s="57" t="s">
        <v>71</v>
      </c>
      <c r="D62" s="58">
        <v>1.75</v>
      </c>
      <c r="E62" s="214">
        <f>$E$59*D62</f>
        <v>5696.5562500000005</v>
      </c>
      <c r="F62" s="304"/>
      <c r="G62" s="190">
        <f t="shared" si="2"/>
        <v>0</v>
      </c>
      <c r="H62" s="225"/>
      <c r="I62" s="253"/>
    </row>
    <row r="63" spans="1:10" s="249" customFormat="1" ht="15.75" x14ac:dyDescent="0.25">
      <c r="A63" s="225"/>
      <c r="B63" s="26" t="s">
        <v>72</v>
      </c>
      <c r="C63" s="27" t="s">
        <v>73</v>
      </c>
      <c r="D63" s="222">
        <v>1.1000000000000001</v>
      </c>
      <c r="E63" s="215">
        <f t="shared" ref="E63:E68" si="3">$E$59*D63</f>
        <v>3580.6925000000006</v>
      </c>
      <c r="F63" s="304"/>
      <c r="G63" s="190">
        <f t="shared" si="2"/>
        <v>0</v>
      </c>
      <c r="H63" s="225"/>
      <c r="I63" s="253"/>
    </row>
    <row r="64" spans="1:10" s="249" customFormat="1" ht="15.75" x14ac:dyDescent="0.25">
      <c r="A64" s="225"/>
      <c r="B64" s="86" t="s">
        <v>74</v>
      </c>
      <c r="C64" s="27" t="s">
        <v>75</v>
      </c>
      <c r="D64" s="223">
        <v>2.1</v>
      </c>
      <c r="E64" s="215">
        <f t="shared" si="3"/>
        <v>6835.8675000000003</v>
      </c>
      <c r="F64" s="304"/>
      <c r="G64" s="190">
        <f t="shared" si="2"/>
        <v>0</v>
      </c>
      <c r="H64" s="225"/>
      <c r="J64" s="253"/>
    </row>
    <row r="65" spans="1:10" s="249" customFormat="1" ht="15.75" x14ac:dyDescent="0.25">
      <c r="A65" s="225"/>
      <c r="B65" s="59" t="s">
        <v>76</v>
      </c>
      <c r="C65" s="60" t="s">
        <v>77</v>
      </c>
      <c r="D65" s="61">
        <v>1.25</v>
      </c>
      <c r="E65" s="215">
        <f t="shared" si="3"/>
        <v>4068.96875</v>
      </c>
      <c r="F65" s="303"/>
      <c r="G65" s="190">
        <f t="shared" si="2"/>
        <v>0</v>
      </c>
      <c r="H65" s="225"/>
      <c r="J65" s="253"/>
    </row>
    <row r="66" spans="1:10" s="249" customFormat="1" ht="15.75" x14ac:dyDescent="0.25">
      <c r="A66" s="225"/>
      <c r="B66" s="62" t="s">
        <v>78</v>
      </c>
      <c r="C66" s="37" t="s">
        <v>79</v>
      </c>
      <c r="D66" s="54">
        <v>1.75</v>
      </c>
      <c r="E66" s="215">
        <f t="shared" si="3"/>
        <v>5696.5562500000005</v>
      </c>
      <c r="F66" s="305"/>
      <c r="G66" s="190">
        <f t="shared" si="2"/>
        <v>0</v>
      </c>
      <c r="H66" s="225"/>
    </row>
    <row r="67" spans="1:10" s="249" customFormat="1" ht="15.75" x14ac:dyDescent="0.25">
      <c r="A67" s="225"/>
      <c r="B67" s="62" t="s">
        <v>80</v>
      </c>
      <c r="C67" s="37" t="s">
        <v>81</v>
      </c>
      <c r="D67" s="54">
        <v>2</v>
      </c>
      <c r="E67" s="215">
        <f t="shared" si="3"/>
        <v>6510.35</v>
      </c>
      <c r="F67" s="305"/>
      <c r="G67" s="190">
        <f t="shared" si="2"/>
        <v>0</v>
      </c>
      <c r="H67" s="225"/>
    </row>
    <row r="68" spans="1:10" s="249" customFormat="1" ht="16.5" thickBot="1" x14ac:dyDescent="0.3">
      <c r="A68" s="225"/>
      <c r="B68" s="63" t="s">
        <v>82</v>
      </c>
      <c r="C68" s="64" t="s">
        <v>83</v>
      </c>
      <c r="D68" s="65">
        <v>2.5</v>
      </c>
      <c r="E68" s="216">
        <f t="shared" si="3"/>
        <v>8137.9375</v>
      </c>
      <c r="F68" s="306"/>
      <c r="G68" s="193">
        <f t="shared" si="2"/>
        <v>0</v>
      </c>
      <c r="H68" s="225"/>
    </row>
    <row r="69" spans="1:10" s="249" customFormat="1" ht="16.5" thickBot="1" x14ac:dyDescent="0.3">
      <c r="A69" s="225"/>
      <c r="B69" s="95" t="s">
        <v>107</v>
      </c>
      <c r="C69" s="226"/>
      <c r="D69" s="227"/>
      <c r="E69" s="228"/>
      <c r="F69" s="234"/>
      <c r="G69" s="66">
        <f>SUM(G60:G68)</f>
        <v>0</v>
      </c>
      <c r="H69" s="225"/>
    </row>
    <row r="70" spans="1:10" s="249" customFormat="1" ht="16.5" thickBot="1" x14ac:dyDescent="0.3">
      <c r="A70" s="225"/>
      <c r="B70" s="238"/>
      <c r="C70" s="282"/>
      <c r="D70" s="283"/>
      <c r="E70" s="281"/>
      <c r="F70" s="234"/>
      <c r="G70" s="208"/>
      <c r="H70" s="225"/>
    </row>
    <row r="71" spans="1:10" s="249" customFormat="1" ht="16.5" thickBot="1" x14ac:dyDescent="0.3">
      <c r="A71" s="225"/>
      <c r="B71" s="113" t="s">
        <v>85</v>
      </c>
      <c r="C71" s="114"/>
      <c r="D71" s="105" t="s">
        <v>13</v>
      </c>
      <c r="E71" s="48" t="s">
        <v>62</v>
      </c>
      <c r="F71" s="234"/>
      <c r="G71" s="208"/>
      <c r="H71" s="225"/>
    </row>
    <row r="72" spans="1:10" s="249" customFormat="1" ht="15.75" x14ac:dyDescent="0.25">
      <c r="A72" s="225"/>
      <c r="B72" s="74" t="s">
        <v>86</v>
      </c>
      <c r="C72" s="67" t="s">
        <v>87</v>
      </c>
      <c r="D72" s="295"/>
      <c r="E72" s="291"/>
      <c r="F72" s="234"/>
      <c r="G72" s="208"/>
      <c r="H72" s="225"/>
    </row>
    <row r="73" spans="1:10" s="249" customFormat="1" ht="15.75" x14ac:dyDescent="0.25">
      <c r="A73" s="225"/>
      <c r="B73" s="26" t="s">
        <v>88</v>
      </c>
      <c r="C73" s="27" t="s">
        <v>89</v>
      </c>
      <c r="D73" s="54">
        <v>0.04</v>
      </c>
      <c r="E73" s="217">
        <f>ROUND(IF($E$18+E20+E21+E22&lt;=($C$5*25),ROUND($E$18+E20+E21+E22,-3),ROUND($C$5*25,-3))*D73,-2)</f>
        <v>31200</v>
      </c>
      <c r="F73" s="234"/>
      <c r="G73" s="208"/>
      <c r="H73" s="225"/>
    </row>
    <row r="74" spans="1:10" s="249" customFormat="1" ht="15.75" x14ac:dyDescent="0.25">
      <c r="A74" s="225"/>
      <c r="B74" s="26" t="s">
        <v>90</v>
      </c>
      <c r="C74" s="37" t="s">
        <v>91</v>
      </c>
      <c r="D74" s="54">
        <v>0.04</v>
      </c>
      <c r="E74" s="217">
        <f>ROUND(IF($E$18+E20+E21+E22&lt;=($C$5*25),ROUND($E$18+E20+E21+E22,-3),ROUND($C$5*25,-3))*D74,-2)</f>
        <v>31200</v>
      </c>
      <c r="F74" s="234"/>
      <c r="G74" s="208"/>
      <c r="H74" s="225"/>
    </row>
    <row r="75" spans="1:10" s="249" customFormat="1" ht="15.75" x14ac:dyDescent="0.25">
      <c r="A75" s="225"/>
      <c r="B75" s="26" t="s">
        <v>92</v>
      </c>
      <c r="C75" s="37" t="s">
        <v>93</v>
      </c>
      <c r="D75" s="79">
        <f>IF(E18+E20+E21+E22&lt;(C5*4),0,0.01)</f>
        <v>0</v>
      </c>
      <c r="E75" s="29">
        <f>IF(E18+E20+E21+E22&lt;(C5*4),0,(E18+E20+E21+E22)*D75)</f>
        <v>0</v>
      </c>
      <c r="F75" s="234"/>
      <c r="G75" s="208"/>
      <c r="H75" s="225"/>
    </row>
    <row r="76" spans="1:10" s="249" customFormat="1" ht="15.75" x14ac:dyDescent="0.25">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6.5" thickBot="1" x14ac:dyDescent="0.3">
      <c r="A77" s="225"/>
      <c r="B77" s="94" t="s">
        <v>96</v>
      </c>
      <c r="C77" s="69"/>
      <c r="D77" s="196"/>
      <c r="E77" s="70">
        <f>SUM(E72:E76)</f>
        <v>62400</v>
      </c>
      <c r="F77" s="234"/>
      <c r="G77" s="208"/>
      <c r="H77" s="225"/>
    </row>
    <row r="78" spans="1:10" s="249" customFormat="1" ht="15.75" x14ac:dyDescent="0.25">
      <c r="A78" s="225"/>
      <c r="B78" s="238"/>
      <c r="C78" s="282"/>
      <c r="D78" s="283"/>
      <c r="E78" s="281"/>
      <c r="F78" s="234"/>
      <c r="G78" s="208"/>
      <c r="H78" s="225"/>
    </row>
    <row r="79" spans="1:10" ht="16.5" thickBot="1" x14ac:dyDescent="0.3">
      <c r="B79" s="238"/>
      <c r="C79" s="282"/>
      <c r="D79" s="285"/>
      <c r="E79" s="281"/>
    </row>
    <row r="80" spans="1:10" ht="16.5" thickBot="1" x14ac:dyDescent="0.3">
      <c r="B80" s="71" t="s">
        <v>97</v>
      </c>
      <c r="C80" s="72"/>
      <c r="D80" s="19"/>
      <c r="E80" s="73"/>
    </row>
    <row r="81" spans="2:5" s="225" customFormat="1" ht="15.75" x14ac:dyDescent="0.25">
      <c r="B81" s="74" t="s">
        <v>98</v>
      </c>
      <c r="C81" s="218">
        <f>$C$5*16</f>
        <v>12499872</v>
      </c>
      <c r="D81" s="75">
        <v>0</v>
      </c>
      <c r="E81" s="76"/>
    </row>
    <row r="82" spans="2:5" s="225" customFormat="1" ht="15.75" x14ac:dyDescent="0.25">
      <c r="B82" s="39" t="s">
        <v>99</v>
      </c>
      <c r="C82" s="219">
        <f>$C$5*17</f>
        <v>13281114</v>
      </c>
      <c r="D82" s="77">
        <v>2E-3</v>
      </c>
      <c r="E82" s="78"/>
    </row>
    <row r="83" spans="2:5" s="225" customFormat="1" ht="15.75" x14ac:dyDescent="0.25">
      <c r="B83" s="39" t="s">
        <v>100</v>
      </c>
      <c r="C83" s="220">
        <f>$C$5*18</f>
        <v>14062356</v>
      </c>
      <c r="D83" s="79">
        <v>4.0000000000000001E-3</v>
      </c>
      <c r="E83" s="29"/>
    </row>
    <row r="84" spans="2:5" s="225" customFormat="1" ht="15.75" x14ac:dyDescent="0.25">
      <c r="B84" s="39" t="s">
        <v>101</v>
      </c>
      <c r="C84" s="220">
        <f>$C$5*19</f>
        <v>14843598</v>
      </c>
      <c r="D84" s="79">
        <v>6.0000000000000001E-3</v>
      </c>
      <c r="E84" s="29"/>
    </row>
    <row r="85" spans="2:5" s="225" customFormat="1" ht="15.75" x14ac:dyDescent="0.25">
      <c r="B85" s="39" t="s">
        <v>102</v>
      </c>
      <c r="C85" s="220">
        <f>$C$5*20</f>
        <v>15624840</v>
      </c>
      <c r="D85" s="79">
        <v>8.0000000000000002E-3</v>
      </c>
      <c r="E85" s="29"/>
    </row>
    <row r="86" spans="2:5" s="225" customFormat="1" ht="16.5" thickBot="1" x14ac:dyDescent="0.3">
      <c r="B86" s="80" t="s">
        <v>103</v>
      </c>
      <c r="C86" s="221">
        <f>+C85</f>
        <v>15624840</v>
      </c>
      <c r="D86" s="81">
        <v>0.01</v>
      </c>
      <c r="E86" s="82"/>
    </row>
    <row r="87" spans="2:5" s="225" customFormat="1" x14ac:dyDescent="0.2">
      <c r="B87" s="245"/>
      <c r="C87" s="287"/>
      <c r="D87" s="288"/>
      <c r="E87" s="149" t="str">
        <f>+B69</f>
        <v>V 1.0 -30.12. 2017</v>
      </c>
    </row>
    <row r="88" spans="2:5" s="225" customFormat="1" ht="14.25" x14ac:dyDescent="0.2">
      <c r="C88" s="226"/>
      <c r="D88" s="289"/>
      <c r="E88" s="290"/>
    </row>
    <row r="89" spans="2:5" s="225" customFormat="1" ht="15" x14ac:dyDescent="0.2">
      <c r="C89" s="286"/>
      <c r="D89" s="227"/>
      <c r="E89" s="228"/>
    </row>
    <row r="90" spans="2:5" s="225" customFormat="1" ht="15" x14ac:dyDescent="0.2">
      <c r="B90" s="349"/>
      <c r="C90" s="286"/>
      <c r="D90" s="227"/>
      <c r="E90" s="228"/>
    </row>
    <row r="91" spans="2:5" s="225" customFormat="1" ht="15" x14ac:dyDescent="0.2">
      <c r="C91" s="286"/>
      <c r="D91" s="227"/>
      <c r="E91" s="228"/>
    </row>
    <row r="92" spans="2:5" s="225" customFormat="1" ht="15" x14ac:dyDescent="0.2">
      <c r="C92" s="286"/>
      <c r="D92" s="227"/>
      <c r="E92" s="228"/>
    </row>
    <row r="93" spans="2:5" s="225" customFormat="1" ht="15" x14ac:dyDescent="0.2">
      <c r="C93" s="286"/>
      <c r="D93" s="227"/>
      <c r="E93" s="228"/>
    </row>
    <row r="94" spans="2:5" s="225" customFormat="1" ht="15" x14ac:dyDescent="0.2">
      <c r="C94" s="286"/>
      <c r="D94" s="227"/>
      <c r="E94" s="228"/>
    </row>
    <row r="95" spans="2:5" s="225" customFormat="1" ht="15" x14ac:dyDescent="0.2">
      <c r="C95" s="286"/>
      <c r="D95" s="227"/>
      <c r="E95" s="228"/>
    </row>
    <row r="96" spans="2:5" s="225" customFormat="1" ht="15" x14ac:dyDescent="0.2">
      <c r="C96" s="286"/>
      <c r="D96" s="227"/>
      <c r="E96" s="228"/>
    </row>
    <row r="97" spans="3:3" s="225" customFormat="1" ht="15" x14ac:dyDescent="0.2">
      <c r="C97" s="286"/>
    </row>
    <row r="98" spans="3:3" s="225" customFormat="1" ht="15" x14ac:dyDescent="0.2">
      <c r="C98" s="286"/>
    </row>
    <row r="99" spans="3:3" s="225" customFormat="1" ht="15" x14ac:dyDescent="0.2">
      <c r="C99" s="286"/>
    </row>
    <row r="65536" spans="256:256" s="225" customFormat="1" x14ac:dyDescent="0.2">
      <c r="IV65536" s="322">
        <v>2017</v>
      </c>
    </row>
  </sheetData>
  <sheetProtection password="CCE3" sheet="1" objects="1" scenarios="1"/>
  <customSheetViews>
    <customSheetView guid="{005D785A-2C1A-7642-8E14-813F8ABC12DD}" scale="99" topLeftCell="B1">
      <selection activeCell="J1" sqref="J1"/>
      <pageMargins left="0" right="0" top="0" bottom="0" header="0" footer="0"/>
    </customSheetView>
  </customSheetViews>
  <phoneticPr fontId="7" type="noConversion"/>
  <dataValidations count="2">
    <dataValidation type="list" allowBlank="1" showInputMessage="1" showErrorMessage="1" sqref="D13" xr:uid="{00000000-0002-0000-0100-000000000000}">
      <formula1>$IV$13:$IV$16</formula1>
    </dataValidation>
    <dataValidation type="list" allowBlank="1" showInputMessage="1" showErrorMessage="1" sqref="C11" xr:uid="{00000000-0002-0000-0100-000001000000}">
      <formula1>$IV$6:$IV$10</formula1>
    </dataValidation>
  </dataValidations>
  <pageMargins left="0.7" right="0.7" top="0.75" bottom="0.75" header="0.3" footer="0.3"/>
  <pageSetup orientation="portrait" horizontalDpi="0" verticalDpi="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5536"/>
  <sheetViews>
    <sheetView topLeftCell="A10" zoomScale="96" zoomScaleNormal="96" zoomScalePageLayoutView="96" workbookViewId="0">
      <selection activeCell="J33" sqref="J33"/>
    </sheetView>
  </sheetViews>
  <sheetFormatPr baseColWidth="10" defaultColWidth="11.42578125" defaultRowHeight="12.75" x14ac:dyDescent="0.2"/>
  <cols>
    <col min="1" max="1" width="3.28515625" style="225" customWidth="1"/>
    <col min="2" max="2" width="45.28515625" style="225" customWidth="1"/>
    <col min="3" max="3" width="58.85546875" style="226" customWidth="1"/>
    <col min="4" max="4" width="11" style="227" customWidth="1"/>
    <col min="5" max="5" width="17.28515625" style="228" customWidth="1"/>
    <col min="6" max="6" width="17.42578125" style="234" customWidth="1"/>
    <col min="7" max="7" width="13.85546875" style="208"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342" t="s">
        <v>108</v>
      </c>
      <c r="C4" s="232"/>
      <c r="E4" s="233"/>
    </row>
    <row r="5" spans="2:256" ht="18.75" customHeight="1" x14ac:dyDescent="0.25">
      <c r="B5" s="344" t="s">
        <v>2</v>
      </c>
      <c r="C5" s="76">
        <v>737717</v>
      </c>
      <c r="E5" s="233"/>
      <c r="F5" s="340"/>
      <c r="G5" s="209"/>
      <c r="I5" s="299"/>
    </row>
    <row r="6" spans="2:256" ht="18.75" customHeight="1" thickBot="1" x14ac:dyDescent="0.3">
      <c r="B6" s="345" t="s">
        <v>3</v>
      </c>
      <c r="C6" s="82">
        <v>83140</v>
      </c>
      <c r="E6" s="233"/>
      <c r="F6" s="233"/>
      <c r="G6" s="209"/>
      <c r="I6" s="235"/>
      <c r="J6" s="236"/>
      <c r="IV6" s="237">
        <v>5.2199999999999998E-3</v>
      </c>
    </row>
    <row r="7" spans="2:256" ht="13.5" customHeight="1" x14ac:dyDescent="0.25">
      <c r="B7" s="238"/>
      <c r="C7" s="239"/>
      <c r="G7" s="209"/>
      <c r="IV7" s="237">
        <v>1.044E-2</v>
      </c>
    </row>
    <row r="8" spans="2:256" ht="12.75" customHeight="1" x14ac:dyDescent="0.2">
      <c r="B8" s="238"/>
      <c r="C8" s="238"/>
      <c r="G8" s="209"/>
      <c r="IV8" s="237">
        <v>2.436E-2</v>
      </c>
    </row>
    <row r="9" spans="2:256" ht="12" customHeight="1" thickBot="1" x14ac:dyDescent="0.25">
      <c r="B9" s="9" t="s">
        <v>4</v>
      </c>
      <c r="C9" s="240" t="s">
        <v>5</v>
      </c>
      <c r="D9" s="241"/>
      <c r="E9" s="242"/>
      <c r="IV9" s="237">
        <v>4.3499999999999997E-2</v>
      </c>
    </row>
    <row r="10" spans="2:256" ht="18.75" customHeight="1" x14ac:dyDescent="0.25">
      <c r="B10" s="11" t="s">
        <v>6</v>
      </c>
      <c r="C10" s="291">
        <v>737717</v>
      </c>
      <c r="D10" s="243"/>
      <c r="E10" s="244"/>
      <c r="F10" s="343"/>
      <c r="G10" s="311"/>
      <c r="H10" s="245"/>
      <c r="IV10" s="237">
        <v>6.9599999999999995E-2</v>
      </c>
    </row>
    <row r="11" spans="2:256" ht="18.75" customHeight="1" x14ac:dyDescent="0.25">
      <c r="B11" s="13" t="s">
        <v>7</v>
      </c>
      <c r="C11" s="292">
        <v>5.2199999999999998E-3</v>
      </c>
      <c r="D11" s="241"/>
      <c r="E11" s="244"/>
      <c r="G11" s="312"/>
      <c r="H11" s="245"/>
    </row>
    <row r="12" spans="2:256" ht="18.75" customHeight="1" thickBot="1" x14ac:dyDescent="0.3">
      <c r="B12" s="15" t="s">
        <v>8</v>
      </c>
      <c r="C12" s="246"/>
      <c r="D12" s="241"/>
      <c r="E12" s="242"/>
      <c r="G12" s="313"/>
      <c r="H12" s="245"/>
      <c r="IR12" s="248"/>
      <c r="IV12" s="249"/>
    </row>
    <row r="13" spans="2:256" s="1" customFormat="1" ht="18.75" customHeight="1" thickBot="1" x14ac:dyDescent="0.3">
      <c r="B13" s="15" t="s">
        <v>9</v>
      </c>
      <c r="C13" s="112">
        <v>3000</v>
      </c>
      <c r="D13" s="111" t="s">
        <v>10</v>
      </c>
      <c r="E13" s="10"/>
      <c r="F13" s="106"/>
      <c r="G13" s="17"/>
      <c r="H13" s="12"/>
      <c r="IR13" s="16"/>
      <c r="IV13" s="18" t="s">
        <v>10</v>
      </c>
    </row>
    <row r="14" spans="2:256" ht="10.5" customHeight="1" thickBot="1" x14ac:dyDescent="0.25">
      <c r="B14" s="250"/>
      <c r="C14" s="251"/>
      <c r="D14" s="252"/>
      <c r="F14" s="308"/>
      <c r="G14" s="312"/>
      <c r="H14" s="245"/>
      <c r="IR14" s="248"/>
    </row>
    <row r="15" spans="2:256" s="249" customFormat="1" ht="41.25" customHeight="1" x14ac:dyDescent="0.25">
      <c r="B15" s="96" t="s">
        <v>11</v>
      </c>
      <c r="C15" s="97" t="s">
        <v>12</v>
      </c>
      <c r="D15" s="98" t="s">
        <v>13</v>
      </c>
      <c r="E15" s="307" t="s">
        <v>14</v>
      </c>
      <c r="F15" s="309" t="s">
        <v>15</v>
      </c>
      <c r="G15" s="314" t="s">
        <v>16</v>
      </c>
      <c r="H15" s="245"/>
      <c r="IR15" s="253"/>
    </row>
    <row r="16" spans="2:256" s="249" customFormat="1" ht="9" customHeight="1" x14ac:dyDescent="0.25">
      <c r="B16" s="254"/>
      <c r="C16" s="239"/>
      <c r="D16" s="239"/>
      <c r="E16" s="255"/>
      <c r="F16" s="255"/>
      <c r="G16" s="107"/>
      <c r="IR16" s="253"/>
    </row>
    <row r="17" spans="2:252" s="249" customFormat="1" ht="18.75" customHeight="1" x14ac:dyDescent="0.25">
      <c r="B17" s="256" t="s">
        <v>17</v>
      </c>
      <c r="C17" s="257"/>
      <c r="D17" s="258"/>
      <c r="E17" s="259"/>
      <c r="F17" s="259"/>
      <c r="G17" s="108"/>
      <c r="IR17" s="253"/>
    </row>
    <row r="18" spans="2:252" s="249" customFormat="1" ht="18.75" customHeight="1" x14ac:dyDescent="0.25">
      <c r="B18" s="26" t="s">
        <v>18</v>
      </c>
      <c r="C18" s="27" t="s">
        <v>19</v>
      </c>
      <c r="D18" s="28"/>
      <c r="E18" s="29">
        <f>IF(C10&lt;C5,FALSE,C10)</f>
        <v>737717</v>
      </c>
      <c r="F18" s="29">
        <f>+E18</f>
        <v>737717</v>
      </c>
      <c r="G18" s="103">
        <f t="shared" ref="G18:G23" si="0">+E18/$C$13</f>
        <v>245.90566666666666</v>
      </c>
      <c r="IR18" s="253"/>
    </row>
    <row r="19" spans="2:252" s="249" customFormat="1" ht="18.75" customHeight="1" x14ac:dyDescent="0.25">
      <c r="B19" s="26" t="s">
        <v>20</v>
      </c>
      <c r="C19" s="27" t="s">
        <v>109</v>
      </c>
      <c r="D19" s="28"/>
      <c r="E19" s="29">
        <f>IF(E18+E20+E21+E22&lt;=(C5*2),C6,0)</f>
        <v>83140</v>
      </c>
      <c r="F19" s="29">
        <f>+E19</f>
        <v>83140</v>
      </c>
      <c r="G19" s="103">
        <f t="shared" si="0"/>
        <v>27.713333333333335</v>
      </c>
    </row>
    <row r="20" spans="2:252" s="249" customFormat="1" ht="18.75" customHeight="1" x14ac:dyDescent="0.25">
      <c r="B20" s="26" t="s">
        <v>22</v>
      </c>
      <c r="C20" s="27" t="s">
        <v>23</v>
      </c>
      <c r="D20" s="262"/>
      <c r="E20" s="339">
        <f>+G60+G63</f>
        <v>0</v>
      </c>
      <c r="F20" s="42">
        <f>+E20</f>
        <v>0</v>
      </c>
      <c r="G20" s="103">
        <f t="shared" si="0"/>
        <v>0</v>
      </c>
      <c r="J20" s="264"/>
    </row>
    <row r="21" spans="2:252" s="249" customFormat="1" ht="18.75" customHeight="1" x14ac:dyDescent="0.25">
      <c r="B21" s="26" t="s">
        <v>24</v>
      </c>
      <c r="C21" s="27" t="s">
        <v>25</v>
      </c>
      <c r="D21" s="262"/>
      <c r="E21" s="339">
        <f>+G61+G62+G64</f>
        <v>0</v>
      </c>
      <c r="F21" s="42">
        <f>+E21</f>
        <v>0</v>
      </c>
      <c r="G21" s="103">
        <f t="shared" si="0"/>
        <v>0</v>
      </c>
    </row>
    <row r="22" spans="2:252" s="249" customFormat="1" ht="18.75" customHeight="1" x14ac:dyDescent="0.25">
      <c r="B22" s="26" t="s">
        <v>26</v>
      </c>
      <c r="C22" s="27" t="s">
        <v>110</v>
      </c>
      <c r="D22" s="262"/>
      <c r="E22" s="339">
        <f>+G65+G66+G67+G68</f>
        <v>0</v>
      </c>
      <c r="F22" s="42">
        <f>+E22</f>
        <v>0</v>
      </c>
      <c r="G22" s="103">
        <f t="shared" si="0"/>
        <v>0</v>
      </c>
    </row>
    <row r="23" spans="2:252" s="249" customFormat="1" ht="18.75" customHeight="1" x14ac:dyDescent="0.25">
      <c r="B23" s="148" t="s">
        <v>28</v>
      </c>
      <c r="C23" s="265"/>
      <c r="D23" s="266"/>
      <c r="E23" s="30">
        <f>SUM(E18:E22)</f>
        <v>820857</v>
      </c>
      <c r="F23" s="30">
        <f>SUM(F18:F22)</f>
        <v>820857</v>
      </c>
      <c r="G23" s="104">
        <f t="shared" si="0"/>
        <v>273.61900000000003</v>
      </c>
    </row>
    <row r="24" spans="2:252" s="249" customFormat="1" ht="18.75" customHeight="1" x14ac:dyDescent="0.25">
      <c r="B24" s="267"/>
      <c r="C24" s="268"/>
      <c r="D24" s="269"/>
      <c r="E24" s="263"/>
      <c r="F24" s="263"/>
      <c r="G24" s="108"/>
    </row>
    <row r="25" spans="2:252" s="249" customFormat="1" ht="18.75" customHeight="1" x14ac:dyDescent="0.25">
      <c r="B25" s="270" t="s">
        <v>29</v>
      </c>
      <c r="C25" s="257"/>
      <c r="D25" s="258"/>
      <c r="E25" s="263"/>
      <c r="F25" s="263"/>
      <c r="G25" s="108"/>
    </row>
    <row r="26" spans="2:252" s="249" customFormat="1" ht="18.75" customHeight="1" x14ac:dyDescent="0.25">
      <c r="B26" s="26" t="s">
        <v>30</v>
      </c>
      <c r="C26" s="27" t="s">
        <v>31</v>
      </c>
      <c r="D26" s="35">
        <v>8.3333333333333343E-2</v>
      </c>
      <c r="E26" s="29">
        <f>E23*D26</f>
        <v>68404.750000000015</v>
      </c>
      <c r="F26" s="29">
        <f>+E26</f>
        <v>68404.750000000015</v>
      </c>
      <c r="G26" s="103">
        <f>+E26/$C$13</f>
        <v>22.801583333333337</v>
      </c>
    </row>
    <row r="27" spans="2:252" s="249" customFormat="1" ht="18.75" customHeight="1" x14ac:dyDescent="0.25">
      <c r="B27" s="26" t="s">
        <v>32</v>
      </c>
      <c r="C27" s="27" t="s">
        <v>33</v>
      </c>
      <c r="D27" s="36">
        <v>0.12</v>
      </c>
      <c r="E27" s="29">
        <f>+E26*D27</f>
        <v>8208.5700000000015</v>
      </c>
      <c r="F27" s="29">
        <f>+E27</f>
        <v>8208.5700000000015</v>
      </c>
      <c r="G27" s="103">
        <f>+E27/$C$13</f>
        <v>2.7361900000000006</v>
      </c>
    </row>
    <row r="28" spans="2:252" s="249" customFormat="1" ht="18.75" customHeight="1" x14ac:dyDescent="0.25">
      <c r="B28" s="26" t="s">
        <v>34</v>
      </c>
      <c r="C28" s="27" t="s">
        <v>31</v>
      </c>
      <c r="D28" s="35">
        <v>8.3333333333333343E-2</v>
      </c>
      <c r="E28" s="29">
        <f>E23*D28</f>
        <v>68404.750000000015</v>
      </c>
      <c r="F28" s="29">
        <f>+E28</f>
        <v>68404.750000000015</v>
      </c>
      <c r="G28" s="103">
        <f>+E28/$C$13</f>
        <v>22.801583333333337</v>
      </c>
    </row>
    <row r="29" spans="2:252" s="249" customFormat="1" ht="18.75" customHeight="1" x14ac:dyDescent="0.25">
      <c r="B29" s="26" t="s">
        <v>35</v>
      </c>
      <c r="C29" s="37" t="s">
        <v>36</v>
      </c>
      <c r="D29" s="35">
        <v>4.1666666666666664E-2</v>
      </c>
      <c r="E29" s="29">
        <f>(E18+E20)*D29</f>
        <v>30738.208333333332</v>
      </c>
      <c r="F29" s="29">
        <f>+E29</f>
        <v>30738.208333333332</v>
      </c>
      <c r="G29" s="103">
        <f>+E29/$C$13</f>
        <v>10.246069444444444</v>
      </c>
    </row>
    <row r="30" spans="2:252" s="249" customFormat="1" ht="18.75" customHeight="1" x14ac:dyDescent="0.25">
      <c r="B30" s="177" t="s">
        <v>37</v>
      </c>
      <c r="C30" s="38"/>
      <c r="D30" s="33"/>
      <c r="E30" s="30">
        <f>SUM(E26:E29)</f>
        <v>175756.27833333338</v>
      </c>
      <c r="F30" s="30">
        <f>SUM(F26:F29)</f>
        <v>175756.27833333338</v>
      </c>
      <c r="G30" s="104">
        <f>+E30/$C$13</f>
        <v>58.585426111111126</v>
      </c>
    </row>
    <row r="31" spans="2:252" s="249" customFormat="1" ht="18.75" customHeight="1" x14ac:dyDescent="0.2">
      <c r="B31" s="260"/>
      <c r="C31" s="261"/>
      <c r="D31" s="262"/>
      <c r="E31" s="259"/>
      <c r="F31" s="259"/>
      <c r="G31" s="108"/>
      <c r="H31" s="238"/>
    </row>
    <row r="32" spans="2:252" s="249" customFormat="1" ht="18.75" customHeight="1" x14ac:dyDescent="0.25">
      <c r="B32" s="256" t="s">
        <v>38</v>
      </c>
      <c r="C32" s="257"/>
      <c r="D32" s="258"/>
      <c r="E32" s="259"/>
      <c r="F32" s="259"/>
      <c r="G32" s="108"/>
      <c r="H32" s="238"/>
    </row>
    <row r="33" spans="2:9" s="249" customFormat="1" ht="18.75" customHeight="1" x14ac:dyDescent="0.25">
      <c r="B33" s="310" t="s">
        <v>39</v>
      </c>
      <c r="C33" s="85">
        <f>ROUND(IF($E$18+E20+E21+E22&lt;=($C$5*25),ROUND($E$18+E20+E21+E22,-3),ROUND($C$5*25,-3))*0.125,-2)</f>
        <v>92300</v>
      </c>
      <c r="D33" s="36">
        <v>8.5000000000000006E-2</v>
      </c>
      <c r="E33" s="29">
        <f>C33-E73</f>
        <v>62800</v>
      </c>
      <c r="F33" s="29">
        <v>0</v>
      </c>
      <c r="G33" s="103">
        <f t="shared" ref="G33:G38" si="1">+E33/$C$13</f>
        <v>20.933333333333334</v>
      </c>
      <c r="H33" s="274"/>
      <c r="I33" s="275"/>
    </row>
    <row r="34" spans="2:9" s="249" customFormat="1" ht="18.75" customHeight="1" x14ac:dyDescent="0.25">
      <c r="B34" s="26" t="s">
        <v>40</v>
      </c>
      <c r="C34" s="85">
        <f>ROUND(IF($E$18+E20+E21+E22&lt;=($C$5*25),ROUND($E$18+E20+E21+E22,-3),ROUND($C$5*25,-3))*0.16,-2)</f>
        <v>118100</v>
      </c>
      <c r="D34" s="36">
        <v>0.12</v>
      </c>
      <c r="E34" s="29">
        <f>C34-E74</f>
        <v>88600</v>
      </c>
      <c r="F34" s="29">
        <f>+E34</f>
        <v>88600</v>
      </c>
      <c r="G34" s="103">
        <f t="shared" si="1"/>
        <v>29.533333333333335</v>
      </c>
      <c r="H34" s="276"/>
    </row>
    <row r="35" spans="2:9" s="249" customFormat="1" ht="18.75" customHeight="1" x14ac:dyDescent="0.25">
      <c r="B35" s="26" t="s">
        <v>41</v>
      </c>
      <c r="C35" s="37" t="s">
        <v>42</v>
      </c>
      <c r="D35" s="28">
        <f>C11</f>
        <v>5.2199999999999998E-3</v>
      </c>
      <c r="E35" s="29">
        <f>ROUND(IF($E$18+E21+E20+E22&lt;=($C$5*20),ROUND($E$18+E20+E21+E22,-3),ROUND($C$5*20,-3))*D35,-2)</f>
        <v>3900</v>
      </c>
      <c r="F35" s="29">
        <f>+E35</f>
        <v>3900</v>
      </c>
      <c r="G35" s="103">
        <f t="shared" si="1"/>
        <v>1.3</v>
      </c>
      <c r="H35" s="238"/>
    </row>
    <row r="36" spans="2:9" s="249" customFormat="1" ht="18.75" customHeight="1" x14ac:dyDescent="0.25">
      <c r="B36" s="26" t="s">
        <v>43</v>
      </c>
      <c r="C36" s="271"/>
      <c r="D36" s="36">
        <v>8.5000000000000006E-2</v>
      </c>
      <c r="E36" s="29">
        <f>ROUND(IF($E$29&lt;=($C$5*25),ROUND($E$29,-3),ROUND($C$5*25,-3))*D36,-2)</f>
        <v>2600</v>
      </c>
      <c r="F36" s="29">
        <v>0</v>
      </c>
      <c r="G36" s="103">
        <f t="shared" si="1"/>
        <v>0.8666666666666667</v>
      </c>
    </row>
    <row r="37" spans="2:9" s="249" customFormat="1" ht="18.75" customHeight="1" x14ac:dyDescent="0.25">
      <c r="B37" s="26" t="s">
        <v>44</v>
      </c>
      <c r="C37" s="271"/>
      <c r="D37" s="36">
        <v>0.12</v>
      </c>
      <c r="E37" s="29">
        <f>ROUND(IF($E$29&lt;=($C$5*25),ROUND($E$29,-3),ROUND($C$5*25,-3))*D37,-2)</f>
        <v>3700</v>
      </c>
      <c r="F37" s="29">
        <f>+E37</f>
        <v>3700</v>
      </c>
      <c r="G37" s="103">
        <f t="shared" si="1"/>
        <v>1.2333333333333334</v>
      </c>
    </row>
    <row r="38" spans="2:9" s="249" customFormat="1" ht="18.75" customHeight="1" x14ac:dyDescent="0.25">
      <c r="B38" s="177" t="s">
        <v>45</v>
      </c>
      <c r="C38" s="272"/>
      <c r="D38" s="269"/>
      <c r="E38" s="30">
        <f>SUM(E33:E37)</f>
        <v>161600</v>
      </c>
      <c r="F38" s="30">
        <f>SUM(F33:F37)</f>
        <v>96200</v>
      </c>
      <c r="G38" s="104">
        <f t="shared" si="1"/>
        <v>53.866666666666667</v>
      </c>
    </row>
    <row r="39" spans="2:9" s="249" customFormat="1" ht="18.75" customHeight="1" x14ac:dyDescent="0.2">
      <c r="B39" s="260"/>
      <c r="C39" s="261"/>
      <c r="D39" s="262"/>
      <c r="E39" s="259"/>
      <c r="F39" s="259"/>
      <c r="G39" s="108"/>
    </row>
    <row r="40" spans="2:9" s="249" customFormat="1" ht="18.75" customHeight="1" x14ac:dyDescent="0.25">
      <c r="B40" s="256" t="s">
        <v>46</v>
      </c>
      <c r="C40" s="257"/>
      <c r="D40" s="258"/>
      <c r="E40" s="259"/>
      <c r="F40" s="259"/>
      <c r="G40" s="108"/>
    </row>
    <row r="41" spans="2:9" s="249" customFormat="1" ht="18.75" customHeight="1" x14ac:dyDescent="0.25">
      <c r="B41" s="26" t="s">
        <v>47</v>
      </c>
      <c r="C41" s="37" t="s">
        <v>48</v>
      </c>
      <c r="D41" s="36">
        <v>0.09</v>
      </c>
      <c r="E41" s="29">
        <f>ROUND(ROUND(E18+E20+E21+E22,-3)*D41,-2)</f>
        <v>66400</v>
      </c>
      <c r="F41" s="29">
        <f>ROUND(ROUND(F18+F20+F21+F22,-3)*0.04,-2)</f>
        <v>29500</v>
      </c>
      <c r="G41" s="103">
        <f>+E41/$C$13</f>
        <v>22.133333333333333</v>
      </c>
    </row>
    <row r="42" spans="2:9" s="249" customFormat="1" ht="18.75" customHeight="1" x14ac:dyDescent="0.25">
      <c r="B42" s="26" t="s">
        <v>49</v>
      </c>
      <c r="C42" s="37"/>
      <c r="D42" s="36">
        <v>0.09</v>
      </c>
      <c r="E42" s="29">
        <f>ROUND(ROUND(E29,-3)*D42,-2)</f>
        <v>2800</v>
      </c>
      <c r="F42" s="29">
        <f>ROUND(ROUND(F29,-3)*0.04,-2)</f>
        <v>1200</v>
      </c>
      <c r="G42" s="103">
        <f>+E42/$C$13</f>
        <v>0.93333333333333335</v>
      </c>
    </row>
    <row r="43" spans="2:9" s="249" customFormat="1" ht="18.75" customHeight="1" x14ac:dyDescent="0.25">
      <c r="B43" s="177" t="s">
        <v>50</v>
      </c>
      <c r="C43" s="38"/>
      <c r="D43" s="33"/>
      <c r="E43" s="30">
        <f>SUM(E41:E42)</f>
        <v>69200</v>
      </c>
      <c r="F43" s="30">
        <f>SUM(F41:F42)</f>
        <v>30700</v>
      </c>
      <c r="G43" s="104">
        <f>+E43/$C$13</f>
        <v>23.066666666666666</v>
      </c>
    </row>
    <row r="44" spans="2:9" s="249" customFormat="1" ht="18.75" customHeight="1" x14ac:dyDescent="0.2">
      <c r="B44" s="273"/>
      <c r="C44" s="271"/>
      <c r="D44" s="262"/>
      <c r="E44" s="259"/>
      <c r="F44" s="259"/>
      <c r="G44" s="108"/>
    </row>
    <row r="45" spans="2:9" s="249" customFormat="1" ht="18.75" customHeight="1" x14ac:dyDescent="0.25">
      <c r="B45" s="256" t="s">
        <v>51</v>
      </c>
      <c r="C45" s="257"/>
      <c r="D45" s="258"/>
      <c r="E45" s="259"/>
      <c r="F45" s="259"/>
      <c r="G45" s="108"/>
    </row>
    <row r="46" spans="2:9" s="249" customFormat="1" ht="18.75" customHeight="1" x14ac:dyDescent="0.25">
      <c r="B46" s="39" t="s">
        <v>53</v>
      </c>
      <c r="C46" s="37" t="s">
        <v>54</v>
      </c>
      <c r="D46" s="293"/>
      <c r="E46" s="29">
        <f>IF(E18+E20+E21+E22&lt;=C5*2,(C12*3)/12,0)</f>
        <v>0</v>
      </c>
      <c r="F46" s="29">
        <f>+E46</f>
        <v>0</v>
      </c>
      <c r="G46" s="104">
        <f>+E46/$C$13</f>
        <v>0</v>
      </c>
    </row>
    <row r="47" spans="2:9" s="249" customFormat="1" ht="18.75" customHeight="1" x14ac:dyDescent="0.2">
      <c r="B47" s="260"/>
      <c r="C47" s="261"/>
      <c r="D47" s="262"/>
      <c r="E47" s="277"/>
      <c r="F47" s="277"/>
      <c r="G47" s="108"/>
    </row>
    <row r="48" spans="2:9" s="249" customFormat="1" ht="18.75" customHeight="1" x14ac:dyDescent="0.25">
      <c r="B48" s="31" t="s">
        <v>55</v>
      </c>
      <c r="C48" s="32"/>
      <c r="D48" s="33"/>
      <c r="E48" s="30">
        <f>E23+E30+E38+E43+E46</f>
        <v>1227413.2783333333</v>
      </c>
      <c r="F48" s="30">
        <f>F23+F30+F38+F43+F46</f>
        <v>1123513.2783333333</v>
      </c>
      <c r="G48" s="104">
        <f>+E48/$C$13</f>
        <v>409.13775944444444</v>
      </c>
      <c r="I48" s="275"/>
    </row>
    <row r="49" spans="1:10" s="249" customFormat="1" ht="18.75" customHeight="1" thickBot="1" x14ac:dyDescent="0.25">
      <c r="B49" s="80" t="s">
        <v>56</v>
      </c>
      <c r="C49" s="43"/>
      <c r="D49" s="44"/>
      <c r="E49" s="93">
        <f>+(E48/(E23-E19))-1</f>
        <v>0.66379963906665207</v>
      </c>
      <c r="F49" s="93">
        <f>+(F48/(F23-F19))-1</f>
        <v>0.52295972348926933</v>
      </c>
      <c r="G49" s="109"/>
    </row>
    <row r="50" spans="1:10" s="249" customFormat="1" ht="13.5" customHeight="1" x14ac:dyDescent="0.25">
      <c r="B50" s="278"/>
      <c r="C50" s="279"/>
      <c r="D50" s="280"/>
      <c r="E50" s="281"/>
      <c r="F50" s="300"/>
      <c r="G50" s="110"/>
    </row>
    <row r="51" spans="1:10" s="249" customFormat="1" ht="13.5" customHeight="1" thickBot="1" x14ac:dyDescent="0.3">
      <c r="B51" s="278"/>
      <c r="C51" s="279"/>
      <c r="D51" s="280"/>
      <c r="E51" s="281"/>
      <c r="F51" s="300"/>
      <c r="G51" s="110"/>
    </row>
    <row r="52" spans="1:10" s="249" customFormat="1" ht="18.75" customHeight="1" x14ac:dyDescent="0.25">
      <c r="A52" s="225"/>
      <c r="B52" s="74" t="s">
        <v>57</v>
      </c>
      <c r="C52" s="294"/>
      <c r="D52" s="295"/>
      <c r="E52" s="187">
        <f>E48*12</f>
        <v>14728959.34</v>
      </c>
      <c r="F52" s="315">
        <f>F48*12</f>
        <v>13482159.34</v>
      </c>
      <c r="G52" s="321">
        <f>+E52/$C$13</f>
        <v>4909.6531133333328</v>
      </c>
      <c r="H52" s="225"/>
    </row>
    <row r="53" spans="1:10" s="249" customFormat="1" ht="18.75" customHeight="1" x14ac:dyDescent="0.25">
      <c r="A53" s="225"/>
      <c r="B53" s="26" t="s">
        <v>111</v>
      </c>
      <c r="C53" s="27"/>
      <c r="D53" s="296"/>
      <c r="E53" s="29">
        <v>296</v>
      </c>
      <c r="F53" s="316">
        <v>296</v>
      </c>
      <c r="G53" s="320">
        <v>296</v>
      </c>
      <c r="H53" s="225"/>
    </row>
    <row r="54" spans="1:10" s="249" customFormat="1" ht="18.75" customHeight="1" x14ac:dyDescent="0.25">
      <c r="A54" s="225"/>
      <c r="B54" s="26" t="s">
        <v>59</v>
      </c>
      <c r="C54" s="27"/>
      <c r="D54" s="296"/>
      <c r="E54" s="29">
        <f>E52/E53</f>
        <v>49759.997770270267</v>
      </c>
      <c r="F54" s="316">
        <f>F52/F53</f>
        <v>45547.835608108107</v>
      </c>
      <c r="G54" s="318">
        <f>+E54/$C$13</f>
        <v>16.586665923423421</v>
      </c>
      <c r="H54" s="225"/>
    </row>
    <row r="55" spans="1:10" s="249" customFormat="1" ht="18.75" customHeight="1" thickBot="1" x14ac:dyDescent="0.3">
      <c r="A55" s="225"/>
      <c r="B55" s="188" t="s">
        <v>60</v>
      </c>
      <c r="C55" s="69"/>
      <c r="D55" s="297"/>
      <c r="E55" s="82">
        <f>E54/8</f>
        <v>6219.9997212837834</v>
      </c>
      <c r="F55" s="317">
        <f>F54/8</f>
        <v>5693.4794510135134</v>
      </c>
      <c r="G55" s="319">
        <f>+E55/$C$13</f>
        <v>2.0733332404279277</v>
      </c>
      <c r="H55" s="225"/>
    </row>
    <row r="56" spans="1:10" s="249" customFormat="1" ht="11.25" customHeight="1" x14ac:dyDescent="0.25">
      <c r="A56" s="225"/>
      <c r="B56" s="238"/>
      <c r="C56" s="282"/>
      <c r="D56" s="283"/>
      <c r="E56" s="281"/>
      <c r="F56" s="234"/>
      <c r="G56" s="208"/>
      <c r="H56" s="225"/>
    </row>
    <row r="57" spans="1:10" s="249" customFormat="1" ht="11.25" customHeight="1" thickBot="1" x14ac:dyDescent="0.3">
      <c r="A57" s="225"/>
      <c r="B57" s="238"/>
      <c r="C57" s="282"/>
      <c r="D57" s="283"/>
      <c r="E57" s="281"/>
      <c r="F57" s="234"/>
      <c r="G57" s="208"/>
      <c r="H57" s="225"/>
    </row>
    <row r="58" spans="1:10" s="249" customFormat="1" ht="18.75" customHeight="1" thickBot="1" x14ac:dyDescent="0.3">
      <c r="A58" s="225"/>
      <c r="B58" s="45" t="s">
        <v>61</v>
      </c>
      <c r="C58" s="46"/>
      <c r="D58" s="47" t="s">
        <v>13</v>
      </c>
      <c r="E58" s="48" t="s">
        <v>62</v>
      </c>
      <c r="F58" s="301" t="s">
        <v>63</v>
      </c>
      <c r="G58" s="49" t="s">
        <v>62</v>
      </c>
    </row>
    <row r="59" spans="1:10" s="249" customFormat="1" ht="18.75" customHeight="1" x14ac:dyDescent="0.25">
      <c r="A59" s="225"/>
      <c r="B59" s="50" t="s">
        <v>64</v>
      </c>
      <c r="C59" s="51" t="s">
        <v>112</v>
      </c>
      <c r="D59" s="52"/>
      <c r="E59" s="213">
        <f>(E18/30)/8</f>
        <v>3073.8208333333332</v>
      </c>
      <c r="F59" s="302"/>
      <c r="G59" s="298"/>
      <c r="H59" s="225"/>
      <c r="I59" s="253"/>
    </row>
    <row r="60" spans="1:10" s="249" customFormat="1" ht="18.75" customHeight="1" x14ac:dyDescent="0.25">
      <c r="A60" s="225"/>
      <c r="B60" s="39" t="s">
        <v>66</v>
      </c>
      <c r="C60" s="37" t="s">
        <v>113</v>
      </c>
      <c r="D60" s="54">
        <v>0.35</v>
      </c>
      <c r="E60" s="214">
        <f>$E$59*D60</f>
        <v>1075.8372916666665</v>
      </c>
      <c r="F60" s="303"/>
      <c r="G60" s="190">
        <f t="shared" ref="G60:G68" si="2">E60*F60</f>
        <v>0</v>
      </c>
      <c r="H60" s="225"/>
      <c r="I60" s="284"/>
      <c r="J60" s="264"/>
    </row>
    <row r="61" spans="1:10" s="249" customFormat="1" ht="18.75" customHeight="1" x14ac:dyDescent="0.25">
      <c r="A61" s="225"/>
      <c r="B61" s="39" t="s">
        <v>68</v>
      </c>
      <c r="C61" s="37" t="s">
        <v>69</v>
      </c>
      <c r="D61" s="54">
        <v>0.75</v>
      </c>
      <c r="E61" s="214">
        <f>$E$59*D61</f>
        <v>2305.3656249999999</v>
      </c>
      <c r="F61" s="303"/>
      <c r="G61" s="190">
        <f t="shared" si="2"/>
        <v>0</v>
      </c>
      <c r="H61" s="225"/>
      <c r="I61" s="284"/>
    </row>
    <row r="62" spans="1:10" s="249" customFormat="1" ht="18.75" customHeight="1" x14ac:dyDescent="0.25">
      <c r="A62" s="225"/>
      <c r="B62" s="56" t="s">
        <v>70</v>
      </c>
      <c r="C62" s="57" t="s">
        <v>71</v>
      </c>
      <c r="D62" s="58">
        <v>1.75</v>
      </c>
      <c r="E62" s="214">
        <f>$E$59*D62</f>
        <v>5379.1864583333336</v>
      </c>
      <c r="F62" s="304"/>
      <c r="G62" s="190">
        <f t="shared" si="2"/>
        <v>0</v>
      </c>
      <c r="H62" s="225"/>
      <c r="I62" s="253"/>
    </row>
    <row r="63" spans="1:10" s="249" customFormat="1" ht="18.75" customHeight="1" x14ac:dyDescent="0.25">
      <c r="A63" s="225"/>
      <c r="B63" s="26" t="s">
        <v>72</v>
      </c>
      <c r="C63" s="27" t="s">
        <v>73</v>
      </c>
      <c r="D63" s="222">
        <v>1.1000000000000001</v>
      </c>
      <c r="E63" s="215">
        <f t="shared" ref="E63:E68" si="3">$E$59*D63</f>
        <v>3381.2029166666666</v>
      </c>
      <c r="F63" s="304"/>
      <c r="G63" s="190">
        <f t="shared" si="2"/>
        <v>0</v>
      </c>
      <c r="H63" s="225"/>
      <c r="I63" s="253"/>
    </row>
    <row r="64" spans="1:10" s="249" customFormat="1" ht="18.75" customHeight="1" x14ac:dyDescent="0.25">
      <c r="A64" s="225"/>
      <c r="B64" s="86" t="s">
        <v>74</v>
      </c>
      <c r="C64" s="27" t="s">
        <v>75</v>
      </c>
      <c r="D64" s="223">
        <v>2.1</v>
      </c>
      <c r="E64" s="215">
        <f t="shared" si="3"/>
        <v>6455.0237500000003</v>
      </c>
      <c r="F64" s="304"/>
      <c r="G64" s="190">
        <f t="shared" si="2"/>
        <v>0</v>
      </c>
      <c r="H64" s="225"/>
      <c r="J64" s="253"/>
    </row>
    <row r="65" spans="1:10" s="249" customFormat="1" ht="18.75" customHeight="1" x14ac:dyDescent="0.25">
      <c r="A65" s="225"/>
      <c r="B65" s="59" t="s">
        <v>76</v>
      </c>
      <c r="C65" s="60" t="s">
        <v>77</v>
      </c>
      <c r="D65" s="61">
        <v>1.25</v>
      </c>
      <c r="E65" s="215">
        <f t="shared" si="3"/>
        <v>3842.2760416666665</v>
      </c>
      <c r="F65" s="303"/>
      <c r="G65" s="190">
        <f t="shared" si="2"/>
        <v>0</v>
      </c>
      <c r="H65" s="225"/>
      <c r="J65" s="253"/>
    </row>
    <row r="66" spans="1:10" s="249" customFormat="1" ht="18.75" customHeight="1" x14ac:dyDescent="0.25">
      <c r="A66" s="225"/>
      <c r="B66" s="62" t="s">
        <v>78</v>
      </c>
      <c r="C66" s="37" t="s">
        <v>79</v>
      </c>
      <c r="D66" s="54">
        <v>1.75</v>
      </c>
      <c r="E66" s="215">
        <f t="shared" si="3"/>
        <v>5379.1864583333336</v>
      </c>
      <c r="F66" s="305"/>
      <c r="G66" s="190">
        <f t="shared" si="2"/>
        <v>0</v>
      </c>
      <c r="H66" s="225"/>
    </row>
    <row r="67" spans="1:10" s="249" customFormat="1" ht="18.75" customHeight="1" x14ac:dyDescent="0.25">
      <c r="A67" s="225"/>
      <c r="B67" s="62" t="s">
        <v>80</v>
      </c>
      <c r="C67" s="37" t="s">
        <v>81</v>
      </c>
      <c r="D67" s="54">
        <v>2</v>
      </c>
      <c r="E67" s="215">
        <f t="shared" si="3"/>
        <v>6147.6416666666664</v>
      </c>
      <c r="F67" s="305"/>
      <c r="G67" s="190">
        <f t="shared" si="2"/>
        <v>0</v>
      </c>
      <c r="H67" s="225"/>
    </row>
    <row r="68" spans="1:10" s="249" customFormat="1" ht="18.75" customHeight="1" thickBot="1" x14ac:dyDescent="0.3">
      <c r="A68" s="225"/>
      <c r="B68" s="63" t="s">
        <v>82</v>
      </c>
      <c r="C68" s="64" t="s">
        <v>83</v>
      </c>
      <c r="D68" s="65">
        <v>2.5</v>
      </c>
      <c r="E68" s="216">
        <f t="shared" si="3"/>
        <v>7684.552083333333</v>
      </c>
      <c r="F68" s="306"/>
      <c r="G68" s="193">
        <f t="shared" si="2"/>
        <v>0</v>
      </c>
      <c r="H68" s="225"/>
    </row>
    <row r="69" spans="1:10" s="249" customFormat="1" ht="18.75" customHeight="1" thickBot="1" x14ac:dyDescent="0.3">
      <c r="A69" s="225"/>
      <c r="B69" s="95" t="s">
        <v>114</v>
      </c>
      <c r="C69" s="226"/>
      <c r="D69" s="227"/>
      <c r="E69" s="228"/>
      <c r="F69" s="234"/>
      <c r="G69" s="66">
        <f>SUM(G60:G68)</f>
        <v>0</v>
      </c>
      <c r="H69" s="225"/>
    </row>
    <row r="70" spans="1:10" s="249" customFormat="1" ht="13.5" customHeight="1" thickBot="1" x14ac:dyDescent="0.3">
      <c r="A70" s="225"/>
      <c r="B70" s="238"/>
      <c r="C70" s="282"/>
      <c r="D70" s="283"/>
      <c r="E70" s="281"/>
      <c r="F70" s="234"/>
      <c r="G70" s="208"/>
      <c r="H70" s="225"/>
    </row>
    <row r="71" spans="1:10" s="249" customFormat="1" ht="18.75" customHeight="1" thickBot="1" x14ac:dyDescent="0.3">
      <c r="A71" s="225"/>
      <c r="B71" s="113" t="s">
        <v>85</v>
      </c>
      <c r="C71" s="114"/>
      <c r="D71" s="105" t="s">
        <v>13</v>
      </c>
      <c r="E71" s="48" t="s">
        <v>62</v>
      </c>
      <c r="F71" s="234"/>
      <c r="G71" s="208"/>
      <c r="H71" s="225"/>
    </row>
    <row r="72" spans="1:10" s="249" customFormat="1" ht="18.75" customHeight="1" x14ac:dyDescent="0.25">
      <c r="A72" s="225"/>
      <c r="B72" s="74" t="s">
        <v>86</v>
      </c>
      <c r="C72" s="67" t="s">
        <v>87</v>
      </c>
      <c r="D72" s="295"/>
      <c r="E72" s="291"/>
      <c r="F72" s="234"/>
      <c r="G72" s="208"/>
      <c r="H72" s="225"/>
    </row>
    <row r="73" spans="1:10" s="249" customFormat="1" ht="18.75" customHeight="1" x14ac:dyDescent="0.25">
      <c r="A73" s="225"/>
      <c r="B73" s="26" t="s">
        <v>88</v>
      </c>
      <c r="C73" s="27" t="s">
        <v>89</v>
      </c>
      <c r="D73" s="54">
        <v>0.04</v>
      </c>
      <c r="E73" s="217">
        <f>ROUND(IF($E$18+E20+E21+E22&lt;=($C$5*25),ROUND($E$18+E20+E21+E22,-3),ROUND($C$5*25,-3))*D73,-2)</f>
        <v>29500</v>
      </c>
      <c r="F73" s="234"/>
      <c r="G73" s="208"/>
      <c r="H73" s="225"/>
    </row>
    <row r="74" spans="1:10" s="249" customFormat="1" ht="18.75" customHeight="1" x14ac:dyDescent="0.25">
      <c r="A74" s="225"/>
      <c r="B74" s="26" t="s">
        <v>90</v>
      </c>
      <c r="C74" s="37" t="s">
        <v>91</v>
      </c>
      <c r="D74" s="54">
        <v>0.04</v>
      </c>
      <c r="E74" s="217">
        <f>ROUND(IF($E$18+E20+E21+E22&lt;=($C$5*25),ROUND($E$18+E20+E21+E22,-3),ROUND($C$5*25,-3))*D74,-2)</f>
        <v>29500</v>
      </c>
      <c r="F74" s="234"/>
      <c r="G74" s="208"/>
      <c r="H74" s="225"/>
    </row>
    <row r="75" spans="1:10" s="249" customFormat="1" ht="18.75" customHeight="1" x14ac:dyDescent="0.25">
      <c r="A75" s="225"/>
      <c r="B75" s="26" t="s">
        <v>92</v>
      </c>
      <c r="C75" s="37" t="s">
        <v>93</v>
      </c>
      <c r="D75" s="79">
        <f>IF(E18+E20+E21+E22&lt;(C5*4),0,0.01)</f>
        <v>0</v>
      </c>
      <c r="E75" s="29">
        <f>IF(E18+E20+E21+E22&lt;(C5*4),0,(E18+E20+E21+E22)*D75)</f>
        <v>0</v>
      </c>
      <c r="F75" s="234"/>
      <c r="G75" s="208"/>
      <c r="H75" s="225"/>
    </row>
    <row r="76" spans="1:10" s="249" customFormat="1" ht="18.75" customHeight="1" x14ac:dyDescent="0.25">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
      <c r="A77" s="225"/>
      <c r="B77" s="94" t="s">
        <v>96</v>
      </c>
      <c r="C77" s="69"/>
      <c r="D77" s="196"/>
      <c r="E77" s="70">
        <f>SUM(E72:E76)</f>
        <v>59000</v>
      </c>
      <c r="F77" s="234"/>
      <c r="G77" s="208"/>
      <c r="H77" s="225"/>
    </row>
    <row r="78" spans="1:10" s="249" customFormat="1" ht="13.5" customHeight="1" x14ac:dyDescent="0.25">
      <c r="A78" s="225"/>
      <c r="B78" s="238"/>
      <c r="C78" s="282"/>
      <c r="D78" s="283"/>
      <c r="E78" s="281"/>
      <c r="F78" s="234"/>
      <c r="G78" s="208"/>
      <c r="H78" s="225"/>
    </row>
    <row r="79" spans="1:10" ht="13.5" customHeight="1" thickBot="1" x14ac:dyDescent="0.3">
      <c r="B79" s="238"/>
      <c r="C79" s="282"/>
      <c r="D79" s="285"/>
      <c r="E79" s="281"/>
    </row>
    <row r="80" spans="1:10" ht="16.5" thickBot="1" x14ac:dyDescent="0.3">
      <c r="B80" s="71" t="s">
        <v>97</v>
      </c>
      <c r="C80" s="72"/>
      <c r="D80" s="19"/>
      <c r="E80" s="73"/>
    </row>
    <row r="81" spans="2:5" s="225" customFormat="1" ht="15.75" x14ac:dyDescent="0.25">
      <c r="B81" s="74" t="s">
        <v>98</v>
      </c>
      <c r="C81" s="218">
        <f>$C$5*16</f>
        <v>11803472</v>
      </c>
      <c r="D81" s="75">
        <v>0</v>
      </c>
      <c r="E81" s="76"/>
    </row>
    <row r="82" spans="2:5" s="225" customFormat="1" ht="15.75" x14ac:dyDescent="0.25">
      <c r="B82" s="39" t="s">
        <v>99</v>
      </c>
      <c r="C82" s="219">
        <f>$C$5*17</f>
        <v>12541189</v>
      </c>
      <c r="D82" s="77">
        <v>2E-3</v>
      </c>
      <c r="E82" s="78"/>
    </row>
    <row r="83" spans="2:5" s="225" customFormat="1" ht="15.75" x14ac:dyDescent="0.25">
      <c r="B83" s="39" t="s">
        <v>100</v>
      </c>
      <c r="C83" s="220">
        <f>$C$5*18</f>
        <v>13278906</v>
      </c>
      <c r="D83" s="79">
        <v>4.0000000000000001E-3</v>
      </c>
      <c r="E83" s="29"/>
    </row>
    <row r="84" spans="2:5" s="225" customFormat="1" ht="15.75" x14ac:dyDescent="0.25">
      <c r="B84" s="39" t="s">
        <v>101</v>
      </c>
      <c r="C84" s="220">
        <f>$C$5*19</f>
        <v>14016623</v>
      </c>
      <c r="D84" s="79">
        <v>6.0000000000000001E-3</v>
      </c>
      <c r="E84" s="29"/>
    </row>
    <row r="85" spans="2:5" s="225" customFormat="1" ht="15.75" x14ac:dyDescent="0.25">
      <c r="B85" s="39" t="s">
        <v>102</v>
      </c>
      <c r="C85" s="220">
        <f>$C$5*20</f>
        <v>14754340</v>
      </c>
      <c r="D85" s="79">
        <v>8.0000000000000002E-3</v>
      </c>
      <c r="E85" s="29"/>
    </row>
    <row r="86" spans="2:5" s="225" customFormat="1" ht="16.5" thickBot="1" x14ac:dyDescent="0.3">
      <c r="B86" s="80" t="s">
        <v>103</v>
      </c>
      <c r="C86" s="221">
        <f>+C85</f>
        <v>14754340</v>
      </c>
      <c r="D86" s="81">
        <v>0.01</v>
      </c>
      <c r="E86" s="82"/>
    </row>
    <row r="87" spans="2:5" s="225" customFormat="1" x14ac:dyDescent="0.2">
      <c r="B87" s="245"/>
      <c r="C87" s="287"/>
      <c r="D87" s="288"/>
      <c r="E87" s="149" t="str">
        <f>+B69</f>
        <v>V 1.0 29 enero 2017</v>
      </c>
    </row>
    <row r="88" spans="2:5" s="225" customFormat="1" ht="14.25" x14ac:dyDescent="0.2">
      <c r="C88" s="226"/>
      <c r="D88" s="289"/>
      <c r="E88" s="290"/>
    </row>
    <row r="89" spans="2:5" s="225" customFormat="1" ht="15" x14ac:dyDescent="0.2">
      <c r="C89" s="286"/>
      <c r="D89" s="227"/>
      <c r="E89" s="228"/>
    </row>
    <row r="90" spans="2:5" s="225" customFormat="1" ht="15" x14ac:dyDescent="0.2">
      <c r="C90" s="286"/>
      <c r="D90" s="227"/>
      <c r="E90" s="228"/>
    </row>
    <row r="91" spans="2:5" s="225" customFormat="1" ht="15" x14ac:dyDescent="0.2">
      <c r="C91" s="286"/>
      <c r="D91" s="227"/>
      <c r="E91" s="228"/>
    </row>
    <row r="92" spans="2:5" s="225" customFormat="1" ht="15" x14ac:dyDescent="0.2">
      <c r="C92" s="286"/>
      <c r="D92" s="227"/>
      <c r="E92" s="228"/>
    </row>
    <row r="93" spans="2:5" s="225" customFormat="1" ht="15" x14ac:dyDescent="0.2">
      <c r="C93" s="286"/>
      <c r="D93" s="227"/>
      <c r="E93" s="228"/>
    </row>
    <row r="94" spans="2:5" s="225" customFormat="1" ht="15" x14ac:dyDescent="0.2">
      <c r="C94" s="286"/>
      <c r="D94" s="227"/>
      <c r="E94" s="228"/>
    </row>
    <row r="95" spans="2:5" s="225" customFormat="1" ht="15" x14ac:dyDescent="0.2">
      <c r="C95" s="286"/>
      <c r="D95" s="227"/>
      <c r="E95" s="228"/>
    </row>
    <row r="96" spans="2:5" s="225" customFormat="1" ht="15" x14ac:dyDescent="0.2">
      <c r="C96" s="286"/>
      <c r="D96" s="227"/>
      <c r="E96" s="228"/>
    </row>
    <row r="97" spans="3:3" s="225" customFormat="1" ht="15" x14ac:dyDescent="0.2">
      <c r="C97" s="286"/>
    </row>
    <row r="98" spans="3:3" s="225" customFormat="1" ht="15" x14ac:dyDescent="0.2">
      <c r="C98" s="286"/>
    </row>
    <row r="99" spans="3:3" s="225" customFormat="1" ht="15" x14ac:dyDescent="0.2">
      <c r="C99" s="286"/>
    </row>
    <row r="65536" spans="256:256" s="225" customFormat="1" x14ac:dyDescent="0.2">
      <c r="IV65536" s="322">
        <v>2017</v>
      </c>
    </row>
  </sheetData>
  <sheetProtection password="CC1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scale="96">
      <selection sqref="A1:XFD1048576"/>
      <pageMargins left="0" right="0" top="0" bottom="0" header="0" footer="0"/>
      <pageSetup paperSize="9" orientation="portrait" horizontalDpi="300" verticalDpi="300" r:id="rId1"/>
    </customSheetView>
  </customSheetViews>
  <dataValidations count="2">
    <dataValidation type="list" allowBlank="1" showInputMessage="1" showErrorMessage="1" sqref="C11" xr:uid="{00000000-0002-0000-0200-000000000000}">
      <formula1>$IV$6:$IV$10</formula1>
    </dataValidation>
    <dataValidation type="list" allowBlank="1" showInputMessage="1" showErrorMessage="1" sqref="D13" xr:uid="{00000000-0002-0000-0200-000001000000}">
      <formula1>$IV$13:$IV$16</formula1>
    </dataValidation>
  </dataValidations>
  <pageMargins left="0.7" right="0.7" top="0.75" bottom="0.75" header="0.3" footer="0.3"/>
  <pageSetup paperSize="9" orientation="portrait" horizontalDpi="300" verticalDpi="30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65536"/>
  <sheetViews>
    <sheetView topLeftCell="A4" zoomScale="77" zoomScaleNormal="77" zoomScalePageLayoutView="77" workbookViewId="0">
      <selection activeCell="J40" sqref="J40"/>
    </sheetView>
  </sheetViews>
  <sheetFormatPr baseColWidth="10" defaultColWidth="11.42578125" defaultRowHeight="12.75" x14ac:dyDescent="0.2"/>
  <cols>
    <col min="1" max="1" width="3.28515625" style="225" customWidth="1"/>
    <col min="2" max="2" width="45.28515625" style="225" customWidth="1"/>
    <col min="3" max="3" width="58.85546875" style="226" customWidth="1"/>
    <col min="4" max="4" width="11" style="227" customWidth="1"/>
    <col min="5" max="5" width="17.28515625" style="228" customWidth="1"/>
    <col min="6" max="6" width="17.42578125" style="234" customWidth="1"/>
    <col min="7" max="7" width="13.85546875" style="208"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342" t="s">
        <v>115</v>
      </c>
      <c r="C4" s="232"/>
      <c r="E4" s="233"/>
    </row>
    <row r="5" spans="2:256" ht="18.75" customHeight="1" x14ac:dyDescent="0.25">
      <c r="B5" s="344" t="s">
        <v>2</v>
      </c>
      <c r="C5" s="76">
        <v>689455</v>
      </c>
      <c r="E5" s="233"/>
      <c r="F5" s="340"/>
      <c r="G5" s="209"/>
      <c r="I5" s="299"/>
    </row>
    <row r="6" spans="2:256" ht="18.75" customHeight="1" thickBot="1" x14ac:dyDescent="0.3">
      <c r="B6" s="345" t="s">
        <v>3</v>
      </c>
      <c r="C6" s="82">
        <v>77700</v>
      </c>
      <c r="E6" s="233"/>
      <c r="F6" s="233"/>
      <c r="G6" s="209"/>
      <c r="I6" s="235"/>
      <c r="J6" s="236"/>
      <c r="IV6" s="237">
        <v>5.2199999999999998E-3</v>
      </c>
    </row>
    <row r="7" spans="2:256" ht="13.5" customHeight="1" x14ac:dyDescent="0.25">
      <c r="B7" s="238"/>
      <c r="C7" s="239"/>
      <c r="G7" s="209"/>
      <c r="IV7" s="237">
        <v>1.044E-2</v>
      </c>
    </row>
    <row r="8" spans="2:256" ht="12.75" customHeight="1" x14ac:dyDescent="0.2">
      <c r="B8" s="238"/>
      <c r="C8" s="238"/>
      <c r="G8" s="209"/>
      <c r="IV8" s="237">
        <v>2.436E-2</v>
      </c>
    </row>
    <row r="9" spans="2:256" ht="12" customHeight="1" thickBot="1" x14ac:dyDescent="0.25">
      <c r="B9" s="9" t="s">
        <v>4</v>
      </c>
      <c r="C9" s="240" t="s">
        <v>5</v>
      </c>
      <c r="D9" s="241"/>
      <c r="E9" s="242"/>
      <c r="IV9" s="237">
        <v>4.3499999999999997E-2</v>
      </c>
    </row>
    <row r="10" spans="2:256" ht="18.75" customHeight="1" x14ac:dyDescent="0.25">
      <c r="B10" s="11" t="s">
        <v>6</v>
      </c>
      <c r="C10" s="291">
        <v>689455</v>
      </c>
      <c r="D10" s="243"/>
      <c r="E10" s="244"/>
      <c r="F10" s="343"/>
      <c r="G10" s="311"/>
      <c r="H10" s="245"/>
      <c r="IV10" s="237">
        <v>6.9599999999999995E-2</v>
      </c>
    </row>
    <row r="11" spans="2:256" ht="18.75" customHeight="1" x14ac:dyDescent="0.25">
      <c r="B11" s="13" t="s">
        <v>7</v>
      </c>
      <c r="C11" s="292">
        <v>5.2199999999999998E-3</v>
      </c>
      <c r="D11" s="241"/>
      <c r="E11" s="244"/>
      <c r="G11" s="312"/>
      <c r="H11" s="245"/>
    </row>
    <row r="12" spans="2:256" ht="18.75" customHeight="1" thickBot="1" x14ac:dyDescent="0.3">
      <c r="B12" s="15" t="s">
        <v>8</v>
      </c>
      <c r="C12" s="246"/>
      <c r="D12" s="241"/>
      <c r="E12" s="242"/>
      <c r="G12" s="313"/>
      <c r="H12" s="245"/>
      <c r="IR12" s="248"/>
      <c r="IV12" s="249"/>
    </row>
    <row r="13" spans="2:256" s="1" customFormat="1" ht="18.75" customHeight="1" thickBot="1" x14ac:dyDescent="0.3">
      <c r="B13" s="15" t="s">
        <v>9</v>
      </c>
      <c r="C13" s="112">
        <v>3200</v>
      </c>
      <c r="D13" s="111" t="s">
        <v>10</v>
      </c>
      <c r="E13" s="10"/>
      <c r="F13" s="106"/>
      <c r="G13" s="17"/>
      <c r="H13" s="12"/>
      <c r="IR13" s="16"/>
      <c r="IV13" s="18" t="s">
        <v>10</v>
      </c>
    </row>
    <row r="14" spans="2:256" ht="10.5" customHeight="1" thickBot="1" x14ac:dyDescent="0.25">
      <c r="B14" s="250"/>
      <c r="C14" s="251"/>
      <c r="D14" s="252"/>
      <c r="F14" s="308"/>
      <c r="G14" s="312"/>
      <c r="H14" s="245"/>
      <c r="IR14" s="248"/>
    </row>
    <row r="15" spans="2:256" s="249" customFormat="1" ht="41.25" customHeight="1" x14ac:dyDescent="0.25">
      <c r="B15" s="96" t="s">
        <v>11</v>
      </c>
      <c r="C15" s="97" t="s">
        <v>12</v>
      </c>
      <c r="D15" s="98" t="s">
        <v>13</v>
      </c>
      <c r="E15" s="307" t="s">
        <v>14</v>
      </c>
      <c r="F15" s="309" t="s">
        <v>116</v>
      </c>
      <c r="G15" s="314" t="s">
        <v>16</v>
      </c>
      <c r="H15" s="245"/>
      <c r="IR15" s="253"/>
    </row>
    <row r="16" spans="2:256" s="249" customFormat="1" ht="9" customHeight="1" x14ac:dyDescent="0.25">
      <c r="B16" s="254"/>
      <c r="C16" s="239"/>
      <c r="D16" s="239"/>
      <c r="E16" s="255"/>
      <c r="F16" s="255"/>
      <c r="G16" s="107"/>
      <c r="IR16" s="253"/>
    </row>
    <row r="17" spans="2:252" s="249" customFormat="1" ht="18.75" customHeight="1" x14ac:dyDescent="0.25">
      <c r="B17" s="256" t="s">
        <v>17</v>
      </c>
      <c r="C17" s="257"/>
      <c r="D17" s="258"/>
      <c r="E17" s="259"/>
      <c r="F17" s="259"/>
      <c r="G17" s="108"/>
      <c r="IR17" s="253"/>
    </row>
    <row r="18" spans="2:252" s="249" customFormat="1" ht="18.75" customHeight="1" x14ac:dyDescent="0.25">
      <c r="B18" s="26" t="s">
        <v>18</v>
      </c>
      <c r="C18" s="27" t="s">
        <v>19</v>
      </c>
      <c r="D18" s="28"/>
      <c r="E18" s="29">
        <f>IF(C10&lt;C5,FALSE,C10)</f>
        <v>689455</v>
      </c>
      <c r="F18" s="29">
        <f>+E18</f>
        <v>689455</v>
      </c>
      <c r="G18" s="103">
        <f t="shared" ref="G18:G23" si="0">+E18/$C$13</f>
        <v>215.45468750000001</v>
      </c>
      <c r="IR18" s="253"/>
    </row>
    <row r="19" spans="2:252" s="249" customFormat="1" ht="18.75" customHeight="1" x14ac:dyDescent="0.25">
      <c r="B19" s="26" t="s">
        <v>20</v>
      </c>
      <c r="C19" s="27" t="s">
        <v>117</v>
      </c>
      <c r="D19" s="28"/>
      <c r="E19" s="29">
        <f>IF(E18+E20+E21+E22&lt;=(C5*2),C6,0)</f>
        <v>77700</v>
      </c>
      <c r="F19" s="29">
        <f>+E19</f>
        <v>77700</v>
      </c>
      <c r="G19" s="103">
        <f t="shared" si="0"/>
        <v>24.28125</v>
      </c>
    </row>
    <row r="20" spans="2:252" s="249" customFormat="1" ht="18.75" customHeight="1" x14ac:dyDescent="0.25">
      <c r="B20" s="26" t="s">
        <v>22</v>
      </c>
      <c r="C20" s="27" t="s">
        <v>23</v>
      </c>
      <c r="D20" s="262"/>
      <c r="E20" s="339">
        <f>+G60+G63</f>
        <v>0</v>
      </c>
      <c r="F20" s="42">
        <f>+E20</f>
        <v>0</v>
      </c>
      <c r="G20" s="103">
        <f t="shared" si="0"/>
        <v>0</v>
      </c>
      <c r="J20" s="264"/>
    </row>
    <row r="21" spans="2:252" s="249" customFormat="1" ht="18.75" customHeight="1" x14ac:dyDescent="0.25">
      <c r="B21" s="26" t="s">
        <v>118</v>
      </c>
      <c r="C21" s="27" t="s">
        <v>25</v>
      </c>
      <c r="D21" s="262"/>
      <c r="E21" s="339">
        <f>+G61+G62+G64</f>
        <v>0</v>
      </c>
      <c r="F21" s="42">
        <f>+E21</f>
        <v>0</v>
      </c>
      <c r="G21" s="103">
        <f t="shared" si="0"/>
        <v>0</v>
      </c>
    </row>
    <row r="22" spans="2:252" s="249" customFormat="1" ht="18.75" customHeight="1" x14ac:dyDescent="0.25">
      <c r="B22" s="26" t="s">
        <v>26</v>
      </c>
      <c r="C22" s="27" t="s">
        <v>110</v>
      </c>
      <c r="D22" s="262"/>
      <c r="E22" s="339">
        <f>+G65+G66+G67+G68</f>
        <v>0</v>
      </c>
      <c r="F22" s="42">
        <f>+E22</f>
        <v>0</v>
      </c>
      <c r="G22" s="103">
        <f t="shared" si="0"/>
        <v>0</v>
      </c>
    </row>
    <row r="23" spans="2:252" s="249" customFormat="1" ht="18.75" customHeight="1" x14ac:dyDescent="0.25">
      <c r="B23" s="148" t="s">
        <v>28</v>
      </c>
      <c r="C23" s="265"/>
      <c r="D23" s="266"/>
      <c r="E23" s="30">
        <f>SUM(E18:E22)</f>
        <v>767155</v>
      </c>
      <c r="F23" s="30">
        <f>SUM(F18:F22)</f>
        <v>767155</v>
      </c>
      <c r="G23" s="104">
        <f t="shared" si="0"/>
        <v>239.73593750000001</v>
      </c>
    </row>
    <row r="24" spans="2:252" s="249" customFormat="1" ht="18.75" customHeight="1" x14ac:dyDescent="0.25">
      <c r="B24" s="267"/>
      <c r="C24" s="268"/>
      <c r="D24" s="269"/>
      <c r="E24" s="263"/>
      <c r="F24" s="263"/>
      <c r="G24" s="108"/>
    </row>
    <row r="25" spans="2:252" s="249" customFormat="1" ht="18.75" customHeight="1" x14ac:dyDescent="0.25">
      <c r="B25" s="270" t="s">
        <v>29</v>
      </c>
      <c r="C25" s="257"/>
      <c r="D25" s="258"/>
      <c r="E25" s="263"/>
      <c r="F25" s="263"/>
      <c r="G25" s="108"/>
    </row>
    <row r="26" spans="2:252" s="249" customFormat="1" ht="18.75" customHeight="1" x14ac:dyDescent="0.25">
      <c r="B26" s="26" t="s">
        <v>30</v>
      </c>
      <c r="C26" s="27" t="s">
        <v>31</v>
      </c>
      <c r="D26" s="35">
        <v>8.3333333333333343E-2</v>
      </c>
      <c r="E26" s="29">
        <f>E23*D26</f>
        <v>63929.583333333343</v>
      </c>
      <c r="F26" s="29">
        <f>+E26</f>
        <v>63929.583333333343</v>
      </c>
      <c r="G26" s="103">
        <f>+E26/$C$13</f>
        <v>19.977994791666671</v>
      </c>
    </row>
    <row r="27" spans="2:252" s="249" customFormat="1" ht="18.75" customHeight="1" x14ac:dyDescent="0.25">
      <c r="B27" s="26" t="s">
        <v>32</v>
      </c>
      <c r="C27" s="27" t="s">
        <v>33</v>
      </c>
      <c r="D27" s="36">
        <v>0.12</v>
      </c>
      <c r="E27" s="29">
        <f>+E26*D27</f>
        <v>7671.5500000000011</v>
      </c>
      <c r="F27" s="29">
        <f>+E27</f>
        <v>7671.5500000000011</v>
      </c>
      <c r="G27" s="103">
        <f>+E27/$C$13</f>
        <v>2.3973593750000002</v>
      </c>
    </row>
    <row r="28" spans="2:252" s="249" customFormat="1" ht="18.75" customHeight="1" x14ac:dyDescent="0.25">
      <c r="B28" s="26" t="s">
        <v>34</v>
      </c>
      <c r="C28" s="27" t="s">
        <v>31</v>
      </c>
      <c r="D28" s="35">
        <v>8.3333333333333343E-2</v>
      </c>
      <c r="E28" s="29">
        <f>E23*D28</f>
        <v>63929.583333333343</v>
      </c>
      <c r="F28" s="29">
        <f>+E28</f>
        <v>63929.583333333343</v>
      </c>
      <c r="G28" s="103">
        <f>+E28/$C$13</f>
        <v>19.977994791666671</v>
      </c>
    </row>
    <row r="29" spans="2:252" s="249" customFormat="1" ht="18.75" customHeight="1" x14ac:dyDescent="0.25">
      <c r="B29" s="26" t="s">
        <v>35</v>
      </c>
      <c r="C29" s="37" t="s">
        <v>36</v>
      </c>
      <c r="D29" s="35">
        <v>4.1666666666666664E-2</v>
      </c>
      <c r="E29" s="29">
        <f>(E18+E20)*D29</f>
        <v>28727.291666666664</v>
      </c>
      <c r="F29" s="29">
        <f>+E29</f>
        <v>28727.291666666664</v>
      </c>
      <c r="G29" s="103">
        <f>+E29/$C$13</f>
        <v>8.9772786458333318</v>
      </c>
    </row>
    <row r="30" spans="2:252" s="249" customFormat="1" ht="18.75" customHeight="1" x14ac:dyDescent="0.25">
      <c r="B30" s="177" t="s">
        <v>37</v>
      </c>
      <c r="C30" s="38"/>
      <c r="D30" s="33"/>
      <c r="E30" s="30">
        <f>SUM(E26:E29)</f>
        <v>164258.00833333333</v>
      </c>
      <c r="F30" s="30">
        <f>SUM(F26:F29)</f>
        <v>164258.00833333333</v>
      </c>
      <c r="G30" s="104">
        <f>+E30/$C$13</f>
        <v>51.330627604166665</v>
      </c>
    </row>
    <row r="31" spans="2:252" s="249" customFormat="1" ht="18.75" customHeight="1" x14ac:dyDescent="0.2">
      <c r="B31" s="260"/>
      <c r="C31" s="261"/>
      <c r="D31" s="262"/>
      <c r="E31" s="259"/>
      <c r="F31" s="259"/>
      <c r="G31" s="108"/>
      <c r="H31" s="238"/>
    </row>
    <row r="32" spans="2:252" s="249" customFormat="1" ht="18.75" customHeight="1" x14ac:dyDescent="0.25">
      <c r="B32" s="256" t="s">
        <v>38</v>
      </c>
      <c r="C32" s="257"/>
      <c r="D32" s="258"/>
      <c r="E32" s="259"/>
      <c r="F32" s="259"/>
      <c r="G32" s="108"/>
      <c r="H32" s="238"/>
    </row>
    <row r="33" spans="2:9" s="249" customFormat="1" ht="18.75" customHeight="1" x14ac:dyDescent="0.25">
      <c r="B33" s="310" t="s">
        <v>39</v>
      </c>
      <c r="C33" s="85">
        <f>ROUND(IF($E$18+E20+E21+E22&lt;=($C$5*25),ROUND($E$18+E20+E21+E22,-3),ROUND($C$5*25,-3))*0.125,-2)</f>
        <v>86100</v>
      </c>
      <c r="D33" s="36">
        <v>8.5000000000000006E-2</v>
      </c>
      <c r="E33" s="29">
        <f>C33-E73</f>
        <v>58500</v>
      </c>
      <c r="F33" s="29">
        <v>0</v>
      </c>
      <c r="G33" s="103">
        <f t="shared" ref="G33:G38" si="1">+E33/$C$13</f>
        <v>18.28125</v>
      </c>
      <c r="H33" s="274"/>
      <c r="I33" s="275"/>
    </row>
    <row r="34" spans="2:9" s="249" customFormat="1" ht="18.75" customHeight="1" x14ac:dyDescent="0.25">
      <c r="B34" s="26" t="s">
        <v>40</v>
      </c>
      <c r="C34" s="85">
        <f>ROUND(IF($E$18+E20+E21+E22&lt;=($C$5*25),ROUND($E$18+E20+E21+E22,-3),ROUND($C$5*25,-3))*0.16,-2)</f>
        <v>110200</v>
      </c>
      <c r="D34" s="36">
        <v>0.12</v>
      </c>
      <c r="E34" s="29">
        <f>C34-E74</f>
        <v>82600</v>
      </c>
      <c r="F34" s="29">
        <f>+E34</f>
        <v>82600</v>
      </c>
      <c r="G34" s="103">
        <f t="shared" si="1"/>
        <v>25.8125</v>
      </c>
      <c r="H34" s="276"/>
    </row>
    <row r="35" spans="2:9" s="249" customFormat="1" ht="18.75" customHeight="1" x14ac:dyDescent="0.25">
      <c r="B35" s="26" t="s">
        <v>119</v>
      </c>
      <c r="C35" s="37" t="s">
        <v>42</v>
      </c>
      <c r="D35" s="28">
        <f>C11</f>
        <v>5.2199999999999998E-3</v>
      </c>
      <c r="E35" s="29">
        <f>ROUND(IF($E$18+E21+E20+E22&lt;=($C$5*20),ROUND($E$18+E20+E21+E22,-3),ROUND($C$5*20,-3))*D35,-2)</f>
        <v>3600</v>
      </c>
      <c r="F35" s="29">
        <f>+E35</f>
        <v>3600</v>
      </c>
      <c r="G35" s="103">
        <f t="shared" si="1"/>
        <v>1.125</v>
      </c>
      <c r="H35" s="238"/>
    </row>
    <row r="36" spans="2:9" s="249" customFormat="1" ht="18.75" customHeight="1" x14ac:dyDescent="0.25">
      <c r="B36" s="26" t="s">
        <v>43</v>
      </c>
      <c r="C36" s="271"/>
      <c r="D36" s="36">
        <v>8.5000000000000006E-2</v>
      </c>
      <c r="E36" s="29">
        <f>ROUND(IF($E$29&lt;=($C$5*25),ROUND($E$29,-3),ROUND($C$5*25,-3))*D36,-2)</f>
        <v>2500</v>
      </c>
      <c r="F36" s="29">
        <v>0</v>
      </c>
      <c r="G36" s="103">
        <f t="shared" si="1"/>
        <v>0.78125</v>
      </c>
    </row>
    <row r="37" spans="2:9" s="249" customFormat="1" ht="18.75" customHeight="1" x14ac:dyDescent="0.25">
      <c r="B37" s="26" t="s">
        <v>44</v>
      </c>
      <c r="C37" s="271"/>
      <c r="D37" s="36">
        <v>0.12</v>
      </c>
      <c r="E37" s="29">
        <f>ROUND(IF($E$29&lt;=($C$5*25),ROUND($E$29,-3),ROUND($C$5*25,-3))*D37,-2)</f>
        <v>3500</v>
      </c>
      <c r="F37" s="29">
        <f>+E37</f>
        <v>3500</v>
      </c>
      <c r="G37" s="103">
        <f t="shared" si="1"/>
        <v>1.09375</v>
      </c>
    </row>
    <row r="38" spans="2:9" s="249" customFormat="1" ht="18.75" customHeight="1" x14ac:dyDescent="0.25">
      <c r="B38" s="177" t="s">
        <v>45</v>
      </c>
      <c r="C38" s="272"/>
      <c r="D38" s="269"/>
      <c r="E38" s="30">
        <f>SUM(E33:E37)</f>
        <v>150700</v>
      </c>
      <c r="F38" s="30">
        <f>SUM(F33:F37)</f>
        <v>89700</v>
      </c>
      <c r="G38" s="104">
        <f t="shared" si="1"/>
        <v>47.09375</v>
      </c>
    </row>
    <row r="39" spans="2:9" s="249" customFormat="1" ht="18.75" customHeight="1" x14ac:dyDescent="0.2">
      <c r="B39" s="260"/>
      <c r="C39" s="261"/>
      <c r="D39" s="262"/>
      <c r="E39" s="259"/>
      <c r="F39" s="259"/>
      <c r="G39" s="108"/>
    </row>
    <row r="40" spans="2:9" s="249" customFormat="1" ht="18.75" customHeight="1" x14ac:dyDescent="0.25">
      <c r="B40" s="256" t="s">
        <v>46</v>
      </c>
      <c r="C40" s="257"/>
      <c r="D40" s="258"/>
      <c r="E40" s="259"/>
      <c r="F40" s="259"/>
      <c r="G40" s="108"/>
    </row>
    <row r="41" spans="2:9" s="249" customFormat="1" ht="18.75" customHeight="1" x14ac:dyDescent="0.25">
      <c r="B41" s="26" t="s">
        <v>47</v>
      </c>
      <c r="C41" s="37" t="s">
        <v>48</v>
      </c>
      <c r="D41" s="36">
        <v>0.09</v>
      </c>
      <c r="E41" s="29">
        <f>ROUND(ROUND(E18+E20+E21+E22,-3)*D41,-2)</f>
        <v>62000</v>
      </c>
      <c r="F41" s="29">
        <f>ROUND(ROUND(F18+F20+F21+F22,-3)*0.04,-2)</f>
        <v>27600</v>
      </c>
      <c r="G41" s="103">
        <f>+E41/$C$13</f>
        <v>19.375</v>
      </c>
    </row>
    <row r="42" spans="2:9" s="249" customFormat="1" ht="18.75" customHeight="1" x14ac:dyDescent="0.25">
      <c r="B42" s="26" t="s">
        <v>49</v>
      </c>
      <c r="C42" s="37"/>
      <c r="D42" s="36">
        <v>0.09</v>
      </c>
      <c r="E42" s="29">
        <f>ROUND(ROUND(E29,-3)*D42,-2)</f>
        <v>2600</v>
      </c>
      <c r="F42" s="29">
        <f>ROUND(ROUND(F29,-3)*0.04,-2)</f>
        <v>1200</v>
      </c>
      <c r="G42" s="103">
        <f>+E42/$C$13</f>
        <v>0.8125</v>
      </c>
    </row>
    <row r="43" spans="2:9" s="249" customFormat="1" ht="18.75" customHeight="1" x14ac:dyDescent="0.25">
      <c r="B43" s="177" t="s">
        <v>50</v>
      </c>
      <c r="C43" s="38"/>
      <c r="D43" s="33"/>
      <c r="E43" s="30">
        <f>SUM(E41:E42)</f>
        <v>64600</v>
      </c>
      <c r="F43" s="30">
        <f>SUM(F41:F42)</f>
        <v>28800</v>
      </c>
      <c r="G43" s="104">
        <f>+E43/$C$13</f>
        <v>20.1875</v>
      </c>
    </row>
    <row r="44" spans="2:9" s="249" customFormat="1" ht="18.75" customHeight="1" x14ac:dyDescent="0.2">
      <c r="B44" s="273"/>
      <c r="C44" s="271"/>
      <c r="D44" s="262"/>
      <c r="E44" s="259"/>
      <c r="F44" s="259"/>
      <c r="G44" s="108"/>
    </row>
    <row r="45" spans="2:9" s="249" customFormat="1" ht="18.75" customHeight="1" x14ac:dyDescent="0.25">
      <c r="B45" s="256" t="s">
        <v>51</v>
      </c>
      <c r="C45" s="257"/>
      <c r="D45" s="258"/>
      <c r="E45" s="259"/>
      <c r="F45" s="259"/>
      <c r="G45" s="108"/>
    </row>
    <row r="46" spans="2:9" s="249" customFormat="1" ht="18.75" customHeight="1" x14ac:dyDescent="0.25">
      <c r="B46" s="39" t="s">
        <v>53</v>
      </c>
      <c r="C46" s="37" t="s">
        <v>54</v>
      </c>
      <c r="D46" s="293"/>
      <c r="E46" s="29">
        <f>IF(E18+E20+E21+E22&lt;=C5*2,(C12*3)/12,0)</f>
        <v>0</v>
      </c>
      <c r="F46" s="29">
        <f>+E46</f>
        <v>0</v>
      </c>
      <c r="G46" s="104">
        <f>+E46/$C$13</f>
        <v>0</v>
      </c>
    </row>
    <row r="47" spans="2:9" s="249" customFormat="1" ht="18.75" customHeight="1" x14ac:dyDescent="0.2">
      <c r="B47" s="260"/>
      <c r="C47" s="261"/>
      <c r="D47" s="262"/>
      <c r="E47" s="277"/>
      <c r="F47" s="277"/>
      <c r="G47" s="108"/>
    </row>
    <row r="48" spans="2:9" s="249" customFormat="1" ht="18.75" customHeight="1" x14ac:dyDescent="0.25">
      <c r="B48" s="31" t="s">
        <v>55</v>
      </c>
      <c r="C48" s="32"/>
      <c r="D48" s="33"/>
      <c r="E48" s="30">
        <f>E23+E30+E38+E43+E46</f>
        <v>1146713.0083333333</v>
      </c>
      <c r="F48" s="30">
        <f>F23+F30+F38+F43+F46</f>
        <v>1049913.0083333333</v>
      </c>
      <c r="G48" s="104">
        <f>+E48/$C$13</f>
        <v>358.34781510416667</v>
      </c>
      <c r="I48" s="275"/>
    </row>
    <row r="49" spans="1:10" s="249" customFormat="1" ht="18.75" customHeight="1" thickBot="1" x14ac:dyDescent="0.25">
      <c r="B49" s="80" t="s">
        <v>56</v>
      </c>
      <c r="C49" s="43"/>
      <c r="D49" s="44"/>
      <c r="E49" s="93">
        <f>+(E48/(E23-E19))-1</f>
        <v>0.66321661070459026</v>
      </c>
      <c r="F49" s="93">
        <f>+(F48/(F23-F19))-1</f>
        <v>0.5228158593865202</v>
      </c>
      <c r="G49" s="109"/>
    </row>
    <row r="50" spans="1:10" s="249" customFormat="1" ht="13.5" customHeight="1" x14ac:dyDescent="0.25">
      <c r="B50" s="278"/>
      <c r="C50" s="279"/>
      <c r="D50" s="280"/>
      <c r="E50" s="281"/>
      <c r="F50" s="300"/>
      <c r="G50" s="110"/>
    </row>
    <row r="51" spans="1:10" s="249" customFormat="1" ht="13.5" customHeight="1" thickBot="1" x14ac:dyDescent="0.3">
      <c r="B51" s="278"/>
      <c r="C51" s="279"/>
      <c r="D51" s="280"/>
      <c r="E51" s="281"/>
      <c r="F51" s="300"/>
      <c r="G51" s="110"/>
    </row>
    <row r="52" spans="1:10" s="249" customFormat="1" ht="18.75" customHeight="1" x14ac:dyDescent="0.25">
      <c r="A52" s="225"/>
      <c r="B52" s="74" t="s">
        <v>57</v>
      </c>
      <c r="C52" s="294"/>
      <c r="D52" s="295"/>
      <c r="E52" s="187">
        <f>E48*12</f>
        <v>13760556.1</v>
      </c>
      <c r="F52" s="315">
        <f>F48*12</f>
        <v>12598956.1</v>
      </c>
      <c r="G52" s="321">
        <f>+E52/$C$13</f>
        <v>4300.1737812499996</v>
      </c>
      <c r="H52" s="225"/>
    </row>
    <row r="53" spans="1:10" s="249" customFormat="1" ht="18.75" customHeight="1" x14ac:dyDescent="0.25">
      <c r="A53" s="225"/>
      <c r="B53" s="26" t="s">
        <v>111</v>
      </c>
      <c r="C53" s="27"/>
      <c r="D53" s="296"/>
      <c r="E53" s="29">
        <v>299</v>
      </c>
      <c r="F53" s="316">
        <v>299</v>
      </c>
      <c r="G53" s="320">
        <v>299</v>
      </c>
      <c r="H53" s="225"/>
    </row>
    <row r="54" spans="1:10" s="249" customFormat="1" ht="18.75" customHeight="1" x14ac:dyDescent="0.25">
      <c r="A54" s="225"/>
      <c r="B54" s="26" t="s">
        <v>59</v>
      </c>
      <c r="C54" s="27"/>
      <c r="D54" s="296"/>
      <c r="E54" s="29">
        <f>E52/E53</f>
        <v>46021.926755852845</v>
      </c>
      <c r="F54" s="316">
        <f>F52/F53</f>
        <v>42136.976923076923</v>
      </c>
      <c r="G54" s="318">
        <f>+E54/$C$13</f>
        <v>14.381852111204013</v>
      </c>
      <c r="H54" s="225"/>
    </row>
    <row r="55" spans="1:10" s="249" customFormat="1" ht="18.75" customHeight="1" thickBot="1" x14ac:dyDescent="0.3">
      <c r="A55" s="225"/>
      <c r="B55" s="188" t="s">
        <v>60</v>
      </c>
      <c r="C55" s="69"/>
      <c r="D55" s="297"/>
      <c r="E55" s="82">
        <f>E54/8</f>
        <v>5752.7408444816056</v>
      </c>
      <c r="F55" s="317">
        <f>F54/8</f>
        <v>5267.1221153846154</v>
      </c>
      <c r="G55" s="319">
        <f>+E55/$C$13</f>
        <v>1.7977315139005017</v>
      </c>
      <c r="H55" s="225"/>
    </row>
    <row r="56" spans="1:10" s="249" customFormat="1" ht="11.25" customHeight="1" x14ac:dyDescent="0.25">
      <c r="A56" s="225"/>
      <c r="B56" s="238"/>
      <c r="C56" s="282"/>
      <c r="D56" s="283"/>
      <c r="E56" s="281"/>
      <c r="F56" s="234"/>
      <c r="G56" s="208"/>
      <c r="H56" s="225"/>
    </row>
    <row r="57" spans="1:10" s="249" customFormat="1" ht="11.25" customHeight="1" thickBot="1" x14ac:dyDescent="0.3">
      <c r="A57" s="225"/>
      <c r="B57" s="238"/>
      <c r="C57" s="282"/>
      <c r="D57" s="283"/>
      <c r="E57" s="281"/>
      <c r="F57" s="234"/>
      <c r="G57" s="208"/>
      <c r="H57" s="225"/>
    </row>
    <row r="58" spans="1:10" s="249" customFormat="1" ht="18.75" customHeight="1" thickBot="1" x14ac:dyDescent="0.3">
      <c r="A58" s="225"/>
      <c r="B58" s="45" t="s">
        <v>61</v>
      </c>
      <c r="C58" s="46"/>
      <c r="D58" s="47" t="s">
        <v>13</v>
      </c>
      <c r="E58" s="48" t="s">
        <v>62</v>
      </c>
      <c r="F58" s="301" t="s">
        <v>63</v>
      </c>
      <c r="G58" s="49" t="s">
        <v>62</v>
      </c>
    </row>
    <row r="59" spans="1:10" s="249" customFormat="1" ht="18.75" customHeight="1" x14ac:dyDescent="0.25">
      <c r="A59" s="225"/>
      <c r="B59" s="50" t="s">
        <v>64</v>
      </c>
      <c r="C59" s="51" t="s">
        <v>112</v>
      </c>
      <c r="D59" s="52"/>
      <c r="E59" s="213">
        <f>(E18/30)/8</f>
        <v>2872.7291666666665</v>
      </c>
      <c r="F59" s="302"/>
      <c r="G59" s="298"/>
      <c r="H59" s="225"/>
      <c r="I59" s="253"/>
    </row>
    <row r="60" spans="1:10" s="249" customFormat="1" ht="18.75" customHeight="1" x14ac:dyDescent="0.25">
      <c r="A60" s="225"/>
      <c r="B60" s="39" t="s">
        <v>66</v>
      </c>
      <c r="C60" s="37" t="s">
        <v>113</v>
      </c>
      <c r="D60" s="54">
        <v>0.35</v>
      </c>
      <c r="E60" s="214">
        <f>$E$59*D60</f>
        <v>1005.4552083333332</v>
      </c>
      <c r="F60" s="303"/>
      <c r="G60" s="190">
        <f t="shared" ref="G60:G68" si="2">E60*F60</f>
        <v>0</v>
      </c>
      <c r="H60" s="225"/>
      <c r="I60" s="284"/>
      <c r="J60" s="264"/>
    </row>
    <row r="61" spans="1:10" s="249" customFormat="1" ht="18.75" customHeight="1" x14ac:dyDescent="0.25">
      <c r="A61" s="225"/>
      <c r="B61" s="39" t="s">
        <v>68</v>
      </c>
      <c r="C61" s="37" t="s">
        <v>69</v>
      </c>
      <c r="D61" s="54">
        <v>0.75</v>
      </c>
      <c r="E61" s="214">
        <f>$E$59*D61</f>
        <v>2154.546875</v>
      </c>
      <c r="F61" s="303"/>
      <c r="G61" s="190">
        <f t="shared" si="2"/>
        <v>0</v>
      </c>
      <c r="H61" s="225"/>
      <c r="I61" s="284"/>
    </row>
    <row r="62" spans="1:10" s="249" customFormat="1" ht="18.75" customHeight="1" x14ac:dyDescent="0.25">
      <c r="A62" s="225"/>
      <c r="B62" s="56" t="s">
        <v>70</v>
      </c>
      <c r="C62" s="57" t="s">
        <v>71</v>
      </c>
      <c r="D62" s="58">
        <v>1.75</v>
      </c>
      <c r="E62" s="214">
        <f>$E$59*D62</f>
        <v>5027.2760416666661</v>
      </c>
      <c r="F62" s="304"/>
      <c r="G62" s="190">
        <f t="shared" si="2"/>
        <v>0</v>
      </c>
      <c r="H62" s="225"/>
      <c r="I62" s="253"/>
    </row>
    <row r="63" spans="1:10" s="249" customFormat="1" ht="18.75" customHeight="1" x14ac:dyDescent="0.25">
      <c r="A63" s="225"/>
      <c r="B63" s="26" t="s">
        <v>72</v>
      </c>
      <c r="C63" s="27" t="s">
        <v>73</v>
      </c>
      <c r="D63" s="222">
        <v>1.1000000000000001</v>
      </c>
      <c r="E63" s="215">
        <f t="shared" ref="E63:E68" si="3">$E$59*D63</f>
        <v>3160.0020833333333</v>
      </c>
      <c r="F63" s="304"/>
      <c r="G63" s="190">
        <f t="shared" si="2"/>
        <v>0</v>
      </c>
      <c r="H63" s="225"/>
      <c r="I63" s="253"/>
    </row>
    <row r="64" spans="1:10" s="249" customFormat="1" ht="18.75" customHeight="1" x14ac:dyDescent="0.25">
      <c r="A64" s="225"/>
      <c r="B64" s="86" t="s">
        <v>74</v>
      </c>
      <c r="C64" s="27" t="s">
        <v>75</v>
      </c>
      <c r="D64" s="223">
        <v>2.1</v>
      </c>
      <c r="E64" s="215">
        <f t="shared" si="3"/>
        <v>6032.7312499999998</v>
      </c>
      <c r="F64" s="304"/>
      <c r="G64" s="190">
        <f t="shared" si="2"/>
        <v>0</v>
      </c>
      <c r="H64" s="225"/>
      <c r="J64" s="253"/>
    </row>
    <row r="65" spans="1:10" s="249" customFormat="1" ht="18.75" customHeight="1" x14ac:dyDescent="0.25">
      <c r="A65" s="225"/>
      <c r="B65" s="59" t="s">
        <v>76</v>
      </c>
      <c r="C65" s="60" t="s">
        <v>77</v>
      </c>
      <c r="D65" s="61">
        <v>1.25</v>
      </c>
      <c r="E65" s="215">
        <f t="shared" si="3"/>
        <v>3590.911458333333</v>
      </c>
      <c r="F65" s="303"/>
      <c r="G65" s="190">
        <f t="shared" si="2"/>
        <v>0</v>
      </c>
      <c r="H65" s="225"/>
      <c r="J65" s="253"/>
    </row>
    <row r="66" spans="1:10" s="249" customFormat="1" ht="18.75" customHeight="1" x14ac:dyDescent="0.25">
      <c r="A66" s="225"/>
      <c r="B66" s="62" t="s">
        <v>78</v>
      </c>
      <c r="C66" s="37" t="s">
        <v>79</v>
      </c>
      <c r="D66" s="54">
        <v>1.75</v>
      </c>
      <c r="E66" s="215">
        <f t="shared" si="3"/>
        <v>5027.2760416666661</v>
      </c>
      <c r="F66" s="305"/>
      <c r="G66" s="190">
        <f t="shared" si="2"/>
        <v>0</v>
      </c>
      <c r="H66" s="225"/>
    </row>
    <row r="67" spans="1:10" s="249" customFormat="1" ht="18.75" customHeight="1" x14ac:dyDescent="0.25">
      <c r="A67" s="225"/>
      <c r="B67" s="62" t="s">
        <v>80</v>
      </c>
      <c r="C67" s="37" t="s">
        <v>81</v>
      </c>
      <c r="D67" s="54">
        <v>2</v>
      </c>
      <c r="E67" s="215">
        <f t="shared" si="3"/>
        <v>5745.458333333333</v>
      </c>
      <c r="F67" s="305"/>
      <c r="G67" s="190">
        <f t="shared" si="2"/>
        <v>0</v>
      </c>
      <c r="H67" s="225"/>
    </row>
    <row r="68" spans="1:10" s="249" customFormat="1" ht="18.75" customHeight="1" thickBot="1" x14ac:dyDescent="0.3">
      <c r="A68" s="225"/>
      <c r="B68" s="63" t="s">
        <v>82</v>
      </c>
      <c r="C68" s="64" t="s">
        <v>83</v>
      </c>
      <c r="D68" s="65">
        <v>2.5</v>
      </c>
      <c r="E68" s="216">
        <f t="shared" si="3"/>
        <v>7181.8229166666661</v>
      </c>
      <c r="F68" s="306"/>
      <c r="G68" s="193">
        <f t="shared" si="2"/>
        <v>0</v>
      </c>
      <c r="H68" s="225"/>
    </row>
    <row r="69" spans="1:10" s="249" customFormat="1" ht="18.75" customHeight="1" thickBot="1" x14ac:dyDescent="0.3">
      <c r="A69" s="225"/>
      <c r="B69" s="95" t="s">
        <v>120</v>
      </c>
      <c r="C69" s="226"/>
      <c r="D69" s="227"/>
      <c r="E69" s="228"/>
      <c r="F69" s="234"/>
      <c r="G69" s="66">
        <f>SUM(G60:G68)</f>
        <v>0</v>
      </c>
      <c r="H69" s="225"/>
    </row>
    <row r="70" spans="1:10" s="249" customFormat="1" ht="13.5" customHeight="1" thickBot="1" x14ac:dyDescent="0.3">
      <c r="A70" s="225"/>
      <c r="B70" s="238"/>
      <c r="C70" s="282"/>
      <c r="D70" s="283"/>
      <c r="E70" s="281"/>
      <c r="F70" s="234"/>
      <c r="G70" s="208"/>
      <c r="H70" s="225"/>
    </row>
    <row r="71" spans="1:10" s="249" customFormat="1" ht="18.75" customHeight="1" thickBot="1" x14ac:dyDescent="0.3">
      <c r="A71" s="225"/>
      <c r="B71" s="113" t="s">
        <v>85</v>
      </c>
      <c r="C71" s="114"/>
      <c r="D71" s="105" t="s">
        <v>13</v>
      </c>
      <c r="E71" s="48" t="s">
        <v>62</v>
      </c>
      <c r="F71" s="234"/>
      <c r="G71" s="208"/>
      <c r="H71" s="225"/>
    </row>
    <row r="72" spans="1:10" s="249" customFormat="1" ht="18.75" customHeight="1" x14ac:dyDescent="0.25">
      <c r="A72" s="225"/>
      <c r="B72" s="74" t="s">
        <v>86</v>
      </c>
      <c r="C72" s="67" t="s">
        <v>87</v>
      </c>
      <c r="D72" s="295"/>
      <c r="E72" s="291"/>
      <c r="F72" s="234"/>
      <c r="G72" s="208"/>
      <c r="H72" s="225"/>
    </row>
    <row r="73" spans="1:10" s="249" customFormat="1" ht="18.75" customHeight="1" x14ac:dyDescent="0.25">
      <c r="A73" s="225"/>
      <c r="B73" s="26" t="s">
        <v>88</v>
      </c>
      <c r="C73" s="27" t="s">
        <v>89</v>
      </c>
      <c r="D73" s="54">
        <v>0.04</v>
      </c>
      <c r="E73" s="217">
        <f>ROUND(IF($E$18+E20+E21+E22&lt;=($C$5*25),ROUND($E$18+E20+E21+E22,-3),ROUND($C$5*25,-3))*D73,-2)</f>
        <v>27600</v>
      </c>
      <c r="F73" s="234"/>
      <c r="G73" s="208"/>
      <c r="H73" s="225"/>
    </row>
    <row r="74" spans="1:10" s="249" customFormat="1" ht="18.75" customHeight="1" x14ac:dyDescent="0.25">
      <c r="A74" s="225"/>
      <c r="B74" s="26" t="s">
        <v>90</v>
      </c>
      <c r="C74" s="37" t="s">
        <v>91</v>
      </c>
      <c r="D74" s="54">
        <v>0.04</v>
      </c>
      <c r="E74" s="217">
        <f>ROUND(IF($E$18+E20+E21+E22&lt;=($C$5*25),ROUND($E$18+E20+E21+E22,-3),ROUND($C$5*25,-3))*D74,-2)</f>
        <v>27600</v>
      </c>
      <c r="F74" s="234"/>
      <c r="G74" s="208"/>
      <c r="H74" s="225"/>
    </row>
    <row r="75" spans="1:10" s="249" customFormat="1" ht="18.75" customHeight="1" x14ac:dyDescent="0.25">
      <c r="A75" s="225"/>
      <c r="B75" s="26" t="s">
        <v>92</v>
      </c>
      <c r="C75" s="37" t="s">
        <v>93</v>
      </c>
      <c r="D75" s="79">
        <f>IF(E18+E20+E21+E22&lt;(C5*4),0,0.01)</f>
        <v>0</v>
      </c>
      <c r="E75" s="29">
        <f>IF(E18+E20+E21+E22&lt;(C5*4),0,(E18+E20+E21+E22)*D75)</f>
        <v>0</v>
      </c>
      <c r="F75" s="234"/>
      <c r="G75" s="208"/>
      <c r="H75" s="225"/>
    </row>
    <row r="76" spans="1:10" s="249" customFormat="1" ht="18.75" customHeight="1" x14ac:dyDescent="0.25">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
      <c r="A77" s="225"/>
      <c r="B77" s="94" t="s">
        <v>96</v>
      </c>
      <c r="C77" s="69"/>
      <c r="D77" s="196"/>
      <c r="E77" s="70">
        <f>SUM(E72:E76)</f>
        <v>55200</v>
      </c>
      <c r="F77" s="234"/>
      <c r="G77" s="208"/>
      <c r="H77" s="225"/>
    </row>
    <row r="78" spans="1:10" s="249" customFormat="1" ht="13.5" customHeight="1" x14ac:dyDescent="0.25">
      <c r="A78" s="225"/>
      <c r="B78" s="238"/>
      <c r="C78" s="282"/>
      <c r="D78" s="283"/>
      <c r="E78" s="281"/>
      <c r="F78" s="234"/>
      <c r="G78" s="208"/>
      <c r="H78" s="225"/>
    </row>
    <row r="79" spans="1:10" ht="13.5" customHeight="1" thickBot="1" x14ac:dyDescent="0.3">
      <c r="B79" s="238"/>
      <c r="C79" s="282"/>
      <c r="D79" s="285"/>
      <c r="E79" s="281"/>
    </row>
    <row r="80" spans="1:10" ht="16.5" thickBot="1" x14ac:dyDescent="0.3">
      <c r="B80" s="71" t="s">
        <v>97</v>
      </c>
      <c r="C80" s="72"/>
      <c r="D80" s="19"/>
      <c r="E80" s="73"/>
    </row>
    <row r="81" spans="2:256" ht="15.75" x14ac:dyDescent="0.25">
      <c r="B81" s="74" t="s">
        <v>98</v>
      </c>
      <c r="C81" s="218">
        <f>$C$5*16</f>
        <v>11031280</v>
      </c>
      <c r="D81" s="75">
        <v>0</v>
      </c>
      <c r="E81" s="76"/>
    </row>
    <row r="82" spans="2:256" ht="15.75" x14ac:dyDescent="0.25">
      <c r="B82" s="39" t="s">
        <v>99</v>
      </c>
      <c r="C82" s="219">
        <f>$C$5*17</f>
        <v>11720735</v>
      </c>
      <c r="D82" s="77">
        <v>2E-3</v>
      </c>
      <c r="E82" s="78"/>
    </row>
    <row r="83" spans="2:256" ht="15.75" x14ac:dyDescent="0.25">
      <c r="B83" s="39" t="s">
        <v>100</v>
      </c>
      <c r="C83" s="220">
        <f>$C$5*18</f>
        <v>12410190</v>
      </c>
      <c r="D83" s="79">
        <v>4.0000000000000001E-3</v>
      </c>
      <c r="E83" s="29"/>
    </row>
    <row r="84" spans="2:256" ht="15.75" x14ac:dyDescent="0.25">
      <c r="B84" s="39" t="s">
        <v>101</v>
      </c>
      <c r="C84" s="220">
        <f>$C$5*19</f>
        <v>13099645</v>
      </c>
      <c r="D84" s="79">
        <v>6.0000000000000001E-3</v>
      </c>
      <c r="E84" s="29"/>
    </row>
    <row r="85" spans="2:256" ht="15.75" x14ac:dyDescent="0.25">
      <c r="B85" s="39" t="s">
        <v>102</v>
      </c>
      <c r="C85" s="220">
        <f>$C$5*20</f>
        <v>13789100</v>
      </c>
      <c r="D85" s="79">
        <v>8.0000000000000002E-3</v>
      </c>
      <c r="E85" s="29"/>
    </row>
    <row r="86" spans="2:256" ht="16.5" thickBot="1" x14ac:dyDescent="0.3">
      <c r="B86" s="80" t="s">
        <v>103</v>
      </c>
      <c r="C86" s="221">
        <f>+C85</f>
        <v>13789100</v>
      </c>
      <c r="D86" s="81">
        <v>0.01</v>
      </c>
      <c r="E86" s="82"/>
      <c r="IV86" s="225">
        <v>2013</v>
      </c>
    </row>
    <row r="87" spans="2:256" x14ac:dyDescent="0.2">
      <c r="B87" s="245"/>
      <c r="C87" s="287"/>
      <c r="D87" s="288"/>
      <c r="E87" s="149" t="str">
        <f>+B69</f>
        <v>V1.0 4 enero 2016</v>
      </c>
    </row>
    <row r="88" spans="2:256" ht="14.25" x14ac:dyDescent="0.2">
      <c r="D88" s="289"/>
      <c r="E88" s="290"/>
    </row>
    <row r="89" spans="2:256" ht="15" x14ac:dyDescent="0.2">
      <c r="C89" s="286"/>
    </row>
    <row r="90" spans="2:256" ht="15" x14ac:dyDescent="0.2">
      <c r="C90" s="286"/>
    </row>
    <row r="91" spans="2:256" ht="15" x14ac:dyDescent="0.2">
      <c r="C91" s="286"/>
    </row>
    <row r="92" spans="2:256" ht="15" x14ac:dyDescent="0.2">
      <c r="C92" s="286"/>
    </row>
    <row r="93" spans="2:256" ht="15" x14ac:dyDescent="0.2">
      <c r="C93" s="286"/>
    </row>
    <row r="94" spans="2:256" ht="15" x14ac:dyDescent="0.2">
      <c r="C94" s="286"/>
    </row>
    <row r="95" spans="2:256" ht="15" x14ac:dyDescent="0.2">
      <c r="C95" s="286"/>
    </row>
    <row r="96" spans="2:256" ht="15" x14ac:dyDescent="0.2">
      <c r="C96" s="286"/>
    </row>
    <row r="97" spans="3:3" ht="15" x14ac:dyDescent="0.2">
      <c r="C97" s="286"/>
    </row>
    <row r="98" spans="3:3" ht="15" x14ac:dyDescent="0.2">
      <c r="C98" s="286"/>
    </row>
    <row r="99" spans="3:3" ht="15" x14ac:dyDescent="0.2">
      <c r="C99" s="286"/>
    </row>
    <row r="65536" spans="256:256" x14ac:dyDescent="0.2">
      <c r="IV65536" s="322">
        <v>2016</v>
      </c>
    </row>
  </sheetData>
  <sheetProtection password="CC0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scale="77" fitToPage="1" topLeftCell="A4">
      <selection activeCell="A4" sqref="A1:IV65536"/>
      <pageMargins left="0" right="0" top="0" bottom="0" header="0" footer="0"/>
      <pageSetup scale="10" fitToHeight="0" orientation="portrait" r:id="rId1"/>
    </customSheetView>
  </customSheetViews>
  <dataValidations disablePrompts="1" count="2">
    <dataValidation type="list" allowBlank="1" showInputMessage="1" showErrorMessage="1" sqref="D13" xr:uid="{00000000-0002-0000-0300-000000000000}">
      <formula1>$IV$13:$IV$16</formula1>
    </dataValidation>
    <dataValidation type="list" allowBlank="1" showInputMessage="1" showErrorMessage="1" sqref="C11" xr:uid="{00000000-0002-0000-0300-000001000000}">
      <formula1>$IV$6:$IV$10</formula1>
    </dataValidation>
  </dataValidations>
  <pageMargins left="0.70866141732283472" right="0.70866141732283472" top="0" bottom="0.74803149606299213" header="0.31496062992125984" footer="0.31496062992125984"/>
  <pageSetup scale="10" fitToHeight="0"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499984740745262"/>
    <pageSetUpPr fitToPage="1"/>
  </sheetPr>
  <dimension ref="A1:IV65536"/>
  <sheetViews>
    <sheetView topLeftCell="A2" workbookViewId="0">
      <selection activeCell="J26" sqref="J26"/>
    </sheetView>
  </sheetViews>
  <sheetFormatPr baseColWidth="10" defaultColWidth="11.42578125" defaultRowHeight="12.75" x14ac:dyDescent="0.2"/>
  <cols>
    <col min="1" max="1" width="3.28515625" style="225" customWidth="1"/>
    <col min="2" max="2" width="45.28515625" style="225" customWidth="1"/>
    <col min="3" max="3" width="58.85546875" style="226" customWidth="1"/>
    <col min="4" max="4" width="11" style="227" customWidth="1"/>
    <col min="5" max="5" width="17.28515625" style="228" customWidth="1"/>
    <col min="6" max="6" width="17.42578125" style="234" customWidth="1"/>
    <col min="7" max="7" width="13.85546875" style="208"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146" t="s">
        <v>121</v>
      </c>
      <c r="C4" s="232"/>
      <c r="E4" s="233"/>
    </row>
    <row r="5" spans="2:256" ht="18.75" customHeight="1" x14ac:dyDescent="0.25">
      <c r="B5" s="6" t="s">
        <v>2</v>
      </c>
      <c r="C5" s="76">
        <v>644350</v>
      </c>
      <c r="E5" s="233"/>
      <c r="F5" s="340"/>
      <c r="G5" s="209"/>
      <c r="I5" s="299"/>
    </row>
    <row r="6" spans="2:256" ht="18.75" customHeight="1" thickBot="1" x14ac:dyDescent="0.3">
      <c r="B6" s="159" t="s">
        <v>3</v>
      </c>
      <c r="C6" s="82">
        <v>74000</v>
      </c>
      <c r="E6" s="233"/>
      <c r="F6" s="233"/>
      <c r="G6" s="209"/>
      <c r="I6" s="235"/>
      <c r="J6" s="236"/>
      <c r="IV6" s="237">
        <v>5.2199999999999998E-3</v>
      </c>
    </row>
    <row r="7" spans="2:256" ht="13.5" customHeight="1" x14ac:dyDescent="0.25">
      <c r="B7" s="238"/>
      <c r="C7" s="239"/>
      <c r="G7" s="209"/>
      <c r="IV7" s="237">
        <v>1.044E-2</v>
      </c>
    </row>
    <row r="8" spans="2:256" ht="12.75" customHeight="1" x14ac:dyDescent="0.2">
      <c r="B8" s="238"/>
      <c r="C8" s="238"/>
      <c r="G8" s="209"/>
      <c r="IV8" s="237">
        <v>2.436E-2</v>
      </c>
    </row>
    <row r="9" spans="2:256" ht="12" customHeight="1" thickBot="1" x14ac:dyDescent="0.25">
      <c r="B9" s="9" t="s">
        <v>4</v>
      </c>
      <c r="C9" s="240" t="s">
        <v>5</v>
      </c>
      <c r="D9" s="241"/>
      <c r="E9" s="242"/>
      <c r="IV9" s="237">
        <v>4.3499999999999997E-2</v>
      </c>
    </row>
    <row r="10" spans="2:256" ht="18.75" customHeight="1" x14ac:dyDescent="0.25">
      <c r="B10" s="11" t="s">
        <v>6</v>
      </c>
      <c r="C10" s="291">
        <v>644350</v>
      </c>
      <c r="D10" s="243"/>
      <c r="E10" s="244"/>
      <c r="G10" s="311"/>
      <c r="H10" s="245"/>
      <c r="IV10" s="237">
        <v>6.9599999999999995E-2</v>
      </c>
    </row>
    <row r="11" spans="2:256" ht="18.75" customHeight="1" x14ac:dyDescent="0.25">
      <c r="B11" s="13" t="s">
        <v>7</v>
      </c>
      <c r="C11" s="292">
        <v>5.2199999999999998E-3</v>
      </c>
      <c r="D11" s="241"/>
      <c r="E11" s="244"/>
      <c r="G11" s="312"/>
      <c r="H11" s="245"/>
    </row>
    <row r="12" spans="2:256" ht="18.75" customHeight="1" thickBot="1" x14ac:dyDescent="0.3">
      <c r="B12" s="15" t="s">
        <v>8</v>
      </c>
      <c r="C12" s="246"/>
      <c r="D12" s="241"/>
      <c r="E12" s="242"/>
      <c r="G12" s="313"/>
      <c r="H12" s="245"/>
      <c r="IR12" s="248"/>
      <c r="IV12" s="249"/>
    </row>
    <row r="13" spans="2:256" s="1" customFormat="1" ht="18.75" customHeight="1" thickBot="1" x14ac:dyDescent="0.3">
      <c r="B13" s="15" t="s">
        <v>9</v>
      </c>
      <c r="C13" s="112">
        <v>2400</v>
      </c>
      <c r="D13" s="111" t="s">
        <v>10</v>
      </c>
      <c r="E13" s="10"/>
      <c r="F13" s="106"/>
      <c r="G13" s="17"/>
      <c r="H13" s="12"/>
      <c r="IR13" s="16"/>
      <c r="IV13" s="18" t="s">
        <v>10</v>
      </c>
    </row>
    <row r="14" spans="2:256" ht="10.5" customHeight="1" thickBot="1" x14ac:dyDescent="0.25">
      <c r="B14" s="250"/>
      <c r="C14" s="251"/>
      <c r="D14" s="252"/>
      <c r="F14" s="308"/>
      <c r="G14" s="312"/>
      <c r="H14" s="245"/>
      <c r="IR14" s="248"/>
    </row>
    <row r="15" spans="2:256" s="249" customFormat="1" ht="33.6" customHeight="1" x14ac:dyDescent="0.25">
      <c r="B15" s="96" t="s">
        <v>11</v>
      </c>
      <c r="C15" s="97" t="s">
        <v>12</v>
      </c>
      <c r="D15" s="98" t="s">
        <v>13</v>
      </c>
      <c r="E15" s="307" t="s">
        <v>14</v>
      </c>
      <c r="F15" s="309" t="s">
        <v>116</v>
      </c>
      <c r="G15" s="314" t="s">
        <v>16</v>
      </c>
      <c r="H15" s="245"/>
      <c r="IR15" s="253"/>
    </row>
    <row r="16" spans="2:256" s="249" customFormat="1" ht="9" customHeight="1" x14ac:dyDescent="0.25">
      <c r="B16" s="254"/>
      <c r="C16" s="239"/>
      <c r="D16" s="239"/>
      <c r="E16" s="255"/>
      <c r="F16" s="255"/>
      <c r="G16" s="107"/>
      <c r="IR16" s="253"/>
    </row>
    <row r="17" spans="2:252" s="249" customFormat="1" ht="18.75" customHeight="1" x14ac:dyDescent="0.25">
      <c r="B17" s="256" t="s">
        <v>17</v>
      </c>
      <c r="C17" s="257"/>
      <c r="D17" s="258"/>
      <c r="E17" s="259"/>
      <c r="F17" s="259"/>
      <c r="G17" s="108"/>
      <c r="IR17" s="253"/>
    </row>
    <row r="18" spans="2:252" s="249" customFormat="1" ht="18.75" customHeight="1" x14ac:dyDescent="0.25">
      <c r="B18" s="26" t="s">
        <v>18</v>
      </c>
      <c r="C18" s="27" t="s">
        <v>19</v>
      </c>
      <c r="D18" s="28"/>
      <c r="E18" s="29">
        <f>IF(C10&lt;C5,FALSE,C10)</f>
        <v>644350</v>
      </c>
      <c r="F18" s="29">
        <f>+E18</f>
        <v>644350</v>
      </c>
      <c r="G18" s="103">
        <f t="shared" ref="G18:G23" si="0">+E18/$C$13</f>
        <v>268.47916666666669</v>
      </c>
      <c r="IR18" s="253"/>
    </row>
    <row r="19" spans="2:252" s="249" customFormat="1" ht="18.75" customHeight="1" x14ac:dyDescent="0.25">
      <c r="B19" s="26" t="s">
        <v>20</v>
      </c>
      <c r="C19" s="27" t="s">
        <v>122</v>
      </c>
      <c r="D19" s="28"/>
      <c r="E19" s="29">
        <f>IF(E18+E20+E21+E22&lt;=(C5*2),C6,0)</f>
        <v>74000</v>
      </c>
      <c r="F19" s="29">
        <f>+E19</f>
        <v>74000</v>
      </c>
      <c r="G19" s="103">
        <f t="shared" si="0"/>
        <v>30.833333333333332</v>
      </c>
    </row>
    <row r="20" spans="2:252" s="249" customFormat="1" ht="18.75" customHeight="1" x14ac:dyDescent="0.25">
      <c r="B20" s="26" t="s">
        <v>22</v>
      </c>
      <c r="C20" s="27" t="s">
        <v>23</v>
      </c>
      <c r="D20" s="262"/>
      <c r="E20" s="339">
        <f>+G60+G63</f>
        <v>0</v>
      </c>
      <c r="F20" s="42">
        <f>+E20</f>
        <v>0</v>
      </c>
      <c r="G20" s="103">
        <f t="shared" si="0"/>
        <v>0</v>
      </c>
      <c r="J20" s="264"/>
    </row>
    <row r="21" spans="2:252" s="249" customFormat="1" ht="18.75" customHeight="1" x14ac:dyDescent="0.25">
      <c r="B21" s="26" t="s">
        <v>118</v>
      </c>
      <c r="C21" s="27" t="s">
        <v>25</v>
      </c>
      <c r="D21" s="262"/>
      <c r="E21" s="339">
        <f>+G61+G62+G64</f>
        <v>0</v>
      </c>
      <c r="F21" s="42">
        <f>+E21</f>
        <v>0</v>
      </c>
      <c r="G21" s="103">
        <f t="shared" si="0"/>
        <v>0</v>
      </c>
    </row>
    <row r="22" spans="2:252" s="249" customFormat="1" ht="18.75" customHeight="1" x14ac:dyDescent="0.25">
      <c r="B22" s="26" t="s">
        <v>26</v>
      </c>
      <c r="C22" s="27" t="s">
        <v>110</v>
      </c>
      <c r="D22" s="262"/>
      <c r="E22" s="339">
        <f>+G65+G66+G67+G68</f>
        <v>0</v>
      </c>
      <c r="F22" s="42">
        <f>+E22</f>
        <v>0</v>
      </c>
      <c r="G22" s="103">
        <f t="shared" si="0"/>
        <v>0</v>
      </c>
    </row>
    <row r="23" spans="2:252" s="249" customFormat="1" ht="18.75" customHeight="1" x14ac:dyDescent="0.25">
      <c r="B23" s="148" t="s">
        <v>28</v>
      </c>
      <c r="C23" s="265"/>
      <c r="D23" s="266"/>
      <c r="E23" s="30">
        <f>SUM(E18:E22)</f>
        <v>718350</v>
      </c>
      <c r="F23" s="30">
        <f>SUM(F18:F22)</f>
        <v>718350</v>
      </c>
      <c r="G23" s="104">
        <f t="shared" si="0"/>
        <v>299.3125</v>
      </c>
    </row>
    <row r="24" spans="2:252" s="249" customFormat="1" ht="18.75" customHeight="1" x14ac:dyDescent="0.25">
      <c r="B24" s="267"/>
      <c r="C24" s="268"/>
      <c r="D24" s="269"/>
      <c r="E24" s="263"/>
      <c r="F24" s="263"/>
      <c r="G24" s="108"/>
    </row>
    <row r="25" spans="2:252" s="249" customFormat="1" ht="18.75" customHeight="1" x14ac:dyDescent="0.25">
      <c r="B25" s="270" t="s">
        <v>29</v>
      </c>
      <c r="C25" s="257"/>
      <c r="D25" s="258"/>
      <c r="E25" s="263"/>
      <c r="F25" s="263"/>
      <c r="G25" s="108"/>
    </row>
    <row r="26" spans="2:252" s="249" customFormat="1" ht="18.75" customHeight="1" x14ac:dyDescent="0.25">
      <c r="B26" s="26" t="s">
        <v>30</v>
      </c>
      <c r="C26" s="27" t="s">
        <v>31</v>
      </c>
      <c r="D26" s="35">
        <v>8.3333333333333343E-2</v>
      </c>
      <c r="E26" s="29">
        <f>E23*D26</f>
        <v>59862.500000000007</v>
      </c>
      <c r="F26" s="29">
        <f>+E26</f>
        <v>59862.500000000007</v>
      </c>
      <c r="G26" s="103">
        <f>+E26/$C$13</f>
        <v>24.942708333333336</v>
      </c>
    </row>
    <row r="27" spans="2:252" s="249" customFormat="1" ht="18.75" customHeight="1" x14ac:dyDescent="0.25">
      <c r="B27" s="26" t="s">
        <v>32</v>
      </c>
      <c r="C27" s="27" t="s">
        <v>33</v>
      </c>
      <c r="D27" s="36">
        <v>0.12</v>
      </c>
      <c r="E27" s="29">
        <f>+E26*D27</f>
        <v>7183.5000000000009</v>
      </c>
      <c r="F27" s="29">
        <f>+E27</f>
        <v>7183.5000000000009</v>
      </c>
      <c r="G27" s="103">
        <f>+E27/$C$13</f>
        <v>2.9931250000000005</v>
      </c>
    </row>
    <row r="28" spans="2:252" s="249" customFormat="1" ht="18.75" customHeight="1" x14ac:dyDescent="0.25">
      <c r="B28" s="26" t="s">
        <v>34</v>
      </c>
      <c r="C28" s="27" t="s">
        <v>31</v>
      </c>
      <c r="D28" s="35">
        <v>8.3333333333333343E-2</v>
      </c>
      <c r="E28" s="29">
        <f>E23*D28</f>
        <v>59862.500000000007</v>
      </c>
      <c r="F28" s="29">
        <f>+E28</f>
        <v>59862.500000000007</v>
      </c>
      <c r="G28" s="103">
        <f>+E28/$C$13</f>
        <v>24.942708333333336</v>
      </c>
    </row>
    <row r="29" spans="2:252" s="249" customFormat="1" ht="18.75" customHeight="1" x14ac:dyDescent="0.25">
      <c r="B29" s="26" t="s">
        <v>35</v>
      </c>
      <c r="C29" s="37" t="s">
        <v>36</v>
      </c>
      <c r="D29" s="35">
        <v>4.1666666666666664E-2</v>
      </c>
      <c r="E29" s="29">
        <f>(E18+E20)*D29</f>
        <v>26847.916666666664</v>
      </c>
      <c r="F29" s="29">
        <f>+E29</f>
        <v>26847.916666666664</v>
      </c>
      <c r="G29" s="103">
        <f>+E29/$C$13</f>
        <v>11.186631944444443</v>
      </c>
    </row>
    <row r="30" spans="2:252" s="249" customFormat="1" ht="18.75" customHeight="1" x14ac:dyDescent="0.25">
      <c r="B30" s="177" t="s">
        <v>37</v>
      </c>
      <c r="C30" s="38"/>
      <c r="D30" s="33"/>
      <c r="E30" s="30">
        <f>SUM(E26:E29)</f>
        <v>153756.41666666669</v>
      </c>
      <c r="F30" s="30">
        <f>SUM(F26:F29)</f>
        <v>153756.41666666669</v>
      </c>
      <c r="G30" s="104">
        <f>+E30/$C$13</f>
        <v>64.065173611111121</v>
      </c>
    </row>
    <row r="31" spans="2:252" s="249" customFormat="1" ht="18.75" customHeight="1" x14ac:dyDescent="0.2">
      <c r="B31" s="260"/>
      <c r="C31" s="261"/>
      <c r="D31" s="262"/>
      <c r="E31" s="259"/>
      <c r="F31" s="259"/>
      <c r="G31" s="108"/>
      <c r="H31" s="238"/>
    </row>
    <row r="32" spans="2:252" s="249" customFormat="1" ht="18.75" customHeight="1" x14ac:dyDescent="0.25">
      <c r="B32" s="256" t="s">
        <v>38</v>
      </c>
      <c r="C32" s="257"/>
      <c r="D32" s="258"/>
      <c r="E32" s="259"/>
      <c r="F32" s="259"/>
      <c r="G32" s="108"/>
      <c r="H32" s="238"/>
    </row>
    <row r="33" spans="2:9" s="249" customFormat="1" ht="18.75" customHeight="1" x14ac:dyDescent="0.25">
      <c r="B33" s="310" t="s">
        <v>39</v>
      </c>
      <c r="C33" s="85">
        <f>ROUND(IF($E$18+E20+E21+E22&lt;=($C$5*25),ROUND($E$18+E20+E21+E22,-3),ROUND($C$5*25,-3))*0.125,-2)</f>
        <v>80500</v>
      </c>
      <c r="D33" s="36">
        <v>8.5000000000000006E-2</v>
      </c>
      <c r="E33" s="29">
        <f>C33-E73</f>
        <v>54700</v>
      </c>
      <c r="F33" s="29">
        <v>0</v>
      </c>
      <c r="G33" s="103">
        <f t="shared" ref="G33:G38" si="1">+E33/$C$13</f>
        <v>22.791666666666668</v>
      </c>
      <c r="H33" s="274"/>
      <c r="I33" s="275"/>
    </row>
    <row r="34" spans="2:9" s="249" customFormat="1" ht="18.75" customHeight="1" x14ac:dyDescent="0.25">
      <c r="B34" s="26" t="s">
        <v>40</v>
      </c>
      <c r="C34" s="85">
        <f>ROUND(IF($E$18+E20+E21+E22&lt;=($C$5*25),ROUND($E$18+E20+E21+E22,-3),ROUND($C$5*25,-3))*0.16,-2)</f>
        <v>103000</v>
      </c>
      <c r="D34" s="36">
        <v>0.12</v>
      </c>
      <c r="E34" s="29">
        <f>C34-E74</f>
        <v>77200</v>
      </c>
      <c r="F34" s="29">
        <f>+E34</f>
        <v>77200</v>
      </c>
      <c r="G34" s="103">
        <f t="shared" si="1"/>
        <v>32.166666666666664</v>
      </c>
      <c r="H34" s="276"/>
    </row>
    <row r="35" spans="2:9" s="249" customFormat="1" ht="18.75" customHeight="1" x14ac:dyDescent="0.25">
      <c r="B35" s="26" t="s">
        <v>119</v>
      </c>
      <c r="C35" s="37" t="s">
        <v>42</v>
      </c>
      <c r="D35" s="28">
        <f>C11</f>
        <v>5.2199999999999998E-3</v>
      </c>
      <c r="E35" s="29">
        <f>ROUND(IF($E$18+E21+E20+E22&lt;=($C$5*20),ROUND($E$18+E20+E21+E22,-3),ROUND($C$5*20,-3))*D35,-2)</f>
        <v>3400</v>
      </c>
      <c r="F35" s="29">
        <f>+E35</f>
        <v>3400</v>
      </c>
      <c r="G35" s="103">
        <f t="shared" si="1"/>
        <v>1.4166666666666667</v>
      </c>
      <c r="H35" s="238"/>
    </row>
    <row r="36" spans="2:9" s="249" customFormat="1" ht="18.75" customHeight="1" x14ac:dyDescent="0.25">
      <c r="B36" s="26" t="s">
        <v>43</v>
      </c>
      <c r="C36" s="271"/>
      <c r="D36" s="36">
        <v>8.5000000000000006E-2</v>
      </c>
      <c r="E36" s="29">
        <f>ROUND(IF($E$29&lt;=($C$5*25),ROUND($E$29,-3),ROUND($C$5*25,-3))*D36,-2)</f>
        <v>2300</v>
      </c>
      <c r="F36" s="29">
        <v>0</v>
      </c>
      <c r="G36" s="103">
        <f t="shared" si="1"/>
        <v>0.95833333333333337</v>
      </c>
    </row>
    <row r="37" spans="2:9" s="249" customFormat="1" ht="18.75" customHeight="1" x14ac:dyDescent="0.25">
      <c r="B37" s="26" t="s">
        <v>44</v>
      </c>
      <c r="C37" s="271"/>
      <c r="D37" s="36">
        <v>0.12</v>
      </c>
      <c r="E37" s="29">
        <f>ROUND(IF($E$29&lt;=($C$5*25),ROUND($E$29,-3),ROUND($C$5*25,-3))*D37,-2)</f>
        <v>3200</v>
      </c>
      <c r="F37" s="29">
        <f>+E37</f>
        <v>3200</v>
      </c>
      <c r="G37" s="103">
        <f t="shared" si="1"/>
        <v>1.3333333333333333</v>
      </c>
    </row>
    <row r="38" spans="2:9" s="249" customFormat="1" ht="18.75" customHeight="1" x14ac:dyDescent="0.25">
      <c r="B38" s="177" t="s">
        <v>45</v>
      </c>
      <c r="C38" s="272"/>
      <c r="D38" s="269"/>
      <c r="E38" s="30">
        <f>SUM(E33:E37)</f>
        <v>140800</v>
      </c>
      <c r="F38" s="30">
        <f>SUM(F33:F37)</f>
        <v>83800</v>
      </c>
      <c r="G38" s="104">
        <f t="shared" si="1"/>
        <v>58.666666666666664</v>
      </c>
    </row>
    <row r="39" spans="2:9" s="249" customFormat="1" ht="18.75" customHeight="1" x14ac:dyDescent="0.2">
      <c r="B39" s="260"/>
      <c r="C39" s="261"/>
      <c r="D39" s="262"/>
      <c r="E39" s="259"/>
      <c r="F39" s="259"/>
      <c r="G39" s="108"/>
    </row>
    <row r="40" spans="2:9" s="249" customFormat="1" ht="18.75" customHeight="1" x14ac:dyDescent="0.25">
      <c r="B40" s="256" t="s">
        <v>46</v>
      </c>
      <c r="C40" s="257"/>
      <c r="D40" s="258"/>
      <c r="E40" s="259"/>
      <c r="F40" s="259"/>
      <c r="G40" s="108"/>
    </row>
    <row r="41" spans="2:9" s="249" customFormat="1" ht="18.75" customHeight="1" x14ac:dyDescent="0.25">
      <c r="B41" s="26" t="s">
        <v>47</v>
      </c>
      <c r="C41" s="37" t="s">
        <v>48</v>
      </c>
      <c r="D41" s="36">
        <v>0.09</v>
      </c>
      <c r="E41" s="29">
        <f>ROUND(ROUND(E18+E20+E21+E22,-3)*D41,-2)</f>
        <v>58000</v>
      </c>
      <c r="F41" s="29">
        <f>ROUND(ROUND(F18+F20+F21+F22,-3)*0.04,-2)</f>
        <v>25800</v>
      </c>
      <c r="G41" s="103">
        <f>+E41/$C$13</f>
        <v>24.166666666666668</v>
      </c>
    </row>
    <row r="42" spans="2:9" s="249" customFormat="1" ht="18.75" customHeight="1" x14ac:dyDescent="0.25">
      <c r="B42" s="26" t="s">
        <v>49</v>
      </c>
      <c r="C42" s="37"/>
      <c r="D42" s="36">
        <v>0.09</v>
      </c>
      <c r="E42" s="29">
        <f>ROUND(ROUND(E29,-3)*D42,-2)</f>
        <v>2400</v>
      </c>
      <c r="F42" s="29">
        <f>ROUND(ROUND(F29,-3)*0.04,-2)</f>
        <v>1100</v>
      </c>
      <c r="G42" s="103">
        <f>+E42/$C$13</f>
        <v>1</v>
      </c>
    </row>
    <row r="43" spans="2:9" s="249" customFormat="1" ht="18.75" customHeight="1" x14ac:dyDescent="0.25">
      <c r="B43" s="177" t="s">
        <v>50</v>
      </c>
      <c r="C43" s="38"/>
      <c r="D43" s="33"/>
      <c r="E43" s="30">
        <f>SUM(E41:E42)</f>
        <v>60400</v>
      </c>
      <c r="F43" s="30">
        <f>SUM(F41:F42)</f>
        <v>26900</v>
      </c>
      <c r="G43" s="104">
        <f>+E43/$C$13</f>
        <v>25.166666666666668</v>
      </c>
    </row>
    <row r="44" spans="2:9" s="249" customFormat="1" ht="18.75" customHeight="1" x14ac:dyDescent="0.2">
      <c r="B44" s="273"/>
      <c r="C44" s="271"/>
      <c r="D44" s="262"/>
      <c r="E44" s="259"/>
      <c r="F44" s="259"/>
      <c r="G44" s="108"/>
    </row>
    <row r="45" spans="2:9" s="249" customFormat="1" ht="18.75" customHeight="1" x14ac:dyDescent="0.25">
      <c r="B45" s="256" t="s">
        <v>51</v>
      </c>
      <c r="C45" s="257"/>
      <c r="D45" s="258"/>
      <c r="E45" s="259"/>
      <c r="F45" s="259"/>
      <c r="G45" s="108"/>
    </row>
    <row r="46" spans="2:9" s="249" customFormat="1" ht="18.75" customHeight="1" x14ac:dyDescent="0.25">
      <c r="B46" s="39" t="s">
        <v>53</v>
      </c>
      <c r="C46" s="37" t="s">
        <v>54</v>
      </c>
      <c r="D46" s="293"/>
      <c r="E46" s="29">
        <f>IF(E18+E20+E21+E22&lt;=C5*2,(C12*3)/12,0)</f>
        <v>0</v>
      </c>
      <c r="F46" s="29">
        <f>+E46</f>
        <v>0</v>
      </c>
      <c r="G46" s="104">
        <f>+E46/$C$13</f>
        <v>0</v>
      </c>
    </row>
    <row r="47" spans="2:9" s="249" customFormat="1" ht="18.75" customHeight="1" x14ac:dyDescent="0.2">
      <c r="B47" s="260"/>
      <c r="C47" s="261"/>
      <c r="D47" s="262"/>
      <c r="E47" s="277"/>
      <c r="F47" s="277"/>
      <c r="G47" s="108"/>
    </row>
    <row r="48" spans="2:9" s="249" customFormat="1" ht="18.75" customHeight="1" x14ac:dyDescent="0.25">
      <c r="B48" s="31" t="s">
        <v>55</v>
      </c>
      <c r="C48" s="32"/>
      <c r="D48" s="33"/>
      <c r="E48" s="30">
        <f>E23+E30+E38+E43+E46</f>
        <v>1073306.4166666667</v>
      </c>
      <c r="F48" s="30">
        <f>F23+F30+F38+F43+F46</f>
        <v>982806.41666666674</v>
      </c>
      <c r="G48" s="104">
        <f>+E48/$C$13</f>
        <v>447.21100694444448</v>
      </c>
      <c r="I48" s="275"/>
    </row>
    <row r="49" spans="1:10" s="249" customFormat="1" ht="18.75" customHeight="1" thickBot="1" x14ac:dyDescent="0.25">
      <c r="B49" s="80" t="s">
        <v>56</v>
      </c>
      <c r="C49" s="43"/>
      <c r="D49" s="44"/>
      <c r="E49" s="93">
        <f>+(E48/(E23-E19))-1</f>
        <v>0.66571958821551447</v>
      </c>
      <c r="F49" s="93">
        <f>+(F48/(F23-F19))-1</f>
        <v>0.52526797030599326</v>
      </c>
      <c r="G49" s="109"/>
    </row>
    <row r="50" spans="1:10" s="249" customFormat="1" ht="13.5" customHeight="1" x14ac:dyDescent="0.25">
      <c r="B50" s="278"/>
      <c r="C50" s="279"/>
      <c r="D50" s="280"/>
      <c r="E50" s="281"/>
      <c r="F50" s="300"/>
      <c r="G50" s="110"/>
    </row>
    <row r="51" spans="1:10" s="249" customFormat="1" ht="13.5" customHeight="1" thickBot="1" x14ac:dyDescent="0.3">
      <c r="B51" s="278"/>
      <c r="C51" s="279"/>
      <c r="D51" s="280"/>
      <c r="E51" s="281"/>
      <c r="F51" s="300"/>
      <c r="G51" s="110"/>
    </row>
    <row r="52" spans="1:10" s="249" customFormat="1" ht="18.75" customHeight="1" x14ac:dyDescent="0.25">
      <c r="A52" s="225"/>
      <c r="B52" s="74" t="s">
        <v>57</v>
      </c>
      <c r="C52" s="294"/>
      <c r="D52" s="295"/>
      <c r="E52" s="187">
        <f>E48*12</f>
        <v>12879677</v>
      </c>
      <c r="F52" s="315">
        <f>F48*12</f>
        <v>11793677</v>
      </c>
      <c r="G52" s="321">
        <f>+E52/$C$13</f>
        <v>5366.5320833333335</v>
      </c>
      <c r="H52" s="225"/>
    </row>
    <row r="53" spans="1:10" s="249" customFormat="1" ht="18.75" customHeight="1" x14ac:dyDescent="0.25">
      <c r="A53" s="225"/>
      <c r="B53" s="26" t="s">
        <v>123</v>
      </c>
      <c r="C53" s="27"/>
      <c r="D53" s="296"/>
      <c r="E53" s="29">
        <v>298</v>
      </c>
      <c r="F53" s="316">
        <v>298</v>
      </c>
      <c r="G53" s="320">
        <v>298</v>
      </c>
      <c r="H53" s="225"/>
    </row>
    <row r="54" spans="1:10" s="249" customFormat="1" ht="18.75" customHeight="1" x14ac:dyDescent="0.25">
      <c r="A54" s="225"/>
      <c r="B54" s="26" t="s">
        <v>59</v>
      </c>
      <c r="C54" s="27"/>
      <c r="D54" s="296"/>
      <c r="E54" s="29">
        <f>E52/E53</f>
        <v>43220.392617449666</v>
      </c>
      <c r="F54" s="316">
        <f>F52/F53</f>
        <v>39576.097315436244</v>
      </c>
      <c r="G54" s="318">
        <f>+E54/$C$13</f>
        <v>18.008496923937361</v>
      </c>
      <c r="H54" s="225"/>
    </row>
    <row r="55" spans="1:10" s="249" customFormat="1" ht="18.75" customHeight="1" thickBot="1" x14ac:dyDescent="0.3">
      <c r="A55" s="225"/>
      <c r="B55" s="188" t="s">
        <v>60</v>
      </c>
      <c r="C55" s="69"/>
      <c r="D55" s="297"/>
      <c r="E55" s="82">
        <f>E54/8</f>
        <v>5402.5490771812083</v>
      </c>
      <c r="F55" s="317">
        <f>F54/8</f>
        <v>4947.0121644295305</v>
      </c>
      <c r="G55" s="319">
        <f>+E55/$C$13</f>
        <v>2.2510621154921702</v>
      </c>
      <c r="H55" s="225"/>
    </row>
    <row r="56" spans="1:10" s="249" customFormat="1" ht="11.25" customHeight="1" x14ac:dyDescent="0.25">
      <c r="A56" s="225"/>
      <c r="B56" s="238"/>
      <c r="C56" s="282"/>
      <c r="D56" s="283"/>
      <c r="E56" s="281"/>
      <c r="F56" s="234"/>
      <c r="G56" s="208"/>
      <c r="H56" s="225"/>
    </row>
    <row r="57" spans="1:10" s="249" customFormat="1" ht="11.25" customHeight="1" thickBot="1" x14ac:dyDescent="0.3">
      <c r="A57" s="225"/>
      <c r="B57" s="238"/>
      <c r="C57" s="282"/>
      <c r="D57" s="283"/>
      <c r="E57" s="281"/>
      <c r="F57" s="234"/>
      <c r="G57" s="208"/>
      <c r="H57" s="225"/>
    </row>
    <row r="58" spans="1:10" s="249" customFormat="1" ht="18.75" customHeight="1" thickBot="1" x14ac:dyDescent="0.3">
      <c r="A58" s="225"/>
      <c r="B58" s="45" t="s">
        <v>61</v>
      </c>
      <c r="C58" s="46"/>
      <c r="D58" s="47" t="s">
        <v>13</v>
      </c>
      <c r="E58" s="48" t="s">
        <v>62</v>
      </c>
      <c r="F58" s="301" t="s">
        <v>63</v>
      </c>
      <c r="G58" s="49" t="s">
        <v>62</v>
      </c>
    </row>
    <row r="59" spans="1:10" s="249" customFormat="1" ht="18.75" customHeight="1" x14ac:dyDescent="0.25">
      <c r="A59" s="225"/>
      <c r="B59" s="50" t="s">
        <v>64</v>
      </c>
      <c r="C59" s="51" t="s">
        <v>112</v>
      </c>
      <c r="D59" s="52"/>
      <c r="E59" s="213">
        <f>(E18/30)/8</f>
        <v>2684.7916666666665</v>
      </c>
      <c r="F59" s="302"/>
      <c r="G59" s="298"/>
      <c r="H59" s="225"/>
      <c r="I59" s="253"/>
    </row>
    <row r="60" spans="1:10" s="249" customFormat="1" ht="18.75" customHeight="1" x14ac:dyDescent="0.25">
      <c r="A60" s="225"/>
      <c r="B60" s="39" t="s">
        <v>66</v>
      </c>
      <c r="C60" s="37" t="s">
        <v>113</v>
      </c>
      <c r="D60" s="54">
        <v>0.35</v>
      </c>
      <c r="E60" s="214">
        <f>$E$59*D60</f>
        <v>939.67708333333326</v>
      </c>
      <c r="F60" s="303"/>
      <c r="G60" s="190">
        <f t="shared" ref="G60:G68" si="2">E60*F60</f>
        <v>0</v>
      </c>
      <c r="H60" s="225"/>
      <c r="I60" s="284"/>
      <c r="J60" s="264"/>
    </row>
    <row r="61" spans="1:10" s="249" customFormat="1" ht="18.75" customHeight="1" x14ac:dyDescent="0.25">
      <c r="A61" s="225"/>
      <c r="B61" s="39" t="s">
        <v>68</v>
      </c>
      <c r="C61" s="37" t="s">
        <v>69</v>
      </c>
      <c r="D61" s="54">
        <v>0.75</v>
      </c>
      <c r="E61" s="214">
        <f>$E$59*D61</f>
        <v>2013.59375</v>
      </c>
      <c r="F61" s="303"/>
      <c r="G61" s="190">
        <f t="shared" si="2"/>
        <v>0</v>
      </c>
      <c r="H61" s="225"/>
      <c r="I61" s="284"/>
    </row>
    <row r="62" spans="1:10" s="249" customFormat="1" ht="18.75" customHeight="1" x14ac:dyDescent="0.25">
      <c r="A62" s="225"/>
      <c r="B62" s="56" t="s">
        <v>70</v>
      </c>
      <c r="C62" s="57" t="s">
        <v>71</v>
      </c>
      <c r="D62" s="58">
        <v>1.75</v>
      </c>
      <c r="E62" s="214">
        <f>$E$59*D62</f>
        <v>4698.3854166666661</v>
      </c>
      <c r="F62" s="304"/>
      <c r="G62" s="190">
        <f t="shared" si="2"/>
        <v>0</v>
      </c>
      <c r="H62" s="225"/>
      <c r="I62" s="253"/>
    </row>
    <row r="63" spans="1:10" s="249" customFormat="1" ht="18.75" customHeight="1" x14ac:dyDescent="0.25">
      <c r="A63" s="225"/>
      <c r="B63" s="26" t="s">
        <v>72</v>
      </c>
      <c r="C63" s="27" t="s">
        <v>73</v>
      </c>
      <c r="D63" s="222">
        <v>1.1000000000000001</v>
      </c>
      <c r="E63" s="215">
        <f t="shared" ref="E63:E68" si="3">$E$59*D63</f>
        <v>2953.2708333333335</v>
      </c>
      <c r="F63" s="304"/>
      <c r="G63" s="190">
        <f t="shared" si="2"/>
        <v>0</v>
      </c>
      <c r="H63" s="225"/>
      <c r="I63" s="253"/>
    </row>
    <row r="64" spans="1:10" s="249" customFormat="1" ht="18.75" customHeight="1" x14ac:dyDescent="0.25">
      <c r="A64" s="225"/>
      <c r="B64" s="86" t="s">
        <v>74</v>
      </c>
      <c r="C64" s="27" t="s">
        <v>75</v>
      </c>
      <c r="D64" s="223">
        <v>2.1</v>
      </c>
      <c r="E64" s="215">
        <f t="shared" si="3"/>
        <v>5638.0625</v>
      </c>
      <c r="F64" s="304"/>
      <c r="G64" s="190">
        <f t="shared" si="2"/>
        <v>0</v>
      </c>
      <c r="H64" s="225"/>
      <c r="J64" s="253"/>
    </row>
    <row r="65" spans="1:10" s="249" customFormat="1" ht="18.75" customHeight="1" x14ac:dyDescent="0.25">
      <c r="A65" s="225"/>
      <c r="B65" s="59" t="s">
        <v>76</v>
      </c>
      <c r="C65" s="60" t="s">
        <v>77</v>
      </c>
      <c r="D65" s="61">
        <v>1.25</v>
      </c>
      <c r="E65" s="215">
        <f t="shared" si="3"/>
        <v>3355.989583333333</v>
      </c>
      <c r="F65" s="303"/>
      <c r="G65" s="190">
        <f t="shared" si="2"/>
        <v>0</v>
      </c>
      <c r="H65" s="225"/>
      <c r="J65" s="253"/>
    </row>
    <row r="66" spans="1:10" s="249" customFormat="1" ht="18.75" customHeight="1" x14ac:dyDescent="0.25">
      <c r="A66" s="225"/>
      <c r="B66" s="62" t="s">
        <v>78</v>
      </c>
      <c r="C66" s="37" t="s">
        <v>79</v>
      </c>
      <c r="D66" s="54">
        <v>1.75</v>
      </c>
      <c r="E66" s="215">
        <f t="shared" si="3"/>
        <v>4698.3854166666661</v>
      </c>
      <c r="F66" s="305"/>
      <c r="G66" s="190">
        <f t="shared" si="2"/>
        <v>0</v>
      </c>
      <c r="H66" s="225"/>
    </row>
    <row r="67" spans="1:10" s="249" customFormat="1" ht="18.75" customHeight="1" x14ac:dyDescent="0.25">
      <c r="A67" s="225"/>
      <c r="B67" s="62" t="s">
        <v>80</v>
      </c>
      <c r="C67" s="37" t="s">
        <v>81</v>
      </c>
      <c r="D67" s="54">
        <v>2</v>
      </c>
      <c r="E67" s="215">
        <f t="shared" si="3"/>
        <v>5369.583333333333</v>
      </c>
      <c r="F67" s="305"/>
      <c r="G67" s="190">
        <f t="shared" si="2"/>
        <v>0</v>
      </c>
      <c r="H67" s="225"/>
    </row>
    <row r="68" spans="1:10" s="249" customFormat="1" ht="18.75" customHeight="1" thickBot="1" x14ac:dyDescent="0.3">
      <c r="A68" s="225"/>
      <c r="B68" s="63" t="s">
        <v>82</v>
      </c>
      <c r="C68" s="64" t="s">
        <v>83</v>
      </c>
      <c r="D68" s="65">
        <v>2.5</v>
      </c>
      <c r="E68" s="216">
        <f t="shared" si="3"/>
        <v>6711.9791666666661</v>
      </c>
      <c r="F68" s="306"/>
      <c r="G68" s="193">
        <f t="shared" si="2"/>
        <v>0</v>
      </c>
      <c r="H68" s="225"/>
    </row>
    <row r="69" spans="1:10" s="249" customFormat="1" ht="18.75" customHeight="1" thickBot="1" x14ac:dyDescent="0.3">
      <c r="A69" s="225"/>
      <c r="B69" s="95" t="s">
        <v>124</v>
      </c>
      <c r="C69" s="226"/>
      <c r="D69" s="227"/>
      <c r="E69" s="228"/>
      <c r="F69" s="234"/>
      <c r="G69" s="66">
        <f>SUM(G60:G68)</f>
        <v>0</v>
      </c>
      <c r="H69" s="225"/>
    </row>
    <row r="70" spans="1:10" s="249" customFormat="1" ht="13.5" customHeight="1" thickBot="1" x14ac:dyDescent="0.3">
      <c r="A70" s="225"/>
      <c r="B70" s="238"/>
      <c r="C70" s="282"/>
      <c r="D70" s="283"/>
      <c r="E70" s="281"/>
      <c r="F70" s="234"/>
      <c r="G70" s="208"/>
      <c r="H70" s="225"/>
    </row>
    <row r="71" spans="1:10" s="249" customFormat="1" ht="18.75" customHeight="1" thickBot="1" x14ac:dyDescent="0.3">
      <c r="A71" s="225"/>
      <c r="B71" s="113" t="s">
        <v>85</v>
      </c>
      <c r="C71" s="114"/>
      <c r="D71" s="105" t="s">
        <v>13</v>
      </c>
      <c r="E71" s="48" t="s">
        <v>62</v>
      </c>
      <c r="F71" s="234"/>
      <c r="G71" s="208"/>
      <c r="H71" s="225"/>
    </row>
    <row r="72" spans="1:10" s="249" customFormat="1" ht="18.75" customHeight="1" x14ac:dyDescent="0.25">
      <c r="A72" s="225"/>
      <c r="B72" s="74" t="s">
        <v>86</v>
      </c>
      <c r="C72" s="67" t="s">
        <v>87</v>
      </c>
      <c r="D72" s="295"/>
      <c r="E72" s="291"/>
      <c r="F72" s="234"/>
      <c r="G72" s="208"/>
      <c r="H72" s="225"/>
    </row>
    <row r="73" spans="1:10" s="249" customFormat="1" ht="18.75" customHeight="1" x14ac:dyDescent="0.25">
      <c r="A73" s="225"/>
      <c r="B73" s="26" t="s">
        <v>88</v>
      </c>
      <c r="C73" s="27" t="s">
        <v>89</v>
      </c>
      <c r="D73" s="54">
        <v>0.04</v>
      </c>
      <c r="E73" s="217">
        <f>ROUND(IF($E$18+E20+E21+E22&lt;=($C$5*25),ROUND($E$18+E20+E21+E22,-3),ROUND($C$5*25,-3))*D73,-2)</f>
        <v>25800</v>
      </c>
      <c r="F73" s="234"/>
      <c r="G73" s="208"/>
      <c r="H73" s="225"/>
    </row>
    <row r="74" spans="1:10" s="249" customFormat="1" ht="18.75" customHeight="1" x14ac:dyDescent="0.25">
      <c r="A74" s="225"/>
      <c r="B74" s="26" t="s">
        <v>90</v>
      </c>
      <c r="C74" s="37" t="s">
        <v>91</v>
      </c>
      <c r="D74" s="54">
        <v>0.04</v>
      </c>
      <c r="E74" s="217">
        <f>ROUND(IF($E$18+E20+E21+E22&lt;=($C$5*25),ROUND($E$18+E20+E21+E22,-3),ROUND($C$5*25,-3))*D74,-2)</f>
        <v>25800</v>
      </c>
      <c r="F74" s="234"/>
      <c r="G74" s="208"/>
      <c r="H74" s="225"/>
    </row>
    <row r="75" spans="1:10" s="249" customFormat="1" ht="18.75" customHeight="1" x14ac:dyDescent="0.25">
      <c r="A75" s="225"/>
      <c r="B75" s="26" t="s">
        <v>92</v>
      </c>
      <c r="C75" s="37" t="s">
        <v>93</v>
      </c>
      <c r="D75" s="79">
        <f>IF(E18+E20+E21+E22&lt;(C5*4),0,0.01)</f>
        <v>0</v>
      </c>
      <c r="E75" s="29">
        <f>IF(E18+E20+E21+E22&lt;(C5*4),0,(E18+E20+E21+E22)*D75)</f>
        <v>0</v>
      </c>
      <c r="F75" s="234"/>
      <c r="G75" s="208"/>
      <c r="H75" s="225"/>
    </row>
    <row r="76" spans="1:10" s="249" customFormat="1" ht="18.75" customHeight="1" x14ac:dyDescent="0.25">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
      <c r="A77" s="225"/>
      <c r="B77" s="94" t="s">
        <v>96</v>
      </c>
      <c r="C77" s="69"/>
      <c r="D77" s="196"/>
      <c r="E77" s="70">
        <f>SUM(E72:E76)</f>
        <v>51600</v>
      </c>
      <c r="F77" s="234"/>
      <c r="G77" s="208"/>
      <c r="H77" s="225"/>
    </row>
    <row r="78" spans="1:10" s="249" customFormat="1" ht="13.5" customHeight="1" x14ac:dyDescent="0.25">
      <c r="A78" s="225"/>
      <c r="B78" s="238"/>
      <c r="C78" s="282"/>
      <c r="D78" s="283"/>
      <c r="E78" s="281"/>
      <c r="F78" s="234"/>
      <c r="G78" s="208"/>
      <c r="H78" s="225"/>
    </row>
    <row r="79" spans="1:10" ht="13.5" customHeight="1" thickBot="1" x14ac:dyDescent="0.3">
      <c r="B79" s="238"/>
      <c r="C79" s="282"/>
      <c r="D79" s="285"/>
      <c r="E79" s="281"/>
    </row>
    <row r="80" spans="1:10" ht="16.5" thickBot="1" x14ac:dyDescent="0.3">
      <c r="B80" s="71" t="s">
        <v>97</v>
      </c>
      <c r="C80" s="72"/>
      <c r="D80" s="19"/>
      <c r="E80" s="73"/>
    </row>
    <row r="81" spans="2:256" ht="15.75" x14ac:dyDescent="0.25">
      <c r="B81" s="74" t="s">
        <v>98</v>
      </c>
      <c r="C81" s="218">
        <f>$C$5*16</f>
        <v>10309600</v>
      </c>
      <c r="D81" s="75">
        <v>0</v>
      </c>
      <c r="E81" s="76"/>
    </row>
    <row r="82" spans="2:256" ht="15.75" x14ac:dyDescent="0.25">
      <c r="B82" s="39" t="s">
        <v>99</v>
      </c>
      <c r="C82" s="219">
        <f>$C$5*17</f>
        <v>10953950</v>
      </c>
      <c r="D82" s="77">
        <v>2E-3</v>
      </c>
      <c r="E82" s="78"/>
    </row>
    <row r="83" spans="2:256" ht="15.75" x14ac:dyDescent="0.25">
      <c r="B83" s="39" t="s">
        <v>100</v>
      </c>
      <c r="C83" s="220">
        <f>$C$5*18</f>
        <v>11598300</v>
      </c>
      <c r="D83" s="79">
        <v>4.0000000000000001E-3</v>
      </c>
      <c r="E83" s="29"/>
    </row>
    <row r="84" spans="2:256" ht="15.75" x14ac:dyDescent="0.25">
      <c r="B84" s="39" t="s">
        <v>101</v>
      </c>
      <c r="C84" s="220">
        <f>$C$5*19</f>
        <v>12242650</v>
      </c>
      <c r="D84" s="79">
        <v>6.0000000000000001E-3</v>
      </c>
      <c r="E84" s="29"/>
    </row>
    <row r="85" spans="2:256" ht="15.75" x14ac:dyDescent="0.25">
      <c r="B85" s="39" t="s">
        <v>102</v>
      </c>
      <c r="C85" s="220">
        <f>$C$5*20</f>
        <v>12887000</v>
      </c>
      <c r="D85" s="79">
        <v>8.0000000000000002E-3</v>
      </c>
      <c r="E85" s="29"/>
    </row>
    <row r="86" spans="2:256" ht="16.5" thickBot="1" x14ac:dyDescent="0.3">
      <c r="B86" s="80" t="s">
        <v>103</v>
      </c>
      <c r="C86" s="221">
        <v>12887000</v>
      </c>
      <c r="D86" s="81">
        <v>0.01</v>
      </c>
      <c r="E86" s="82"/>
      <c r="IV86" s="225">
        <v>2013</v>
      </c>
    </row>
    <row r="87" spans="2:256" x14ac:dyDescent="0.2">
      <c r="B87" s="245"/>
      <c r="C87" s="287"/>
      <c r="D87" s="288"/>
      <c r="E87" s="149" t="str">
        <f>+B69</f>
        <v>V1..0 Enero 12 de 2014</v>
      </c>
    </row>
    <row r="88" spans="2:256" ht="14.25" x14ac:dyDescent="0.2">
      <c r="D88" s="289"/>
      <c r="E88" s="290"/>
    </row>
    <row r="89" spans="2:256" ht="15" x14ac:dyDescent="0.2">
      <c r="C89" s="286"/>
    </row>
    <row r="90" spans="2:256" ht="15" x14ac:dyDescent="0.2">
      <c r="C90" s="286"/>
    </row>
    <row r="91" spans="2:256" ht="15" x14ac:dyDescent="0.2">
      <c r="C91" s="286"/>
    </row>
    <row r="92" spans="2:256" ht="15" x14ac:dyDescent="0.2">
      <c r="C92" s="286"/>
    </row>
    <row r="93" spans="2:256" ht="15" x14ac:dyDescent="0.2">
      <c r="C93" s="286"/>
    </row>
    <row r="94" spans="2:256" ht="15" x14ac:dyDescent="0.2">
      <c r="C94" s="286"/>
    </row>
    <row r="95" spans="2:256" ht="15" x14ac:dyDescent="0.2">
      <c r="C95" s="286"/>
    </row>
    <row r="96" spans="2:256" ht="15" x14ac:dyDescent="0.2">
      <c r="C96" s="286"/>
    </row>
    <row r="97" spans="3:3" ht="15" x14ac:dyDescent="0.2">
      <c r="C97" s="286"/>
    </row>
    <row r="98" spans="3:3" ht="15" x14ac:dyDescent="0.2">
      <c r="C98" s="286"/>
    </row>
    <row r="99" spans="3:3" ht="15" x14ac:dyDescent="0.2">
      <c r="C99" s="286"/>
    </row>
    <row r="65536" spans="256:256" x14ac:dyDescent="0.2">
      <c r="IV65536" s="322">
        <v>2015</v>
      </c>
    </row>
  </sheetData>
  <sheetProtection password="CC3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fitToPage="1" topLeftCell="A2">
      <selection activeCell="C5" sqref="C5"/>
      <pageMargins left="0" right="0" top="0" bottom="0" header="0" footer="0"/>
      <pageSetup scale="10" fitToHeight="0" orientation="portrait" r:id="rId1"/>
    </customSheetView>
  </customSheetViews>
  <dataValidations disablePrompts="1" count="2">
    <dataValidation type="list" allowBlank="1" showInputMessage="1" showErrorMessage="1" sqref="C11" xr:uid="{00000000-0002-0000-0400-000000000000}">
      <formula1>$IV$6:$IV$10</formula1>
    </dataValidation>
    <dataValidation type="list" allowBlank="1" showInputMessage="1" showErrorMessage="1" sqref="D13" xr:uid="{00000000-0002-0000-0400-000001000000}">
      <formula1>$IV$13:$IV$16</formula1>
    </dataValidation>
  </dataValidations>
  <pageMargins left="0.25" right="0.25" top="0.75" bottom="0.75" header="0.3" footer="0.3"/>
  <pageSetup scale="10" fitToHeight="0"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IV65536"/>
  <sheetViews>
    <sheetView zoomScale="77" zoomScaleNormal="77" zoomScalePageLayoutView="77" workbookViewId="0">
      <selection activeCell="J36" sqref="J36"/>
    </sheetView>
  </sheetViews>
  <sheetFormatPr baseColWidth="10" defaultColWidth="11.42578125" defaultRowHeight="12.75" x14ac:dyDescent="0.2"/>
  <cols>
    <col min="1" max="1" width="3.28515625" style="225" customWidth="1"/>
    <col min="2" max="2" width="45.28515625" style="225" customWidth="1"/>
    <col min="3" max="3" width="58.85546875" style="226" customWidth="1"/>
    <col min="4" max="4" width="11" style="227" customWidth="1"/>
    <col min="5" max="5" width="17.28515625" style="228" customWidth="1"/>
    <col min="6" max="6" width="17.42578125" style="234" customWidth="1"/>
    <col min="7" max="7" width="13.85546875" style="208"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146" t="s">
        <v>125</v>
      </c>
      <c r="C4" s="232"/>
      <c r="E4" s="233"/>
    </row>
    <row r="5" spans="2:256" ht="18.75" customHeight="1" x14ac:dyDescent="0.25">
      <c r="B5" s="6" t="s">
        <v>2</v>
      </c>
      <c r="C5" s="76">
        <v>616000</v>
      </c>
      <c r="E5" s="340"/>
      <c r="G5" s="209"/>
      <c r="I5" s="299"/>
    </row>
    <row r="6" spans="2:256" ht="18.75" customHeight="1" thickBot="1" x14ac:dyDescent="0.3">
      <c r="B6" s="159" t="s">
        <v>3</v>
      </c>
      <c r="C6" s="82">
        <v>72000</v>
      </c>
      <c r="E6" s="340"/>
      <c r="G6" s="209"/>
      <c r="I6" s="235"/>
      <c r="J6" s="236"/>
      <c r="IV6" s="237">
        <v>5.2199999999999998E-3</v>
      </c>
    </row>
    <row r="7" spans="2:256" ht="13.5" customHeight="1" x14ac:dyDescent="0.25">
      <c r="B7" s="238"/>
      <c r="C7" s="239"/>
      <c r="E7" s="340"/>
      <c r="G7" s="209"/>
      <c r="IV7" s="237">
        <v>1.044E-2</v>
      </c>
    </row>
    <row r="8" spans="2:256" ht="12.75" customHeight="1" x14ac:dyDescent="0.2">
      <c r="B8" s="238"/>
      <c r="C8" s="238"/>
      <c r="E8" s="340"/>
      <c r="G8" s="209"/>
      <c r="IV8" s="237">
        <v>2.436E-2</v>
      </c>
    </row>
    <row r="9" spans="2:256" ht="12" customHeight="1" thickBot="1" x14ac:dyDescent="0.25">
      <c r="B9" s="9" t="s">
        <v>4</v>
      </c>
      <c r="C9" s="240" t="s">
        <v>5</v>
      </c>
      <c r="D9" s="241"/>
      <c r="E9" s="341"/>
      <c r="IV9" s="237">
        <v>4.3499999999999997E-2</v>
      </c>
    </row>
    <row r="10" spans="2:256" ht="18.75" customHeight="1" x14ac:dyDescent="0.25">
      <c r="B10" s="11" t="s">
        <v>6</v>
      </c>
      <c r="C10" s="291">
        <v>616000</v>
      </c>
      <c r="D10" s="243"/>
      <c r="E10" s="244"/>
      <c r="G10" s="311"/>
      <c r="H10" s="245"/>
      <c r="IV10" s="237">
        <v>6.9599999999999995E-2</v>
      </c>
    </row>
    <row r="11" spans="2:256" ht="18.75" customHeight="1" x14ac:dyDescent="0.25">
      <c r="B11" s="13" t="s">
        <v>7</v>
      </c>
      <c r="C11" s="292">
        <v>5.2199999999999998E-3</v>
      </c>
      <c r="D11" s="241"/>
      <c r="E11" s="244"/>
      <c r="G11" s="312"/>
      <c r="H11" s="245"/>
    </row>
    <row r="12" spans="2:256" ht="18.75" customHeight="1" thickBot="1" x14ac:dyDescent="0.3">
      <c r="B12" s="15" t="s">
        <v>8</v>
      </c>
      <c r="C12" s="246"/>
      <c r="D12" s="241"/>
      <c r="E12" s="242"/>
      <c r="G12" s="313"/>
      <c r="H12" s="245"/>
      <c r="IR12" s="248"/>
      <c r="IV12" s="249"/>
    </row>
    <row r="13" spans="2:256" s="1" customFormat="1" ht="18.75" customHeight="1" thickBot="1" x14ac:dyDescent="0.3">
      <c r="B13" s="15" t="s">
        <v>9</v>
      </c>
      <c r="C13" s="112">
        <v>2000</v>
      </c>
      <c r="D13" s="111" t="s">
        <v>10</v>
      </c>
      <c r="E13" s="10"/>
      <c r="F13" s="106"/>
      <c r="G13" s="17"/>
      <c r="H13" s="12"/>
      <c r="IR13" s="16"/>
      <c r="IV13" s="18" t="s">
        <v>10</v>
      </c>
    </row>
    <row r="14" spans="2:256" ht="10.5" customHeight="1" thickBot="1" x14ac:dyDescent="0.25">
      <c r="B14" s="250"/>
      <c r="C14" s="251"/>
      <c r="D14" s="252"/>
      <c r="F14" s="308"/>
      <c r="G14" s="312"/>
      <c r="H14" s="245"/>
      <c r="IR14" s="248"/>
    </row>
    <row r="15" spans="2:256" s="249" customFormat="1" ht="33.6" customHeight="1" x14ac:dyDescent="0.25">
      <c r="B15" s="96" t="s">
        <v>11</v>
      </c>
      <c r="C15" s="97" t="s">
        <v>12</v>
      </c>
      <c r="D15" s="98" t="s">
        <v>13</v>
      </c>
      <c r="E15" s="307" t="s">
        <v>14</v>
      </c>
      <c r="F15" s="309" t="s">
        <v>116</v>
      </c>
      <c r="G15" s="314" t="s">
        <v>16</v>
      </c>
      <c r="H15" s="245"/>
      <c r="IR15" s="253"/>
    </row>
    <row r="16" spans="2:256" s="249" customFormat="1" ht="9" customHeight="1" x14ac:dyDescent="0.25">
      <c r="B16" s="254"/>
      <c r="C16" s="239"/>
      <c r="D16" s="239"/>
      <c r="E16" s="255"/>
      <c r="F16" s="255"/>
      <c r="G16" s="107"/>
      <c r="IR16" s="253"/>
    </row>
    <row r="17" spans="2:252" s="249" customFormat="1" ht="18.75" customHeight="1" x14ac:dyDescent="0.25">
      <c r="B17" s="256" t="s">
        <v>17</v>
      </c>
      <c r="C17" s="257"/>
      <c r="D17" s="258"/>
      <c r="E17" s="259"/>
      <c r="F17" s="259"/>
      <c r="G17" s="108"/>
      <c r="IR17" s="253"/>
    </row>
    <row r="18" spans="2:252" s="249" customFormat="1" ht="18.75" customHeight="1" x14ac:dyDescent="0.25">
      <c r="B18" s="26" t="s">
        <v>18</v>
      </c>
      <c r="C18" s="27" t="s">
        <v>19</v>
      </c>
      <c r="D18" s="28"/>
      <c r="E18" s="29">
        <f>IF(C10&lt;C5,FALSE,C10)</f>
        <v>616000</v>
      </c>
      <c r="F18" s="29">
        <f>+E18</f>
        <v>616000</v>
      </c>
      <c r="G18" s="103">
        <f t="shared" ref="G18:G23" si="0">+E18/$C$13</f>
        <v>308</v>
      </c>
      <c r="IR18" s="253"/>
    </row>
    <row r="19" spans="2:252" s="249" customFormat="1" ht="18.75" customHeight="1" x14ac:dyDescent="0.25">
      <c r="B19" s="26" t="s">
        <v>20</v>
      </c>
      <c r="C19" s="27" t="s">
        <v>126</v>
      </c>
      <c r="D19" s="28"/>
      <c r="E19" s="29">
        <f>IF(E18+E20+E21+E22&lt;=(C5*2),C6,0)</f>
        <v>72000</v>
      </c>
      <c r="F19" s="29">
        <f>+E19</f>
        <v>72000</v>
      </c>
      <c r="G19" s="103">
        <f t="shared" si="0"/>
        <v>36</v>
      </c>
    </row>
    <row r="20" spans="2:252" s="249" customFormat="1" ht="18.75" customHeight="1" x14ac:dyDescent="0.25">
      <c r="B20" s="26" t="s">
        <v>22</v>
      </c>
      <c r="C20" s="27" t="s">
        <v>23</v>
      </c>
      <c r="D20" s="262"/>
      <c r="E20" s="263">
        <f>+G60+G63</f>
        <v>0</v>
      </c>
      <c r="F20" s="42">
        <f>+E20</f>
        <v>0</v>
      </c>
      <c r="G20" s="103">
        <f t="shared" si="0"/>
        <v>0</v>
      </c>
      <c r="J20" s="264"/>
    </row>
    <row r="21" spans="2:252" s="249" customFormat="1" ht="18.75" customHeight="1" x14ac:dyDescent="0.25">
      <c r="B21" s="26" t="s">
        <v>118</v>
      </c>
      <c r="C21" s="27" t="s">
        <v>25</v>
      </c>
      <c r="D21" s="262"/>
      <c r="E21" s="263">
        <f>+G61+G62+G64</f>
        <v>0</v>
      </c>
      <c r="F21" s="42">
        <f>+E21</f>
        <v>0</v>
      </c>
      <c r="G21" s="103">
        <f t="shared" si="0"/>
        <v>0</v>
      </c>
    </row>
    <row r="22" spans="2:252" s="249" customFormat="1" ht="18.75" customHeight="1" x14ac:dyDescent="0.25">
      <c r="B22" s="26" t="s">
        <v>26</v>
      </c>
      <c r="C22" s="27" t="s">
        <v>110</v>
      </c>
      <c r="D22" s="262"/>
      <c r="E22" s="263">
        <f>+G65+G66+G67+G68</f>
        <v>0</v>
      </c>
      <c r="F22" s="42">
        <f>+E22</f>
        <v>0</v>
      </c>
      <c r="G22" s="103">
        <f t="shared" si="0"/>
        <v>0</v>
      </c>
    </row>
    <row r="23" spans="2:252" s="249" customFormat="1" ht="18.75" customHeight="1" x14ac:dyDescent="0.25">
      <c r="B23" s="148" t="s">
        <v>28</v>
      </c>
      <c r="C23" s="265"/>
      <c r="D23" s="266"/>
      <c r="E23" s="30">
        <f>SUM(E18:E22)</f>
        <v>688000</v>
      </c>
      <c r="F23" s="30">
        <f>SUM(F18:F22)</f>
        <v>688000</v>
      </c>
      <c r="G23" s="104">
        <f t="shared" si="0"/>
        <v>344</v>
      </c>
    </row>
    <row r="24" spans="2:252" s="249" customFormat="1" ht="18.75" customHeight="1" x14ac:dyDescent="0.25">
      <c r="B24" s="267"/>
      <c r="C24" s="268"/>
      <c r="D24" s="269"/>
      <c r="E24" s="263"/>
      <c r="F24" s="263"/>
      <c r="G24" s="108"/>
    </row>
    <row r="25" spans="2:252" s="249" customFormat="1" ht="18.75" customHeight="1" x14ac:dyDescent="0.25">
      <c r="B25" s="270" t="s">
        <v>29</v>
      </c>
      <c r="C25" s="257"/>
      <c r="D25" s="258"/>
      <c r="E25" s="263"/>
      <c r="F25" s="263"/>
      <c r="G25" s="108"/>
    </row>
    <row r="26" spans="2:252" s="249" customFormat="1" ht="18.75" customHeight="1" x14ac:dyDescent="0.25">
      <c r="B26" s="26" t="s">
        <v>30</v>
      </c>
      <c r="C26" s="27" t="s">
        <v>31</v>
      </c>
      <c r="D26" s="35">
        <v>8.3333333333333343E-2</v>
      </c>
      <c r="E26" s="29">
        <f>E23*D26</f>
        <v>57333.333333333343</v>
      </c>
      <c r="F26" s="29">
        <f>+E26</f>
        <v>57333.333333333343</v>
      </c>
      <c r="G26" s="103">
        <f>+E26/$C$13</f>
        <v>28.666666666666671</v>
      </c>
    </row>
    <row r="27" spans="2:252" s="249" customFormat="1" ht="18.75" customHeight="1" x14ac:dyDescent="0.25">
      <c r="B27" s="26" t="s">
        <v>32</v>
      </c>
      <c r="C27" s="27" t="s">
        <v>33</v>
      </c>
      <c r="D27" s="36">
        <v>0.12</v>
      </c>
      <c r="E27" s="29">
        <f>+E26*D27</f>
        <v>6880.0000000000009</v>
      </c>
      <c r="F27" s="29">
        <f>+E27</f>
        <v>6880.0000000000009</v>
      </c>
      <c r="G27" s="103">
        <f>+E27/$C$13</f>
        <v>3.4400000000000004</v>
      </c>
    </row>
    <row r="28" spans="2:252" s="249" customFormat="1" ht="18.75" customHeight="1" x14ac:dyDescent="0.25">
      <c r="B28" s="26" t="s">
        <v>34</v>
      </c>
      <c r="C28" s="27" t="s">
        <v>31</v>
      </c>
      <c r="D28" s="35">
        <v>8.3333333333333343E-2</v>
      </c>
      <c r="E28" s="29">
        <f>E23*D28</f>
        <v>57333.333333333343</v>
      </c>
      <c r="F28" s="29">
        <f>+E28</f>
        <v>57333.333333333343</v>
      </c>
      <c r="G28" s="103">
        <f>+E28/$C$13</f>
        <v>28.666666666666671</v>
      </c>
    </row>
    <row r="29" spans="2:252" s="249" customFormat="1" ht="18.75" customHeight="1" x14ac:dyDescent="0.25">
      <c r="B29" s="26" t="s">
        <v>35</v>
      </c>
      <c r="C29" s="37" t="s">
        <v>36</v>
      </c>
      <c r="D29" s="35">
        <v>4.1666666666666664E-2</v>
      </c>
      <c r="E29" s="29">
        <f>(E18+E20)*D29</f>
        <v>25666.666666666664</v>
      </c>
      <c r="F29" s="29">
        <f>+E29</f>
        <v>25666.666666666664</v>
      </c>
      <c r="G29" s="103">
        <f>+E29/$C$13</f>
        <v>12.833333333333332</v>
      </c>
    </row>
    <row r="30" spans="2:252" s="249" customFormat="1" ht="18.75" customHeight="1" x14ac:dyDescent="0.25">
      <c r="B30" s="177" t="s">
        <v>37</v>
      </c>
      <c r="C30" s="38"/>
      <c r="D30" s="33"/>
      <c r="E30" s="30">
        <f>SUM(E26:E29)</f>
        <v>147213.33333333334</v>
      </c>
      <c r="F30" s="30">
        <f>SUM(F26:F29)</f>
        <v>147213.33333333334</v>
      </c>
      <c r="G30" s="104">
        <f>+E30/$C$13</f>
        <v>73.606666666666669</v>
      </c>
    </row>
    <row r="31" spans="2:252" s="249" customFormat="1" ht="18.75" customHeight="1" x14ac:dyDescent="0.2">
      <c r="B31" s="260"/>
      <c r="C31" s="261"/>
      <c r="D31" s="262"/>
      <c r="E31" s="259"/>
      <c r="F31" s="259"/>
      <c r="G31" s="108"/>
      <c r="H31" s="238"/>
    </row>
    <row r="32" spans="2:252" s="249" customFormat="1" ht="18.75" customHeight="1" x14ac:dyDescent="0.25">
      <c r="B32" s="256" t="s">
        <v>38</v>
      </c>
      <c r="C32" s="257"/>
      <c r="D32" s="258"/>
      <c r="E32" s="259"/>
      <c r="F32" s="259"/>
      <c r="G32" s="108"/>
      <c r="H32" s="238"/>
    </row>
    <row r="33" spans="2:9" s="249" customFormat="1" ht="18.75" customHeight="1" x14ac:dyDescent="0.25">
      <c r="B33" s="310" t="s">
        <v>39</v>
      </c>
      <c r="C33" s="85">
        <f>ROUND(IF($E$18+E20+E21+E22&lt;=($C$5*25),ROUND($E$18+E20+E21+E22,-3),ROUND($C$5*25,-3))*0.125,-2)</f>
        <v>77000</v>
      </c>
      <c r="D33" s="36">
        <v>8.5000000000000006E-2</v>
      </c>
      <c r="E33" s="29">
        <f>C33-E73</f>
        <v>52400</v>
      </c>
      <c r="F33" s="29">
        <v>0</v>
      </c>
      <c r="G33" s="103">
        <f t="shared" ref="G33:G38" si="1">+E33/$C$13</f>
        <v>26.2</v>
      </c>
      <c r="H33" s="274"/>
      <c r="I33" s="275"/>
    </row>
    <row r="34" spans="2:9" s="249" customFormat="1" ht="18.75" customHeight="1" x14ac:dyDescent="0.25">
      <c r="B34" s="26" t="s">
        <v>40</v>
      </c>
      <c r="C34" s="85">
        <f>ROUND(IF($E$18+E20+E21+E22&lt;=($C$5*25),ROUND($E$18+E20+E21+E22,-3),ROUND($C$5*25,-3))*0.16,-2)</f>
        <v>98600</v>
      </c>
      <c r="D34" s="36">
        <v>0.12</v>
      </c>
      <c r="E34" s="29">
        <f>C34-E74</f>
        <v>74000</v>
      </c>
      <c r="F34" s="29">
        <f>+E34</f>
        <v>74000</v>
      </c>
      <c r="G34" s="103">
        <f t="shared" si="1"/>
        <v>37</v>
      </c>
      <c r="H34" s="276"/>
    </row>
    <row r="35" spans="2:9" s="249" customFormat="1" ht="18.75" customHeight="1" x14ac:dyDescent="0.25">
      <c r="B35" s="26" t="s">
        <v>119</v>
      </c>
      <c r="C35" s="37" t="s">
        <v>42</v>
      </c>
      <c r="D35" s="28">
        <f>C11</f>
        <v>5.2199999999999998E-3</v>
      </c>
      <c r="E35" s="29">
        <f>ROUND(IF($E$18+E21+E20+E22&lt;=($C$5*20),ROUND($E$18+E20+E21+E22,-3),ROUND($C$5*20,-3))*D35,-2)</f>
        <v>3200</v>
      </c>
      <c r="F35" s="29">
        <f>+E35</f>
        <v>3200</v>
      </c>
      <c r="G35" s="103">
        <f t="shared" si="1"/>
        <v>1.6</v>
      </c>
      <c r="H35" s="238"/>
    </row>
    <row r="36" spans="2:9" s="249" customFormat="1" ht="18.75" customHeight="1" x14ac:dyDescent="0.25">
      <c r="B36" s="26" t="s">
        <v>43</v>
      </c>
      <c r="C36" s="271"/>
      <c r="D36" s="36">
        <v>8.5000000000000006E-2</v>
      </c>
      <c r="E36" s="29">
        <f>ROUND(IF($E$29&lt;=($C$5*25),ROUND($E$29,-3),ROUND($C$5*25,-3))*D36,-2)</f>
        <v>2200</v>
      </c>
      <c r="F36" s="29">
        <v>0</v>
      </c>
      <c r="G36" s="103">
        <f t="shared" si="1"/>
        <v>1.1000000000000001</v>
      </c>
    </row>
    <row r="37" spans="2:9" s="249" customFormat="1" ht="18.75" customHeight="1" x14ac:dyDescent="0.25">
      <c r="B37" s="26" t="s">
        <v>44</v>
      </c>
      <c r="C37" s="271"/>
      <c r="D37" s="36">
        <v>0.12</v>
      </c>
      <c r="E37" s="29">
        <f>ROUND(IF($E$29&lt;=($C$5*25),ROUND($E$29,-3),ROUND($C$5*25,-3))*D37,-2)</f>
        <v>3100</v>
      </c>
      <c r="F37" s="29">
        <f>+E37</f>
        <v>3100</v>
      </c>
      <c r="G37" s="103">
        <f t="shared" si="1"/>
        <v>1.55</v>
      </c>
    </row>
    <row r="38" spans="2:9" s="249" customFormat="1" ht="18.75" customHeight="1" x14ac:dyDescent="0.25">
      <c r="B38" s="177" t="s">
        <v>45</v>
      </c>
      <c r="C38" s="272"/>
      <c r="D38" s="269"/>
      <c r="E38" s="30">
        <f>SUM(E33:E37)</f>
        <v>134900</v>
      </c>
      <c r="F38" s="30">
        <f>SUM(F33:F37)</f>
        <v>80300</v>
      </c>
      <c r="G38" s="104">
        <f t="shared" si="1"/>
        <v>67.45</v>
      </c>
    </row>
    <row r="39" spans="2:9" s="249" customFormat="1" ht="18.75" customHeight="1" x14ac:dyDescent="0.2">
      <c r="B39" s="260"/>
      <c r="C39" s="261"/>
      <c r="D39" s="262"/>
      <c r="E39" s="259"/>
      <c r="F39" s="259"/>
      <c r="G39" s="108"/>
    </row>
    <row r="40" spans="2:9" s="249" customFormat="1" ht="18.75" customHeight="1" x14ac:dyDescent="0.25">
      <c r="B40" s="256" t="s">
        <v>46</v>
      </c>
      <c r="C40" s="257"/>
      <c r="D40" s="258"/>
      <c r="E40" s="259"/>
      <c r="F40" s="259"/>
      <c r="G40" s="108"/>
    </row>
    <row r="41" spans="2:9" s="249" customFormat="1" ht="18.75" customHeight="1" x14ac:dyDescent="0.25">
      <c r="B41" s="26" t="s">
        <v>47</v>
      </c>
      <c r="C41" s="37" t="s">
        <v>48</v>
      </c>
      <c r="D41" s="36">
        <v>0.09</v>
      </c>
      <c r="E41" s="29">
        <f>ROUND(ROUND(E18+E20+E21+E22,-3)*D41,-2)</f>
        <v>55400</v>
      </c>
      <c r="F41" s="29">
        <f>ROUND(ROUND(F18+F20+F21+F22,-3)*0.04,-2)</f>
        <v>24600</v>
      </c>
      <c r="G41" s="103">
        <f>+E41/$C$13</f>
        <v>27.7</v>
      </c>
    </row>
    <row r="42" spans="2:9" s="249" customFormat="1" ht="18.75" customHeight="1" x14ac:dyDescent="0.25">
      <c r="B42" s="26" t="s">
        <v>49</v>
      </c>
      <c r="C42" s="37"/>
      <c r="D42" s="36">
        <v>0.09</v>
      </c>
      <c r="E42" s="29">
        <f>ROUND(ROUND(E29,-3)*D42,-2)</f>
        <v>2300</v>
      </c>
      <c r="F42" s="29">
        <f>ROUND(ROUND(F29,-3)*0.04,-2)</f>
        <v>1000</v>
      </c>
      <c r="G42" s="103">
        <f>+E42/$C$13</f>
        <v>1.1499999999999999</v>
      </c>
    </row>
    <row r="43" spans="2:9" s="249" customFormat="1" ht="18.75" customHeight="1" x14ac:dyDescent="0.25">
      <c r="B43" s="177" t="s">
        <v>50</v>
      </c>
      <c r="C43" s="38"/>
      <c r="D43" s="33"/>
      <c r="E43" s="30">
        <f>SUM(E41:E42)</f>
        <v>57700</v>
      </c>
      <c r="F43" s="30">
        <f>SUM(F41:F42)</f>
        <v>25600</v>
      </c>
      <c r="G43" s="104">
        <f>+E43/$C$13</f>
        <v>28.85</v>
      </c>
    </row>
    <row r="44" spans="2:9" s="249" customFormat="1" ht="18.75" customHeight="1" x14ac:dyDescent="0.2">
      <c r="B44" s="273"/>
      <c r="C44" s="271"/>
      <c r="D44" s="262"/>
      <c r="E44" s="259"/>
      <c r="F44" s="259"/>
      <c r="G44" s="108"/>
    </row>
    <row r="45" spans="2:9" s="249" customFormat="1" ht="18.75" customHeight="1" x14ac:dyDescent="0.25">
      <c r="B45" s="256" t="s">
        <v>51</v>
      </c>
      <c r="C45" s="257"/>
      <c r="D45" s="258"/>
      <c r="E45" s="259"/>
      <c r="F45" s="259"/>
      <c r="G45" s="108"/>
    </row>
    <row r="46" spans="2:9" s="249" customFormat="1" ht="18.75" customHeight="1" x14ac:dyDescent="0.25">
      <c r="B46" s="39" t="s">
        <v>53</v>
      </c>
      <c r="C46" s="37" t="s">
        <v>54</v>
      </c>
      <c r="D46" s="293"/>
      <c r="E46" s="29">
        <f>IF(E18+E20+E21+E22&lt;=C5*2,(C12*3)/12,0)</f>
        <v>0</v>
      </c>
      <c r="F46" s="29">
        <f>+E46</f>
        <v>0</v>
      </c>
      <c r="G46" s="104">
        <f>+E46/$C$13</f>
        <v>0</v>
      </c>
    </row>
    <row r="47" spans="2:9" s="249" customFormat="1" ht="18.75" customHeight="1" x14ac:dyDescent="0.2">
      <c r="B47" s="260"/>
      <c r="C47" s="261"/>
      <c r="D47" s="262"/>
      <c r="E47" s="277"/>
      <c r="F47" s="277"/>
      <c r="G47" s="108"/>
    </row>
    <row r="48" spans="2:9" s="249" customFormat="1" ht="18.75" customHeight="1" x14ac:dyDescent="0.25">
      <c r="B48" s="31" t="s">
        <v>55</v>
      </c>
      <c r="C48" s="32"/>
      <c r="D48" s="33"/>
      <c r="E48" s="30">
        <f>E23+E30+E38+E43+E46</f>
        <v>1027813.3333333334</v>
      </c>
      <c r="F48" s="30">
        <f>F23+F30+F38+F43+F46</f>
        <v>941113.33333333337</v>
      </c>
      <c r="G48" s="104">
        <f>+E48/$C$13</f>
        <v>513.90666666666664</v>
      </c>
    </row>
    <row r="49" spans="1:10" s="249" customFormat="1" ht="18.75" customHeight="1" thickBot="1" x14ac:dyDescent="0.25">
      <c r="B49" s="80" t="s">
        <v>56</v>
      </c>
      <c r="C49" s="43"/>
      <c r="D49" s="44"/>
      <c r="E49" s="93">
        <f>+(E48/(E23-E19))-1</f>
        <v>0.66852813852813853</v>
      </c>
      <c r="F49" s="93">
        <f>+(F48/(F23-F19))-1</f>
        <v>0.5277813852813853</v>
      </c>
      <c r="G49" s="109"/>
    </row>
    <row r="50" spans="1:10" s="249" customFormat="1" ht="13.5" customHeight="1" x14ac:dyDescent="0.25">
      <c r="B50" s="278"/>
      <c r="C50" s="279"/>
      <c r="D50" s="280"/>
      <c r="E50" s="281"/>
      <c r="F50" s="300"/>
      <c r="G50" s="110"/>
    </row>
    <row r="51" spans="1:10" s="249" customFormat="1" ht="13.5" customHeight="1" thickBot="1" x14ac:dyDescent="0.3">
      <c r="B51" s="278"/>
      <c r="C51" s="279"/>
      <c r="D51" s="280"/>
      <c r="E51" s="281"/>
      <c r="F51" s="300"/>
      <c r="G51" s="110"/>
    </row>
    <row r="52" spans="1:10" s="249" customFormat="1" ht="18.75" customHeight="1" x14ac:dyDescent="0.25">
      <c r="A52" s="225"/>
      <c r="B52" s="74" t="s">
        <v>57</v>
      </c>
      <c r="C52" s="294"/>
      <c r="D52" s="295"/>
      <c r="E52" s="187">
        <f>E48*12</f>
        <v>12333760</v>
      </c>
      <c r="F52" s="315">
        <f>F48*12</f>
        <v>11293360</v>
      </c>
      <c r="G52" s="321">
        <f>+E52/$C$13</f>
        <v>6166.88</v>
      </c>
      <c r="H52" s="225"/>
    </row>
    <row r="53" spans="1:10" s="249" customFormat="1" ht="18.75" customHeight="1" x14ac:dyDescent="0.25">
      <c r="A53" s="225"/>
      <c r="B53" s="26" t="s">
        <v>127</v>
      </c>
      <c r="C53" s="27"/>
      <c r="D53" s="296"/>
      <c r="E53" s="29">
        <v>296</v>
      </c>
      <c r="F53" s="316">
        <v>296</v>
      </c>
      <c r="G53" s="320">
        <v>296</v>
      </c>
      <c r="H53" s="225"/>
    </row>
    <row r="54" spans="1:10" s="249" customFormat="1" ht="18.75" customHeight="1" x14ac:dyDescent="0.25">
      <c r="A54" s="225"/>
      <c r="B54" s="26" t="s">
        <v>59</v>
      </c>
      <c r="C54" s="27"/>
      <c r="D54" s="296"/>
      <c r="E54" s="29">
        <f>E52/E53</f>
        <v>41668.108108108107</v>
      </c>
      <c r="F54" s="316">
        <f>F52/F53</f>
        <v>38153.24324324324</v>
      </c>
      <c r="G54" s="318">
        <f>+E54/$C$13</f>
        <v>20.834054054054054</v>
      </c>
      <c r="H54" s="225"/>
    </row>
    <row r="55" spans="1:10" s="249" customFormat="1" ht="18.75" customHeight="1" thickBot="1" x14ac:dyDescent="0.3">
      <c r="A55" s="225"/>
      <c r="B55" s="188" t="s">
        <v>60</v>
      </c>
      <c r="C55" s="69"/>
      <c r="D55" s="297"/>
      <c r="E55" s="82">
        <f>E54/8</f>
        <v>5208.5135135135133</v>
      </c>
      <c r="F55" s="317">
        <f>F54/8</f>
        <v>4769.155405405405</v>
      </c>
      <c r="G55" s="319">
        <f>+E55/$C$13</f>
        <v>2.6042567567567567</v>
      </c>
      <c r="H55" s="225"/>
    </row>
    <row r="56" spans="1:10" s="249" customFormat="1" ht="11.25" customHeight="1" x14ac:dyDescent="0.25">
      <c r="A56" s="225"/>
      <c r="B56" s="238"/>
      <c r="C56" s="282"/>
      <c r="D56" s="283"/>
      <c r="E56" s="281"/>
      <c r="F56" s="234"/>
      <c r="G56" s="208"/>
      <c r="H56" s="225"/>
    </row>
    <row r="57" spans="1:10" s="249" customFormat="1" ht="11.25" customHeight="1" thickBot="1" x14ac:dyDescent="0.3">
      <c r="A57" s="225"/>
      <c r="B57" s="238"/>
      <c r="C57" s="282"/>
      <c r="D57" s="283"/>
      <c r="E57" s="281"/>
      <c r="F57" s="234"/>
      <c r="G57" s="208"/>
      <c r="H57" s="225"/>
    </row>
    <row r="58" spans="1:10" s="249" customFormat="1" ht="18.75" customHeight="1" thickBot="1" x14ac:dyDescent="0.3">
      <c r="A58" s="225"/>
      <c r="B58" s="45" t="s">
        <v>61</v>
      </c>
      <c r="C58" s="46"/>
      <c r="D58" s="47" t="s">
        <v>13</v>
      </c>
      <c r="E58" s="48" t="s">
        <v>62</v>
      </c>
      <c r="F58" s="301" t="s">
        <v>63</v>
      </c>
      <c r="G58" s="49" t="s">
        <v>62</v>
      </c>
    </row>
    <row r="59" spans="1:10" s="249" customFormat="1" ht="18.75" customHeight="1" x14ac:dyDescent="0.25">
      <c r="A59" s="225"/>
      <c r="B59" s="50" t="s">
        <v>64</v>
      </c>
      <c r="C59" s="51" t="s">
        <v>112</v>
      </c>
      <c r="D59" s="52"/>
      <c r="E59" s="213">
        <f>(E18/30)/8</f>
        <v>2566.6666666666665</v>
      </c>
      <c r="F59" s="302"/>
      <c r="G59" s="298"/>
      <c r="H59" s="225"/>
      <c r="I59" s="253"/>
    </row>
    <row r="60" spans="1:10" s="249" customFormat="1" ht="18.75" customHeight="1" x14ac:dyDescent="0.25">
      <c r="A60" s="225"/>
      <c r="B60" s="39" t="s">
        <v>66</v>
      </c>
      <c r="C60" s="37" t="s">
        <v>113</v>
      </c>
      <c r="D60" s="54">
        <v>0.35</v>
      </c>
      <c r="E60" s="214">
        <f>$E$59*D60</f>
        <v>898.33333333333326</v>
      </c>
      <c r="F60" s="303"/>
      <c r="G60" s="190">
        <f t="shared" ref="G60:G68" si="2">E60*F60</f>
        <v>0</v>
      </c>
      <c r="H60" s="225"/>
      <c r="I60" s="284"/>
      <c r="J60" s="264"/>
    </row>
    <row r="61" spans="1:10" s="249" customFormat="1" ht="18.75" customHeight="1" x14ac:dyDescent="0.25">
      <c r="A61" s="225"/>
      <c r="B61" s="39" t="s">
        <v>68</v>
      </c>
      <c r="C61" s="37" t="s">
        <v>69</v>
      </c>
      <c r="D61" s="54">
        <v>0.75</v>
      </c>
      <c r="E61" s="214">
        <f>$E$59*D61</f>
        <v>1925</v>
      </c>
      <c r="F61" s="303"/>
      <c r="G61" s="190">
        <f t="shared" si="2"/>
        <v>0</v>
      </c>
      <c r="H61" s="225"/>
      <c r="I61" s="284"/>
    </row>
    <row r="62" spans="1:10" s="249" customFormat="1" ht="18.75" customHeight="1" x14ac:dyDescent="0.25">
      <c r="A62" s="225"/>
      <c r="B62" s="56" t="s">
        <v>70</v>
      </c>
      <c r="C62" s="57" t="s">
        <v>71</v>
      </c>
      <c r="D62" s="58">
        <v>1.75</v>
      </c>
      <c r="E62" s="214">
        <f>$E$59*D62</f>
        <v>4491.6666666666661</v>
      </c>
      <c r="F62" s="304"/>
      <c r="G62" s="190">
        <f t="shared" si="2"/>
        <v>0</v>
      </c>
      <c r="H62" s="225"/>
      <c r="I62" s="253"/>
    </row>
    <row r="63" spans="1:10" s="249" customFormat="1" ht="18.75" customHeight="1" x14ac:dyDescent="0.25">
      <c r="A63" s="225"/>
      <c r="B63" s="26" t="s">
        <v>72</v>
      </c>
      <c r="C63" s="27" t="s">
        <v>73</v>
      </c>
      <c r="D63" s="222">
        <v>1.1000000000000001</v>
      </c>
      <c r="E63" s="215">
        <f t="shared" ref="E63:E68" si="3">$E$59*D63</f>
        <v>2823.3333333333335</v>
      </c>
      <c r="F63" s="304"/>
      <c r="G63" s="190">
        <f t="shared" si="2"/>
        <v>0</v>
      </c>
      <c r="H63" s="225"/>
      <c r="I63" s="253"/>
    </row>
    <row r="64" spans="1:10" s="249" customFormat="1" ht="18.75" customHeight="1" x14ac:dyDescent="0.25">
      <c r="A64" s="225"/>
      <c r="B64" s="86" t="s">
        <v>74</v>
      </c>
      <c r="C64" s="27" t="s">
        <v>75</v>
      </c>
      <c r="D64" s="223">
        <v>2.1</v>
      </c>
      <c r="E64" s="215">
        <f t="shared" si="3"/>
        <v>5390</v>
      </c>
      <c r="F64" s="304"/>
      <c r="G64" s="190">
        <f t="shared" si="2"/>
        <v>0</v>
      </c>
      <c r="H64" s="225"/>
      <c r="J64" s="253"/>
    </row>
    <row r="65" spans="1:10" s="249" customFormat="1" ht="18.75" customHeight="1" x14ac:dyDescent="0.25">
      <c r="A65" s="225"/>
      <c r="B65" s="59" t="s">
        <v>76</v>
      </c>
      <c r="C65" s="60" t="s">
        <v>77</v>
      </c>
      <c r="D65" s="61">
        <v>1.25</v>
      </c>
      <c r="E65" s="215">
        <f t="shared" si="3"/>
        <v>3208.333333333333</v>
      </c>
      <c r="F65" s="303"/>
      <c r="G65" s="190">
        <f t="shared" si="2"/>
        <v>0</v>
      </c>
      <c r="H65" s="225"/>
      <c r="J65" s="253"/>
    </row>
    <row r="66" spans="1:10" s="249" customFormat="1" ht="18.75" customHeight="1" x14ac:dyDescent="0.25">
      <c r="A66" s="225"/>
      <c r="B66" s="62" t="s">
        <v>78</v>
      </c>
      <c r="C66" s="37" t="s">
        <v>79</v>
      </c>
      <c r="D66" s="54">
        <v>1.75</v>
      </c>
      <c r="E66" s="215">
        <f t="shared" si="3"/>
        <v>4491.6666666666661</v>
      </c>
      <c r="F66" s="305"/>
      <c r="G66" s="190">
        <f t="shared" si="2"/>
        <v>0</v>
      </c>
      <c r="H66" s="225"/>
    </row>
    <row r="67" spans="1:10" s="249" customFormat="1" ht="18.75" customHeight="1" x14ac:dyDescent="0.25">
      <c r="A67" s="225"/>
      <c r="B67" s="62" t="s">
        <v>80</v>
      </c>
      <c r="C67" s="37" t="s">
        <v>81</v>
      </c>
      <c r="D67" s="54">
        <v>2</v>
      </c>
      <c r="E67" s="215">
        <f t="shared" si="3"/>
        <v>5133.333333333333</v>
      </c>
      <c r="F67" s="305"/>
      <c r="G67" s="190">
        <f t="shared" si="2"/>
        <v>0</v>
      </c>
      <c r="H67" s="225"/>
    </row>
    <row r="68" spans="1:10" s="249" customFormat="1" ht="18.75" customHeight="1" thickBot="1" x14ac:dyDescent="0.3">
      <c r="A68" s="225"/>
      <c r="B68" s="63" t="s">
        <v>82</v>
      </c>
      <c r="C68" s="64" t="s">
        <v>83</v>
      </c>
      <c r="D68" s="65">
        <v>2.5</v>
      </c>
      <c r="E68" s="216">
        <f t="shared" si="3"/>
        <v>6416.6666666666661</v>
      </c>
      <c r="F68" s="306"/>
      <c r="G68" s="193">
        <f t="shared" si="2"/>
        <v>0</v>
      </c>
      <c r="H68" s="225"/>
    </row>
    <row r="69" spans="1:10" s="249" customFormat="1" ht="18.75" customHeight="1" thickBot="1" x14ac:dyDescent="0.3">
      <c r="A69" s="225"/>
      <c r="B69" s="95" t="s">
        <v>128</v>
      </c>
      <c r="C69" s="226"/>
      <c r="D69" s="227"/>
      <c r="E69" s="228"/>
      <c r="F69" s="234"/>
      <c r="G69" s="66">
        <f>SUM(G60:G68)</f>
        <v>0</v>
      </c>
      <c r="H69" s="225"/>
    </row>
    <row r="70" spans="1:10" s="249" customFormat="1" ht="13.5" customHeight="1" thickBot="1" x14ac:dyDescent="0.3">
      <c r="A70" s="225"/>
      <c r="B70" s="238"/>
      <c r="C70" s="282"/>
      <c r="D70" s="283"/>
      <c r="E70" s="281"/>
      <c r="F70" s="234"/>
      <c r="G70" s="208"/>
      <c r="H70" s="225"/>
    </row>
    <row r="71" spans="1:10" s="249" customFormat="1" ht="18.75" customHeight="1" thickBot="1" x14ac:dyDescent="0.3">
      <c r="A71" s="225"/>
      <c r="B71" s="113" t="s">
        <v>85</v>
      </c>
      <c r="C71" s="114"/>
      <c r="D71" s="105" t="s">
        <v>13</v>
      </c>
      <c r="E71" s="48" t="s">
        <v>62</v>
      </c>
      <c r="F71" s="234"/>
      <c r="G71" s="208"/>
      <c r="H71" s="225"/>
    </row>
    <row r="72" spans="1:10" s="249" customFormat="1" ht="18.75" customHeight="1" x14ac:dyDescent="0.25">
      <c r="A72" s="225"/>
      <c r="B72" s="74" t="s">
        <v>86</v>
      </c>
      <c r="C72" s="67" t="s">
        <v>87</v>
      </c>
      <c r="D72" s="295"/>
      <c r="E72" s="291"/>
      <c r="F72" s="234"/>
      <c r="G72" s="208"/>
      <c r="H72" s="225"/>
    </row>
    <row r="73" spans="1:10" s="249" customFormat="1" ht="18.75" customHeight="1" x14ac:dyDescent="0.25">
      <c r="A73" s="225"/>
      <c r="B73" s="26" t="s">
        <v>88</v>
      </c>
      <c r="C73" s="27" t="s">
        <v>89</v>
      </c>
      <c r="D73" s="54">
        <v>0.04</v>
      </c>
      <c r="E73" s="217">
        <f>ROUND(IF($E$18+E20+E21+E22&lt;=($C$5*25),ROUND($E$18+E20+E21+E22,-3),ROUND($C$5*25,-3))*D73,-2)</f>
        <v>24600</v>
      </c>
      <c r="F73" s="234"/>
      <c r="G73" s="208"/>
      <c r="H73" s="225"/>
    </row>
    <row r="74" spans="1:10" s="249" customFormat="1" ht="18.75" customHeight="1" x14ac:dyDescent="0.25">
      <c r="A74" s="225"/>
      <c r="B74" s="26" t="s">
        <v>90</v>
      </c>
      <c r="C74" s="37" t="s">
        <v>91</v>
      </c>
      <c r="D74" s="54">
        <v>0.04</v>
      </c>
      <c r="E74" s="217">
        <f>ROUND(IF($E$18+E20+E21+E22&lt;=($C$5*25),ROUND($E$18+E20+E21+E22,-3),ROUND($C$5*25,-3))*D74,-2)</f>
        <v>24600</v>
      </c>
      <c r="F74" s="234"/>
      <c r="G74" s="208"/>
      <c r="H74" s="225"/>
    </row>
    <row r="75" spans="1:10" s="249" customFormat="1" ht="18.75" customHeight="1" x14ac:dyDescent="0.25">
      <c r="A75" s="225"/>
      <c r="B75" s="26" t="s">
        <v>92</v>
      </c>
      <c r="C75" s="37" t="s">
        <v>93</v>
      </c>
      <c r="D75" s="79">
        <f>IF(E18+E20+E21+E22&lt;(C5*4),0,0.01)</f>
        <v>0</v>
      </c>
      <c r="E75" s="29">
        <f>IF(E18+E20+E21+E22&lt;(C5*4),0,(E18+E20+E21+E22)*D75)</f>
        <v>0</v>
      </c>
      <c r="F75" s="234"/>
      <c r="G75" s="208"/>
      <c r="H75" s="225"/>
    </row>
    <row r="76" spans="1:10" s="249" customFormat="1" ht="18.75" customHeight="1" x14ac:dyDescent="0.25">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
      <c r="A77" s="225"/>
      <c r="B77" s="94" t="s">
        <v>96</v>
      </c>
      <c r="C77" s="69"/>
      <c r="D77" s="196"/>
      <c r="E77" s="70">
        <f>SUM(E72:E76)</f>
        <v>49200</v>
      </c>
      <c r="F77" s="234"/>
      <c r="G77" s="208"/>
      <c r="H77" s="225"/>
    </row>
    <row r="78" spans="1:10" s="249" customFormat="1" ht="13.5" customHeight="1" x14ac:dyDescent="0.25">
      <c r="A78" s="225"/>
      <c r="B78" s="238"/>
      <c r="C78" s="282"/>
      <c r="D78" s="283"/>
      <c r="E78" s="281"/>
      <c r="F78" s="234"/>
      <c r="G78" s="208"/>
      <c r="H78" s="225"/>
    </row>
    <row r="79" spans="1:10" ht="13.5" customHeight="1" thickBot="1" x14ac:dyDescent="0.3">
      <c r="B79" s="238"/>
      <c r="C79" s="282"/>
      <c r="D79" s="285"/>
      <c r="E79" s="281"/>
    </row>
    <row r="80" spans="1:10" ht="16.5" thickBot="1" x14ac:dyDescent="0.3">
      <c r="B80" s="71" t="s">
        <v>97</v>
      </c>
      <c r="C80" s="72"/>
      <c r="D80" s="19"/>
      <c r="E80" s="73"/>
    </row>
    <row r="81" spans="2:256" ht="15.75" x14ac:dyDescent="0.25">
      <c r="B81" s="74" t="s">
        <v>98</v>
      </c>
      <c r="C81" s="218">
        <f>$C$5*16</f>
        <v>9856000</v>
      </c>
      <c r="D81" s="75">
        <v>0</v>
      </c>
      <c r="E81" s="76"/>
    </row>
    <row r="82" spans="2:256" ht="15.75" x14ac:dyDescent="0.25">
      <c r="B82" s="39" t="s">
        <v>99</v>
      </c>
      <c r="C82" s="219">
        <f>$C$5*17</f>
        <v>10472000</v>
      </c>
      <c r="D82" s="77">
        <v>2E-3</v>
      </c>
      <c r="E82" s="78"/>
    </row>
    <row r="83" spans="2:256" ht="15.75" x14ac:dyDescent="0.25">
      <c r="B83" s="39" t="s">
        <v>100</v>
      </c>
      <c r="C83" s="220">
        <f>$C$5*18</f>
        <v>11088000</v>
      </c>
      <c r="D83" s="79">
        <v>4.0000000000000001E-3</v>
      </c>
      <c r="E83" s="29"/>
    </row>
    <row r="84" spans="2:256" ht="15.75" x14ac:dyDescent="0.25">
      <c r="B84" s="39" t="s">
        <v>101</v>
      </c>
      <c r="C84" s="220">
        <f>$C$5*19</f>
        <v>11704000</v>
      </c>
      <c r="D84" s="79">
        <v>6.0000000000000001E-3</v>
      </c>
      <c r="E84" s="29"/>
    </row>
    <row r="85" spans="2:256" ht="15.75" x14ac:dyDescent="0.25">
      <c r="B85" s="39" t="s">
        <v>102</v>
      </c>
      <c r="C85" s="220">
        <f>$C$5*20</f>
        <v>12320000</v>
      </c>
      <c r="D85" s="79">
        <v>8.0000000000000002E-3</v>
      </c>
      <c r="E85" s="29"/>
    </row>
    <row r="86" spans="2:256" ht="16.5" thickBot="1" x14ac:dyDescent="0.3">
      <c r="B86" s="80" t="s">
        <v>103</v>
      </c>
      <c r="C86" s="221">
        <v>12320000</v>
      </c>
      <c r="D86" s="81">
        <v>0.01</v>
      </c>
      <c r="E86" s="82"/>
      <c r="IV86" s="225">
        <v>2013</v>
      </c>
    </row>
    <row r="87" spans="2:256" x14ac:dyDescent="0.2">
      <c r="B87" s="245"/>
      <c r="C87" s="287"/>
      <c r="D87" s="288"/>
      <c r="E87" s="149" t="str">
        <f>+B69</f>
        <v>V1.2 Enero 4 de 2014</v>
      </c>
    </row>
    <row r="88" spans="2:256" ht="14.25" x14ac:dyDescent="0.2">
      <c r="D88" s="289"/>
      <c r="E88" s="290"/>
    </row>
    <row r="89" spans="2:256" ht="15" x14ac:dyDescent="0.2">
      <c r="C89" s="286"/>
    </row>
    <row r="90" spans="2:256" ht="15" x14ac:dyDescent="0.2">
      <c r="C90" s="286"/>
    </row>
    <row r="91" spans="2:256" ht="15" x14ac:dyDescent="0.2">
      <c r="C91" s="286"/>
    </row>
    <row r="92" spans="2:256" ht="15" x14ac:dyDescent="0.2">
      <c r="C92" s="286"/>
    </row>
    <row r="93" spans="2:256" ht="15" x14ac:dyDescent="0.2">
      <c r="C93" s="286"/>
    </row>
    <row r="94" spans="2:256" ht="15" x14ac:dyDescent="0.2">
      <c r="C94" s="286"/>
    </row>
    <row r="95" spans="2:256" ht="15" x14ac:dyDescent="0.2">
      <c r="C95" s="286"/>
    </row>
    <row r="96" spans="2:256" ht="15" x14ac:dyDescent="0.2">
      <c r="C96" s="286"/>
    </row>
    <row r="97" spans="3:3" ht="15" x14ac:dyDescent="0.2">
      <c r="C97" s="286"/>
    </row>
    <row r="98" spans="3:3" ht="15" x14ac:dyDescent="0.2">
      <c r="C98" s="286"/>
    </row>
    <row r="99" spans="3:3" ht="15" x14ac:dyDescent="0.2">
      <c r="C99" s="286"/>
    </row>
    <row r="65536" spans="256:256" x14ac:dyDescent="0.2">
      <c r="IV65536" s="322">
        <v>2014</v>
      </c>
    </row>
  </sheetData>
  <sheetProtection password="CC2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scale="77" fitToPage="1">
      <selection activeCell="E8" sqref="E8"/>
      <pageMargins left="0" right="0" top="0" bottom="0" header="0" footer="0"/>
      <pageSetup scale="10" fitToHeight="0" orientation="portrait" horizontalDpi="300" verticalDpi="300" r:id="rId1"/>
    </customSheetView>
  </customSheetViews>
  <dataValidations disablePrompts="1" count="2">
    <dataValidation type="list" allowBlank="1" showInputMessage="1" showErrorMessage="1" sqref="C11" xr:uid="{00000000-0002-0000-0500-000000000000}">
      <formula1>$IV$6:$IV$10</formula1>
    </dataValidation>
    <dataValidation type="list" allowBlank="1" showInputMessage="1" showErrorMessage="1" sqref="D13" xr:uid="{00000000-0002-0000-0500-000001000000}">
      <formula1>$IV$13:$IV$16</formula1>
    </dataValidation>
  </dataValidations>
  <pageMargins left="0.70866141732283472" right="0.70866141732283472" top="0.39370078740157483" bottom="0" header="0.31496062992125984" footer="0.31496062992125984"/>
  <pageSetup scale="10" fitToHeight="0" orientation="portrait" horizontalDpi="300" verticalDpi="30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IV65536"/>
  <sheetViews>
    <sheetView topLeftCell="C5" zoomScale="150" zoomScaleNormal="150" zoomScalePageLayoutView="150" workbookViewId="0">
      <selection activeCell="C5" sqref="C5"/>
    </sheetView>
  </sheetViews>
  <sheetFormatPr baseColWidth="10" defaultColWidth="11.42578125" defaultRowHeight="12.75" x14ac:dyDescent="0.2"/>
  <cols>
    <col min="1" max="1" width="3.28515625" style="225" customWidth="1"/>
    <col min="2" max="2" width="45.28515625" style="225" customWidth="1"/>
    <col min="3" max="3" width="58.85546875" style="226" customWidth="1"/>
    <col min="4" max="4" width="11" style="227" customWidth="1"/>
    <col min="5" max="5" width="17.28515625" style="228" customWidth="1"/>
    <col min="6" max="6" width="10.42578125" style="323" customWidth="1"/>
    <col min="7" max="7" width="13.85546875" style="323" customWidth="1"/>
    <col min="8" max="8" width="7.7109375" style="225" customWidth="1"/>
    <col min="9" max="9" width="13.28515625" style="225" bestFit="1" customWidth="1"/>
    <col min="10" max="10" width="12" style="225" bestFit="1" customWidth="1"/>
    <col min="11" max="16384" width="11.42578125" style="225"/>
  </cols>
  <sheetData>
    <row r="1" spans="2:256" ht="11.25" customHeight="1" x14ac:dyDescent="0.2"/>
    <row r="2" spans="2:256" ht="18" customHeight="1" x14ac:dyDescent="0.25">
      <c r="B2" s="87" t="s">
        <v>0</v>
      </c>
      <c r="C2" s="229"/>
      <c r="D2" s="230"/>
      <c r="E2" s="231"/>
    </row>
    <row r="3" spans="2:256" ht="14.25" customHeight="1" thickBot="1" x14ac:dyDescent="0.25"/>
    <row r="4" spans="2:256" ht="18.75" customHeight="1" thickBot="1" x14ac:dyDescent="0.35">
      <c r="B4" s="146" t="s">
        <v>129</v>
      </c>
      <c r="C4" s="232"/>
      <c r="E4" s="233"/>
    </row>
    <row r="5" spans="2:256" ht="18.75" customHeight="1" x14ac:dyDescent="0.25">
      <c r="B5" s="6" t="s">
        <v>2</v>
      </c>
      <c r="C5" s="76">
        <v>589500</v>
      </c>
      <c r="E5" s="234"/>
      <c r="G5" s="234"/>
      <c r="I5" s="323"/>
    </row>
    <row r="6" spans="2:256" ht="18.75" customHeight="1" thickBot="1" x14ac:dyDescent="0.3">
      <c r="B6" s="159" t="s">
        <v>3</v>
      </c>
      <c r="C6" s="82">
        <v>70500</v>
      </c>
      <c r="G6" s="234"/>
      <c r="I6" s="235"/>
      <c r="J6" s="236"/>
      <c r="IV6" s="237">
        <v>5.2199999999999998E-3</v>
      </c>
    </row>
    <row r="7" spans="2:256" ht="13.5" customHeight="1" x14ac:dyDescent="0.25">
      <c r="B7" s="238"/>
      <c r="C7" s="239"/>
      <c r="G7" s="234"/>
      <c r="IV7" s="237">
        <v>1.044E-2</v>
      </c>
    </row>
    <row r="8" spans="2:256" ht="12.75" customHeight="1" x14ac:dyDescent="0.2">
      <c r="B8" s="238"/>
      <c r="C8" s="238"/>
      <c r="G8" s="234"/>
      <c r="IV8" s="237">
        <v>2.436E-2</v>
      </c>
    </row>
    <row r="9" spans="2:256" ht="12" customHeight="1" thickBot="1" x14ac:dyDescent="0.25">
      <c r="B9" s="9" t="s">
        <v>4</v>
      </c>
      <c r="C9" s="240" t="s">
        <v>130</v>
      </c>
      <c r="D9" s="241"/>
      <c r="E9" s="242"/>
      <c r="IV9" s="237">
        <v>4.3499999999999997E-2</v>
      </c>
    </row>
    <row r="10" spans="2:256" ht="18.75" customHeight="1" x14ac:dyDescent="0.25">
      <c r="B10" s="11" t="s">
        <v>6</v>
      </c>
      <c r="C10" s="291">
        <v>589500</v>
      </c>
      <c r="D10" s="243"/>
      <c r="E10" s="244"/>
      <c r="G10" s="324"/>
      <c r="H10" s="245"/>
      <c r="IV10" s="237">
        <v>6.9599999999999995E-2</v>
      </c>
    </row>
    <row r="11" spans="2:256" ht="18.75" customHeight="1" x14ac:dyDescent="0.25">
      <c r="B11" s="13" t="s">
        <v>7</v>
      </c>
      <c r="C11" s="292">
        <v>2.436E-2</v>
      </c>
      <c r="D11" s="241"/>
      <c r="E11" s="244"/>
      <c r="G11" s="325"/>
      <c r="H11" s="245"/>
    </row>
    <row r="12" spans="2:256" ht="18.75" customHeight="1" thickBot="1" x14ac:dyDescent="0.3">
      <c r="B12" s="15" t="s">
        <v>8</v>
      </c>
      <c r="C12" s="326"/>
      <c r="D12" s="241"/>
      <c r="E12" s="242"/>
      <c r="G12" s="247"/>
      <c r="H12" s="245"/>
      <c r="IR12" s="248"/>
      <c r="IV12" s="249"/>
    </row>
    <row r="13" spans="2:256" ht="10.5" customHeight="1" x14ac:dyDescent="0.2">
      <c r="B13" s="238"/>
      <c r="C13" s="247"/>
      <c r="D13" s="241"/>
      <c r="E13" s="242"/>
      <c r="G13" s="325"/>
      <c r="H13" s="245"/>
      <c r="IR13" s="248"/>
    </row>
    <row r="14" spans="2:256" ht="10.5" customHeight="1" thickBot="1" x14ac:dyDescent="0.25">
      <c r="B14" s="250"/>
      <c r="C14" s="251"/>
      <c r="D14" s="252"/>
      <c r="F14" s="327"/>
      <c r="G14" s="325"/>
      <c r="H14" s="245"/>
      <c r="IR14" s="248"/>
    </row>
    <row r="15" spans="2:256" s="249" customFormat="1" ht="18.75" customHeight="1" x14ac:dyDescent="0.25">
      <c r="B15" s="96" t="s">
        <v>11</v>
      </c>
      <c r="C15" s="97" t="s">
        <v>12</v>
      </c>
      <c r="D15" s="98" t="s">
        <v>13</v>
      </c>
      <c r="E15" s="99" t="s">
        <v>131</v>
      </c>
      <c r="F15" s="328"/>
      <c r="G15" s="325"/>
      <c r="H15" s="245"/>
      <c r="IR15" s="253"/>
    </row>
    <row r="16" spans="2:256" s="249" customFormat="1" ht="9" customHeight="1" x14ac:dyDescent="0.25">
      <c r="B16" s="254"/>
      <c r="C16" s="239"/>
      <c r="D16" s="239"/>
      <c r="E16" s="255"/>
      <c r="F16" s="328"/>
      <c r="G16" s="328"/>
      <c r="IR16" s="253"/>
    </row>
    <row r="17" spans="2:252" s="249" customFormat="1" ht="18.75" customHeight="1" x14ac:dyDescent="0.25">
      <c r="B17" s="256" t="s">
        <v>17</v>
      </c>
      <c r="C17" s="257"/>
      <c r="D17" s="258"/>
      <c r="E17" s="259"/>
      <c r="F17" s="328"/>
      <c r="G17" s="328"/>
      <c r="IR17" s="253"/>
    </row>
    <row r="18" spans="2:252" s="249" customFormat="1" ht="18.75" customHeight="1" x14ac:dyDescent="0.25">
      <c r="B18" s="26" t="s">
        <v>18</v>
      </c>
      <c r="C18" s="27" t="s">
        <v>19</v>
      </c>
      <c r="D18" s="28"/>
      <c r="E18" s="29">
        <f>IF(C10&lt;C5,FALSE,C10)</f>
        <v>589500</v>
      </c>
      <c r="F18" s="329"/>
      <c r="G18" s="328"/>
      <c r="IR18" s="253"/>
    </row>
    <row r="19" spans="2:252" s="249" customFormat="1" ht="18.75" customHeight="1" x14ac:dyDescent="0.25">
      <c r="B19" s="26" t="s">
        <v>20</v>
      </c>
      <c r="C19" s="27" t="s">
        <v>132</v>
      </c>
      <c r="D19" s="28"/>
      <c r="E19" s="29">
        <f>IF(E18+E20+E21+E22&lt;=(C5*2),C6,0)</f>
        <v>70500</v>
      </c>
      <c r="F19" s="329"/>
      <c r="G19" s="328"/>
    </row>
    <row r="20" spans="2:252" s="249" customFormat="1" ht="18.75" customHeight="1" x14ac:dyDescent="0.25">
      <c r="B20" s="26" t="s">
        <v>22</v>
      </c>
      <c r="C20" s="27" t="s">
        <v>23</v>
      </c>
      <c r="D20" s="262"/>
      <c r="E20" s="263"/>
      <c r="F20" s="329"/>
      <c r="G20" s="328"/>
      <c r="J20" s="264"/>
    </row>
    <row r="21" spans="2:252" s="249" customFormat="1" ht="18.75" customHeight="1" x14ac:dyDescent="0.25">
      <c r="B21" s="26" t="s">
        <v>118</v>
      </c>
      <c r="C21" s="27" t="s">
        <v>25</v>
      </c>
      <c r="D21" s="262"/>
      <c r="E21" s="263"/>
      <c r="F21" s="329"/>
      <c r="G21" s="328"/>
    </row>
    <row r="22" spans="2:252" s="249" customFormat="1" ht="18.75" customHeight="1" x14ac:dyDescent="0.25">
      <c r="B22" s="26" t="s">
        <v>26</v>
      </c>
      <c r="C22" s="27" t="s">
        <v>110</v>
      </c>
      <c r="D22" s="262"/>
      <c r="E22" s="263"/>
      <c r="F22" s="329"/>
      <c r="G22" s="328"/>
    </row>
    <row r="23" spans="2:252" s="249" customFormat="1" ht="18.75" customHeight="1" x14ac:dyDescent="0.25">
      <c r="B23" s="148" t="s">
        <v>28</v>
      </c>
      <c r="C23" s="265"/>
      <c r="D23" s="266"/>
      <c r="E23" s="30">
        <f>SUM(E18:E22)</f>
        <v>660000</v>
      </c>
      <c r="F23" s="330"/>
      <c r="G23" s="330"/>
    </row>
    <row r="24" spans="2:252" s="249" customFormat="1" ht="18.75" customHeight="1" x14ac:dyDescent="0.25">
      <c r="B24" s="267"/>
      <c r="C24" s="268"/>
      <c r="D24" s="269"/>
      <c r="E24" s="263"/>
      <c r="F24" s="330"/>
      <c r="G24" s="330"/>
    </row>
    <row r="25" spans="2:252" s="249" customFormat="1" ht="18.75" customHeight="1" x14ac:dyDescent="0.25">
      <c r="B25" s="270" t="s">
        <v>29</v>
      </c>
      <c r="C25" s="257"/>
      <c r="D25" s="258"/>
      <c r="E25" s="263"/>
      <c r="F25" s="330"/>
      <c r="G25" s="330"/>
    </row>
    <row r="26" spans="2:252" s="249" customFormat="1" ht="18.75" customHeight="1" x14ac:dyDescent="0.25">
      <c r="B26" s="26" t="s">
        <v>30</v>
      </c>
      <c r="C26" s="27" t="s">
        <v>31</v>
      </c>
      <c r="D26" s="35">
        <v>8.3333333333333343E-2</v>
      </c>
      <c r="E26" s="29">
        <f>E23*D26</f>
        <v>55000.000000000007</v>
      </c>
      <c r="F26" s="328"/>
      <c r="G26" s="328"/>
    </row>
    <row r="27" spans="2:252" s="249" customFormat="1" ht="18.75" customHeight="1" x14ac:dyDescent="0.25">
      <c r="B27" s="26" t="s">
        <v>32</v>
      </c>
      <c r="C27" s="27" t="s">
        <v>33</v>
      </c>
      <c r="D27" s="36">
        <v>0.12</v>
      </c>
      <c r="E27" s="29">
        <f>+E26*D27</f>
        <v>6600.0000000000009</v>
      </c>
      <c r="F27" s="328"/>
      <c r="G27" s="328"/>
    </row>
    <row r="28" spans="2:252" s="249" customFormat="1" ht="18.75" customHeight="1" x14ac:dyDescent="0.25">
      <c r="B28" s="26" t="s">
        <v>34</v>
      </c>
      <c r="C28" s="27" t="s">
        <v>31</v>
      </c>
      <c r="D28" s="35">
        <v>8.3333333333333343E-2</v>
      </c>
      <c r="E28" s="29">
        <f>E23*D28</f>
        <v>55000.000000000007</v>
      </c>
      <c r="F28" s="328"/>
      <c r="G28" s="328"/>
    </row>
    <row r="29" spans="2:252" s="249" customFormat="1" ht="18.75" customHeight="1" x14ac:dyDescent="0.25">
      <c r="B29" s="26" t="s">
        <v>35</v>
      </c>
      <c r="C29" s="37" t="s">
        <v>36</v>
      </c>
      <c r="D29" s="35">
        <v>4.1666666666666664E-2</v>
      </c>
      <c r="E29" s="29">
        <f>(E18+E20)*D29</f>
        <v>24562.5</v>
      </c>
      <c r="F29" s="328"/>
      <c r="G29" s="331"/>
    </row>
    <row r="30" spans="2:252" s="249" customFormat="1" ht="18.75" customHeight="1" x14ac:dyDescent="0.25">
      <c r="B30" s="177" t="s">
        <v>37</v>
      </c>
      <c r="C30" s="38"/>
      <c r="D30" s="33"/>
      <c r="E30" s="30">
        <f>SUM(E26:E29)</f>
        <v>141162.5</v>
      </c>
      <c r="F30" s="328"/>
      <c r="G30" s="328"/>
    </row>
    <row r="31" spans="2:252" s="249" customFormat="1" ht="18.75" customHeight="1" x14ac:dyDescent="0.2">
      <c r="B31" s="260"/>
      <c r="C31" s="261"/>
      <c r="D31" s="262"/>
      <c r="E31" s="259"/>
      <c r="F31" s="328"/>
      <c r="G31" s="328"/>
      <c r="H31" s="238"/>
    </row>
    <row r="32" spans="2:252" s="249" customFormat="1" ht="18.75" customHeight="1" x14ac:dyDescent="0.25">
      <c r="B32" s="256" t="s">
        <v>38</v>
      </c>
      <c r="C32" s="257"/>
      <c r="D32" s="258"/>
      <c r="E32" s="259"/>
      <c r="F32" s="328"/>
      <c r="G32" s="328"/>
      <c r="H32" s="238"/>
    </row>
    <row r="33" spans="2:9" s="249" customFormat="1" ht="18.75" customHeight="1" x14ac:dyDescent="0.25">
      <c r="B33" s="39" t="s">
        <v>39</v>
      </c>
      <c r="C33" s="85">
        <f>ROUND(IF($E$18+E20+E21+E22&lt;=($C$5*25),ROUND($E$18+E20+E21+E22,-3),ROUND($C$5*25,-3))*0.125,-2)</f>
        <v>73800</v>
      </c>
      <c r="D33" s="36">
        <v>8.5000000000000006E-2</v>
      </c>
      <c r="E33" s="29">
        <f>C33-E73</f>
        <v>50200</v>
      </c>
      <c r="F33" s="328"/>
      <c r="G33" s="332"/>
      <c r="H33" s="274"/>
      <c r="I33" s="275"/>
    </row>
    <row r="34" spans="2:9" s="249" customFormat="1" ht="18.75" customHeight="1" x14ac:dyDescent="0.25">
      <c r="B34" s="26" t="s">
        <v>40</v>
      </c>
      <c r="C34" s="85">
        <f>ROUND(IF($E$18+E20+E21+E22&lt;=($C$5*25),ROUND($E$18+E20+E21+E22,-3),ROUND($C$5*25,-3))*0.16,-2)</f>
        <v>94400</v>
      </c>
      <c r="D34" s="36">
        <v>0.12</v>
      </c>
      <c r="E34" s="29">
        <f>C34-E74</f>
        <v>70800</v>
      </c>
      <c r="F34" s="328"/>
      <c r="G34" s="332"/>
      <c r="H34" s="276"/>
    </row>
    <row r="35" spans="2:9" s="249" customFormat="1" ht="18.75" customHeight="1" x14ac:dyDescent="0.25">
      <c r="B35" s="26" t="s">
        <v>119</v>
      </c>
      <c r="C35" s="37" t="s">
        <v>42</v>
      </c>
      <c r="D35" s="28">
        <f>C11</f>
        <v>2.436E-2</v>
      </c>
      <c r="E35" s="29">
        <f>ROUND(IF($E$18+E21+E20+E22&lt;=($C$5*20),ROUND($E$18+E20+E21+E22,-3),ROUND($C$5*20,-3))*D35,-2)</f>
        <v>14400</v>
      </c>
      <c r="F35" s="328"/>
      <c r="G35" s="332"/>
      <c r="H35" s="238"/>
    </row>
    <row r="36" spans="2:9" s="249" customFormat="1" ht="18.75" customHeight="1" x14ac:dyDescent="0.25">
      <c r="B36" s="26" t="s">
        <v>43</v>
      </c>
      <c r="C36" s="271"/>
      <c r="D36" s="36">
        <v>8.5000000000000006E-2</v>
      </c>
      <c r="E36" s="29">
        <f>ROUND(IF($E$29&lt;=($C$5*25),ROUND($E$29,-3),ROUND($C$5*25,-3))*D36,-2)</f>
        <v>2100</v>
      </c>
      <c r="F36" s="328"/>
      <c r="G36" s="328"/>
    </row>
    <row r="37" spans="2:9" s="249" customFormat="1" ht="18.75" customHeight="1" x14ac:dyDescent="0.25">
      <c r="B37" s="26" t="s">
        <v>44</v>
      </c>
      <c r="C37" s="271"/>
      <c r="D37" s="36">
        <v>0.12</v>
      </c>
      <c r="E37" s="29">
        <f>ROUND(IF($E$29&lt;=($C$5*25),ROUND($E$29,-3),ROUND($C$5*25,-3))*D37,-2)</f>
        <v>3000</v>
      </c>
      <c r="F37" s="328"/>
      <c r="G37" s="328"/>
    </row>
    <row r="38" spans="2:9" s="249" customFormat="1" ht="18.75" customHeight="1" x14ac:dyDescent="0.25">
      <c r="B38" s="177" t="s">
        <v>45</v>
      </c>
      <c r="C38" s="272"/>
      <c r="D38" s="269"/>
      <c r="E38" s="30">
        <f>SUM(E33:E37)</f>
        <v>140500</v>
      </c>
      <c r="F38" s="328"/>
      <c r="G38" s="328"/>
    </row>
    <row r="39" spans="2:9" s="249" customFormat="1" ht="18.75" customHeight="1" x14ac:dyDescent="0.2">
      <c r="B39" s="260"/>
      <c r="C39" s="261"/>
      <c r="D39" s="262"/>
      <c r="E39" s="259"/>
      <c r="F39" s="328"/>
      <c r="G39" s="328"/>
    </row>
    <row r="40" spans="2:9" s="249" customFormat="1" ht="18.75" customHeight="1" x14ac:dyDescent="0.25">
      <c r="B40" s="256" t="s">
        <v>46</v>
      </c>
      <c r="C40" s="257"/>
      <c r="D40" s="258"/>
      <c r="E40" s="259"/>
      <c r="F40" s="328"/>
      <c r="G40" s="328"/>
    </row>
    <row r="41" spans="2:9" s="249" customFormat="1" ht="18.75" customHeight="1" x14ac:dyDescent="0.25">
      <c r="B41" s="26" t="s">
        <v>47</v>
      </c>
      <c r="C41" s="37" t="s">
        <v>133</v>
      </c>
      <c r="D41" s="36">
        <v>0.04</v>
      </c>
      <c r="E41" s="29">
        <f>ROUND(ROUND(E18+E20+E21+E22,-3)*D41,-2)</f>
        <v>23600</v>
      </c>
      <c r="F41" s="328"/>
      <c r="G41" s="328"/>
    </row>
    <row r="42" spans="2:9" s="249" customFormat="1" ht="18.75" customHeight="1" x14ac:dyDescent="0.25">
      <c r="B42" s="26" t="s">
        <v>49</v>
      </c>
      <c r="C42" s="37"/>
      <c r="D42" s="36">
        <v>0.04</v>
      </c>
      <c r="E42" s="29">
        <f>ROUND(ROUND(E29,-3)*D42,-2)</f>
        <v>1000</v>
      </c>
      <c r="F42" s="328"/>
      <c r="G42" s="328"/>
    </row>
    <row r="43" spans="2:9" s="249" customFormat="1" ht="18.75" customHeight="1" x14ac:dyDescent="0.25">
      <c r="B43" s="177" t="s">
        <v>50</v>
      </c>
      <c r="C43" s="38"/>
      <c r="D43" s="33"/>
      <c r="E43" s="30">
        <f>SUM(E41:E42)</f>
        <v>24600</v>
      </c>
      <c r="F43" s="328"/>
      <c r="G43" s="328"/>
    </row>
    <row r="44" spans="2:9" s="249" customFormat="1" ht="18.75" customHeight="1" x14ac:dyDescent="0.2">
      <c r="B44" s="273"/>
      <c r="C44" s="271"/>
      <c r="D44" s="262"/>
      <c r="E44" s="259"/>
      <c r="F44" s="328"/>
      <c r="G44" s="328"/>
    </row>
    <row r="45" spans="2:9" s="249" customFormat="1" ht="18.75" customHeight="1" x14ac:dyDescent="0.25">
      <c r="B45" s="256" t="s">
        <v>51</v>
      </c>
      <c r="C45" s="257"/>
      <c r="D45" s="258"/>
      <c r="E45" s="259"/>
      <c r="F45" s="328"/>
      <c r="G45" s="328"/>
    </row>
    <row r="46" spans="2:9" s="249" customFormat="1" ht="18.75" customHeight="1" x14ac:dyDescent="0.25">
      <c r="B46" s="39" t="s">
        <v>53</v>
      </c>
      <c r="C46" s="37" t="s">
        <v>54</v>
      </c>
      <c r="D46" s="293"/>
      <c r="E46" s="29">
        <f>IF(E18+E20+E21+E22&lt;=C5*2,(C12*3)/12,0)</f>
        <v>0</v>
      </c>
      <c r="F46" s="328"/>
      <c r="G46" s="328"/>
    </row>
    <row r="47" spans="2:9" s="249" customFormat="1" ht="18.75" customHeight="1" x14ac:dyDescent="0.2">
      <c r="B47" s="260"/>
      <c r="C47" s="261"/>
      <c r="D47" s="262"/>
      <c r="E47" s="277"/>
      <c r="F47" s="328"/>
      <c r="G47" s="328"/>
    </row>
    <row r="48" spans="2:9" s="249" customFormat="1" ht="18.75" customHeight="1" x14ac:dyDescent="0.25">
      <c r="B48" s="31" t="s">
        <v>55</v>
      </c>
      <c r="C48" s="32"/>
      <c r="D48" s="33"/>
      <c r="E48" s="30">
        <f>E23+E30+E38+E43+E46</f>
        <v>966262.5</v>
      </c>
      <c r="F48" s="333"/>
      <c r="G48" s="330"/>
    </row>
    <row r="49" spans="1:10" s="249" customFormat="1" ht="18.75" customHeight="1" thickBot="1" x14ac:dyDescent="0.3">
      <c r="B49" s="80" t="s">
        <v>56</v>
      </c>
      <c r="C49" s="43"/>
      <c r="D49" s="44"/>
      <c r="E49" s="93">
        <f>+(E48/(E23-E19))-1</f>
        <v>0.63912213740458013</v>
      </c>
      <c r="F49" s="330"/>
      <c r="G49" s="330"/>
    </row>
    <row r="50" spans="1:10" s="249" customFormat="1" ht="13.5" customHeight="1" x14ac:dyDescent="0.25">
      <c r="B50" s="278"/>
      <c r="C50" s="279"/>
      <c r="D50" s="280"/>
      <c r="E50" s="281"/>
      <c r="F50" s="330"/>
      <c r="G50" s="330"/>
    </row>
    <row r="51" spans="1:10" s="249" customFormat="1" ht="13.5" customHeight="1" thickBot="1" x14ac:dyDescent="0.3">
      <c r="B51" s="278"/>
      <c r="C51" s="279"/>
      <c r="D51" s="280"/>
      <c r="E51" s="281"/>
      <c r="F51" s="330"/>
      <c r="G51" s="330"/>
    </row>
    <row r="52" spans="1:10" s="249" customFormat="1" ht="18.75" customHeight="1" x14ac:dyDescent="0.25">
      <c r="A52" s="225"/>
      <c r="B52" s="74" t="s">
        <v>57</v>
      </c>
      <c r="C52" s="294"/>
      <c r="D52" s="295"/>
      <c r="E52" s="187">
        <f>E48*12</f>
        <v>11595150</v>
      </c>
      <c r="F52" s="323"/>
      <c r="G52" s="323"/>
      <c r="H52" s="225"/>
    </row>
    <row r="53" spans="1:10" s="249" customFormat="1" ht="18.75" customHeight="1" x14ac:dyDescent="0.25">
      <c r="A53" s="225"/>
      <c r="B53" s="26" t="s">
        <v>127</v>
      </c>
      <c r="C53" s="27"/>
      <c r="D53" s="296"/>
      <c r="E53" s="29">
        <v>296</v>
      </c>
      <c r="F53" s="323"/>
      <c r="G53" s="323"/>
      <c r="H53" s="225"/>
    </row>
    <row r="54" spans="1:10" s="249" customFormat="1" ht="18.75" customHeight="1" x14ac:dyDescent="0.25">
      <c r="A54" s="225"/>
      <c r="B54" s="26" t="s">
        <v>59</v>
      </c>
      <c r="C54" s="27"/>
      <c r="D54" s="296"/>
      <c r="E54" s="29">
        <f>E52/E53</f>
        <v>39172.804054054053</v>
      </c>
      <c r="F54" s="323"/>
      <c r="G54" s="323"/>
      <c r="H54" s="225"/>
    </row>
    <row r="55" spans="1:10" s="249" customFormat="1" ht="18.75" customHeight="1" thickBot="1" x14ac:dyDescent="0.3">
      <c r="A55" s="225"/>
      <c r="B55" s="188" t="s">
        <v>60</v>
      </c>
      <c r="C55" s="69"/>
      <c r="D55" s="297"/>
      <c r="E55" s="82">
        <f>E54/8</f>
        <v>4896.6005067567567</v>
      </c>
      <c r="F55" s="323"/>
      <c r="G55" s="323"/>
      <c r="H55" s="225"/>
    </row>
    <row r="56" spans="1:10" s="249" customFormat="1" ht="11.25" customHeight="1" x14ac:dyDescent="0.25">
      <c r="A56" s="225"/>
      <c r="B56" s="238"/>
      <c r="C56" s="282"/>
      <c r="D56" s="283"/>
      <c r="E56" s="281"/>
      <c r="F56" s="323"/>
      <c r="G56" s="323"/>
      <c r="H56" s="225"/>
    </row>
    <row r="57" spans="1:10" s="249" customFormat="1" ht="11.25" customHeight="1" thickBot="1" x14ac:dyDescent="0.3">
      <c r="A57" s="225"/>
      <c r="B57" s="238"/>
      <c r="C57" s="282"/>
      <c r="D57" s="283"/>
      <c r="E57" s="281"/>
      <c r="F57" s="323"/>
      <c r="G57" s="323"/>
      <c r="H57" s="225"/>
    </row>
    <row r="58" spans="1:10" s="249" customFormat="1" ht="18.75" customHeight="1" thickBot="1" x14ac:dyDescent="0.3">
      <c r="A58" s="225"/>
      <c r="B58" s="45" t="s">
        <v>61</v>
      </c>
      <c r="C58" s="46"/>
      <c r="D58" s="47" t="s">
        <v>13</v>
      </c>
      <c r="E58" s="48" t="s">
        <v>62</v>
      </c>
      <c r="F58" s="47" t="s">
        <v>63</v>
      </c>
      <c r="G58" s="49" t="s">
        <v>62</v>
      </c>
    </row>
    <row r="59" spans="1:10" s="249" customFormat="1" ht="18.75" customHeight="1" x14ac:dyDescent="0.25">
      <c r="A59" s="225"/>
      <c r="B59" s="50" t="s">
        <v>64</v>
      </c>
      <c r="C59" s="51" t="s">
        <v>112</v>
      </c>
      <c r="D59" s="52"/>
      <c r="E59" s="213">
        <f>(E18/30)/8</f>
        <v>2456.25</v>
      </c>
      <c r="F59" s="334"/>
      <c r="G59" s="298"/>
      <c r="H59" s="225"/>
      <c r="I59" s="253"/>
    </row>
    <row r="60" spans="1:10" s="249" customFormat="1" ht="18.75" customHeight="1" x14ac:dyDescent="0.25">
      <c r="A60" s="225"/>
      <c r="B60" s="39" t="s">
        <v>66</v>
      </c>
      <c r="C60" s="37" t="s">
        <v>113</v>
      </c>
      <c r="D60" s="54">
        <v>0.35</v>
      </c>
      <c r="E60" s="214">
        <f>$E$59*D60</f>
        <v>859.6875</v>
      </c>
      <c r="F60" s="335"/>
      <c r="G60" s="190">
        <f t="shared" ref="G60:G68" si="0">E60*F60</f>
        <v>0</v>
      </c>
      <c r="H60" s="225"/>
      <c r="I60" s="284"/>
      <c r="J60" s="264"/>
    </row>
    <row r="61" spans="1:10" s="249" customFormat="1" ht="18.75" customHeight="1" x14ac:dyDescent="0.25">
      <c r="A61" s="225"/>
      <c r="B61" s="39" t="s">
        <v>68</v>
      </c>
      <c r="C61" s="37" t="s">
        <v>69</v>
      </c>
      <c r="D61" s="54">
        <v>0.75</v>
      </c>
      <c r="E61" s="214">
        <f>$E$59*D61</f>
        <v>1842.1875</v>
      </c>
      <c r="F61" s="335"/>
      <c r="G61" s="190">
        <f t="shared" si="0"/>
        <v>0</v>
      </c>
      <c r="H61" s="225"/>
      <c r="I61" s="284"/>
    </row>
    <row r="62" spans="1:10" s="249" customFormat="1" ht="18.75" customHeight="1" x14ac:dyDescent="0.25">
      <c r="A62" s="225"/>
      <c r="B62" s="56" t="s">
        <v>70</v>
      </c>
      <c r="C62" s="57" t="s">
        <v>71</v>
      </c>
      <c r="D62" s="58">
        <v>1.75</v>
      </c>
      <c r="E62" s="214">
        <f>$E$59*D62</f>
        <v>4298.4375</v>
      </c>
      <c r="F62" s="336"/>
      <c r="G62" s="190">
        <f t="shared" si="0"/>
        <v>0</v>
      </c>
      <c r="H62" s="225"/>
      <c r="I62" s="253"/>
    </row>
    <row r="63" spans="1:10" s="249" customFormat="1" ht="18.75" customHeight="1" x14ac:dyDescent="0.25">
      <c r="A63" s="225"/>
      <c r="B63" s="26" t="s">
        <v>72</v>
      </c>
      <c r="C63" s="27" t="s">
        <v>73</v>
      </c>
      <c r="D63" s="222">
        <v>1.1000000000000001</v>
      </c>
      <c r="E63" s="215">
        <f t="shared" ref="E63:E68" si="1">$E$59*D63</f>
        <v>2701.875</v>
      </c>
      <c r="F63" s="336"/>
      <c r="G63" s="190">
        <f t="shared" si="0"/>
        <v>0</v>
      </c>
      <c r="H63" s="225"/>
      <c r="I63" s="253"/>
    </row>
    <row r="64" spans="1:10" s="249" customFormat="1" ht="18.75" customHeight="1" x14ac:dyDescent="0.25">
      <c r="A64" s="225"/>
      <c r="B64" s="86" t="s">
        <v>74</v>
      </c>
      <c r="C64" s="27" t="s">
        <v>75</v>
      </c>
      <c r="D64" s="223">
        <v>2.1</v>
      </c>
      <c r="E64" s="215">
        <f t="shared" si="1"/>
        <v>5158.125</v>
      </c>
      <c r="F64" s="336"/>
      <c r="G64" s="190">
        <f t="shared" si="0"/>
        <v>0</v>
      </c>
      <c r="H64" s="225"/>
      <c r="J64" s="253"/>
    </row>
    <row r="65" spans="1:10" s="249" customFormat="1" ht="18.75" customHeight="1" x14ac:dyDescent="0.25">
      <c r="A65" s="225"/>
      <c r="B65" s="59" t="s">
        <v>76</v>
      </c>
      <c r="C65" s="60" t="s">
        <v>77</v>
      </c>
      <c r="D65" s="61">
        <v>1.25</v>
      </c>
      <c r="E65" s="215">
        <f t="shared" si="1"/>
        <v>3070.3125</v>
      </c>
      <c r="F65" s="335"/>
      <c r="G65" s="190">
        <f t="shared" si="0"/>
        <v>0</v>
      </c>
      <c r="H65" s="225"/>
      <c r="J65" s="253"/>
    </row>
    <row r="66" spans="1:10" s="249" customFormat="1" ht="18.75" customHeight="1" x14ac:dyDescent="0.25">
      <c r="A66" s="225"/>
      <c r="B66" s="62" t="s">
        <v>78</v>
      </c>
      <c r="C66" s="37" t="s">
        <v>79</v>
      </c>
      <c r="D66" s="54">
        <v>1.75</v>
      </c>
      <c r="E66" s="215">
        <f t="shared" si="1"/>
        <v>4298.4375</v>
      </c>
      <c r="F66" s="337"/>
      <c r="G66" s="190">
        <f t="shared" si="0"/>
        <v>0</v>
      </c>
      <c r="H66" s="225"/>
    </row>
    <row r="67" spans="1:10" s="249" customFormat="1" ht="18.75" customHeight="1" x14ac:dyDescent="0.25">
      <c r="A67" s="225"/>
      <c r="B67" s="62" t="s">
        <v>80</v>
      </c>
      <c r="C67" s="37" t="s">
        <v>81</v>
      </c>
      <c r="D67" s="54">
        <v>2</v>
      </c>
      <c r="E67" s="215">
        <f t="shared" si="1"/>
        <v>4912.5</v>
      </c>
      <c r="F67" s="337"/>
      <c r="G67" s="190">
        <f t="shared" si="0"/>
        <v>0</v>
      </c>
      <c r="H67" s="225"/>
    </row>
    <row r="68" spans="1:10" s="249" customFormat="1" ht="18.75" customHeight="1" thickBot="1" x14ac:dyDescent="0.3">
      <c r="A68" s="225"/>
      <c r="B68" s="63" t="s">
        <v>82</v>
      </c>
      <c r="C68" s="64" t="s">
        <v>83</v>
      </c>
      <c r="D68" s="65">
        <v>2.5</v>
      </c>
      <c r="E68" s="216">
        <f t="shared" si="1"/>
        <v>6140.625</v>
      </c>
      <c r="F68" s="338"/>
      <c r="G68" s="193">
        <f t="shared" si="0"/>
        <v>0</v>
      </c>
      <c r="H68" s="225"/>
    </row>
    <row r="69" spans="1:10" s="249" customFormat="1" ht="18.75" customHeight="1" thickBot="1" x14ac:dyDescent="0.3">
      <c r="A69" s="225"/>
      <c r="B69" s="95" t="s">
        <v>134</v>
      </c>
      <c r="C69" s="226"/>
      <c r="D69" s="227"/>
      <c r="E69" s="228"/>
      <c r="F69" s="323"/>
      <c r="G69" s="66">
        <f>SUM(G60:G68)</f>
        <v>0</v>
      </c>
      <c r="H69" s="225"/>
    </row>
    <row r="70" spans="1:10" s="249" customFormat="1" ht="13.5" customHeight="1" thickBot="1" x14ac:dyDescent="0.3">
      <c r="A70" s="225"/>
      <c r="B70" s="238"/>
      <c r="C70" s="282"/>
      <c r="D70" s="283"/>
      <c r="E70" s="281"/>
      <c r="F70" s="323"/>
      <c r="G70" s="323"/>
      <c r="H70" s="225"/>
    </row>
    <row r="71" spans="1:10" s="249" customFormat="1" ht="18.75" customHeight="1" thickBot="1" x14ac:dyDescent="0.3">
      <c r="A71" s="225"/>
      <c r="B71" s="113" t="s">
        <v>85</v>
      </c>
      <c r="C71" s="114"/>
      <c r="D71" s="105" t="s">
        <v>13</v>
      </c>
      <c r="E71" s="48" t="s">
        <v>62</v>
      </c>
      <c r="F71" s="323"/>
      <c r="G71" s="323"/>
      <c r="H71" s="225"/>
    </row>
    <row r="72" spans="1:10" s="249" customFormat="1" ht="18.75" customHeight="1" x14ac:dyDescent="0.25">
      <c r="A72" s="225"/>
      <c r="B72" s="74" t="s">
        <v>86</v>
      </c>
      <c r="C72" s="67" t="s">
        <v>87</v>
      </c>
      <c r="D72" s="295"/>
      <c r="E72" s="291"/>
      <c r="F72" s="323"/>
      <c r="G72" s="323"/>
      <c r="H72" s="225"/>
    </row>
    <row r="73" spans="1:10" s="249" customFormat="1" ht="18.75" customHeight="1" x14ac:dyDescent="0.25">
      <c r="A73" s="225"/>
      <c r="B73" s="26" t="s">
        <v>88</v>
      </c>
      <c r="C73" s="27" t="s">
        <v>89</v>
      </c>
      <c r="D73" s="54">
        <v>0.04</v>
      </c>
      <c r="E73" s="217">
        <f>ROUND(IF($E$18+E20+E21+E22&lt;=($C$5*25),ROUND($E$18+E20+E21+E22,-3),ROUND($C$5*25,-3))*D73,-2)</f>
        <v>23600</v>
      </c>
      <c r="F73" s="323"/>
      <c r="G73" s="323"/>
      <c r="H73" s="225"/>
    </row>
    <row r="74" spans="1:10" s="249" customFormat="1" ht="18.75" customHeight="1" x14ac:dyDescent="0.25">
      <c r="A74" s="225"/>
      <c r="B74" s="26" t="s">
        <v>90</v>
      </c>
      <c r="C74" s="37" t="s">
        <v>91</v>
      </c>
      <c r="D74" s="54">
        <v>0.04</v>
      </c>
      <c r="E74" s="217">
        <f>ROUND(IF($E$18+E20+E21+E22&lt;=($C$5*25),ROUND($E$18+E20+E21+E22,-3),ROUND($C$5*25,-3))*D74,-2)</f>
        <v>23600</v>
      </c>
      <c r="F74" s="323"/>
      <c r="G74" s="323"/>
      <c r="H74" s="225"/>
    </row>
    <row r="75" spans="1:10" s="249" customFormat="1" ht="18.75" customHeight="1" x14ac:dyDescent="0.25">
      <c r="A75" s="225"/>
      <c r="B75" s="26" t="s">
        <v>92</v>
      </c>
      <c r="C75" s="37" t="s">
        <v>93</v>
      </c>
      <c r="D75" s="79">
        <f>IF(E18+E20+E21+E22&lt;(C5*4),0,0.01)</f>
        <v>0</v>
      </c>
      <c r="E75" s="29">
        <f>IF(E18+E20+E21+E22&lt;(C5*4),0,(E18+E20+E21+E22)*D75)</f>
        <v>0</v>
      </c>
      <c r="F75" s="323"/>
      <c r="G75" s="323"/>
      <c r="H75" s="225"/>
    </row>
    <row r="76" spans="1:10" s="249" customFormat="1" ht="18.75" customHeight="1" x14ac:dyDescent="0.25">
      <c r="A76" s="225"/>
      <c r="B76" s="26" t="s">
        <v>94</v>
      </c>
      <c r="C76" s="37" t="s">
        <v>95</v>
      </c>
      <c r="D76" s="36">
        <f>IF(E18+E20+E21+E22&lt;C81,D81,IF(E18+E20+E21+E22&lt;C82,D82,IF(E18+E20+E21+E22&lt;C83,D83,IF(E18+E20+E21+E22&lt;C84,D84,IF(E18+E20+E21+E22&lt;C85,D85,D86)))))</f>
        <v>0</v>
      </c>
      <c r="E76" s="195">
        <f>(E18+E20+E21+E22)*D76</f>
        <v>0</v>
      </c>
      <c r="F76" s="323"/>
      <c r="G76" s="323"/>
      <c r="H76" s="225"/>
    </row>
    <row r="77" spans="1:10" s="249" customFormat="1" ht="18.75" customHeight="1" thickBot="1" x14ac:dyDescent="0.3">
      <c r="A77" s="225"/>
      <c r="B77" s="94" t="s">
        <v>96</v>
      </c>
      <c r="C77" s="69"/>
      <c r="D77" s="196"/>
      <c r="E77" s="70">
        <f>SUM(E72:E76)</f>
        <v>47200</v>
      </c>
      <c r="F77" s="323"/>
      <c r="G77" s="323"/>
      <c r="H77" s="225"/>
    </row>
    <row r="78" spans="1:10" s="249" customFormat="1" ht="13.5" customHeight="1" x14ac:dyDescent="0.25">
      <c r="A78" s="225"/>
      <c r="B78" s="238"/>
      <c r="C78" s="282"/>
      <c r="D78" s="283"/>
      <c r="E78" s="281"/>
      <c r="F78" s="323"/>
      <c r="G78" s="323"/>
      <c r="H78" s="225"/>
    </row>
    <row r="79" spans="1:10" ht="13.5" customHeight="1" thickBot="1" x14ac:dyDescent="0.3">
      <c r="B79" s="238"/>
      <c r="C79" s="282"/>
      <c r="D79" s="285"/>
      <c r="E79" s="281"/>
    </row>
    <row r="80" spans="1:10" ht="16.5" thickBot="1" x14ac:dyDescent="0.3">
      <c r="B80" s="71" t="s">
        <v>97</v>
      </c>
      <c r="C80" s="72"/>
      <c r="D80" s="19"/>
      <c r="E80" s="73"/>
    </row>
    <row r="81" spans="2:256" ht="15.75" x14ac:dyDescent="0.25">
      <c r="B81" s="74" t="s">
        <v>98</v>
      </c>
      <c r="C81" s="218">
        <f>$C$5*16</f>
        <v>9432000</v>
      </c>
      <c r="D81" s="75">
        <v>0</v>
      </c>
      <c r="E81" s="76"/>
    </row>
    <row r="82" spans="2:256" ht="15.75" x14ac:dyDescent="0.25">
      <c r="B82" s="39" t="s">
        <v>99</v>
      </c>
      <c r="C82" s="219">
        <f>$C$5*17</f>
        <v>10021500</v>
      </c>
      <c r="D82" s="77">
        <v>2E-3</v>
      </c>
      <c r="E82" s="78"/>
    </row>
    <row r="83" spans="2:256" ht="15.75" x14ac:dyDescent="0.25">
      <c r="B83" s="39" t="s">
        <v>100</v>
      </c>
      <c r="C83" s="220">
        <f>$C$5*18</f>
        <v>10611000</v>
      </c>
      <c r="D83" s="79">
        <v>4.0000000000000001E-3</v>
      </c>
      <c r="E83" s="29"/>
    </row>
    <row r="84" spans="2:256" ht="15.75" x14ac:dyDescent="0.25">
      <c r="B84" s="39" t="s">
        <v>101</v>
      </c>
      <c r="C84" s="220">
        <f>$C$5*19</f>
        <v>11200500</v>
      </c>
      <c r="D84" s="79">
        <v>6.0000000000000001E-3</v>
      </c>
      <c r="E84" s="29"/>
    </row>
    <row r="85" spans="2:256" ht="15.75" x14ac:dyDescent="0.25">
      <c r="B85" s="39" t="s">
        <v>102</v>
      </c>
      <c r="C85" s="220">
        <f>$C$5*20</f>
        <v>11790000</v>
      </c>
      <c r="D85" s="79">
        <v>8.0000000000000002E-3</v>
      </c>
      <c r="E85" s="29"/>
    </row>
    <row r="86" spans="2:256" ht="16.5" thickBot="1" x14ac:dyDescent="0.3">
      <c r="B86" s="80" t="s">
        <v>103</v>
      </c>
      <c r="C86" s="221">
        <v>11790000</v>
      </c>
      <c r="D86" s="81">
        <v>0.01</v>
      </c>
      <c r="E86" s="82"/>
      <c r="IV86" s="225">
        <v>2013</v>
      </c>
    </row>
    <row r="87" spans="2:256" x14ac:dyDescent="0.2">
      <c r="B87" s="245"/>
      <c r="C87" s="287"/>
      <c r="D87" s="288"/>
      <c r="E87" s="149" t="str">
        <f>+B69</f>
        <v>V1 .0 Enero 1 de 2013</v>
      </c>
    </row>
    <row r="88" spans="2:256" ht="14.25" x14ac:dyDescent="0.2">
      <c r="D88" s="289"/>
      <c r="E88" s="290"/>
    </row>
    <row r="89" spans="2:256" ht="15" x14ac:dyDescent="0.2">
      <c r="C89" s="286"/>
    </row>
    <row r="90" spans="2:256" ht="15" x14ac:dyDescent="0.2">
      <c r="C90" s="286"/>
    </row>
    <row r="91" spans="2:256" ht="15" x14ac:dyDescent="0.2">
      <c r="C91" s="286"/>
    </row>
    <row r="92" spans="2:256" ht="15" x14ac:dyDescent="0.2">
      <c r="C92" s="286"/>
    </row>
    <row r="93" spans="2:256" ht="15" x14ac:dyDescent="0.2">
      <c r="C93" s="286"/>
    </row>
    <row r="94" spans="2:256" ht="15" x14ac:dyDescent="0.2">
      <c r="C94" s="286"/>
    </row>
    <row r="95" spans="2:256" ht="15" x14ac:dyDescent="0.2">
      <c r="C95" s="286"/>
    </row>
    <row r="96" spans="2:256" ht="15" x14ac:dyDescent="0.2">
      <c r="C96" s="286"/>
    </row>
    <row r="97" spans="3:3" ht="15" x14ac:dyDescent="0.2">
      <c r="C97" s="286"/>
    </row>
    <row r="98" spans="3:3" ht="15" x14ac:dyDescent="0.2">
      <c r="C98" s="286"/>
    </row>
    <row r="99" spans="3:3" ht="15" x14ac:dyDescent="0.2">
      <c r="C99" s="286"/>
    </row>
    <row r="65536" spans="256:256" x14ac:dyDescent="0.2">
      <c r="IV65536" s="225">
        <v>2013</v>
      </c>
    </row>
  </sheetData>
  <sheetProtection password="CC53" sheet="1" objects="1" scenarios="1"/>
  <protectedRanges>
    <protectedRange sqref="E20:E22" name="Rango5"/>
    <protectedRange sqref="C10:C12" name="Rango4"/>
    <protectedRange sqref="F60:F68" name="Rango2"/>
    <protectedRange sqref="E72" name="Rango3"/>
  </protectedRanges>
  <customSheetViews>
    <customSheetView guid="{005D785A-2C1A-7642-8E14-813F8ABC12DD}">
      <selection activeCell="F9" sqref="F9"/>
      <pageMargins left="0" right="0" top="0" bottom="0" header="0" footer="0"/>
    </customSheetView>
  </customSheetViews>
  <dataValidations count="1">
    <dataValidation type="list" allowBlank="1" showInputMessage="1" showErrorMessage="1" sqref="C11" xr:uid="{00000000-0002-0000-0600-000000000000}">
      <formula1>$IV$6:$IV$10</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IV65536"/>
  <sheetViews>
    <sheetView showGridLines="0" zoomScale="91" zoomScaleNormal="91" zoomScalePageLayoutView="91" workbookViewId="0">
      <selection activeCell="H37" sqref="H37"/>
    </sheetView>
  </sheetViews>
  <sheetFormatPr baseColWidth="10" defaultColWidth="11.42578125" defaultRowHeight="12.75" x14ac:dyDescent="0.2"/>
  <cols>
    <col min="1" max="1" width="3.28515625" style="1" customWidth="1"/>
    <col min="2" max="2" width="45.28515625" style="1" customWidth="1"/>
    <col min="3" max="3" width="58.85546875" style="2" customWidth="1"/>
    <col min="4" max="4" width="11" style="3" customWidth="1"/>
    <col min="5" max="5" width="17.28515625" style="4" customWidth="1"/>
    <col min="6" max="6" width="10.42578125" style="5" customWidth="1"/>
    <col min="7" max="7" width="13.85546875" style="5" customWidth="1"/>
    <col min="8" max="8" width="7.7109375" style="1" customWidth="1"/>
    <col min="9" max="9" width="13.28515625" style="1" bestFit="1" customWidth="1"/>
    <col min="10" max="10" width="12" style="1" bestFit="1" customWidth="1"/>
    <col min="11" max="16384" width="11.42578125" style="1"/>
  </cols>
  <sheetData>
    <row r="1" spans="1:256" ht="11.25" customHeight="1" x14ac:dyDescent="0.2">
      <c r="A1" s="155"/>
      <c r="B1" s="155"/>
      <c r="C1" s="115"/>
      <c r="D1" s="116"/>
      <c r="F1" s="156"/>
      <c r="G1" s="156"/>
    </row>
    <row r="2" spans="1:256" ht="18" customHeight="1" x14ac:dyDescent="0.25">
      <c r="A2" s="155"/>
      <c r="B2" s="87" t="s">
        <v>0</v>
      </c>
      <c r="C2" s="88"/>
      <c r="D2" s="89"/>
      <c r="E2" s="90"/>
      <c r="F2" s="156"/>
      <c r="G2" s="156"/>
    </row>
    <row r="3" spans="1:256" ht="14.25" customHeight="1" thickBot="1" x14ac:dyDescent="0.25">
      <c r="A3" s="155"/>
      <c r="B3" s="155"/>
      <c r="C3" s="115"/>
      <c r="D3" s="116"/>
      <c r="F3" s="156"/>
      <c r="G3" s="156"/>
    </row>
    <row r="4" spans="1:256" ht="18.75" customHeight="1" thickBot="1" x14ac:dyDescent="0.35">
      <c r="A4" s="155"/>
      <c r="B4" s="146" t="s">
        <v>135</v>
      </c>
      <c r="C4" s="117"/>
      <c r="D4" s="116"/>
      <c r="E4" s="207"/>
      <c r="F4" s="208"/>
      <c r="G4" s="156"/>
    </row>
    <row r="5" spans="1:256" ht="18.75" customHeight="1" x14ac:dyDescent="0.25">
      <c r="A5" s="155"/>
      <c r="B5" s="6" t="s">
        <v>2</v>
      </c>
      <c r="C5" s="76">
        <v>566700</v>
      </c>
      <c r="D5" s="116"/>
      <c r="E5" s="209"/>
      <c r="F5" s="208"/>
      <c r="G5" s="156"/>
      <c r="I5" s="156"/>
    </row>
    <row r="6" spans="1:256" ht="18.75" customHeight="1" thickBot="1" x14ac:dyDescent="0.3">
      <c r="A6" s="155"/>
      <c r="B6" s="159" t="s">
        <v>3</v>
      </c>
      <c r="C6" s="82">
        <v>67800</v>
      </c>
      <c r="D6" s="116"/>
      <c r="E6" s="210"/>
      <c r="F6" s="208"/>
      <c r="G6" s="156"/>
      <c r="I6" s="160"/>
      <c r="J6" s="150"/>
      <c r="IV6" s="7">
        <v>5.2199999999999998E-3</v>
      </c>
    </row>
    <row r="7" spans="1:256" ht="13.5" customHeight="1" x14ac:dyDescent="0.25">
      <c r="A7" s="155"/>
      <c r="B7" s="161"/>
      <c r="C7" s="162"/>
      <c r="D7" s="116"/>
      <c r="E7" s="210"/>
      <c r="F7" s="208"/>
      <c r="G7" s="156"/>
      <c r="IV7" s="7">
        <v>1.044E-2</v>
      </c>
    </row>
    <row r="8" spans="1:256" ht="12.75" customHeight="1" x14ac:dyDescent="0.2">
      <c r="A8" s="155"/>
      <c r="B8" s="161"/>
      <c r="C8" s="161"/>
      <c r="D8" s="116"/>
      <c r="E8" s="210"/>
      <c r="F8" s="208"/>
      <c r="G8" s="156"/>
      <c r="IV8" s="7">
        <v>2.436E-2</v>
      </c>
    </row>
    <row r="9" spans="1:256" ht="12" customHeight="1" thickBot="1" x14ac:dyDescent="0.25">
      <c r="A9" s="155"/>
      <c r="B9" s="9" t="s">
        <v>4</v>
      </c>
      <c r="C9" s="147" t="s">
        <v>130</v>
      </c>
      <c r="D9" s="118"/>
      <c r="E9" s="211"/>
      <c r="F9" s="208"/>
      <c r="G9" s="156"/>
      <c r="IV9" s="7">
        <v>4.3499999999999997E-2</v>
      </c>
    </row>
    <row r="10" spans="1:256" ht="18.75" customHeight="1" x14ac:dyDescent="0.25">
      <c r="A10" s="155"/>
      <c r="B10" s="11" t="s">
        <v>6</v>
      </c>
      <c r="C10" s="100">
        <v>566700</v>
      </c>
      <c r="D10" s="119"/>
      <c r="E10" s="212"/>
      <c r="F10" s="208"/>
      <c r="G10" s="154"/>
      <c r="H10" s="12"/>
      <c r="IV10" s="7">
        <v>6.9599999999999995E-2</v>
      </c>
    </row>
    <row r="11" spans="1:256" ht="18.75" customHeight="1" x14ac:dyDescent="0.25">
      <c r="A11" s="155"/>
      <c r="B11" s="13" t="s">
        <v>7</v>
      </c>
      <c r="C11" s="224">
        <v>5.2199999999999998E-3</v>
      </c>
      <c r="D11" s="118"/>
      <c r="E11" s="212"/>
      <c r="F11" s="208"/>
      <c r="G11" s="120"/>
      <c r="H11" s="12"/>
    </row>
    <row r="12" spans="1:256" ht="18.75" customHeight="1" thickBot="1" x14ac:dyDescent="0.3">
      <c r="A12" s="155"/>
      <c r="B12" s="15" t="s">
        <v>8</v>
      </c>
      <c r="C12" s="164"/>
      <c r="D12" s="118"/>
      <c r="E12" s="10"/>
      <c r="F12" s="156"/>
      <c r="G12" s="121"/>
      <c r="H12" s="12"/>
      <c r="IR12" s="16"/>
      <c r="IV12" s="18"/>
    </row>
    <row r="13" spans="1:256" ht="10.5" customHeight="1" x14ac:dyDescent="0.2">
      <c r="A13" s="155"/>
      <c r="B13" s="161"/>
      <c r="C13" s="121"/>
      <c r="D13" s="118"/>
      <c r="E13" s="10"/>
      <c r="F13" s="156"/>
      <c r="G13" s="120"/>
      <c r="H13" s="12"/>
      <c r="IR13" s="16"/>
    </row>
    <row r="14" spans="1:256" ht="10.5" customHeight="1" thickBot="1" x14ac:dyDescent="0.25">
      <c r="A14" s="155"/>
      <c r="B14" s="165"/>
      <c r="C14" s="122"/>
      <c r="D14" s="123"/>
      <c r="F14" s="166"/>
      <c r="G14" s="120"/>
      <c r="H14" s="12"/>
      <c r="IR14" s="16"/>
    </row>
    <row r="15" spans="1:256" s="18" customFormat="1" ht="18.75" customHeight="1" x14ac:dyDescent="0.25">
      <c r="A15" s="167"/>
      <c r="B15" s="96" t="s">
        <v>11</v>
      </c>
      <c r="C15" s="97" t="s">
        <v>12</v>
      </c>
      <c r="D15" s="98" t="s">
        <v>13</v>
      </c>
      <c r="E15" s="99" t="s">
        <v>131</v>
      </c>
      <c r="F15" s="168"/>
      <c r="G15" s="120"/>
      <c r="H15" s="12"/>
      <c r="IR15" s="20"/>
    </row>
    <row r="16" spans="1:256" s="18" customFormat="1" ht="9" customHeight="1" x14ac:dyDescent="0.25">
      <c r="A16" s="167"/>
      <c r="B16" s="169"/>
      <c r="C16" s="162"/>
      <c r="D16" s="162"/>
      <c r="E16" s="21"/>
      <c r="F16" s="168"/>
      <c r="G16" s="168"/>
      <c r="IR16" s="20"/>
    </row>
    <row r="17" spans="1:252" s="18" customFormat="1" ht="18.75" customHeight="1" x14ac:dyDescent="0.25">
      <c r="A17" s="167"/>
      <c r="B17" s="22" t="s">
        <v>17</v>
      </c>
      <c r="C17" s="23"/>
      <c r="D17" s="24"/>
      <c r="E17" s="25"/>
      <c r="F17" s="168"/>
      <c r="G17" s="168"/>
      <c r="IR17" s="20"/>
    </row>
    <row r="18" spans="1:252" s="18" customFormat="1" ht="18.75" customHeight="1" x14ac:dyDescent="0.25">
      <c r="A18" s="167"/>
      <c r="B18" s="26" t="s">
        <v>18</v>
      </c>
      <c r="C18" s="27" t="s">
        <v>19</v>
      </c>
      <c r="D18" s="170"/>
      <c r="E18" s="29">
        <f>IF(C10&lt;C5,FALSE,C10)</f>
        <v>566700</v>
      </c>
      <c r="F18" s="171"/>
      <c r="G18" s="168"/>
      <c r="IR18" s="20"/>
    </row>
    <row r="19" spans="1:252" s="18" customFormat="1" ht="18.75" customHeight="1" x14ac:dyDescent="0.25">
      <c r="A19" s="167"/>
      <c r="B19" s="26" t="s">
        <v>20</v>
      </c>
      <c r="C19" s="27" t="s">
        <v>136</v>
      </c>
      <c r="D19" s="170"/>
      <c r="E19" s="29">
        <f>IF(E18+E20+E21+E22&lt;=(C5*2),C6,0)</f>
        <v>67800</v>
      </c>
      <c r="F19" s="171"/>
      <c r="G19" s="168"/>
    </row>
    <row r="20" spans="1:252" s="18" customFormat="1" ht="18.75" customHeight="1" x14ac:dyDescent="0.25">
      <c r="A20" s="167"/>
      <c r="B20" s="26" t="s">
        <v>22</v>
      </c>
      <c r="C20" s="27" t="s">
        <v>23</v>
      </c>
      <c r="D20" s="170"/>
      <c r="E20" s="34"/>
      <c r="F20" s="171"/>
      <c r="G20" s="168"/>
      <c r="J20" s="151"/>
    </row>
    <row r="21" spans="1:252" s="18" customFormat="1" ht="18.75" customHeight="1" x14ac:dyDescent="0.25">
      <c r="A21" s="167"/>
      <c r="B21" s="26" t="s">
        <v>118</v>
      </c>
      <c r="C21" s="27" t="s">
        <v>25</v>
      </c>
      <c r="D21" s="170"/>
      <c r="E21" s="34"/>
      <c r="F21" s="171"/>
      <c r="G21" s="168"/>
    </row>
    <row r="22" spans="1:252" s="18" customFormat="1" ht="18.75" customHeight="1" x14ac:dyDescent="0.25">
      <c r="A22" s="167"/>
      <c r="B22" s="26" t="s">
        <v>26</v>
      </c>
      <c r="C22" s="27" t="s">
        <v>110</v>
      </c>
      <c r="D22" s="170"/>
      <c r="E22" s="34"/>
      <c r="F22" s="171"/>
      <c r="G22" s="168"/>
    </row>
    <row r="23" spans="1:252" s="18" customFormat="1" ht="18.75" customHeight="1" x14ac:dyDescent="0.25">
      <c r="A23" s="167"/>
      <c r="B23" s="148" t="s">
        <v>28</v>
      </c>
      <c r="C23" s="125"/>
      <c r="D23" s="172"/>
      <c r="E23" s="30">
        <f>SUM(E18:E22)</f>
        <v>634500</v>
      </c>
      <c r="F23" s="173"/>
      <c r="G23" s="173"/>
    </row>
    <row r="24" spans="1:252" s="18" customFormat="1" ht="18.75" customHeight="1" x14ac:dyDescent="0.25">
      <c r="A24" s="167"/>
      <c r="B24" s="174"/>
      <c r="C24" s="126"/>
      <c r="D24" s="175"/>
      <c r="E24" s="34"/>
      <c r="F24" s="173"/>
      <c r="G24" s="173"/>
    </row>
    <row r="25" spans="1:252" s="18" customFormat="1" ht="18.75" customHeight="1" x14ac:dyDescent="0.25">
      <c r="A25" s="167"/>
      <c r="B25" s="101" t="s">
        <v>29</v>
      </c>
      <c r="C25" s="23"/>
      <c r="D25" s="24"/>
      <c r="E25" s="34"/>
      <c r="F25" s="173"/>
      <c r="G25" s="173"/>
    </row>
    <row r="26" spans="1:252" s="18" customFormat="1" ht="18.75" customHeight="1" x14ac:dyDescent="0.25">
      <c r="A26" s="167"/>
      <c r="B26" s="26" t="s">
        <v>30</v>
      </c>
      <c r="C26" s="27" t="s">
        <v>31</v>
      </c>
      <c r="D26" s="35">
        <v>8.3333333333333343E-2</v>
      </c>
      <c r="E26" s="29">
        <f>E23*D26</f>
        <v>52875.000000000007</v>
      </c>
      <c r="F26" s="168"/>
      <c r="G26" s="168"/>
    </row>
    <row r="27" spans="1:252" s="18" customFormat="1" ht="18.75" customHeight="1" x14ac:dyDescent="0.25">
      <c r="A27" s="167"/>
      <c r="B27" s="26" t="s">
        <v>32</v>
      </c>
      <c r="C27" s="27" t="s">
        <v>33</v>
      </c>
      <c r="D27" s="36">
        <v>0.12</v>
      </c>
      <c r="E27" s="29">
        <f>+E26*D27</f>
        <v>6345.0000000000009</v>
      </c>
      <c r="F27" s="168"/>
      <c r="G27" s="168"/>
    </row>
    <row r="28" spans="1:252" s="18" customFormat="1" ht="18.75" customHeight="1" x14ac:dyDescent="0.25">
      <c r="A28" s="167"/>
      <c r="B28" s="26" t="s">
        <v>34</v>
      </c>
      <c r="C28" s="27" t="s">
        <v>31</v>
      </c>
      <c r="D28" s="35">
        <v>8.3333333333333343E-2</v>
      </c>
      <c r="E28" s="29">
        <f>E23*D28</f>
        <v>52875.000000000007</v>
      </c>
      <c r="F28" s="168"/>
      <c r="G28" s="168"/>
    </row>
    <row r="29" spans="1:252" s="18" customFormat="1" ht="18.75" customHeight="1" x14ac:dyDescent="0.25">
      <c r="A29" s="167"/>
      <c r="B29" s="26" t="s">
        <v>35</v>
      </c>
      <c r="C29" s="37" t="s">
        <v>36</v>
      </c>
      <c r="D29" s="35">
        <v>4.1666666666666664E-2</v>
      </c>
      <c r="E29" s="29">
        <f>(E18+E20)*D29</f>
        <v>23612.5</v>
      </c>
      <c r="F29" s="168"/>
      <c r="G29" s="176"/>
    </row>
    <row r="30" spans="1:252" s="18" customFormat="1" ht="18.75" customHeight="1" x14ac:dyDescent="0.25">
      <c r="A30" s="167"/>
      <c r="B30" s="177" t="s">
        <v>37</v>
      </c>
      <c r="C30" s="128"/>
      <c r="D30" s="175"/>
      <c r="E30" s="30">
        <f>SUM(E26:E29)</f>
        <v>135707.5</v>
      </c>
      <c r="F30" s="168"/>
      <c r="G30" s="168"/>
    </row>
    <row r="31" spans="1:252" s="18" customFormat="1" ht="18.75" customHeight="1" x14ac:dyDescent="0.2">
      <c r="A31" s="167"/>
      <c r="B31" s="178"/>
      <c r="C31" s="124"/>
      <c r="D31" s="170"/>
      <c r="E31" s="25"/>
      <c r="F31" s="168"/>
      <c r="G31" s="168"/>
      <c r="H31" s="8"/>
    </row>
    <row r="32" spans="1:252" s="18" customFormat="1" ht="18.75" customHeight="1" x14ac:dyDescent="0.25">
      <c r="A32" s="167"/>
      <c r="B32" s="22" t="s">
        <v>38</v>
      </c>
      <c r="C32" s="23"/>
      <c r="D32" s="24"/>
      <c r="E32" s="25"/>
      <c r="F32" s="168"/>
      <c r="G32" s="19"/>
      <c r="H32" s="8"/>
    </row>
    <row r="33" spans="1:9" s="18" customFormat="1" ht="18.75" customHeight="1" x14ac:dyDescent="0.25">
      <c r="A33" s="167"/>
      <c r="B33" s="39" t="s">
        <v>39</v>
      </c>
      <c r="C33" s="85">
        <f>ROUND(IF($E$18+E20+E21+E22&lt;=($C$5*25),ROUND($E$18+E20+E21+E22,-3),ROUND($C$5*25,-3))*0.125,-2)</f>
        <v>70900</v>
      </c>
      <c r="D33" s="36">
        <v>8.5000000000000006E-2</v>
      </c>
      <c r="E33" s="29">
        <f>C33-E73</f>
        <v>48200</v>
      </c>
      <c r="F33" s="168"/>
      <c r="G33" s="73"/>
      <c r="H33" s="40"/>
      <c r="I33" s="144"/>
    </row>
    <row r="34" spans="1:9" s="18" customFormat="1" ht="18.75" customHeight="1" x14ac:dyDescent="0.25">
      <c r="A34" s="167"/>
      <c r="B34" s="26" t="s">
        <v>40</v>
      </c>
      <c r="C34" s="85">
        <f>ROUND(IF($E$18+E20+E21+E22&lt;=($C$5*25),ROUND($E$18+E20+E21+E22,-3),ROUND($C$5*25,-3))*0.16,-2)</f>
        <v>90700</v>
      </c>
      <c r="D34" s="36">
        <v>0.12</v>
      </c>
      <c r="E34" s="29">
        <f>C34-E74</f>
        <v>68000</v>
      </c>
      <c r="F34" s="168"/>
      <c r="G34" s="73"/>
      <c r="H34" s="41"/>
    </row>
    <row r="35" spans="1:9" s="18" customFormat="1" ht="18.75" customHeight="1" x14ac:dyDescent="0.25">
      <c r="A35" s="167"/>
      <c r="B35" s="26" t="s">
        <v>119</v>
      </c>
      <c r="C35" s="37" t="s">
        <v>42</v>
      </c>
      <c r="D35" s="28">
        <f>C11</f>
        <v>5.2199999999999998E-3</v>
      </c>
      <c r="E35" s="29">
        <f>ROUND(IF($E$18+E21+E20+E22&lt;=($C$5*20),ROUND($E$18+E20+E21+E22,-3),ROUND($C$5*20,-3))*D35,-2)</f>
        <v>3000</v>
      </c>
      <c r="F35" s="168"/>
      <c r="G35" s="73"/>
      <c r="H35" s="8"/>
    </row>
    <row r="36" spans="1:9" s="18" customFormat="1" ht="18.75" customHeight="1" x14ac:dyDescent="0.25">
      <c r="A36" s="167"/>
      <c r="B36" s="26" t="s">
        <v>43</v>
      </c>
      <c r="C36" s="127"/>
      <c r="D36" s="36">
        <v>8.5000000000000006E-2</v>
      </c>
      <c r="E36" s="29">
        <f>ROUND(IF($E$29&lt;=($C$5*25),ROUND($E$29,-3),ROUND($C$5*25,-3))*D36,-2)</f>
        <v>2000</v>
      </c>
      <c r="F36" s="168"/>
      <c r="G36" s="168"/>
    </row>
    <row r="37" spans="1:9" s="18" customFormat="1" ht="18.75" customHeight="1" x14ac:dyDescent="0.25">
      <c r="A37" s="167"/>
      <c r="B37" s="26" t="s">
        <v>44</v>
      </c>
      <c r="C37" s="127"/>
      <c r="D37" s="36">
        <v>0.12</v>
      </c>
      <c r="E37" s="29">
        <f>ROUND(IF($E$29&lt;=($C$5*25),ROUND($E$29,-3),ROUND($C$5*25,-3))*D37,-2)</f>
        <v>2900</v>
      </c>
      <c r="F37" s="168"/>
      <c r="G37" s="168"/>
    </row>
    <row r="38" spans="1:9" s="18" customFormat="1" ht="18.75" customHeight="1" x14ac:dyDescent="0.25">
      <c r="A38" s="167"/>
      <c r="B38" s="177" t="s">
        <v>45</v>
      </c>
      <c r="C38" s="128"/>
      <c r="D38" s="175"/>
      <c r="E38" s="30">
        <f>SUM(E33:E37)</f>
        <v>124100</v>
      </c>
      <c r="F38" s="168"/>
      <c r="G38" s="168"/>
    </row>
    <row r="39" spans="1:9" s="18" customFormat="1" ht="18.75" customHeight="1" x14ac:dyDescent="0.2">
      <c r="A39" s="167"/>
      <c r="B39" s="178"/>
      <c r="C39" s="124"/>
      <c r="D39" s="170"/>
      <c r="E39" s="25"/>
      <c r="F39" s="168"/>
      <c r="G39" s="168"/>
    </row>
    <row r="40" spans="1:9" s="18" customFormat="1" ht="18.75" customHeight="1" x14ac:dyDescent="0.25">
      <c r="A40" s="167"/>
      <c r="B40" s="22" t="s">
        <v>46</v>
      </c>
      <c r="C40" s="23"/>
      <c r="D40" s="24"/>
      <c r="E40" s="25"/>
      <c r="F40" s="168"/>
      <c r="G40" s="168"/>
    </row>
    <row r="41" spans="1:9" s="18" customFormat="1" ht="18.75" customHeight="1" x14ac:dyDescent="0.25">
      <c r="A41" s="167"/>
      <c r="B41" s="26" t="s">
        <v>47</v>
      </c>
      <c r="C41" s="37" t="s">
        <v>137</v>
      </c>
      <c r="D41" s="36">
        <v>0.09</v>
      </c>
      <c r="E41" s="29">
        <f>ROUND(ROUND(E18+E20+E21+E22,-3)*D41,-2)</f>
        <v>51000</v>
      </c>
      <c r="F41" s="168"/>
      <c r="G41" s="168"/>
    </row>
    <row r="42" spans="1:9" s="18" customFormat="1" ht="18.75" customHeight="1" x14ac:dyDescent="0.25">
      <c r="A42" s="167"/>
      <c r="B42" s="26" t="s">
        <v>49</v>
      </c>
      <c r="C42" s="127"/>
      <c r="D42" s="36">
        <v>0.09</v>
      </c>
      <c r="E42" s="29">
        <f>ROUND(ROUND(E29,-3)*D42,-2)</f>
        <v>2200</v>
      </c>
      <c r="F42" s="168"/>
      <c r="G42" s="168"/>
    </row>
    <row r="43" spans="1:9" s="18" customFormat="1" ht="18.75" customHeight="1" x14ac:dyDescent="0.25">
      <c r="A43" s="167"/>
      <c r="B43" s="177" t="s">
        <v>50</v>
      </c>
      <c r="C43" s="128"/>
      <c r="D43" s="175"/>
      <c r="E43" s="30">
        <f>SUM(E41:E42)</f>
        <v>53200</v>
      </c>
      <c r="F43" s="168"/>
      <c r="G43" s="168"/>
    </row>
    <row r="44" spans="1:9" s="18" customFormat="1" ht="18.75" customHeight="1" x14ac:dyDescent="0.2">
      <c r="A44" s="167"/>
      <c r="B44" s="180"/>
      <c r="C44" s="127"/>
      <c r="D44" s="170"/>
      <c r="E44" s="25"/>
      <c r="F44" s="168"/>
      <c r="G44" s="168"/>
    </row>
    <row r="45" spans="1:9" s="18" customFormat="1" ht="18.75" customHeight="1" x14ac:dyDescent="0.25">
      <c r="A45" s="167"/>
      <c r="B45" s="22" t="s">
        <v>51</v>
      </c>
      <c r="C45" s="23"/>
      <c r="D45" s="24"/>
      <c r="E45" s="25"/>
      <c r="F45" s="168"/>
      <c r="G45" s="168"/>
    </row>
    <row r="46" spans="1:9" s="18" customFormat="1" ht="18.75" customHeight="1" x14ac:dyDescent="0.25">
      <c r="A46" s="167"/>
      <c r="B46" s="39" t="s">
        <v>53</v>
      </c>
      <c r="C46" s="37" t="s">
        <v>54</v>
      </c>
      <c r="D46" s="181"/>
      <c r="E46" s="29">
        <f>IF(E18+E20+E21+E22&lt;=C5*2,(C12*3)/12,0)</f>
        <v>0</v>
      </c>
      <c r="F46" s="168"/>
      <c r="G46" s="168"/>
    </row>
    <row r="47" spans="1:9" s="18" customFormat="1" ht="18.75" customHeight="1" x14ac:dyDescent="0.2">
      <c r="A47" s="167"/>
      <c r="B47" s="178"/>
      <c r="C47" s="124"/>
      <c r="D47" s="170"/>
      <c r="E47" s="182"/>
      <c r="F47" s="168"/>
      <c r="G47" s="168"/>
    </row>
    <row r="48" spans="1:9" s="18" customFormat="1" ht="18.75" customHeight="1" x14ac:dyDescent="0.25">
      <c r="A48" s="167"/>
      <c r="B48" s="31" t="s">
        <v>55</v>
      </c>
      <c r="C48" s="126"/>
      <c r="D48" s="175"/>
      <c r="E48" s="30">
        <f>E23+E30+E38+E43+E46</f>
        <v>947507.5</v>
      </c>
      <c r="F48" s="183"/>
      <c r="G48" s="173"/>
    </row>
    <row r="49" spans="1:10" s="18" customFormat="1" ht="18.75" customHeight="1" thickBot="1" x14ac:dyDescent="0.3">
      <c r="A49" s="167"/>
      <c r="B49" s="80" t="s">
        <v>56</v>
      </c>
      <c r="C49" s="129"/>
      <c r="D49" s="130"/>
      <c r="E49" s="93">
        <f>+(E48/(E23-E19))-1</f>
        <v>0.67197370742897466</v>
      </c>
      <c r="F49" s="173"/>
      <c r="G49" s="173"/>
    </row>
    <row r="50" spans="1:10" s="18" customFormat="1" ht="13.5" customHeight="1" x14ac:dyDescent="0.25">
      <c r="A50" s="167"/>
      <c r="B50" s="184"/>
      <c r="C50" s="131"/>
      <c r="D50" s="132"/>
      <c r="E50" s="185"/>
      <c r="F50" s="173"/>
      <c r="G50" s="173"/>
    </row>
    <row r="51" spans="1:10" s="18" customFormat="1" ht="13.5" customHeight="1" thickBot="1" x14ac:dyDescent="0.3">
      <c r="A51" s="167"/>
      <c r="B51" s="184"/>
      <c r="C51" s="131"/>
      <c r="D51" s="132"/>
      <c r="E51" s="185"/>
      <c r="F51" s="173"/>
      <c r="G51" s="173"/>
    </row>
    <row r="52" spans="1:10" s="18" customFormat="1" ht="18.75" customHeight="1" x14ac:dyDescent="0.25">
      <c r="A52" s="155"/>
      <c r="B52" s="74" t="s">
        <v>138</v>
      </c>
      <c r="C52" s="186"/>
      <c r="D52" s="133"/>
      <c r="E52" s="187">
        <f>E48*12</f>
        <v>11370090</v>
      </c>
      <c r="F52" s="156"/>
      <c r="G52" s="156"/>
      <c r="H52" s="1"/>
    </row>
    <row r="53" spans="1:10" s="18" customFormat="1" ht="18.75" customHeight="1" x14ac:dyDescent="0.25">
      <c r="A53" s="155"/>
      <c r="B53" s="26" t="s">
        <v>139</v>
      </c>
      <c r="C53" s="124"/>
      <c r="D53" s="134"/>
      <c r="E53" s="29">
        <v>296</v>
      </c>
      <c r="F53" s="156"/>
      <c r="G53" s="156"/>
      <c r="H53" s="1"/>
    </row>
    <row r="54" spans="1:10" s="18" customFormat="1" ht="18.75" customHeight="1" x14ac:dyDescent="0.25">
      <c r="A54" s="155"/>
      <c r="B54" s="26" t="s">
        <v>59</v>
      </c>
      <c r="C54" s="124"/>
      <c r="D54" s="134"/>
      <c r="E54" s="29">
        <f>E52/E53</f>
        <v>38412.466216216213</v>
      </c>
      <c r="F54" s="156"/>
      <c r="G54" s="156"/>
      <c r="H54" s="1"/>
    </row>
    <row r="55" spans="1:10" s="18" customFormat="1" ht="18.75" customHeight="1" thickBot="1" x14ac:dyDescent="0.3">
      <c r="A55" s="155"/>
      <c r="B55" s="188" t="s">
        <v>60</v>
      </c>
      <c r="C55" s="135"/>
      <c r="D55" s="136"/>
      <c r="E55" s="82">
        <f>E54/8</f>
        <v>4801.5582770270266</v>
      </c>
      <c r="F55" s="156"/>
      <c r="G55" s="156"/>
      <c r="H55" s="1"/>
    </row>
    <row r="56" spans="1:10" s="18" customFormat="1" ht="11.25" customHeight="1" x14ac:dyDescent="0.25">
      <c r="A56" s="155"/>
      <c r="B56" s="161"/>
      <c r="C56" s="137"/>
      <c r="D56" s="138"/>
      <c r="E56" s="185"/>
      <c r="F56" s="156"/>
      <c r="G56" s="156"/>
      <c r="H56" s="1"/>
    </row>
    <row r="57" spans="1:10" s="18" customFormat="1" ht="11.25" customHeight="1" thickBot="1" x14ac:dyDescent="0.3">
      <c r="A57" s="155"/>
      <c r="B57" s="161"/>
      <c r="C57" s="137"/>
      <c r="D57" s="138"/>
      <c r="E57" s="185"/>
      <c r="F57" s="156"/>
      <c r="G57" s="156"/>
      <c r="H57" s="1"/>
    </row>
    <row r="58" spans="1:10" s="18" customFormat="1" ht="18.75" customHeight="1" thickBot="1" x14ac:dyDescent="0.3">
      <c r="A58" s="155"/>
      <c r="B58" s="45" t="s">
        <v>61</v>
      </c>
      <c r="C58" s="46"/>
      <c r="D58" s="47" t="s">
        <v>13</v>
      </c>
      <c r="E58" s="48" t="s">
        <v>62</v>
      </c>
      <c r="F58" s="47" t="s">
        <v>63</v>
      </c>
      <c r="G58" s="49" t="s">
        <v>62</v>
      </c>
    </row>
    <row r="59" spans="1:10" s="18" customFormat="1" ht="18.75" customHeight="1" x14ac:dyDescent="0.25">
      <c r="A59" s="155"/>
      <c r="B59" s="50" t="s">
        <v>64</v>
      </c>
      <c r="C59" s="51" t="s">
        <v>112</v>
      </c>
      <c r="D59" s="52"/>
      <c r="E59" s="213">
        <f>(E18/30)/8</f>
        <v>2361.25</v>
      </c>
      <c r="F59" s="139"/>
      <c r="G59" s="152"/>
      <c r="H59" s="1"/>
      <c r="I59" s="20"/>
    </row>
    <row r="60" spans="1:10" s="18" customFormat="1" ht="18.75" customHeight="1" x14ac:dyDescent="0.25">
      <c r="A60" s="155"/>
      <c r="B60" s="39" t="s">
        <v>66</v>
      </c>
      <c r="C60" s="37" t="s">
        <v>113</v>
      </c>
      <c r="D60" s="54">
        <v>0.35</v>
      </c>
      <c r="E60" s="214">
        <f>$E$59*D60</f>
        <v>826.4375</v>
      </c>
      <c r="F60" s="189"/>
      <c r="G60" s="190">
        <f t="shared" ref="G60:G68" si="0">E60*F60</f>
        <v>0</v>
      </c>
      <c r="H60" s="1"/>
      <c r="I60" s="83"/>
      <c r="J60" s="151"/>
    </row>
    <row r="61" spans="1:10" s="18" customFormat="1" ht="18.75" customHeight="1" x14ac:dyDescent="0.25">
      <c r="A61" s="155"/>
      <c r="B61" s="39" t="s">
        <v>68</v>
      </c>
      <c r="C61" s="37" t="s">
        <v>69</v>
      </c>
      <c r="D61" s="54">
        <v>0.75</v>
      </c>
      <c r="E61" s="214">
        <f>$E$59*D61</f>
        <v>1770.9375</v>
      </c>
      <c r="F61" s="189"/>
      <c r="G61" s="190">
        <f t="shared" si="0"/>
        <v>0</v>
      </c>
      <c r="H61" s="1"/>
      <c r="I61" s="83"/>
    </row>
    <row r="62" spans="1:10" s="18" customFormat="1" ht="18.75" customHeight="1" x14ac:dyDescent="0.25">
      <c r="A62" s="155"/>
      <c r="B62" s="56" t="s">
        <v>70</v>
      </c>
      <c r="C62" s="57" t="s">
        <v>71</v>
      </c>
      <c r="D62" s="58">
        <v>1.75</v>
      </c>
      <c r="E62" s="214">
        <f>$E$59*D62</f>
        <v>4132.1875</v>
      </c>
      <c r="F62" s="191"/>
      <c r="G62" s="190">
        <f t="shared" si="0"/>
        <v>0</v>
      </c>
      <c r="H62" s="1"/>
      <c r="I62" s="20"/>
    </row>
    <row r="63" spans="1:10" s="18" customFormat="1" ht="18.75" customHeight="1" x14ac:dyDescent="0.25">
      <c r="A63" s="155"/>
      <c r="B63" s="26" t="s">
        <v>72</v>
      </c>
      <c r="C63" s="27" t="s">
        <v>73</v>
      </c>
      <c r="D63" s="222">
        <v>1.1000000000000001</v>
      </c>
      <c r="E63" s="215">
        <f t="shared" ref="E63:E68" si="1">$E$59*D63</f>
        <v>2597.375</v>
      </c>
      <c r="F63" s="191"/>
      <c r="G63" s="190">
        <f t="shared" si="0"/>
        <v>0</v>
      </c>
      <c r="H63" s="1"/>
    </row>
    <row r="64" spans="1:10" s="18" customFormat="1" ht="18.75" customHeight="1" x14ac:dyDescent="0.25">
      <c r="A64" s="155"/>
      <c r="B64" s="86" t="s">
        <v>74</v>
      </c>
      <c r="C64" s="27" t="s">
        <v>75</v>
      </c>
      <c r="D64" s="223">
        <v>2.1</v>
      </c>
      <c r="E64" s="215">
        <f t="shared" si="1"/>
        <v>4958.625</v>
      </c>
      <c r="F64" s="191"/>
      <c r="G64" s="190">
        <f t="shared" si="0"/>
        <v>0</v>
      </c>
      <c r="H64" s="1"/>
      <c r="J64" s="20"/>
    </row>
    <row r="65" spans="1:10" s="18" customFormat="1" ht="18.75" customHeight="1" x14ac:dyDescent="0.25">
      <c r="A65" s="155"/>
      <c r="B65" s="59" t="s">
        <v>76</v>
      </c>
      <c r="C65" s="60" t="s">
        <v>77</v>
      </c>
      <c r="D65" s="61">
        <v>1.25</v>
      </c>
      <c r="E65" s="215">
        <f t="shared" si="1"/>
        <v>2951.5625</v>
      </c>
      <c r="F65" s="189"/>
      <c r="G65" s="190">
        <f t="shared" si="0"/>
        <v>0</v>
      </c>
      <c r="H65" s="1"/>
      <c r="J65" s="20"/>
    </row>
    <row r="66" spans="1:10" s="18" customFormat="1" ht="18.75" customHeight="1" x14ac:dyDescent="0.25">
      <c r="A66" s="155"/>
      <c r="B66" s="62" t="s">
        <v>78</v>
      </c>
      <c r="C66" s="37" t="s">
        <v>79</v>
      </c>
      <c r="D66" s="54">
        <v>1.75</v>
      </c>
      <c r="E66" s="215">
        <f t="shared" si="1"/>
        <v>4132.1875</v>
      </c>
      <c r="F66" s="189"/>
      <c r="G66" s="190">
        <f t="shared" si="0"/>
        <v>0</v>
      </c>
      <c r="H66" s="1"/>
    </row>
    <row r="67" spans="1:10" s="18" customFormat="1" ht="18.75" customHeight="1" x14ac:dyDescent="0.25">
      <c r="A67" s="155"/>
      <c r="B67" s="62" t="s">
        <v>80</v>
      </c>
      <c r="C67" s="37" t="s">
        <v>81</v>
      </c>
      <c r="D67" s="54">
        <v>2</v>
      </c>
      <c r="E67" s="215">
        <f t="shared" si="1"/>
        <v>4722.5</v>
      </c>
      <c r="F67" s="189"/>
      <c r="G67" s="190">
        <f t="shared" si="0"/>
        <v>0</v>
      </c>
      <c r="H67" s="1"/>
    </row>
    <row r="68" spans="1:10" s="18" customFormat="1" ht="18.75" customHeight="1" thickBot="1" x14ac:dyDescent="0.3">
      <c r="A68" s="155"/>
      <c r="B68" s="63" t="s">
        <v>82</v>
      </c>
      <c r="C68" s="64" t="s">
        <v>83</v>
      </c>
      <c r="D68" s="65">
        <v>2.5</v>
      </c>
      <c r="E68" s="216">
        <f t="shared" si="1"/>
        <v>5903.125</v>
      </c>
      <c r="F68" s="192"/>
      <c r="G68" s="193">
        <f t="shared" si="0"/>
        <v>0</v>
      </c>
      <c r="H68" s="1"/>
    </row>
    <row r="69" spans="1:10" s="18" customFormat="1" ht="18.75" customHeight="1" thickBot="1" x14ac:dyDescent="0.3">
      <c r="A69" s="155"/>
      <c r="B69" s="95" t="s">
        <v>140</v>
      </c>
      <c r="C69" s="115"/>
      <c r="D69" s="116"/>
      <c r="E69" s="4"/>
      <c r="F69" s="156"/>
      <c r="G69" s="66">
        <f>SUM(G60:G68)</f>
        <v>0</v>
      </c>
      <c r="H69" s="1"/>
    </row>
    <row r="70" spans="1:10" s="18" customFormat="1" ht="13.5" customHeight="1" thickBot="1" x14ac:dyDescent="0.3">
      <c r="A70" s="155"/>
      <c r="B70" s="161"/>
      <c r="C70" s="137"/>
      <c r="D70" s="138"/>
      <c r="E70" s="185"/>
      <c r="F70" s="156"/>
      <c r="G70" s="156"/>
      <c r="H70" s="1"/>
    </row>
    <row r="71" spans="1:10" s="18" customFormat="1" ht="18.75" customHeight="1" thickBot="1" x14ac:dyDescent="0.3">
      <c r="A71" s="155"/>
      <c r="B71" s="113" t="s">
        <v>85</v>
      </c>
      <c r="C71" s="114"/>
      <c r="D71" s="105" t="s">
        <v>13</v>
      </c>
      <c r="E71" s="48" t="s">
        <v>62</v>
      </c>
      <c r="F71" s="156"/>
      <c r="G71" s="156"/>
      <c r="H71" s="1"/>
    </row>
    <row r="72" spans="1:10" s="18" customFormat="1" ht="18.75" customHeight="1" x14ac:dyDescent="0.25">
      <c r="A72" s="155"/>
      <c r="B72" s="74" t="s">
        <v>86</v>
      </c>
      <c r="C72" s="67" t="s">
        <v>87</v>
      </c>
      <c r="D72" s="133"/>
      <c r="E72" s="194"/>
      <c r="F72" s="156"/>
      <c r="G72" s="156"/>
      <c r="H72" s="1"/>
    </row>
    <row r="73" spans="1:10" s="18" customFormat="1" ht="18.75" customHeight="1" x14ac:dyDescent="0.25">
      <c r="A73" s="155"/>
      <c r="B73" s="26" t="s">
        <v>88</v>
      </c>
      <c r="C73" s="27" t="s">
        <v>89</v>
      </c>
      <c r="D73" s="54">
        <v>0.04</v>
      </c>
      <c r="E73" s="217">
        <f>ROUND(IF($E$18+E20+E21+E22&lt;=($C$5*25),ROUND($E$18+E20+E21+E22,-3),ROUND($C$5*25,-3))*D73,-2)</f>
        <v>22700</v>
      </c>
      <c r="F73" s="156"/>
      <c r="G73" s="156"/>
      <c r="H73" s="1"/>
    </row>
    <row r="74" spans="1:10" s="18" customFormat="1" ht="18.75" customHeight="1" x14ac:dyDescent="0.25">
      <c r="A74" s="155"/>
      <c r="B74" s="26" t="s">
        <v>90</v>
      </c>
      <c r="C74" s="37" t="s">
        <v>91</v>
      </c>
      <c r="D74" s="54">
        <v>0.04</v>
      </c>
      <c r="E74" s="217">
        <f>ROUND(IF($E$18+E20+E21+E22&lt;=($C$5*25),ROUND($E$18+E20+E21+E22,-3),ROUND($C$5*25,-3))*D74,-2)</f>
        <v>22700</v>
      </c>
      <c r="F74" s="156"/>
      <c r="G74" s="156"/>
      <c r="H74" s="1"/>
    </row>
    <row r="75" spans="1:10" s="18" customFormat="1" ht="18.75" customHeight="1" x14ac:dyDescent="0.25">
      <c r="A75" s="155"/>
      <c r="B75" s="26" t="s">
        <v>92</v>
      </c>
      <c r="C75" s="37" t="s">
        <v>93</v>
      </c>
      <c r="D75" s="79">
        <f>IF(E18+E20+E21+E22&lt;(C5*4),0,0.01)</f>
        <v>0</v>
      </c>
      <c r="E75" s="29">
        <f>IF(E18+E20+E21+E22&lt;(C5*4),0,(E18+E20+E21+E22)*D75)</f>
        <v>0</v>
      </c>
      <c r="F75" s="156"/>
      <c r="G75" s="156"/>
      <c r="H75" s="1"/>
    </row>
    <row r="76" spans="1:10" s="18" customFormat="1" ht="18.75" customHeight="1" x14ac:dyDescent="0.25">
      <c r="A76" s="155"/>
      <c r="B76" s="26" t="s">
        <v>94</v>
      </c>
      <c r="C76" s="37" t="s">
        <v>95</v>
      </c>
      <c r="D76" s="36">
        <f>IF(E18+E20+E21+E22&lt;C81,D81,IF(E18+E20+E21+E22&lt;C82,D82,IF(E18+E20+E21+E22&lt;C83,D83,IF(E18+E20+E21+E22&lt;C84,D84,IF(E18+E20+E21+E22&lt;C85,D85,D86)))))</f>
        <v>0</v>
      </c>
      <c r="E76" s="195">
        <f>(E18+E20+E21+E22)*D76</f>
        <v>0</v>
      </c>
      <c r="F76" s="156"/>
      <c r="G76" s="156"/>
      <c r="H76" s="1"/>
    </row>
    <row r="77" spans="1:10" s="18" customFormat="1" ht="18.75" customHeight="1" thickBot="1" x14ac:dyDescent="0.3">
      <c r="A77" s="155"/>
      <c r="B77" s="94" t="s">
        <v>96</v>
      </c>
      <c r="C77" s="69"/>
      <c r="D77" s="196"/>
      <c r="E77" s="70">
        <f>SUM(E72:E76)</f>
        <v>45400</v>
      </c>
      <c r="F77" s="156"/>
      <c r="G77" s="156"/>
      <c r="H77" s="1"/>
    </row>
    <row r="78" spans="1:10" s="18" customFormat="1" ht="13.5" customHeight="1" x14ac:dyDescent="0.25">
      <c r="A78" s="155"/>
      <c r="B78" s="161"/>
      <c r="C78" s="137"/>
      <c r="D78" s="138"/>
      <c r="E78" s="185"/>
      <c r="F78" s="156"/>
      <c r="G78" s="156"/>
      <c r="H78" s="1"/>
    </row>
    <row r="79" spans="1:10" ht="13.5" customHeight="1" thickBot="1" x14ac:dyDescent="0.3">
      <c r="A79" s="155"/>
      <c r="B79" s="161"/>
      <c r="C79" s="137"/>
      <c r="D79" s="197"/>
      <c r="E79" s="185"/>
      <c r="F79" s="156"/>
      <c r="G79" s="156"/>
    </row>
    <row r="80" spans="1:10" ht="16.5" thickBot="1" x14ac:dyDescent="0.3">
      <c r="A80" s="155"/>
      <c r="B80" s="71" t="s">
        <v>97</v>
      </c>
      <c r="C80" s="140"/>
      <c r="D80" s="168"/>
      <c r="E80" s="179"/>
      <c r="F80" s="156"/>
      <c r="G80" s="156"/>
    </row>
    <row r="81" spans="1:256" ht="15.75" x14ac:dyDescent="0.25">
      <c r="A81" s="155"/>
      <c r="B81" s="74" t="s">
        <v>98</v>
      </c>
      <c r="C81" s="218">
        <f>$C$5*16</f>
        <v>9067200</v>
      </c>
      <c r="D81" s="75">
        <v>0</v>
      </c>
      <c r="E81" s="199"/>
      <c r="F81" s="156"/>
      <c r="G81" s="156"/>
    </row>
    <row r="82" spans="1:256" ht="15.75" x14ac:dyDescent="0.25">
      <c r="A82" s="155"/>
      <c r="B82" s="39" t="s">
        <v>99</v>
      </c>
      <c r="C82" s="219">
        <f>$C$5*17</f>
        <v>9633900</v>
      </c>
      <c r="D82" s="77">
        <v>2E-3</v>
      </c>
      <c r="E82" s="201"/>
      <c r="F82" s="156"/>
      <c r="G82" s="156"/>
    </row>
    <row r="83" spans="1:256" ht="15.75" x14ac:dyDescent="0.25">
      <c r="A83" s="155"/>
      <c r="B83" s="39" t="s">
        <v>100</v>
      </c>
      <c r="C83" s="220">
        <f>$C$5*18</f>
        <v>10200600</v>
      </c>
      <c r="D83" s="79">
        <v>4.0000000000000001E-3</v>
      </c>
      <c r="E83" s="203"/>
      <c r="F83" s="156"/>
      <c r="G83" s="156"/>
    </row>
    <row r="84" spans="1:256" ht="15.75" x14ac:dyDescent="0.25">
      <c r="A84" s="155"/>
      <c r="B84" s="39" t="s">
        <v>101</v>
      </c>
      <c r="C84" s="220">
        <f>$C$5*19</f>
        <v>10767300</v>
      </c>
      <c r="D84" s="79">
        <v>6.0000000000000001E-3</v>
      </c>
      <c r="E84" s="203"/>
      <c r="F84" s="156"/>
      <c r="G84" s="156"/>
    </row>
    <row r="85" spans="1:256" ht="15.75" x14ac:dyDescent="0.25">
      <c r="A85" s="155"/>
      <c r="B85" s="39" t="s">
        <v>102</v>
      </c>
      <c r="C85" s="220">
        <f>$C$5*20</f>
        <v>11334000</v>
      </c>
      <c r="D85" s="79">
        <v>8.0000000000000002E-3</v>
      </c>
      <c r="E85" s="203"/>
      <c r="F85" s="156"/>
      <c r="G85" s="156"/>
    </row>
    <row r="86" spans="1:256" ht="16.5" thickBot="1" x14ac:dyDescent="0.3">
      <c r="A86" s="155"/>
      <c r="B86" s="80" t="s">
        <v>103</v>
      </c>
      <c r="C86" s="221">
        <v>11334000</v>
      </c>
      <c r="D86" s="81">
        <v>0.01</v>
      </c>
      <c r="E86" s="205"/>
      <c r="F86" s="156"/>
      <c r="G86" s="156"/>
      <c r="IV86" s="1">
        <v>2012</v>
      </c>
    </row>
    <row r="87" spans="1:256" x14ac:dyDescent="0.2">
      <c r="A87" s="155"/>
      <c r="B87" s="206"/>
      <c r="C87" s="141"/>
      <c r="D87" s="142"/>
      <c r="E87" s="149" t="str">
        <f>+B69</f>
        <v>V1 .1 dici  26 de 2011</v>
      </c>
      <c r="F87" s="156"/>
      <c r="G87" s="156"/>
    </row>
    <row r="88" spans="1:256" ht="14.25" x14ac:dyDescent="0.2">
      <c r="A88" s="155"/>
      <c r="B88" s="155"/>
      <c r="C88" s="115"/>
      <c r="D88" s="143"/>
      <c r="E88" s="145"/>
      <c r="F88" s="156"/>
      <c r="G88" s="156"/>
    </row>
    <row r="89" spans="1:256" ht="15" x14ac:dyDescent="0.2">
      <c r="A89" s="155"/>
      <c r="B89" s="155"/>
      <c r="C89" s="140"/>
      <c r="D89" s="116"/>
      <c r="F89" s="156"/>
      <c r="G89" s="156"/>
    </row>
    <row r="90" spans="1:256" ht="15" x14ac:dyDescent="0.2">
      <c r="A90" s="155"/>
      <c r="B90" s="155"/>
      <c r="C90" s="140"/>
      <c r="D90" s="116"/>
      <c r="F90" s="156"/>
      <c r="G90" s="156"/>
    </row>
    <row r="91" spans="1:256" ht="15" x14ac:dyDescent="0.2">
      <c r="A91" s="155"/>
      <c r="B91" s="155"/>
      <c r="C91" s="140"/>
      <c r="D91" s="116"/>
      <c r="F91" s="156"/>
      <c r="G91" s="156"/>
    </row>
    <row r="92" spans="1:256" ht="15" x14ac:dyDescent="0.2">
      <c r="A92" s="155"/>
      <c r="B92" s="155"/>
      <c r="C92" s="140"/>
      <c r="D92" s="116"/>
      <c r="F92" s="156"/>
      <c r="G92" s="156"/>
    </row>
    <row r="93" spans="1:256" ht="15" x14ac:dyDescent="0.2">
      <c r="A93" s="155"/>
      <c r="B93" s="155"/>
      <c r="C93" s="140"/>
      <c r="D93" s="116"/>
      <c r="F93" s="156"/>
      <c r="G93" s="156"/>
    </row>
    <row r="94" spans="1:256" ht="15" x14ac:dyDescent="0.2">
      <c r="A94" s="155"/>
      <c r="B94" s="155"/>
      <c r="C94" s="140"/>
      <c r="D94" s="116"/>
      <c r="F94" s="156"/>
      <c r="G94" s="156"/>
    </row>
    <row r="95" spans="1:256" ht="15" x14ac:dyDescent="0.2">
      <c r="A95" s="155"/>
      <c r="B95" s="155"/>
      <c r="C95" s="140"/>
      <c r="D95" s="116"/>
      <c r="F95" s="156"/>
      <c r="G95" s="156"/>
    </row>
    <row r="96" spans="1:256" ht="15" x14ac:dyDescent="0.2">
      <c r="A96" s="155"/>
      <c r="B96" s="155"/>
      <c r="C96" s="140"/>
      <c r="D96" s="116"/>
      <c r="F96" s="156"/>
      <c r="G96" s="156"/>
    </row>
    <row r="97" spans="1:7" ht="15" x14ac:dyDescent="0.2">
      <c r="A97" s="155"/>
      <c r="B97" s="155"/>
      <c r="C97" s="140"/>
      <c r="D97" s="116"/>
      <c r="F97" s="156"/>
      <c r="G97" s="156"/>
    </row>
    <row r="98" spans="1:7" ht="15" x14ac:dyDescent="0.2">
      <c r="A98" s="155"/>
      <c r="B98" s="155"/>
      <c r="C98" s="140"/>
      <c r="D98" s="116"/>
      <c r="F98" s="156"/>
      <c r="G98" s="156"/>
    </row>
    <row r="99" spans="1:7" ht="15" x14ac:dyDescent="0.2">
      <c r="A99" s="155"/>
      <c r="B99" s="155"/>
      <c r="C99" s="140"/>
      <c r="D99" s="116"/>
      <c r="F99" s="156"/>
      <c r="G99" s="156"/>
    </row>
    <row r="100" spans="1:7" x14ac:dyDescent="0.2">
      <c r="A100" s="155"/>
      <c r="B100" s="155"/>
      <c r="C100" s="115"/>
      <c r="D100" s="116"/>
      <c r="F100" s="156"/>
      <c r="G100" s="156"/>
    </row>
    <row r="101" spans="1:7" x14ac:dyDescent="0.2">
      <c r="A101" s="155"/>
      <c r="B101" s="155"/>
      <c r="C101" s="115"/>
      <c r="D101" s="116"/>
      <c r="F101" s="156"/>
      <c r="G101" s="156"/>
    </row>
    <row r="102" spans="1:7" x14ac:dyDescent="0.2">
      <c r="A102" s="155"/>
      <c r="B102" s="155"/>
      <c r="C102" s="115"/>
      <c r="D102" s="116"/>
      <c r="F102" s="156"/>
      <c r="G102" s="156"/>
    </row>
    <row r="103" spans="1:7" x14ac:dyDescent="0.2">
      <c r="A103" s="155"/>
      <c r="B103" s="155"/>
      <c r="C103" s="115"/>
      <c r="D103" s="116"/>
      <c r="F103" s="156"/>
      <c r="G103" s="156"/>
    </row>
    <row r="65536" spans="256:256" x14ac:dyDescent="0.2">
      <c r="IV65536" s="1">
        <v>2012</v>
      </c>
    </row>
  </sheetData>
  <sheetProtection password="CC43" sheet="1"/>
  <protectedRanges>
    <protectedRange sqref="E20:E22" name="Rango5"/>
    <protectedRange sqref="C10:C12" name="Rango4"/>
    <protectedRange sqref="F60:F68" name="Rango2"/>
    <protectedRange sqref="E72" name="Rango3"/>
  </protectedRanges>
  <customSheetViews>
    <customSheetView guid="{005D785A-2C1A-7642-8E14-813F8ABC12DD}" scale="91" showGridLines="0">
      <selection activeCell="F3" sqref="F3"/>
      <pageMargins left="0" right="0" top="0" bottom="0" header="0" footer="0"/>
      <pageSetup paperSize="9" scale="52" orientation="portrait" r:id="rId1"/>
    </customSheetView>
  </customSheetViews>
  <dataValidations count="1">
    <dataValidation type="list" allowBlank="1" showInputMessage="1" showErrorMessage="1" sqref="C11" xr:uid="{00000000-0002-0000-0700-000000000000}">
      <formula1>$IV$6:$IV$10</formula1>
    </dataValidation>
  </dataValidations>
  <pageMargins left="0.59055118110236227" right="0" top="1.115" bottom="0.52" header="0" footer="0"/>
  <pageSetup paperSize="9" scale="52"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V65536"/>
  <sheetViews>
    <sheetView showGridLines="0" workbookViewId="0">
      <selection activeCell="H33" sqref="H33"/>
    </sheetView>
  </sheetViews>
  <sheetFormatPr baseColWidth="10" defaultColWidth="11.42578125" defaultRowHeight="12.75" x14ac:dyDescent="0.2"/>
  <cols>
    <col min="1" max="1" width="3.28515625" style="1" customWidth="1"/>
    <col min="2" max="2" width="45.28515625" style="1" customWidth="1"/>
    <col min="3" max="3" width="58.85546875" style="2" customWidth="1"/>
    <col min="4" max="4" width="11" style="3" customWidth="1"/>
    <col min="5" max="5" width="17.28515625" style="4" customWidth="1"/>
    <col min="6" max="6" width="10.42578125" style="5" customWidth="1"/>
    <col min="7" max="7" width="13.85546875" style="5" customWidth="1"/>
    <col min="8" max="8" width="7.7109375" style="1" customWidth="1"/>
    <col min="9" max="9" width="13.28515625" style="1" bestFit="1" customWidth="1"/>
    <col min="10" max="10" width="12" style="1" bestFit="1" customWidth="1"/>
    <col min="11" max="16384" width="11.42578125" style="1"/>
  </cols>
  <sheetData>
    <row r="1" spans="1:256" ht="11.25" customHeight="1" x14ac:dyDescent="0.2">
      <c r="A1" s="155"/>
      <c r="B1" s="155"/>
      <c r="C1" s="115"/>
      <c r="D1" s="116"/>
      <c r="F1" s="156"/>
      <c r="G1" s="156"/>
    </row>
    <row r="2" spans="1:256" ht="18" customHeight="1" x14ac:dyDescent="0.25">
      <c r="A2" s="155"/>
      <c r="B2" s="87" t="s">
        <v>0</v>
      </c>
      <c r="C2" s="88"/>
      <c r="D2" s="89"/>
      <c r="E2" s="90"/>
      <c r="F2" s="156"/>
      <c r="G2" s="156"/>
    </row>
    <row r="3" spans="1:256" ht="14.25" customHeight="1" thickBot="1" x14ac:dyDescent="0.25">
      <c r="A3" s="155"/>
      <c r="B3" s="155"/>
      <c r="C3" s="115"/>
      <c r="D3" s="116"/>
      <c r="F3" s="156"/>
      <c r="G3" s="156"/>
    </row>
    <row r="4" spans="1:256" ht="18.75" customHeight="1" thickBot="1" x14ac:dyDescent="0.35">
      <c r="A4" s="155"/>
      <c r="B4" s="146" t="s">
        <v>141</v>
      </c>
      <c r="C4" s="117"/>
      <c r="D4" s="116"/>
      <c r="E4" s="157"/>
      <c r="F4" s="156"/>
      <c r="G4" s="156"/>
    </row>
    <row r="5" spans="1:256" ht="18.75" customHeight="1" x14ac:dyDescent="0.25">
      <c r="A5" s="155"/>
      <c r="B5" s="6" t="s">
        <v>2</v>
      </c>
      <c r="C5" s="76">
        <v>535600</v>
      </c>
      <c r="D5" s="116"/>
      <c r="E5" s="158"/>
      <c r="F5" s="156"/>
      <c r="G5" s="156"/>
      <c r="I5" s="156"/>
    </row>
    <row r="6" spans="1:256" ht="18.75" customHeight="1" thickBot="1" x14ac:dyDescent="0.3">
      <c r="A6" s="155"/>
      <c r="B6" s="159" t="s">
        <v>3</v>
      </c>
      <c r="C6" s="82">
        <v>63600</v>
      </c>
      <c r="D6" s="116"/>
      <c r="F6" s="156"/>
      <c r="G6" s="156"/>
      <c r="I6" s="160"/>
      <c r="J6" s="150"/>
      <c r="IV6" s="7">
        <v>5.2199999999999998E-3</v>
      </c>
    </row>
    <row r="7" spans="1:256" ht="13.5" customHeight="1" x14ac:dyDescent="0.25">
      <c r="A7" s="155"/>
      <c r="B7" s="161"/>
      <c r="C7" s="162"/>
      <c r="D7" s="116"/>
      <c r="F7" s="156"/>
      <c r="G7" s="156"/>
      <c r="IV7" s="7">
        <v>1.044E-2</v>
      </c>
    </row>
    <row r="8" spans="1:256" ht="12.75" customHeight="1" x14ac:dyDescent="0.2">
      <c r="A8" s="155"/>
      <c r="B8" s="161"/>
      <c r="C8" s="161"/>
      <c r="D8" s="116"/>
      <c r="F8" s="156"/>
      <c r="G8" s="156"/>
      <c r="IV8" s="7">
        <v>2.436E-2</v>
      </c>
    </row>
    <row r="9" spans="1:256" ht="12" customHeight="1" thickBot="1" x14ac:dyDescent="0.25">
      <c r="A9" s="155"/>
      <c r="B9" s="9" t="s">
        <v>4</v>
      </c>
      <c r="C9" s="147" t="s">
        <v>130</v>
      </c>
      <c r="D9" s="118"/>
      <c r="E9" s="10"/>
      <c r="F9" s="156"/>
      <c r="G9" s="156"/>
      <c r="IV9" s="7">
        <v>4.3499999999999997E-2</v>
      </c>
    </row>
    <row r="10" spans="1:256" ht="18.75" customHeight="1" x14ac:dyDescent="0.25">
      <c r="A10" s="155"/>
      <c r="B10" s="11" t="s">
        <v>6</v>
      </c>
      <c r="C10" s="100">
        <v>535600</v>
      </c>
      <c r="D10" s="119"/>
      <c r="E10" s="163"/>
      <c r="F10" s="156"/>
      <c r="G10" s="154"/>
      <c r="H10" s="12"/>
      <c r="IV10" s="7">
        <v>6.9599999999999995E-2</v>
      </c>
    </row>
    <row r="11" spans="1:256" ht="18.75" customHeight="1" x14ac:dyDescent="0.2">
      <c r="A11" s="155"/>
      <c r="B11" s="13" t="s">
        <v>7</v>
      </c>
      <c r="C11" s="14">
        <v>6.9599999999999995E-2</v>
      </c>
      <c r="D11" s="118"/>
      <c r="E11" s="163"/>
      <c r="F11" s="156"/>
      <c r="G11" s="120"/>
      <c r="H11" s="12"/>
    </row>
    <row r="12" spans="1:256" ht="18.75" customHeight="1" thickBot="1" x14ac:dyDescent="0.3">
      <c r="A12" s="155"/>
      <c r="B12" s="15" t="s">
        <v>8</v>
      </c>
      <c r="C12" s="164"/>
      <c r="D12" s="118"/>
      <c r="E12" s="10"/>
      <c r="F12" s="156"/>
      <c r="G12" s="121"/>
      <c r="H12" s="12"/>
      <c r="IR12" s="16"/>
      <c r="IV12" s="18"/>
    </row>
    <row r="13" spans="1:256" ht="10.5" customHeight="1" x14ac:dyDescent="0.2">
      <c r="A13" s="155"/>
      <c r="B13" s="161"/>
      <c r="C13" s="121"/>
      <c r="D13" s="118"/>
      <c r="E13" s="10"/>
      <c r="F13" s="156"/>
      <c r="G13" s="120"/>
      <c r="H13" s="12"/>
      <c r="IR13" s="16"/>
    </row>
    <row r="14" spans="1:256" ht="10.5" customHeight="1" thickBot="1" x14ac:dyDescent="0.25">
      <c r="A14" s="155"/>
      <c r="B14" s="165"/>
      <c r="C14" s="122"/>
      <c r="D14" s="123"/>
      <c r="F14" s="166"/>
      <c r="G14" s="120"/>
      <c r="H14" s="12"/>
      <c r="IR14" s="16"/>
    </row>
    <row r="15" spans="1:256" s="18" customFormat="1" ht="18.75" customHeight="1" x14ac:dyDescent="0.25">
      <c r="A15" s="167"/>
      <c r="B15" s="96" t="s">
        <v>11</v>
      </c>
      <c r="C15" s="97" t="s">
        <v>12</v>
      </c>
      <c r="D15" s="98" t="s">
        <v>13</v>
      </c>
      <c r="E15" s="99" t="s">
        <v>131</v>
      </c>
      <c r="F15" s="168"/>
      <c r="G15" s="120"/>
      <c r="H15" s="12"/>
      <c r="IR15" s="20"/>
    </row>
    <row r="16" spans="1:256" s="18" customFormat="1" ht="9" customHeight="1" x14ac:dyDescent="0.25">
      <c r="A16" s="167"/>
      <c r="B16" s="169"/>
      <c r="C16" s="162"/>
      <c r="D16" s="162"/>
      <c r="E16" s="21"/>
      <c r="F16" s="168"/>
      <c r="G16" s="168"/>
      <c r="IR16" s="20"/>
    </row>
    <row r="17" spans="1:252" s="18" customFormat="1" ht="18.75" customHeight="1" x14ac:dyDescent="0.25">
      <c r="A17" s="167"/>
      <c r="B17" s="22" t="s">
        <v>17</v>
      </c>
      <c r="C17" s="23"/>
      <c r="D17" s="24"/>
      <c r="E17" s="25"/>
      <c r="F17" s="168"/>
      <c r="G17" s="168"/>
      <c r="IR17" s="20"/>
    </row>
    <row r="18" spans="1:252" s="18" customFormat="1" ht="18.75" customHeight="1" x14ac:dyDescent="0.25">
      <c r="A18" s="167"/>
      <c r="B18" s="26" t="s">
        <v>18</v>
      </c>
      <c r="C18" s="27" t="s">
        <v>19</v>
      </c>
      <c r="D18" s="170"/>
      <c r="E18" s="29">
        <f>IF(C10&lt;C5,FALSE,C10)</f>
        <v>535600</v>
      </c>
      <c r="F18" s="171"/>
      <c r="G18" s="168"/>
      <c r="IR18" s="20"/>
    </row>
    <row r="19" spans="1:252" s="18" customFormat="1" ht="18.75" customHeight="1" x14ac:dyDescent="0.25">
      <c r="A19" s="167"/>
      <c r="B19" s="26" t="s">
        <v>20</v>
      </c>
      <c r="C19" s="27" t="s">
        <v>142</v>
      </c>
      <c r="D19" s="170"/>
      <c r="E19" s="29">
        <f>IF(E18+E20+E21+E22&lt;=(C5*2),C6,0)</f>
        <v>63600</v>
      </c>
      <c r="F19" s="171"/>
      <c r="G19" s="168"/>
    </row>
    <row r="20" spans="1:252" s="18" customFormat="1" ht="18.75" customHeight="1" x14ac:dyDescent="0.25">
      <c r="A20" s="167"/>
      <c r="B20" s="26" t="s">
        <v>22</v>
      </c>
      <c r="C20" s="27" t="s">
        <v>23</v>
      </c>
      <c r="D20" s="170"/>
      <c r="E20" s="34"/>
      <c r="F20" s="171"/>
      <c r="G20" s="168"/>
      <c r="J20" s="151"/>
    </row>
    <row r="21" spans="1:252" s="18" customFormat="1" ht="18.75" customHeight="1" x14ac:dyDescent="0.25">
      <c r="A21" s="167"/>
      <c r="B21" s="26" t="s">
        <v>118</v>
      </c>
      <c r="C21" s="27" t="s">
        <v>25</v>
      </c>
      <c r="D21" s="170"/>
      <c r="E21" s="34"/>
      <c r="F21" s="171"/>
      <c r="G21" s="168"/>
    </row>
    <row r="22" spans="1:252" s="18" customFormat="1" ht="18.75" customHeight="1" x14ac:dyDescent="0.25">
      <c r="A22" s="167"/>
      <c r="B22" s="26" t="s">
        <v>26</v>
      </c>
      <c r="C22" s="27" t="s">
        <v>110</v>
      </c>
      <c r="D22" s="170"/>
      <c r="E22" s="34"/>
      <c r="F22" s="171"/>
      <c r="G22" s="168"/>
    </row>
    <row r="23" spans="1:252" s="18" customFormat="1" ht="18.75" customHeight="1" x14ac:dyDescent="0.25">
      <c r="A23" s="167"/>
      <c r="B23" s="148" t="s">
        <v>28</v>
      </c>
      <c r="C23" s="125"/>
      <c r="D23" s="172"/>
      <c r="E23" s="30">
        <f>SUM(E18:E22)</f>
        <v>599200</v>
      </c>
      <c r="F23" s="173"/>
      <c r="G23" s="173"/>
    </row>
    <row r="24" spans="1:252" s="18" customFormat="1" ht="18.75" customHeight="1" x14ac:dyDescent="0.25">
      <c r="A24" s="167"/>
      <c r="B24" s="174"/>
      <c r="C24" s="126"/>
      <c r="D24" s="175"/>
      <c r="E24" s="34"/>
      <c r="F24" s="173"/>
      <c r="G24" s="173"/>
    </row>
    <row r="25" spans="1:252" s="18" customFormat="1" ht="18.75" customHeight="1" x14ac:dyDescent="0.25">
      <c r="A25" s="167"/>
      <c r="B25" s="101" t="s">
        <v>29</v>
      </c>
      <c r="C25" s="23"/>
      <c r="D25" s="24"/>
      <c r="E25" s="34"/>
      <c r="F25" s="173"/>
      <c r="G25" s="173"/>
    </row>
    <row r="26" spans="1:252" s="18" customFormat="1" ht="18.75" customHeight="1" x14ac:dyDescent="0.25">
      <c r="A26" s="167"/>
      <c r="B26" s="26" t="s">
        <v>30</v>
      </c>
      <c r="C26" s="27" t="s">
        <v>31</v>
      </c>
      <c r="D26" s="35">
        <v>8.3333333333333343E-2</v>
      </c>
      <c r="E26" s="29">
        <f>E23*D26</f>
        <v>49933.333333333336</v>
      </c>
      <c r="F26" s="168"/>
      <c r="G26" s="168"/>
    </row>
    <row r="27" spans="1:252" s="18" customFormat="1" ht="18.75" customHeight="1" x14ac:dyDescent="0.25">
      <c r="A27" s="167"/>
      <c r="B27" s="26" t="s">
        <v>32</v>
      </c>
      <c r="C27" s="27" t="s">
        <v>33</v>
      </c>
      <c r="D27" s="36">
        <v>0.12</v>
      </c>
      <c r="E27" s="29">
        <f>+E26*D27</f>
        <v>5992</v>
      </c>
      <c r="F27" s="168"/>
      <c r="G27" s="168"/>
    </row>
    <row r="28" spans="1:252" s="18" customFormat="1" ht="18.75" customHeight="1" x14ac:dyDescent="0.25">
      <c r="A28" s="167"/>
      <c r="B28" s="26" t="s">
        <v>34</v>
      </c>
      <c r="C28" s="27" t="s">
        <v>31</v>
      </c>
      <c r="D28" s="35">
        <v>8.3333333333333343E-2</v>
      </c>
      <c r="E28" s="29">
        <f>E23*D28</f>
        <v>49933.333333333336</v>
      </c>
      <c r="F28" s="168"/>
      <c r="G28" s="168"/>
    </row>
    <row r="29" spans="1:252" s="18" customFormat="1" ht="18.75" customHeight="1" x14ac:dyDescent="0.25">
      <c r="A29" s="167"/>
      <c r="B29" s="26" t="s">
        <v>35</v>
      </c>
      <c r="C29" s="37" t="s">
        <v>36</v>
      </c>
      <c r="D29" s="35">
        <v>4.1666666666666664E-2</v>
      </c>
      <c r="E29" s="29">
        <f>(E18+E20)*D29</f>
        <v>22316.666666666664</v>
      </c>
      <c r="F29" s="168"/>
      <c r="G29" s="176"/>
    </row>
    <row r="30" spans="1:252" s="18" customFormat="1" ht="18.75" customHeight="1" x14ac:dyDescent="0.25">
      <c r="A30" s="167"/>
      <c r="B30" s="177" t="s">
        <v>37</v>
      </c>
      <c r="C30" s="128"/>
      <c r="D30" s="175"/>
      <c r="E30" s="30">
        <f>SUM(E26:E29)</f>
        <v>128175.33333333334</v>
      </c>
      <c r="F30" s="168"/>
      <c r="G30" s="168"/>
    </row>
    <row r="31" spans="1:252" s="18" customFormat="1" ht="18.75" customHeight="1" x14ac:dyDescent="0.2">
      <c r="A31" s="167"/>
      <c r="B31" s="178"/>
      <c r="C31" s="124"/>
      <c r="D31" s="170"/>
      <c r="E31" s="25"/>
      <c r="F31" s="168"/>
      <c r="G31" s="168"/>
      <c r="H31" s="8"/>
    </row>
    <row r="32" spans="1:252" s="18" customFormat="1" ht="18.75" customHeight="1" x14ac:dyDescent="0.25">
      <c r="A32" s="167"/>
      <c r="B32" s="22" t="s">
        <v>38</v>
      </c>
      <c r="C32" s="23"/>
      <c r="D32" s="24"/>
      <c r="E32" s="25"/>
      <c r="F32" s="168"/>
      <c r="G32" s="168"/>
      <c r="H32" s="8"/>
    </row>
    <row r="33" spans="1:9" s="18" customFormat="1" ht="18.75" customHeight="1" x14ac:dyDescent="0.25">
      <c r="A33" s="167"/>
      <c r="B33" s="39" t="s">
        <v>39</v>
      </c>
      <c r="C33" s="85">
        <f>ROUND(IF($E$18+E20+E21+E22&lt;=($C$5*25),ROUND($E$18+E20+E21+E22,-3),ROUND($C$5*25,-3))*0.125,-2)</f>
        <v>67000</v>
      </c>
      <c r="D33" s="36">
        <v>8.5000000000000006E-2</v>
      </c>
      <c r="E33" s="29">
        <f>C33-E73</f>
        <v>45600</v>
      </c>
      <c r="F33" s="168"/>
      <c r="G33" s="179"/>
      <c r="H33" s="40"/>
      <c r="I33" s="144"/>
    </row>
    <row r="34" spans="1:9" s="18" customFormat="1" ht="18.75" customHeight="1" x14ac:dyDescent="0.25">
      <c r="A34" s="167"/>
      <c r="B34" s="26" t="s">
        <v>40</v>
      </c>
      <c r="C34" s="85">
        <f>ROUND(IF($E$18+E20+E21+E22&lt;=($C$5*25),ROUND($E$18+E20+E21+E22,-3),ROUND($C$5*25,-3))*0.16,-2)</f>
        <v>85800</v>
      </c>
      <c r="D34" s="36">
        <v>0.12</v>
      </c>
      <c r="E34" s="29">
        <f>C34-E74</f>
        <v>64400</v>
      </c>
      <c r="F34" s="168"/>
      <c r="G34" s="179"/>
      <c r="H34" s="41"/>
    </row>
    <row r="35" spans="1:9" s="18" customFormat="1" ht="18.75" customHeight="1" x14ac:dyDescent="0.25">
      <c r="A35" s="167"/>
      <c r="B35" s="26" t="s">
        <v>119</v>
      </c>
      <c r="C35" s="37" t="s">
        <v>42</v>
      </c>
      <c r="D35" s="28">
        <f>C11</f>
        <v>6.9599999999999995E-2</v>
      </c>
      <c r="E35" s="29">
        <f>ROUND(IF($E$18+E21+E20+E22&lt;=($C$5*20),ROUND($E$18+E20+E21+E22,-3),ROUND($C$5*20,-3))*D35,-2)</f>
        <v>37300</v>
      </c>
      <c r="F35" s="168"/>
      <c r="G35" s="179"/>
      <c r="H35" s="8"/>
    </row>
    <row r="36" spans="1:9" s="18" customFormat="1" ht="18.75" customHeight="1" x14ac:dyDescent="0.25">
      <c r="A36" s="167"/>
      <c r="B36" s="26" t="s">
        <v>43</v>
      </c>
      <c r="C36" s="127"/>
      <c r="D36" s="36">
        <v>8.5000000000000006E-2</v>
      </c>
      <c r="E36" s="29">
        <f>ROUND(IF($E$29&lt;=($C$5*25),ROUND($E$29,-3),ROUND($C$5*25,-3))*D36,-2)</f>
        <v>1900</v>
      </c>
      <c r="F36" s="168"/>
      <c r="G36" s="168"/>
    </row>
    <row r="37" spans="1:9" s="18" customFormat="1" ht="18.75" customHeight="1" x14ac:dyDescent="0.25">
      <c r="A37" s="167"/>
      <c r="B37" s="26" t="s">
        <v>44</v>
      </c>
      <c r="C37" s="127"/>
      <c r="D37" s="36">
        <v>0.12</v>
      </c>
      <c r="E37" s="29">
        <f>ROUND(IF($E$29&lt;=($C$5*25),ROUND($E$29,-3),ROUND($C$5*25,-3))*D37,-2)</f>
        <v>2600</v>
      </c>
      <c r="F37" s="168"/>
      <c r="G37" s="168"/>
    </row>
    <row r="38" spans="1:9" s="18" customFormat="1" ht="18.75" customHeight="1" x14ac:dyDescent="0.25">
      <c r="A38" s="167"/>
      <c r="B38" s="177" t="s">
        <v>45</v>
      </c>
      <c r="C38" s="128"/>
      <c r="D38" s="175"/>
      <c r="E38" s="30">
        <f>SUM(E33:E37)</f>
        <v>151800</v>
      </c>
      <c r="F38" s="168"/>
      <c r="G38" s="168"/>
    </row>
    <row r="39" spans="1:9" s="18" customFormat="1" ht="18.75" customHeight="1" x14ac:dyDescent="0.2">
      <c r="A39" s="167"/>
      <c r="B39" s="178"/>
      <c r="C39" s="124"/>
      <c r="D39" s="170"/>
      <c r="E39" s="25"/>
      <c r="F39" s="168"/>
      <c r="G39" s="168"/>
    </row>
    <row r="40" spans="1:9" s="18" customFormat="1" ht="18.75" customHeight="1" x14ac:dyDescent="0.25">
      <c r="A40" s="167"/>
      <c r="B40" s="22" t="s">
        <v>46</v>
      </c>
      <c r="C40" s="23"/>
      <c r="D40" s="24"/>
      <c r="E40" s="25"/>
      <c r="F40" s="168"/>
      <c r="G40" s="168"/>
    </row>
    <row r="41" spans="1:9" s="18" customFormat="1" ht="18.75" customHeight="1" x14ac:dyDescent="0.25">
      <c r="A41" s="167"/>
      <c r="B41" s="26" t="s">
        <v>47</v>
      </c>
      <c r="C41" s="37" t="s">
        <v>137</v>
      </c>
      <c r="D41" s="36">
        <v>0.09</v>
      </c>
      <c r="E41" s="29">
        <f>ROUND(ROUND(E18+E20+E21+E22,-3)*D41,-2)</f>
        <v>48200</v>
      </c>
      <c r="F41" s="168"/>
      <c r="G41" s="168"/>
    </row>
    <row r="42" spans="1:9" s="18" customFormat="1" ht="18.75" customHeight="1" x14ac:dyDescent="0.25">
      <c r="A42" s="167"/>
      <c r="B42" s="26" t="s">
        <v>49</v>
      </c>
      <c r="C42" s="127"/>
      <c r="D42" s="36">
        <v>0.09</v>
      </c>
      <c r="E42" s="29">
        <f>ROUND(ROUND(E29,-3)*D42,-2)</f>
        <v>2000</v>
      </c>
      <c r="F42" s="168"/>
      <c r="G42" s="168"/>
    </row>
    <row r="43" spans="1:9" s="18" customFormat="1" ht="18.75" customHeight="1" x14ac:dyDescent="0.25">
      <c r="A43" s="167"/>
      <c r="B43" s="177" t="s">
        <v>50</v>
      </c>
      <c r="C43" s="128"/>
      <c r="D43" s="175"/>
      <c r="E43" s="30">
        <f>SUM(E41:E42)</f>
        <v>50200</v>
      </c>
      <c r="F43" s="168"/>
      <c r="G43" s="168"/>
    </row>
    <row r="44" spans="1:9" s="18" customFormat="1" ht="18.75" customHeight="1" x14ac:dyDescent="0.2">
      <c r="A44" s="167"/>
      <c r="B44" s="180"/>
      <c r="C44" s="127"/>
      <c r="D44" s="170"/>
      <c r="E44" s="25"/>
      <c r="F44" s="168"/>
      <c r="G44" s="168"/>
    </row>
    <row r="45" spans="1:9" s="18" customFormat="1" ht="18.75" customHeight="1" x14ac:dyDescent="0.25">
      <c r="A45" s="167"/>
      <c r="B45" s="22" t="s">
        <v>51</v>
      </c>
      <c r="C45" s="23"/>
      <c r="D45" s="24"/>
      <c r="E45" s="25"/>
      <c r="F45" s="168"/>
      <c r="G45" s="168"/>
    </row>
    <row r="46" spans="1:9" s="18" customFormat="1" ht="18.75" customHeight="1" x14ac:dyDescent="0.25">
      <c r="A46" s="167"/>
      <c r="B46" s="39" t="s">
        <v>53</v>
      </c>
      <c r="C46" s="37" t="s">
        <v>54</v>
      </c>
      <c r="D46" s="181"/>
      <c r="E46" s="29">
        <f>IF(E18+E20+E21+E22&lt;=C5*2,(C12*3)/12,0)</f>
        <v>0</v>
      </c>
      <c r="F46" s="168"/>
      <c r="G46" s="168"/>
    </row>
    <row r="47" spans="1:9" s="18" customFormat="1" ht="18.75" customHeight="1" x14ac:dyDescent="0.2">
      <c r="A47" s="167"/>
      <c r="B47" s="178"/>
      <c r="C47" s="124"/>
      <c r="D47" s="170"/>
      <c r="E47" s="182"/>
      <c r="F47" s="168"/>
      <c r="G47" s="168"/>
    </row>
    <row r="48" spans="1:9" s="18" customFormat="1" ht="18.75" customHeight="1" x14ac:dyDescent="0.25">
      <c r="A48" s="167"/>
      <c r="B48" s="31" t="s">
        <v>55</v>
      </c>
      <c r="C48" s="126"/>
      <c r="D48" s="175"/>
      <c r="E48" s="30">
        <f>E23+E30+E38+E43+E46</f>
        <v>929375.33333333337</v>
      </c>
      <c r="F48" s="183"/>
      <c r="G48" s="173"/>
    </row>
    <row r="49" spans="1:10" s="18" customFormat="1" ht="18.75" customHeight="1" thickBot="1" x14ac:dyDescent="0.3">
      <c r="A49" s="167"/>
      <c r="B49" s="80" t="s">
        <v>56</v>
      </c>
      <c r="C49" s="129"/>
      <c r="D49" s="130"/>
      <c r="E49" s="93">
        <f>+(E48/(E23-E19))-1</f>
        <v>0.73520413243714211</v>
      </c>
      <c r="F49" s="173"/>
      <c r="G49" s="173"/>
    </row>
    <row r="50" spans="1:10" s="18" customFormat="1" ht="13.5" customHeight="1" x14ac:dyDescent="0.25">
      <c r="A50" s="167"/>
      <c r="B50" s="184"/>
      <c r="C50" s="131"/>
      <c r="D50" s="132"/>
      <c r="E50" s="185"/>
      <c r="F50" s="173"/>
      <c r="G50" s="173"/>
    </row>
    <row r="51" spans="1:10" s="18" customFormat="1" ht="13.5" customHeight="1" thickBot="1" x14ac:dyDescent="0.3">
      <c r="A51" s="167"/>
      <c r="B51" s="184"/>
      <c r="C51" s="131"/>
      <c r="D51" s="132"/>
      <c r="E51" s="185"/>
      <c r="F51" s="173"/>
      <c r="G51" s="173"/>
    </row>
    <row r="52" spans="1:10" s="18" customFormat="1" ht="18.75" customHeight="1" x14ac:dyDescent="0.25">
      <c r="A52" s="155"/>
      <c r="B52" s="74" t="s">
        <v>138</v>
      </c>
      <c r="C52" s="186"/>
      <c r="D52" s="133"/>
      <c r="E52" s="187">
        <f>E48*12</f>
        <v>11152504</v>
      </c>
      <c r="F52" s="156"/>
      <c r="G52" s="156"/>
      <c r="H52" s="1"/>
    </row>
    <row r="53" spans="1:10" s="18" customFormat="1" ht="18.75" customHeight="1" x14ac:dyDescent="0.25">
      <c r="A53" s="155"/>
      <c r="B53" s="26" t="s">
        <v>143</v>
      </c>
      <c r="C53" s="124"/>
      <c r="D53" s="134"/>
      <c r="E53" s="29">
        <v>298</v>
      </c>
      <c r="F53" s="156"/>
      <c r="G53" s="156"/>
      <c r="H53" s="1"/>
    </row>
    <row r="54" spans="1:10" s="18" customFormat="1" ht="18.75" customHeight="1" x14ac:dyDescent="0.25">
      <c r="A54" s="155"/>
      <c r="B54" s="26" t="s">
        <v>59</v>
      </c>
      <c r="C54" s="124"/>
      <c r="D54" s="134"/>
      <c r="E54" s="29">
        <f>E52/E53</f>
        <v>37424.510067114097</v>
      </c>
      <c r="F54" s="156"/>
      <c r="G54" s="156"/>
      <c r="H54" s="1"/>
    </row>
    <row r="55" spans="1:10" s="18" customFormat="1" ht="18.75" customHeight="1" thickBot="1" x14ac:dyDescent="0.3">
      <c r="A55" s="155"/>
      <c r="B55" s="188" t="s">
        <v>60</v>
      </c>
      <c r="C55" s="135"/>
      <c r="D55" s="136"/>
      <c r="E55" s="82">
        <f>E54/8</f>
        <v>4678.0637583892621</v>
      </c>
      <c r="F55" s="156"/>
      <c r="G55" s="156"/>
      <c r="H55" s="1"/>
    </row>
    <row r="56" spans="1:10" s="18" customFormat="1" ht="11.25" customHeight="1" x14ac:dyDescent="0.25">
      <c r="A56" s="155"/>
      <c r="B56" s="161"/>
      <c r="C56" s="137"/>
      <c r="D56" s="138"/>
      <c r="E56" s="185"/>
      <c r="F56" s="156"/>
      <c r="G56" s="156"/>
      <c r="H56" s="1"/>
    </row>
    <row r="57" spans="1:10" s="18" customFormat="1" ht="11.25" customHeight="1" thickBot="1" x14ac:dyDescent="0.3">
      <c r="A57" s="155"/>
      <c r="B57" s="161"/>
      <c r="C57" s="137"/>
      <c r="D57" s="138"/>
      <c r="E57" s="185"/>
      <c r="F57" s="156"/>
      <c r="G57" s="156"/>
      <c r="H57" s="1"/>
    </row>
    <row r="58" spans="1:10" s="18" customFormat="1" ht="18.75" customHeight="1" thickBot="1" x14ac:dyDescent="0.3">
      <c r="A58" s="155"/>
      <c r="B58" s="45" t="s">
        <v>61</v>
      </c>
      <c r="C58" s="46"/>
      <c r="D58" s="47" t="s">
        <v>13</v>
      </c>
      <c r="E58" s="48" t="s">
        <v>62</v>
      </c>
      <c r="F58" s="47" t="s">
        <v>63</v>
      </c>
      <c r="G58" s="49" t="s">
        <v>62</v>
      </c>
    </row>
    <row r="59" spans="1:10" s="18" customFormat="1" ht="18.75" customHeight="1" x14ac:dyDescent="0.25">
      <c r="A59" s="155"/>
      <c r="B59" s="50" t="s">
        <v>64</v>
      </c>
      <c r="C59" s="51" t="s">
        <v>112</v>
      </c>
      <c r="D59" s="52"/>
      <c r="E59" s="53">
        <f>(E18/30)/8</f>
        <v>2231.6666666666665</v>
      </c>
      <c r="F59" s="139"/>
      <c r="G59" s="152"/>
      <c r="H59" s="1"/>
      <c r="I59" s="20"/>
    </row>
    <row r="60" spans="1:10" s="18" customFormat="1" ht="18.75" customHeight="1" x14ac:dyDescent="0.25">
      <c r="A60" s="155"/>
      <c r="B60" s="39" t="s">
        <v>66</v>
      </c>
      <c r="C60" s="37" t="s">
        <v>113</v>
      </c>
      <c r="D60" s="54">
        <v>0.35</v>
      </c>
      <c r="E60" s="55">
        <f>$E$59*D60</f>
        <v>781.08333333333326</v>
      </c>
      <c r="F60" s="189"/>
      <c r="G60" s="190">
        <f t="shared" ref="G60:G68" si="0">E60*F60</f>
        <v>0</v>
      </c>
      <c r="H60" s="1"/>
      <c r="I60" s="83"/>
      <c r="J60" s="151"/>
    </row>
    <row r="61" spans="1:10" s="18" customFormat="1" ht="18.75" customHeight="1" x14ac:dyDescent="0.25">
      <c r="A61" s="155"/>
      <c r="B61" s="39" t="s">
        <v>68</v>
      </c>
      <c r="C61" s="37" t="s">
        <v>69</v>
      </c>
      <c r="D61" s="54">
        <v>0.75</v>
      </c>
      <c r="E61" s="55">
        <f>$E$59*D61</f>
        <v>1673.75</v>
      </c>
      <c r="F61" s="189"/>
      <c r="G61" s="190">
        <f t="shared" si="0"/>
        <v>0</v>
      </c>
      <c r="H61" s="1"/>
      <c r="I61" s="83"/>
    </row>
    <row r="62" spans="1:10" s="18" customFormat="1" ht="18.75" customHeight="1" x14ac:dyDescent="0.25">
      <c r="A62" s="155"/>
      <c r="B62" s="56" t="s">
        <v>70</v>
      </c>
      <c r="C62" s="57" t="s">
        <v>71</v>
      </c>
      <c r="D62" s="58">
        <v>1.75</v>
      </c>
      <c r="E62" s="55">
        <f>$E$59*D62</f>
        <v>3905.4166666666665</v>
      </c>
      <c r="F62" s="191"/>
      <c r="G62" s="190">
        <f t="shared" si="0"/>
        <v>0</v>
      </c>
      <c r="H62" s="1"/>
    </row>
    <row r="63" spans="1:10" s="18" customFormat="1" ht="18.75" customHeight="1" x14ac:dyDescent="0.2">
      <c r="A63" s="155"/>
      <c r="B63" s="26" t="s">
        <v>72</v>
      </c>
      <c r="C63" s="27" t="s">
        <v>73</v>
      </c>
      <c r="D63" s="91">
        <v>1.1000000000000001</v>
      </c>
      <c r="E63" s="84">
        <f t="shared" ref="E63:E68" si="1">$E$59*D63</f>
        <v>2454.8333333333335</v>
      </c>
      <c r="F63" s="191"/>
      <c r="G63" s="190">
        <f t="shared" si="0"/>
        <v>0</v>
      </c>
      <c r="H63" s="1"/>
    </row>
    <row r="64" spans="1:10" s="18" customFormat="1" ht="18.75" customHeight="1" x14ac:dyDescent="0.2">
      <c r="A64" s="155"/>
      <c r="B64" s="86" t="s">
        <v>74</v>
      </c>
      <c r="C64" s="27" t="s">
        <v>75</v>
      </c>
      <c r="D64" s="92">
        <v>2.1</v>
      </c>
      <c r="E64" s="84">
        <f t="shared" si="1"/>
        <v>4686.5</v>
      </c>
      <c r="F64" s="191"/>
      <c r="G64" s="190">
        <f t="shared" si="0"/>
        <v>0</v>
      </c>
      <c r="H64" s="1"/>
      <c r="J64" s="20"/>
    </row>
    <row r="65" spans="1:10" s="18" customFormat="1" ht="18.75" customHeight="1" x14ac:dyDescent="0.2">
      <c r="A65" s="155"/>
      <c r="B65" s="59" t="s">
        <v>76</v>
      </c>
      <c r="C65" s="60" t="s">
        <v>77</v>
      </c>
      <c r="D65" s="61">
        <v>1.25</v>
      </c>
      <c r="E65" s="84">
        <f t="shared" si="1"/>
        <v>2789.583333333333</v>
      </c>
      <c r="F65" s="189"/>
      <c r="G65" s="190">
        <f t="shared" si="0"/>
        <v>0</v>
      </c>
      <c r="H65" s="1"/>
      <c r="J65" s="20"/>
    </row>
    <row r="66" spans="1:10" s="18" customFormat="1" ht="18.75" customHeight="1" x14ac:dyDescent="0.2">
      <c r="A66" s="155"/>
      <c r="B66" s="62" t="s">
        <v>78</v>
      </c>
      <c r="C66" s="37" t="s">
        <v>79</v>
      </c>
      <c r="D66" s="54">
        <v>1.75</v>
      </c>
      <c r="E66" s="84">
        <f t="shared" si="1"/>
        <v>3905.4166666666665</v>
      </c>
      <c r="F66" s="189"/>
      <c r="G66" s="190">
        <f t="shared" si="0"/>
        <v>0</v>
      </c>
      <c r="H66" s="1"/>
    </row>
    <row r="67" spans="1:10" s="18" customFormat="1" ht="18.75" customHeight="1" x14ac:dyDescent="0.2">
      <c r="A67" s="155"/>
      <c r="B67" s="62" t="s">
        <v>80</v>
      </c>
      <c r="C67" s="37" t="s">
        <v>81</v>
      </c>
      <c r="D67" s="54">
        <v>2</v>
      </c>
      <c r="E67" s="84">
        <f t="shared" si="1"/>
        <v>4463.333333333333</v>
      </c>
      <c r="F67" s="189"/>
      <c r="G67" s="190">
        <f t="shared" si="0"/>
        <v>0</v>
      </c>
      <c r="H67" s="1"/>
    </row>
    <row r="68" spans="1:10" s="18" customFormat="1" ht="18.75" customHeight="1" thickBot="1" x14ac:dyDescent="0.25">
      <c r="A68" s="155"/>
      <c r="B68" s="63" t="s">
        <v>82</v>
      </c>
      <c r="C68" s="64" t="s">
        <v>83</v>
      </c>
      <c r="D68" s="65">
        <v>2.5</v>
      </c>
      <c r="E68" s="102">
        <f t="shared" si="1"/>
        <v>5579.1666666666661</v>
      </c>
      <c r="F68" s="192"/>
      <c r="G68" s="193">
        <f t="shared" si="0"/>
        <v>0</v>
      </c>
      <c r="H68" s="1"/>
    </row>
    <row r="69" spans="1:10" s="18" customFormat="1" ht="18.75" customHeight="1" thickBot="1" x14ac:dyDescent="0.3">
      <c r="A69" s="155"/>
      <c r="B69" s="95" t="s">
        <v>144</v>
      </c>
      <c r="C69" s="115"/>
      <c r="D69" s="116"/>
      <c r="E69" s="4"/>
      <c r="F69" s="156"/>
      <c r="G69" s="66">
        <f>SUM(G60:G68)</f>
        <v>0</v>
      </c>
      <c r="H69" s="1"/>
    </row>
    <row r="70" spans="1:10" s="18" customFormat="1" ht="13.5" customHeight="1" thickBot="1" x14ac:dyDescent="0.3">
      <c r="A70" s="155"/>
      <c r="B70" s="161"/>
      <c r="C70" s="137"/>
      <c r="D70" s="138"/>
      <c r="E70" s="185"/>
      <c r="F70" s="156"/>
      <c r="G70" s="156"/>
      <c r="H70" s="1"/>
    </row>
    <row r="71" spans="1:10" s="18" customFormat="1" ht="18.75" customHeight="1" thickBot="1" x14ac:dyDescent="0.3">
      <c r="A71" s="155"/>
      <c r="B71" s="113" t="s">
        <v>85</v>
      </c>
      <c r="C71" s="114"/>
      <c r="D71" s="105" t="s">
        <v>13</v>
      </c>
      <c r="E71" s="48" t="s">
        <v>62</v>
      </c>
      <c r="F71" s="156"/>
      <c r="G71" s="156"/>
      <c r="H71" s="1"/>
    </row>
    <row r="72" spans="1:10" s="18" customFormat="1" ht="18.75" customHeight="1" x14ac:dyDescent="0.25">
      <c r="A72" s="155"/>
      <c r="B72" s="74" t="s">
        <v>86</v>
      </c>
      <c r="C72" s="67" t="s">
        <v>87</v>
      </c>
      <c r="D72" s="133"/>
      <c r="E72" s="194"/>
      <c r="F72" s="156"/>
      <c r="G72" s="156"/>
      <c r="H72" s="1"/>
    </row>
    <row r="73" spans="1:10" s="18" customFormat="1" ht="18.75" customHeight="1" x14ac:dyDescent="0.2">
      <c r="A73" s="155"/>
      <c r="B73" s="26" t="s">
        <v>88</v>
      </c>
      <c r="C73" s="27" t="s">
        <v>89</v>
      </c>
      <c r="D73" s="54">
        <v>0.04</v>
      </c>
      <c r="E73" s="68">
        <f>ROUND(IF($E$18+E20+E21+E22&lt;=($C$5*25),ROUND($E$18+E20+E21+E22,-3),ROUND($C$5*25,-3))*D73,-2)</f>
        <v>21400</v>
      </c>
      <c r="F73" s="156"/>
      <c r="G73" s="156"/>
      <c r="H73" s="1"/>
    </row>
    <row r="74" spans="1:10" s="18" customFormat="1" ht="18.75" customHeight="1" x14ac:dyDescent="0.2">
      <c r="A74" s="155"/>
      <c r="B74" s="26" t="s">
        <v>90</v>
      </c>
      <c r="C74" s="37" t="s">
        <v>91</v>
      </c>
      <c r="D74" s="54">
        <v>0.04</v>
      </c>
      <c r="E74" s="68">
        <f>ROUND(IF($E$18+E20+E21+E22&lt;=($C$5*25),ROUND($E$18+E20+E21+E22,-3),ROUND($C$5*25,-3))*D74,-2)</f>
        <v>21400</v>
      </c>
      <c r="F74" s="156"/>
      <c r="G74" s="156"/>
      <c r="H74" s="1"/>
    </row>
    <row r="75" spans="1:10" s="18" customFormat="1" ht="18.75" customHeight="1" x14ac:dyDescent="0.25">
      <c r="A75" s="155"/>
      <c r="B75" s="26" t="s">
        <v>92</v>
      </c>
      <c r="C75" s="37" t="s">
        <v>93</v>
      </c>
      <c r="D75" s="79">
        <f>IF(E18+E20+E21+E22&lt;(C5*4),0,0.01)</f>
        <v>0</v>
      </c>
      <c r="E75" s="29">
        <f>IF(E18+E20+E21+E22&lt;(C5*4),0,(E18+E20+E21+E22)*D75)</f>
        <v>0</v>
      </c>
      <c r="F75" s="156"/>
      <c r="G75" s="156"/>
      <c r="H75" s="1"/>
    </row>
    <row r="76" spans="1:10" s="18" customFormat="1" ht="18.75" customHeight="1" x14ac:dyDescent="0.25">
      <c r="A76" s="155"/>
      <c r="B76" s="26" t="s">
        <v>94</v>
      </c>
      <c r="C76" s="37" t="s">
        <v>95</v>
      </c>
      <c r="D76" s="36">
        <f>IF(E18+E20+E21+E22&lt;C81,D81,IF(E18+E20+E21+E22&lt;C82,D82,IF(E18+E20+E21+E22&lt;C83,D83,IF(E18+E20+E21+E22&lt;C84,D84,IF(E18+E20+E21+E22&lt;C85,D85,D86)))))</f>
        <v>0</v>
      </c>
      <c r="E76" s="195">
        <f>(E18+E20+E21+E22)*D76</f>
        <v>0</v>
      </c>
      <c r="F76" s="156"/>
      <c r="G76" s="156"/>
      <c r="H76" s="1"/>
    </row>
    <row r="77" spans="1:10" s="18" customFormat="1" ht="18.75" customHeight="1" thickBot="1" x14ac:dyDescent="0.3">
      <c r="A77" s="155"/>
      <c r="B77" s="94" t="s">
        <v>96</v>
      </c>
      <c r="C77" s="69"/>
      <c r="D77" s="196"/>
      <c r="E77" s="70">
        <f>SUM(E72:E76)</f>
        <v>42800</v>
      </c>
      <c r="F77" s="156"/>
      <c r="G77" s="156"/>
      <c r="H77" s="1"/>
    </row>
    <row r="78" spans="1:10" s="18" customFormat="1" ht="13.5" customHeight="1" x14ac:dyDescent="0.25">
      <c r="A78" s="155"/>
      <c r="B78" s="161"/>
      <c r="C78" s="137"/>
      <c r="D78" s="138"/>
      <c r="E78" s="185"/>
      <c r="F78" s="156"/>
      <c r="G78" s="156"/>
      <c r="H78" s="1"/>
    </row>
    <row r="79" spans="1:10" ht="13.5" customHeight="1" thickBot="1" x14ac:dyDescent="0.3">
      <c r="A79" s="155"/>
      <c r="B79" s="161"/>
      <c r="C79" s="137"/>
      <c r="D79" s="197"/>
      <c r="E79" s="185"/>
      <c r="F79" s="156"/>
      <c r="G79" s="156"/>
    </row>
    <row r="80" spans="1:10" ht="16.5" thickBot="1" x14ac:dyDescent="0.3">
      <c r="A80" s="155"/>
      <c r="B80" s="71" t="s">
        <v>97</v>
      </c>
      <c r="C80" s="140"/>
      <c r="D80" s="168"/>
      <c r="E80" s="179"/>
      <c r="F80" s="156"/>
      <c r="G80" s="156"/>
    </row>
    <row r="81" spans="1:256" ht="15.75" x14ac:dyDescent="0.25">
      <c r="A81" s="155"/>
      <c r="B81" s="74" t="s">
        <v>98</v>
      </c>
      <c r="C81" s="198">
        <f>$C$5*16</f>
        <v>8569600</v>
      </c>
      <c r="D81" s="75">
        <v>0</v>
      </c>
      <c r="E81" s="199"/>
      <c r="F81" s="156"/>
      <c r="G81" s="156"/>
    </row>
    <row r="82" spans="1:256" ht="15.75" x14ac:dyDescent="0.25">
      <c r="A82" s="155"/>
      <c r="B82" s="39" t="s">
        <v>99</v>
      </c>
      <c r="C82" s="200">
        <f>$C$5*17</f>
        <v>9105200</v>
      </c>
      <c r="D82" s="77">
        <v>2E-3</v>
      </c>
      <c r="E82" s="201"/>
      <c r="F82" s="156"/>
      <c r="G82" s="156"/>
    </row>
    <row r="83" spans="1:256" ht="15.75" x14ac:dyDescent="0.25">
      <c r="A83" s="155"/>
      <c r="B83" s="39" t="s">
        <v>100</v>
      </c>
      <c r="C83" s="202">
        <f>$C$5*18</f>
        <v>9640800</v>
      </c>
      <c r="D83" s="79">
        <v>4.0000000000000001E-3</v>
      </c>
      <c r="E83" s="203"/>
      <c r="F83" s="156"/>
      <c r="G83" s="156"/>
    </row>
    <row r="84" spans="1:256" ht="15.75" x14ac:dyDescent="0.25">
      <c r="A84" s="155"/>
      <c r="B84" s="39" t="s">
        <v>101</v>
      </c>
      <c r="C84" s="202">
        <f>$C$5*19</f>
        <v>10176400</v>
      </c>
      <c r="D84" s="79">
        <v>6.0000000000000001E-3</v>
      </c>
      <c r="E84" s="203"/>
      <c r="F84" s="156"/>
      <c r="G84" s="156"/>
    </row>
    <row r="85" spans="1:256" ht="15.75" x14ac:dyDescent="0.25">
      <c r="A85" s="155"/>
      <c r="B85" s="39" t="s">
        <v>102</v>
      </c>
      <c r="C85" s="202">
        <f>$C$5*20</f>
        <v>10712000</v>
      </c>
      <c r="D85" s="79">
        <v>8.0000000000000002E-3</v>
      </c>
      <c r="E85" s="203"/>
      <c r="F85" s="156"/>
      <c r="G85" s="156"/>
    </row>
    <row r="86" spans="1:256" ht="16.5" thickBot="1" x14ac:dyDescent="0.3">
      <c r="A86" s="155"/>
      <c r="B86" s="80" t="s">
        <v>103</v>
      </c>
      <c r="C86" s="204">
        <v>10712000</v>
      </c>
      <c r="D86" s="81">
        <v>0.01</v>
      </c>
      <c r="E86" s="205"/>
      <c r="F86" s="156"/>
      <c r="G86" s="156"/>
      <c r="IV86" s="1">
        <v>2012</v>
      </c>
    </row>
    <row r="87" spans="1:256" x14ac:dyDescent="0.2">
      <c r="A87" s="155"/>
      <c r="B87" s="206"/>
      <c r="C87" s="141"/>
      <c r="D87" s="142"/>
      <c r="E87" s="149" t="str">
        <f>+B69</f>
        <v>V2  enero 12 de 2011</v>
      </c>
      <c r="F87" s="156"/>
      <c r="G87" s="156"/>
    </row>
    <row r="88" spans="1:256" ht="14.25" x14ac:dyDescent="0.2">
      <c r="A88" s="155"/>
      <c r="B88" s="155"/>
      <c r="C88" s="115"/>
      <c r="D88" s="143"/>
      <c r="E88" s="145"/>
      <c r="F88" s="156"/>
      <c r="G88" s="156"/>
    </row>
    <row r="89" spans="1:256" ht="15" x14ac:dyDescent="0.2">
      <c r="A89" s="155"/>
      <c r="B89" s="155"/>
      <c r="C89" s="140"/>
      <c r="D89" s="116"/>
      <c r="F89" s="156"/>
      <c r="G89" s="156"/>
    </row>
    <row r="90" spans="1:256" ht="15" x14ac:dyDescent="0.2">
      <c r="A90" s="155"/>
      <c r="B90" s="155"/>
      <c r="C90" s="140"/>
      <c r="D90" s="116"/>
      <c r="F90" s="156"/>
      <c r="G90" s="156"/>
    </row>
    <row r="91" spans="1:256" ht="15" x14ac:dyDescent="0.2">
      <c r="A91" s="155"/>
      <c r="B91" s="155"/>
      <c r="C91" s="140"/>
      <c r="D91" s="116"/>
      <c r="F91" s="156"/>
      <c r="G91" s="156"/>
    </row>
    <row r="92" spans="1:256" ht="15" x14ac:dyDescent="0.2">
      <c r="A92" s="155"/>
      <c r="B92" s="155"/>
      <c r="C92" s="140"/>
      <c r="D92" s="116"/>
      <c r="F92" s="156"/>
      <c r="G92" s="156"/>
    </row>
    <row r="93" spans="1:256" ht="15" x14ac:dyDescent="0.2">
      <c r="A93" s="155"/>
      <c r="B93" s="155"/>
      <c r="C93" s="140"/>
      <c r="D93" s="116"/>
      <c r="F93" s="156"/>
      <c r="G93" s="156"/>
    </row>
    <row r="94" spans="1:256" ht="15" x14ac:dyDescent="0.2">
      <c r="A94" s="155"/>
      <c r="B94" s="155"/>
      <c r="C94" s="140"/>
      <c r="D94" s="116"/>
      <c r="F94" s="156"/>
      <c r="G94" s="156"/>
    </row>
    <row r="95" spans="1:256" ht="15" x14ac:dyDescent="0.2">
      <c r="A95" s="155"/>
      <c r="B95" s="155"/>
      <c r="C95" s="140"/>
      <c r="D95" s="116"/>
      <c r="F95" s="156"/>
      <c r="G95" s="156"/>
    </row>
    <row r="96" spans="1:256" ht="15" x14ac:dyDescent="0.2">
      <c r="A96" s="155"/>
      <c r="B96" s="155"/>
      <c r="C96" s="140"/>
      <c r="D96" s="116"/>
      <c r="F96" s="156"/>
      <c r="G96" s="156"/>
    </row>
    <row r="97" spans="1:7" ht="15" x14ac:dyDescent="0.2">
      <c r="A97" s="155"/>
      <c r="B97" s="155"/>
      <c r="C97" s="140"/>
      <c r="D97" s="116"/>
      <c r="F97" s="156"/>
      <c r="G97" s="156"/>
    </row>
    <row r="98" spans="1:7" ht="15" x14ac:dyDescent="0.2">
      <c r="A98" s="155"/>
      <c r="B98" s="155"/>
      <c r="C98" s="140"/>
      <c r="D98" s="116"/>
      <c r="F98" s="156"/>
      <c r="G98" s="156"/>
    </row>
    <row r="99" spans="1:7" ht="15" x14ac:dyDescent="0.2">
      <c r="A99" s="155"/>
      <c r="B99" s="155"/>
      <c r="C99" s="140"/>
      <c r="D99" s="116"/>
      <c r="F99" s="156"/>
      <c r="G99" s="156"/>
    </row>
    <row r="100" spans="1:7" x14ac:dyDescent="0.2">
      <c r="A100" s="155"/>
      <c r="B100" s="155"/>
      <c r="C100" s="115"/>
      <c r="D100" s="116"/>
      <c r="F100" s="156"/>
      <c r="G100" s="156"/>
    </row>
    <row r="101" spans="1:7" x14ac:dyDescent="0.2">
      <c r="A101" s="155"/>
      <c r="B101" s="155"/>
      <c r="C101" s="115"/>
      <c r="D101" s="116"/>
      <c r="F101" s="156"/>
      <c r="G101" s="156"/>
    </row>
    <row r="102" spans="1:7" x14ac:dyDescent="0.2">
      <c r="A102" s="155"/>
      <c r="B102" s="155"/>
      <c r="C102" s="115"/>
      <c r="D102" s="116"/>
      <c r="F102" s="156"/>
      <c r="G102" s="156"/>
    </row>
    <row r="103" spans="1:7" x14ac:dyDescent="0.2">
      <c r="A103" s="155"/>
      <c r="B103" s="155"/>
      <c r="C103" s="115"/>
      <c r="D103" s="116"/>
      <c r="F103" s="156"/>
      <c r="G103" s="156"/>
    </row>
    <row r="65536" spans="256:256" x14ac:dyDescent="0.2">
      <c r="IV65536" s="1">
        <v>2011</v>
      </c>
    </row>
  </sheetData>
  <sheetProtection password="CC73" sheet="1"/>
  <protectedRanges>
    <protectedRange sqref="E20:E22" name="Rango5"/>
    <protectedRange sqref="C10:C12" name="Rango4"/>
    <protectedRange sqref="F60:F68" name="Rango2"/>
    <protectedRange sqref="E72" name="Rango3"/>
  </protectedRanges>
  <customSheetViews>
    <customSheetView guid="{005D785A-2C1A-7642-8E14-813F8ABC12DD}" showGridLines="0">
      <selection activeCell="E5" sqref="E5"/>
      <pageMargins left="0" right="0" top="0" bottom="0" header="0" footer="0"/>
    </customSheetView>
  </customSheetViews>
  <dataValidations count="1">
    <dataValidation type="list" allowBlank="1" showInputMessage="1" showErrorMessage="1" sqref="C11" xr:uid="{00000000-0002-0000-0800-000000000000}">
      <formula1>$IV$6:$IV$10</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2019</vt:lpstr>
      <vt:lpstr>2018</vt:lpstr>
      <vt:lpstr>2017</vt:lpstr>
      <vt:lpstr>2016</vt:lpstr>
      <vt:lpstr>2015</vt:lpstr>
      <vt:lpstr>2014</vt:lpstr>
      <vt:lpstr>2013</vt:lpstr>
      <vt:lpstr>2012</vt:lpstr>
      <vt:lpstr>2011</vt:lpstr>
      <vt:lpstr> 2010</vt:lpstr>
      <vt:lpstr>2009</vt:lpstr>
      <vt:lpstr>' 2010'!Área_de_impresión</vt:lpstr>
    </vt:vector>
  </TitlesOfParts>
  <Manager/>
  <Company>SMURFIT CARTON 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Servicios</dc:creator>
  <cp:keywords/>
  <dc:description/>
  <cp:lastModifiedBy>Maira Claro</cp:lastModifiedBy>
  <cp:revision/>
  <dcterms:created xsi:type="dcterms:W3CDTF">2008-01-14T17:28:45Z</dcterms:created>
  <dcterms:modified xsi:type="dcterms:W3CDTF">2019-01-11T16:33:02Z</dcterms:modified>
  <cp:category/>
  <cp:contentStatus/>
</cp:coreProperties>
</file>