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D4DB0E0-1D30-44D5-8711-B0611E708F73}" xr6:coauthVersionLast="43" xr6:coauthVersionMax="43" xr10:uidLastSave="{00000000-0000-0000-0000-000000000000}"/>
  <bookViews>
    <workbookView xWindow="-120" yWindow="-120" windowWidth="24240" windowHeight="13140" activeTab="5" xr2:uid="{00000000-000D-0000-FFFF-FFFF00000000}"/>
  </bookViews>
  <sheets>
    <sheet name="ENERO " sheetId="1" r:id="rId1"/>
    <sheet name="FEBRERO " sheetId="2" r:id="rId2"/>
    <sheet name="MARZO " sheetId="3" r:id="rId3"/>
    <sheet name="ABRIL " sheetId="4" r:id="rId4"/>
    <sheet name="MAYO " sheetId="5" r:id="rId5"/>
    <sheet name="JUNIO" sheetId="6" r:id="rId6"/>
    <sheet name="JULIO " sheetId="7" r:id="rId7"/>
    <sheet name="AGOSTO " sheetId="8" r:id="rId8"/>
    <sheet name="SEPTIEMBRE" sheetId="9" r:id="rId9"/>
    <sheet name="OCTUBRE " sheetId="10" r:id="rId10"/>
    <sheet name="NOVIEMBRE " sheetId="11" r:id="rId11"/>
    <sheet name="DICIEMBRE 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M6" i="2" s="1"/>
  <c r="G7" i="2"/>
  <c r="G8" i="2"/>
  <c r="G9" i="2"/>
  <c r="G10" i="2"/>
  <c r="M10" i="2" s="1"/>
  <c r="G11" i="2"/>
  <c r="M11" i="2" s="1"/>
  <c r="G12" i="2"/>
  <c r="G13" i="2"/>
  <c r="G14" i="2"/>
  <c r="M14" i="2" s="1"/>
  <c r="G16" i="2"/>
  <c r="G17" i="2"/>
  <c r="G18" i="2"/>
  <c r="G19" i="2"/>
  <c r="G20" i="2"/>
  <c r="M20" i="2" s="1"/>
  <c r="G21" i="2"/>
  <c r="G22" i="2"/>
  <c r="G23" i="2"/>
  <c r="M23" i="2" s="1"/>
  <c r="G24" i="2"/>
  <c r="M24" i="2" s="1"/>
  <c r="G25" i="2"/>
  <c r="G26" i="2"/>
  <c r="G27" i="2"/>
  <c r="M27" i="2" s="1"/>
  <c r="G28" i="2"/>
  <c r="M28" i="2" s="1"/>
  <c r="G29" i="2"/>
  <c r="G30" i="2"/>
  <c r="G31" i="2"/>
  <c r="G32" i="2"/>
  <c r="M32" i="2" s="1"/>
  <c r="G33" i="2"/>
  <c r="G34" i="2"/>
  <c r="G35" i="2"/>
  <c r="M35" i="2" s="1"/>
  <c r="G36" i="2"/>
  <c r="M36" i="2" s="1"/>
  <c r="G37" i="2"/>
  <c r="G38" i="2"/>
  <c r="G39" i="2"/>
  <c r="M39" i="2" s="1"/>
  <c r="G40" i="2"/>
  <c r="M40" i="2" s="1"/>
  <c r="J41" i="2"/>
  <c r="G41" i="2" s="1"/>
  <c r="M41" i="2" s="1"/>
  <c r="G42" i="2"/>
  <c r="M42" i="2" s="1"/>
  <c r="G43" i="2"/>
  <c r="M43" i="2" s="1"/>
  <c r="G44" i="2"/>
  <c r="G45" i="2"/>
  <c r="G46" i="2"/>
  <c r="G47" i="2"/>
  <c r="M47" i="2" s="1"/>
  <c r="G48" i="2"/>
  <c r="G49" i="2"/>
  <c r="G50" i="2"/>
  <c r="G51" i="2"/>
  <c r="M51" i="2" s="1"/>
  <c r="G52" i="2"/>
  <c r="G53" i="2"/>
  <c r="G54" i="2"/>
  <c r="M54" i="2" s="1"/>
  <c r="G55" i="2"/>
  <c r="M55" i="2" s="1"/>
  <c r="G56" i="2"/>
  <c r="G57" i="2"/>
  <c r="G58" i="2"/>
  <c r="M58" i="2" s="1"/>
  <c r="G59" i="2"/>
  <c r="M59" i="2" s="1"/>
  <c r="G60" i="2"/>
  <c r="M60" i="2" s="1"/>
  <c r="G61" i="2"/>
  <c r="G62" i="2"/>
  <c r="M62" i="2" s="1"/>
  <c r="G63" i="2"/>
  <c r="M63" i="2" s="1"/>
  <c r="G64" i="2"/>
  <c r="G65" i="2"/>
  <c r="G66" i="2"/>
  <c r="M66" i="2" s="1"/>
  <c r="G67" i="2"/>
  <c r="M67" i="2" s="1"/>
  <c r="G68" i="2"/>
  <c r="M68" i="2" s="1"/>
  <c r="G69" i="2"/>
  <c r="G70" i="2"/>
  <c r="M70" i="2" s="1"/>
  <c r="G71" i="2"/>
  <c r="M71" i="2" s="1"/>
  <c r="G72" i="2"/>
  <c r="E73" i="2"/>
  <c r="G73" i="2"/>
  <c r="G74" i="2"/>
  <c r="M74" i="2" s="1"/>
  <c r="G75" i="2"/>
  <c r="L75" i="2" s="1"/>
  <c r="M75" i="2" s="1"/>
  <c r="G76" i="2"/>
  <c r="G77" i="2"/>
  <c r="L77" i="2" s="1"/>
  <c r="G78" i="2"/>
  <c r="L78" i="2" s="1"/>
  <c r="M78" i="2" s="1"/>
  <c r="G79" i="2"/>
  <c r="G80" i="2"/>
  <c r="G81" i="2"/>
  <c r="G82" i="2"/>
  <c r="J82" i="2"/>
  <c r="G83" i="2"/>
  <c r="J84" i="2"/>
  <c r="G85" i="2"/>
  <c r="M85" i="2" s="1"/>
  <c r="G86" i="2"/>
  <c r="G87" i="2"/>
  <c r="M87" i="2" s="1"/>
  <c r="G88" i="2"/>
  <c r="M88" i="2" s="1"/>
  <c r="G89" i="2"/>
  <c r="G90" i="2"/>
  <c r="L90" i="2" s="1"/>
  <c r="H90" i="2"/>
  <c r="G91" i="2"/>
  <c r="G92" i="2"/>
  <c r="G93" i="2"/>
  <c r="L93" i="2" s="1"/>
  <c r="M93" i="2" s="1"/>
  <c r="G94" i="2"/>
  <c r="G95" i="2"/>
  <c r="M95" i="2" s="1"/>
  <c r="G96" i="2"/>
  <c r="M96" i="2" s="1"/>
  <c r="G97" i="2"/>
  <c r="L97" i="2" s="1"/>
  <c r="M97" i="2" s="1"/>
  <c r="G98" i="2"/>
  <c r="G99" i="2"/>
  <c r="M99" i="2" s="1"/>
  <c r="G100" i="2"/>
  <c r="J100" i="2"/>
  <c r="G101" i="2"/>
  <c r="G102" i="2"/>
  <c r="M102" i="2" s="1"/>
  <c r="G103" i="2"/>
  <c r="G104" i="2"/>
  <c r="M104" i="2" s="1"/>
  <c r="G105" i="2"/>
  <c r="M105" i="2" s="1"/>
  <c r="G106" i="2"/>
  <c r="M106" i="2" s="1"/>
  <c r="G107" i="2"/>
  <c r="M107" i="2" s="1"/>
  <c r="E108" i="2"/>
  <c r="H108" i="2"/>
  <c r="I108" i="2"/>
  <c r="C209" i="6"/>
  <c r="C189" i="6"/>
  <c r="C182" i="6"/>
  <c r="C184" i="6" s="1"/>
  <c r="N143" i="6"/>
  <c r="M143" i="6"/>
  <c r="T118" i="6"/>
  <c r="R118" i="6"/>
  <c r="Q118" i="6"/>
  <c r="P118" i="6"/>
  <c r="K118" i="6"/>
  <c r="J118" i="6"/>
  <c r="I118" i="6"/>
  <c r="E118" i="6"/>
  <c r="O117" i="6"/>
  <c r="N117" i="6"/>
  <c r="G117" i="6"/>
  <c r="M117" i="6" s="1"/>
  <c r="O116" i="6"/>
  <c r="V116" i="6" s="1"/>
  <c r="N116" i="6"/>
  <c r="G116" i="6"/>
  <c r="M116" i="6" s="1"/>
  <c r="O115" i="6"/>
  <c r="N115" i="6"/>
  <c r="G115" i="6"/>
  <c r="M115" i="6" s="1"/>
  <c r="O114" i="6"/>
  <c r="V114" i="6" s="1"/>
  <c r="N114" i="6"/>
  <c r="G114" i="6"/>
  <c r="M114" i="6" s="1"/>
  <c r="O113" i="6"/>
  <c r="N113" i="6"/>
  <c r="V113" i="6" s="1"/>
  <c r="H113" i="6"/>
  <c r="G113" i="6"/>
  <c r="M113" i="6" s="1"/>
  <c r="O112" i="6"/>
  <c r="N112" i="6"/>
  <c r="G112" i="6"/>
  <c r="M112" i="6" s="1"/>
  <c r="V111" i="6"/>
  <c r="O111" i="6"/>
  <c r="N111" i="6"/>
  <c r="G111" i="6"/>
  <c r="M111" i="6" s="1"/>
  <c r="O110" i="6"/>
  <c r="N110" i="6"/>
  <c r="V110" i="6" s="1"/>
  <c r="G110" i="6"/>
  <c r="M110" i="6" s="1"/>
  <c r="W110" i="6" s="1"/>
  <c r="V109" i="6"/>
  <c r="G109" i="6"/>
  <c r="M109" i="6" s="1"/>
  <c r="W109" i="6" s="1"/>
  <c r="O108" i="6"/>
  <c r="V108" i="6" s="1"/>
  <c r="N108" i="6"/>
  <c r="G108" i="6"/>
  <c r="M108" i="6" s="1"/>
  <c r="O107" i="6"/>
  <c r="N107" i="6"/>
  <c r="G107" i="6"/>
  <c r="M107" i="6" s="1"/>
  <c r="G106" i="6"/>
  <c r="M106" i="6" s="1"/>
  <c r="O105" i="6"/>
  <c r="N105" i="6"/>
  <c r="G105" i="6"/>
  <c r="L105" i="6" s="1"/>
  <c r="V104" i="6"/>
  <c r="U104" i="6"/>
  <c r="O104" i="6"/>
  <c r="N104" i="6"/>
  <c r="G104" i="6"/>
  <c r="L104" i="6" s="1"/>
  <c r="O103" i="6"/>
  <c r="V103" i="6" s="1"/>
  <c r="G103" i="6"/>
  <c r="L103" i="6" s="1"/>
  <c r="M103" i="6" s="1"/>
  <c r="O102" i="6"/>
  <c r="V102" i="6" s="1"/>
  <c r="N102" i="6"/>
  <c r="G102" i="6"/>
  <c r="M102" i="6" s="1"/>
  <c r="O101" i="6"/>
  <c r="V101" i="6" s="1"/>
  <c r="N101" i="6"/>
  <c r="G101" i="6"/>
  <c r="M101" i="6" s="1"/>
  <c r="V100" i="6"/>
  <c r="G100" i="6"/>
  <c r="M100" i="6" s="1"/>
  <c r="W100" i="6" s="1"/>
  <c r="O99" i="6"/>
  <c r="N99" i="6"/>
  <c r="V99" i="6" s="1"/>
  <c r="G99" i="6"/>
  <c r="M99" i="6" s="1"/>
  <c r="O98" i="6"/>
  <c r="N98" i="6"/>
  <c r="V98" i="6" s="1"/>
  <c r="G98" i="6"/>
  <c r="M98" i="6" s="1"/>
  <c r="O97" i="6"/>
  <c r="N97" i="6"/>
  <c r="V97" i="6" s="1"/>
  <c r="G97" i="6"/>
  <c r="M97" i="6" s="1"/>
  <c r="V96" i="6"/>
  <c r="O96" i="6"/>
  <c r="N96" i="6"/>
  <c r="G96" i="6"/>
  <c r="M96" i="6" s="1"/>
  <c r="V95" i="6"/>
  <c r="O95" i="6"/>
  <c r="N95" i="6"/>
  <c r="G95" i="6"/>
  <c r="M95" i="6" s="1"/>
  <c r="O94" i="6"/>
  <c r="N94" i="6"/>
  <c r="G94" i="6"/>
  <c r="M94" i="6" s="1"/>
  <c r="O93" i="6"/>
  <c r="N93" i="6"/>
  <c r="G93" i="6"/>
  <c r="M93" i="6" s="1"/>
  <c r="O92" i="6"/>
  <c r="V92" i="6" s="1"/>
  <c r="N92" i="6"/>
  <c r="G92" i="6"/>
  <c r="L92" i="6" s="1"/>
  <c r="M92" i="6" s="1"/>
  <c r="O91" i="6"/>
  <c r="V91" i="6" s="1"/>
  <c r="N91" i="6"/>
  <c r="G91" i="6"/>
  <c r="M91" i="6" s="1"/>
  <c r="V90" i="6"/>
  <c r="G90" i="6"/>
  <c r="M90" i="6" s="1"/>
  <c r="W90" i="6" s="1"/>
  <c r="O89" i="6"/>
  <c r="N89" i="6"/>
  <c r="G89" i="6"/>
  <c r="M89" i="6" s="1"/>
  <c r="O88" i="6"/>
  <c r="N88" i="6"/>
  <c r="G88" i="6"/>
  <c r="M88" i="6" s="1"/>
  <c r="O87" i="6"/>
  <c r="N87" i="6"/>
  <c r="V87" i="6" s="1"/>
  <c r="G87" i="6"/>
  <c r="M87" i="6" s="1"/>
  <c r="O86" i="6"/>
  <c r="N86" i="6"/>
  <c r="V86" i="6" s="1"/>
  <c r="G86" i="6"/>
  <c r="M86" i="6" s="1"/>
  <c r="G85" i="6"/>
  <c r="M85" i="6" s="1"/>
  <c r="W85" i="6" s="1"/>
  <c r="O84" i="6"/>
  <c r="N84" i="6"/>
  <c r="V84" i="6" s="1"/>
  <c r="G84" i="6"/>
  <c r="M84" i="6" s="1"/>
  <c r="G83" i="6"/>
  <c r="M83" i="6" s="1"/>
  <c r="O82" i="6"/>
  <c r="N82" i="6"/>
  <c r="V82" i="6" s="1"/>
  <c r="G82" i="6"/>
  <c r="M82" i="6" s="1"/>
  <c r="O81" i="6"/>
  <c r="N81" i="6"/>
  <c r="G81" i="6"/>
  <c r="M81" i="6" s="1"/>
  <c r="O80" i="6"/>
  <c r="N80" i="6"/>
  <c r="V80" i="6" s="1"/>
  <c r="G80" i="6"/>
  <c r="M80" i="6" s="1"/>
  <c r="O79" i="6"/>
  <c r="N79" i="6"/>
  <c r="V79" i="6" s="1"/>
  <c r="G79" i="6"/>
  <c r="M79" i="6" s="1"/>
  <c r="U78" i="6"/>
  <c r="O78" i="6"/>
  <c r="N78" i="6"/>
  <c r="G78" i="6"/>
  <c r="M78" i="6" s="1"/>
  <c r="O77" i="6"/>
  <c r="N77" i="6"/>
  <c r="G77" i="6"/>
  <c r="M77" i="6" s="1"/>
  <c r="V76" i="6"/>
  <c r="G76" i="6"/>
  <c r="M76" i="6" s="1"/>
  <c r="W76" i="6" s="1"/>
  <c r="O75" i="6"/>
  <c r="N75" i="6"/>
  <c r="G75" i="6"/>
  <c r="M75" i="6" s="1"/>
  <c r="V74" i="6"/>
  <c r="O74" i="6"/>
  <c r="N74" i="6"/>
  <c r="G74" i="6"/>
  <c r="M74" i="6" s="1"/>
  <c r="V73" i="6"/>
  <c r="G73" i="6"/>
  <c r="M73" i="6" s="1"/>
  <c r="O72" i="6"/>
  <c r="N72" i="6"/>
  <c r="V72" i="6" s="1"/>
  <c r="M72" i="6"/>
  <c r="W72" i="6" s="1"/>
  <c r="G72" i="6"/>
  <c r="O71" i="6"/>
  <c r="N71" i="6"/>
  <c r="G71" i="6"/>
  <c r="M71" i="6" s="1"/>
  <c r="O70" i="6"/>
  <c r="N70" i="6"/>
  <c r="V70" i="6" s="1"/>
  <c r="G70" i="6"/>
  <c r="L70" i="6" s="1"/>
  <c r="O69" i="6"/>
  <c r="N69" i="6"/>
  <c r="G69" i="6"/>
  <c r="M69" i="6" s="1"/>
  <c r="O68" i="6"/>
  <c r="N68" i="6"/>
  <c r="G68" i="6"/>
  <c r="M68" i="6" s="1"/>
  <c r="G67" i="6"/>
  <c r="O67" i="6" s="1"/>
  <c r="O66" i="6"/>
  <c r="V66" i="6" s="1"/>
  <c r="N66" i="6"/>
  <c r="G66" i="6"/>
  <c r="M66" i="6" s="1"/>
  <c r="O65" i="6"/>
  <c r="N65" i="6"/>
  <c r="V65" i="6" s="1"/>
  <c r="G65" i="6"/>
  <c r="M65" i="6" s="1"/>
  <c r="O64" i="6"/>
  <c r="N64" i="6"/>
  <c r="V64" i="6" s="1"/>
  <c r="G64" i="6"/>
  <c r="M64" i="6" s="1"/>
  <c r="G63" i="6"/>
  <c r="O63" i="6" s="1"/>
  <c r="O62" i="6"/>
  <c r="V62" i="6" s="1"/>
  <c r="N62" i="6"/>
  <c r="G62" i="6"/>
  <c r="M62" i="6" s="1"/>
  <c r="O61" i="6"/>
  <c r="V61" i="6" s="1"/>
  <c r="N61" i="6"/>
  <c r="G61" i="6"/>
  <c r="M61" i="6" s="1"/>
  <c r="O60" i="6"/>
  <c r="N60" i="6"/>
  <c r="V60" i="6" s="1"/>
  <c r="G60" i="6"/>
  <c r="M60" i="6" s="1"/>
  <c r="G59" i="6"/>
  <c r="O59" i="6" s="1"/>
  <c r="G58" i="6"/>
  <c r="M58" i="6" s="1"/>
  <c r="O58" i="6" s="1"/>
  <c r="V57" i="6"/>
  <c r="O57" i="6"/>
  <c r="N57" i="6"/>
  <c r="G57" i="6"/>
  <c r="M57" i="6" s="1"/>
  <c r="V56" i="6"/>
  <c r="O56" i="6"/>
  <c r="N56" i="6"/>
  <c r="G56" i="6"/>
  <c r="M56" i="6" s="1"/>
  <c r="O55" i="6"/>
  <c r="N55" i="6"/>
  <c r="G55" i="6"/>
  <c r="M55" i="6" s="1"/>
  <c r="O54" i="6"/>
  <c r="K54" i="6"/>
  <c r="G54" i="6"/>
  <c r="M54" i="6" s="1"/>
  <c r="Z53" i="6"/>
  <c r="O53" i="6"/>
  <c r="N53" i="6"/>
  <c r="V53" i="6" s="1"/>
  <c r="G53" i="6"/>
  <c r="M53" i="6" s="1"/>
  <c r="O52" i="6"/>
  <c r="N52" i="6"/>
  <c r="V52" i="6" s="1"/>
  <c r="G52" i="6"/>
  <c r="M52" i="6" s="1"/>
  <c r="O51" i="6"/>
  <c r="N51" i="6"/>
  <c r="V51" i="6" s="1"/>
  <c r="G51" i="6"/>
  <c r="M51" i="6" s="1"/>
  <c r="N50" i="6"/>
  <c r="V50" i="6" s="1"/>
  <c r="G50" i="6"/>
  <c r="O50" i="6" s="1"/>
  <c r="O49" i="6"/>
  <c r="N49" i="6"/>
  <c r="G49" i="6"/>
  <c r="M49" i="6" s="1"/>
  <c r="O48" i="6"/>
  <c r="N48" i="6"/>
  <c r="V48" i="6" s="1"/>
  <c r="G48" i="6"/>
  <c r="M48" i="6" s="1"/>
  <c r="O47" i="6"/>
  <c r="N47" i="6"/>
  <c r="V47" i="6" s="1"/>
  <c r="G47" i="6"/>
  <c r="M47" i="6" s="1"/>
  <c r="O46" i="6"/>
  <c r="N46" i="6"/>
  <c r="G46" i="6"/>
  <c r="M46" i="6" s="1"/>
  <c r="U45" i="6"/>
  <c r="S45" i="6"/>
  <c r="S118" i="6" s="1"/>
  <c r="O45" i="6"/>
  <c r="N45" i="6"/>
  <c r="G45" i="6"/>
  <c r="M45" i="6" s="1"/>
  <c r="O44" i="6"/>
  <c r="N44" i="6"/>
  <c r="V44" i="6" s="1"/>
  <c r="G44" i="6"/>
  <c r="M44" i="6" s="1"/>
  <c r="V43" i="6"/>
  <c r="O43" i="6"/>
  <c r="N43" i="6"/>
  <c r="G43" i="6"/>
  <c r="L43" i="6" s="1"/>
  <c r="M43" i="6" s="1"/>
  <c r="W43" i="6" s="1"/>
  <c r="O42" i="6"/>
  <c r="N42" i="6"/>
  <c r="G42" i="6"/>
  <c r="M42" i="6" s="1"/>
  <c r="O41" i="6"/>
  <c r="N41" i="6"/>
  <c r="G41" i="6"/>
  <c r="L41" i="6" s="1"/>
  <c r="O40" i="6"/>
  <c r="N40" i="6"/>
  <c r="V40" i="6" s="1"/>
  <c r="G40" i="6"/>
  <c r="M40" i="6" s="1"/>
  <c r="O39" i="6"/>
  <c r="N39" i="6"/>
  <c r="V39" i="6" s="1"/>
  <c r="G39" i="6"/>
  <c r="M39" i="6" s="1"/>
  <c r="O38" i="6"/>
  <c r="N38" i="6"/>
  <c r="V38" i="6" s="1"/>
  <c r="G38" i="6"/>
  <c r="M38" i="6" s="1"/>
  <c r="U37" i="6"/>
  <c r="O37" i="6"/>
  <c r="V37" i="6" s="1"/>
  <c r="N37" i="6"/>
  <c r="G37" i="6"/>
  <c r="M37" i="6" s="1"/>
  <c r="H36" i="6"/>
  <c r="H118" i="6" s="1"/>
  <c r="G36" i="6"/>
  <c r="N35" i="6"/>
  <c r="G35" i="6"/>
  <c r="O35" i="6" s="1"/>
  <c r="G34" i="6"/>
  <c r="M34" i="6" s="1"/>
  <c r="G33" i="6"/>
  <c r="O33" i="6" s="1"/>
  <c r="O32" i="6"/>
  <c r="N32" i="6"/>
  <c r="G32" i="6"/>
  <c r="M32" i="6" s="1"/>
  <c r="O31" i="6"/>
  <c r="V31" i="6" s="1"/>
  <c r="N31" i="6"/>
  <c r="G31" i="6"/>
  <c r="M31" i="6" s="1"/>
  <c r="V30" i="6"/>
  <c r="G30" i="6"/>
  <c r="M30" i="6" s="1"/>
  <c r="W30" i="6" s="1"/>
  <c r="G29" i="6"/>
  <c r="M29" i="6" s="1"/>
  <c r="O28" i="6"/>
  <c r="V28" i="6" s="1"/>
  <c r="N28" i="6"/>
  <c r="G28" i="6"/>
  <c r="M28" i="6" s="1"/>
  <c r="O27" i="6"/>
  <c r="N27" i="6"/>
  <c r="V27" i="6" s="1"/>
  <c r="G27" i="6"/>
  <c r="M27" i="6" s="1"/>
  <c r="O26" i="6"/>
  <c r="N26" i="6"/>
  <c r="V26" i="6" s="1"/>
  <c r="G26" i="6"/>
  <c r="M26" i="6" s="1"/>
  <c r="G25" i="6"/>
  <c r="M25" i="6" s="1"/>
  <c r="G24" i="6"/>
  <c r="O24" i="6" s="1"/>
  <c r="O23" i="6"/>
  <c r="N23" i="6"/>
  <c r="V23" i="6" s="1"/>
  <c r="G23" i="6"/>
  <c r="M23" i="6" s="1"/>
  <c r="W23" i="6" s="1"/>
  <c r="O22" i="6"/>
  <c r="N22" i="6"/>
  <c r="V22" i="6" s="1"/>
  <c r="L22" i="6"/>
  <c r="M22" i="6" s="1"/>
  <c r="G22" i="6"/>
  <c r="O21" i="6"/>
  <c r="N21" i="6"/>
  <c r="G21" i="6"/>
  <c r="M21" i="6" s="1"/>
  <c r="O20" i="6"/>
  <c r="N20" i="6"/>
  <c r="V20" i="6" s="1"/>
  <c r="G20" i="6"/>
  <c r="M20" i="6" s="1"/>
  <c r="G19" i="6"/>
  <c r="N19" i="6" s="1"/>
  <c r="O18" i="6"/>
  <c r="N18" i="6"/>
  <c r="V18" i="6" s="1"/>
  <c r="G18" i="6"/>
  <c r="M18" i="6" s="1"/>
  <c r="W18" i="6" s="1"/>
  <c r="O17" i="6"/>
  <c r="N17" i="6"/>
  <c r="G17" i="6"/>
  <c r="M17" i="6" s="1"/>
  <c r="O16" i="6"/>
  <c r="N16" i="6"/>
  <c r="V16" i="6" s="1"/>
  <c r="M16" i="6"/>
  <c r="W16" i="6" s="1"/>
  <c r="G16" i="6"/>
  <c r="O15" i="6"/>
  <c r="N15" i="6"/>
  <c r="G15" i="6"/>
  <c r="M15" i="6" s="1"/>
  <c r="G14" i="6"/>
  <c r="O14" i="6" s="1"/>
  <c r="G13" i="6"/>
  <c r="N13" i="6" s="1"/>
  <c r="O12" i="6"/>
  <c r="G12" i="6"/>
  <c r="N12" i="6" s="1"/>
  <c r="V12" i="6" s="1"/>
  <c r="U11" i="6"/>
  <c r="O11" i="6"/>
  <c r="N11" i="6"/>
  <c r="G11" i="6"/>
  <c r="M11" i="6" s="1"/>
  <c r="O10" i="6"/>
  <c r="N10" i="6"/>
  <c r="G10" i="6"/>
  <c r="M10" i="6" s="1"/>
  <c r="G9" i="6"/>
  <c r="O8" i="6"/>
  <c r="N8" i="6"/>
  <c r="G8" i="6"/>
  <c r="M8" i="6" s="1"/>
  <c r="G7" i="6"/>
  <c r="M7" i="6" s="1"/>
  <c r="O6" i="6"/>
  <c r="N6" i="6"/>
  <c r="G6" i="6"/>
  <c r="M6" i="6" s="1"/>
  <c r="G5" i="6"/>
  <c r="O4" i="6"/>
  <c r="N4" i="6"/>
  <c r="G4" i="6"/>
  <c r="M4" i="6" s="1"/>
  <c r="C207" i="5"/>
  <c r="C187" i="5"/>
  <c r="C180" i="5"/>
  <c r="C182" i="5" s="1"/>
  <c r="N141" i="5"/>
  <c r="M141" i="5"/>
  <c r="T116" i="5"/>
  <c r="R116" i="5"/>
  <c r="Q116" i="5"/>
  <c r="P116" i="5"/>
  <c r="J116" i="5"/>
  <c r="E116" i="5"/>
  <c r="O115" i="5"/>
  <c r="N115" i="5"/>
  <c r="V115" i="5" s="1"/>
  <c r="G115" i="5"/>
  <c r="M115" i="5" s="1"/>
  <c r="O114" i="5"/>
  <c r="N114" i="5"/>
  <c r="V114" i="5" s="1"/>
  <c r="G114" i="5"/>
  <c r="M114" i="5" s="1"/>
  <c r="O113" i="5"/>
  <c r="N113" i="5"/>
  <c r="V113" i="5" s="1"/>
  <c r="G113" i="5"/>
  <c r="M113" i="5" s="1"/>
  <c r="W113" i="5" s="1"/>
  <c r="O112" i="5"/>
  <c r="N112" i="5"/>
  <c r="V112" i="5" s="1"/>
  <c r="G112" i="5"/>
  <c r="M112" i="5" s="1"/>
  <c r="O111" i="5"/>
  <c r="N111" i="5"/>
  <c r="G111" i="5"/>
  <c r="M111" i="5" s="1"/>
  <c r="V110" i="5"/>
  <c r="O110" i="5"/>
  <c r="N110" i="5"/>
  <c r="G110" i="5"/>
  <c r="M110" i="5" s="1"/>
  <c r="O109" i="5"/>
  <c r="N109" i="5"/>
  <c r="G109" i="5"/>
  <c r="M109" i="5" s="1"/>
  <c r="V108" i="5"/>
  <c r="G108" i="5"/>
  <c r="M108" i="5" s="1"/>
  <c r="W108" i="5" s="1"/>
  <c r="O107" i="5"/>
  <c r="N107" i="5"/>
  <c r="V107" i="5" s="1"/>
  <c r="G107" i="5"/>
  <c r="M107" i="5" s="1"/>
  <c r="O106" i="5"/>
  <c r="N106" i="5"/>
  <c r="V106" i="5" s="1"/>
  <c r="G106" i="5"/>
  <c r="O105" i="5"/>
  <c r="N105" i="5"/>
  <c r="G105" i="5"/>
  <c r="M105" i="5" s="1"/>
  <c r="O104" i="5"/>
  <c r="N104" i="5"/>
  <c r="G104" i="5"/>
  <c r="O103" i="5"/>
  <c r="N103" i="5"/>
  <c r="G103" i="5"/>
  <c r="L103" i="5" s="1"/>
  <c r="M103" i="5" s="1"/>
  <c r="O102" i="5"/>
  <c r="V102" i="5" s="1"/>
  <c r="L102" i="5"/>
  <c r="G102" i="5"/>
  <c r="O101" i="5"/>
  <c r="N101" i="5"/>
  <c r="V101" i="5" s="1"/>
  <c r="H101" i="5"/>
  <c r="H116" i="5" s="1"/>
  <c r="G101" i="5"/>
  <c r="M101" i="5" s="1"/>
  <c r="O100" i="5"/>
  <c r="N100" i="5"/>
  <c r="V100" i="5" s="1"/>
  <c r="G100" i="5"/>
  <c r="L100" i="5" s="1"/>
  <c r="M100" i="5" s="1"/>
  <c r="W100" i="5" s="1"/>
  <c r="O99" i="5"/>
  <c r="N99" i="5"/>
  <c r="G99" i="5"/>
  <c r="M99" i="5" s="1"/>
  <c r="V98" i="5"/>
  <c r="M98" i="5"/>
  <c r="W98" i="5" s="1"/>
  <c r="G98" i="5"/>
  <c r="O97" i="5"/>
  <c r="N97" i="5"/>
  <c r="V97" i="5" s="1"/>
  <c r="M97" i="5"/>
  <c r="W97" i="5" s="1"/>
  <c r="G97" i="5"/>
  <c r="O96" i="5"/>
  <c r="N96" i="5"/>
  <c r="M96" i="5"/>
  <c r="G96" i="5"/>
  <c r="O95" i="5"/>
  <c r="N95" i="5"/>
  <c r="V95" i="5" s="1"/>
  <c r="M95" i="5"/>
  <c r="W95" i="5" s="1"/>
  <c r="G95" i="5"/>
  <c r="O94" i="5"/>
  <c r="N94" i="5"/>
  <c r="M94" i="5"/>
  <c r="G94" i="5"/>
  <c r="O93" i="5"/>
  <c r="N93" i="5"/>
  <c r="V93" i="5" s="1"/>
  <c r="M93" i="5"/>
  <c r="G93" i="5"/>
  <c r="O92" i="5"/>
  <c r="N92" i="5"/>
  <c r="M92" i="5"/>
  <c r="G92" i="5"/>
  <c r="O91" i="5"/>
  <c r="N91" i="5"/>
  <c r="M91" i="5"/>
  <c r="G91" i="5"/>
  <c r="O90" i="5"/>
  <c r="N90" i="5"/>
  <c r="G90" i="5"/>
  <c r="L90" i="5" s="1"/>
  <c r="M90" i="5" s="1"/>
  <c r="O89" i="5"/>
  <c r="N89" i="5"/>
  <c r="V89" i="5" s="1"/>
  <c r="G89" i="5"/>
  <c r="M89" i="5" s="1"/>
  <c r="V88" i="5"/>
  <c r="G88" i="5"/>
  <c r="M88" i="5" s="1"/>
  <c r="W88" i="5" s="1"/>
  <c r="O87" i="5"/>
  <c r="N87" i="5"/>
  <c r="V87" i="5" s="1"/>
  <c r="G87" i="5"/>
  <c r="M87" i="5" s="1"/>
  <c r="O86" i="5"/>
  <c r="N86" i="5"/>
  <c r="V86" i="5" s="1"/>
  <c r="G86" i="5"/>
  <c r="M86" i="5" s="1"/>
  <c r="O85" i="5"/>
  <c r="N85" i="5"/>
  <c r="V85" i="5" s="1"/>
  <c r="G85" i="5"/>
  <c r="M85" i="5" s="1"/>
  <c r="W85" i="5" s="1"/>
  <c r="O84" i="5"/>
  <c r="N84" i="5"/>
  <c r="V84" i="5" s="1"/>
  <c r="G84" i="5"/>
  <c r="M84" i="5" s="1"/>
  <c r="G83" i="5"/>
  <c r="M83" i="5" s="1"/>
  <c r="W83" i="5" s="1"/>
  <c r="O82" i="5"/>
  <c r="N82" i="5"/>
  <c r="V82" i="5" s="1"/>
  <c r="G82" i="5"/>
  <c r="M82" i="5" s="1"/>
  <c r="W82" i="5" s="1"/>
  <c r="O81" i="5"/>
  <c r="N81" i="5"/>
  <c r="G81" i="5"/>
  <c r="M81" i="5" s="1"/>
  <c r="O80" i="5"/>
  <c r="N80" i="5"/>
  <c r="G80" i="5"/>
  <c r="M80" i="5" s="1"/>
  <c r="O79" i="5"/>
  <c r="N79" i="5"/>
  <c r="G79" i="5"/>
  <c r="M79" i="5" s="1"/>
  <c r="O78" i="5"/>
  <c r="N78" i="5"/>
  <c r="G78" i="5"/>
  <c r="M78" i="5" s="1"/>
  <c r="O77" i="5"/>
  <c r="N77" i="5"/>
  <c r="G77" i="5"/>
  <c r="M77" i="5" s="1"/>
  <c r="U76" i="5"/>
  <c r="O76" i="5"/>
  <c r="N76" i="5"/>
  <c r="G76" i="5"/>
  <c r="M76" i="5" s="1"/>
  <c r="V75" i="5"/>
  <c r="O75" i="5"/>
  <c r="N75" i="5"/>
  <c r="G75" i="5"/>
  <c r="M75" i="5" s="1"/>
  <c r="V74" i="5"/>
  <c r="G74" i="5"/>
  <c r="M74" i="5" s="1"/>
  <c r="O73" i="5"/>
  <c r="N73" i="5"/>
  <c r="V73" i="5" s="1"/>
  <c r="G73" i="5"/>
  <c r="M73" i="5" s="1"/>
  <c r="O72" i="5"/>
  <c r="N72" i="5"/>
  <c r="V72" i="5" s="1"/>
  <c r="G72" i="5"/>
  <c r="M72" i="5" s="1"/>
  <c r="V71" i="5"/>
  <c r="G71" i="5"/>
  <c r="M71" i="5" s="1"/>
  <c r="W71" i="5" s="1"/>
  <c r="O70" i="5"/>
  <c r="N70" i="5"/>
  <c r="V70" i="5" s="1"/>
  <c r="G70" i="5"/>
  <c r="M70" i="5" s="1"/>
  <c r="O69" i="5"/>
  <c r="N69" i="5"/>
  <c r="V69" i="5" s="1"/>
  <c r="G69" i="5"/>
  <c r="M69" i="5" s="1"/>
  <c r="O68" i="5"/>
  <c r="N68" i="5"/>
  <c r="V68" i="5" s="1"/>
  <c r="L68" i="5"/>
  <c r="G68" i="5"/>
  <c r="O67" i="5"/>
  <c r="N67" i="5"/>
  <c r="V67" i="5" s="1"/>
  <c r="M67" i="5"/>
  <c r="W67" i="5" s="1"/>
  <c r="G67" i="5"/>
  <c r="O66" i="5"/>
  <c r="N66" i="5"/>
  <c r="V66" i="5" s="1"/>
  <c r="M66" i="5"/>
  <c r="W66" i="5" s="1"/>
  <c r="G66" i="5"/>
  <c r="G65" i="5"/>
  <c r="N65" i="5" s="1"/>
  <c r="O64" i="5"/>
  <c r="N64" i="5"/>
  <c r="G64" i="5"/>
  <c r="M64" i="5" s="1"/>
  <c r="O63" i="5"/>
  <c r="N63" i="5"/>
  <c r="G63" i="5"/>
  <c r="M63" i="5" s="1"/>
  <c r="G62" i="5"/>
  <c r="M62" i="5" s="1"/>
  <c r="O61" i="5"/>
  <c r="G61" i="5"/>
  <c r="N61" i="5" s="1"/>
  <c r="V61" i="5" s="1"/>
  <c r="O60" i="5"/>
  <c r="V60" i="5" s="1"/>
  <c r="N60" i="5"/>
  <c r="G60" i="5"/>
  <c r="M60" i="5" s="1"/>
  <c r="W60" i="5" s="1"/>
  <c r="O59" i="5"/>
  <c r="N59" i="5"/>
  <c r="V59" i="5" s="1"/>
  <c r="G59" i="5"/>
  <c r="M59" i="5" s="1"/>
  <c r="W59" i="5" s="1"/>
  <c r="O58" i="5"/>
  <c r="N58" i="5"/>
  <c r="G58" i="5"/>
  <c r="M58" i="5" s="1"/>
  <c r="G57" i="5"/>
  <c r="O57" i="5" s="1"/>
  <c r="O56" i="5"/>
  <c r="N56" i="5"/>
  <c r="G56" i="5"/>
  <c r="M56" i="5" s="1"/>
  <c r="O55" i="5"/>
  <c r="N55" i="5"/>
  <c r="V55" i="5" s="1"/>
  <c r="M55" i="5"/>
  <c r="W55" i="5" s="1"/>
  <c r="G55" i="5"/>
  <c r="O54" i="5"/>
  <c r="N54" i="5"/>
  <c r="M54" i="5"/>
  <c r="G54" i="5"/>
  <c r="O53" i="5"/>
  <c r="N53" i="5"/>
  <c r="V53" i="5" s="1"/>
  <c r="M53" i="5"/>
  <c r="G53" i="5"/>
  <c r="K52" i="5"/>
  <c r="K116" i="5" s="1"/>
  <c r="G52" i="5"/>
  <c r="N52" i="5" s="1"/>
  <c r="O51" i="5"/>
  <c r="N51" i="5"/>
  <c r="V51" i="5" s="1"/>
  <c r="G51" i="5"/>
  <c r="M51" i="5" s="1"/>
  <c r="Z50" i="5"/>
  <c r="O50" i="5"/>
  <c r="N50" i="5"/>
  <c r="M50" i="5"/>
  <c r="G50" i="5"/>
  <c r="O49" i="5"/>
  <c r="N49" i="5"/>
  <c r="M49" i="5"/>
  <c r="G49" i="5"/>
  <c r="O48" i="5"/>
  <c r="N48" i="5"/>
  <c r="M48" i="5"/>
  <c r="G48" i="5"/>
  <c r="O47" i="5"/>
  <c r="M47" i="5"/>
  <c r="G47" i="5"/>
  <c r="N47" i="5" s="1"/>
  <c r="O46" i="5"/>
  <c r="N46" i="5"/>
  <c r="V46" i="5" s="1"/>
  <c r="M46" i="5"/>
  <c r="W46" i="5" s="1"/>
  <c r="G46" i="5"/>
  <c r="O45" i="5"/>
  <c r="N45" i="5"/>
  <c r="M45" i="5"/>
  <c r="G45" i="5"/>
  <c r="O44" i="5"/>
  <c r="N44" i="5"/>
  <c r="V44" i="5" s="1"/>
  <c r="W44" i="5" s="1"/>
  <c r="M44" i="5"/>
  <c r="G44" i="5"/>
  <c r="O43" i="5"/>
  <c r="N43" i="5"/>
  <c r="M43" i="5"/>
  <c r="G43" i="5"/>
  <c r="U42" i="5"/>
  <c r="S42" i="5"/>
  <c r="S116" i="5" s="1"/>
  <c r="O42" i="5"/>
  <c r="N42" i="5"/>
  <c r="G42" i="5"/>
  <c r="M42" i="5" s="1"/>
  <c r="O41" i="5"/>
  <c r="N41" i="5"/>
  <c r="G41" i="5"/>
  <c r="M41" i="5" s="1"/>
  <c r="O40" i="5"/>
  <c r="V40" i="5" s="1"/>
  <c r="N40" i="5"/>
  <c r="G40" i="5"/>
  <c r="L40" i="5" s="1"/>
  <c r="O39" i="5"/>
  <c r="N39" i="5"/>
  <c r="G39" i="5"/>
  <c r="M39" i="5" s="1"/>
  <c r="O38" i="5"/>
  <c r="N38" i="5"/>
  <c r="V38" i="5" s="1"/>
  <c r="L38" i="5"/>
  <c r="M38" i="5" s="1"/>
  <c r="G38" i="5"/>
  <c r="O37" i="5"/>
  <c r="V37" i="5" s="1"/>
  <c r="N37" i="5"/>
  <c r="G37" i="5"/>
  <c r="M37" i="5" s="1"/>
  <c r="W37" i="5" s="1"/>
  <c r="O36" i="5"/>
  <c r="N36" i="5"/>
  <c r="G36" i="5"/>
  <c r="M36" i="5" s="1"/>
  <c r="O35" i="5"/>
  <c r="V35" i="5" s="1"/>
  <c r="N35" i="5"/>
  <c r="G35" i="5"/>
  <c r="M35" i="5" s="1"/>
  <c r="W35" i="5" s="1"/>
  <c r="U34" i="5"/>
  <c r="O34" i="5"/>
  <c r="N34" i="5"/>
  <c r="V34" i="5" s="1"/>
  <c r="G34" i="5"/>
  <c r="M34" i="5" s="1"/>
  <c r="W34" i="5" s="1"/>
  <c r="G33" i="5"/>
  <c r="O32" i="5"/>
  <c r="N32" i="5"/>
  <c r="V32" i="5" s="1"/>
  <c r="G32" i="5"/>
  <c r="M32" i="5" s="1"/>
  <c r="G31" i="5"/>
  <c r="N31" i="5" s="1"/>
  <c r="V30" i="5"/>
  <c r="O30" i="5"/>
  <c r="N30" i="5"/>
  <c r="G30" i="5"/>
  <c r="M30" i="5" s="1"/>
  <c r="V29" i="5"/>
  <c r="O29" i="5"/>
  <c r="N29" i="5"/>
  <c r="G29" i="5"/>
  <c r="M29" i="5" s="1"/>
  <c r="G28" i="5"/>
  <c r="O27" i="5"/>
  <c r="N27" i="5"/>
  <c r="V27" i="5" s="1"/>
  <c r="G27" i="5"/>
  <c r="M27" i="5" s="1"/>
  <c r="O26" i="5"/>
  <c r="N26" i="5"/>
  <c r="V26" i="5" s="1"/>
  <c r="G26" i="5"/>
  <c r="M26" i="5" s="1"/>
  <c r="O25" i="5"/>
  <c r="N25" i="5"/>
  <c r="V25" i="5" s="1"/>
  <c r="G25" i="5"/>
  <c r="M25" i="5" s="1"/>
  <c r="N24" i="5"/>
  <c r="G24" i="5"/>
  <c r="G23" i="5"/>
  <c r="O22" i="5"/>
  <c r="N22" i="5"/>
  <c r="G22" i="5"/>
  <c r="M22" i="5" s="1"/>
  <c r="O21" i="5"/>
  <c r="N21" i="5"/>
  <c r="V21" i="5" s="1"/>
  <c r="L21" i="5"/>
  <c r="G21" i="5"/>
  <c r="O20" i="5"/>
  <c r="N20" i="5"/>
  <c r="M20" i="5"/>
  <c r="G20" i="5"/>
  <c r="G19" i="5"/>
  <c r="O19" i="5" s="1"/>
  <c r="N18" i="5"/>
  <c r="G18" i="5"/>
  <c r="M18" i="5" s="1"/>
  <c r="G17" i="5"/>
  <c r="O17" i="5" s="1"/>
  <c r="O16" i="5"/>
  <c r="N16" i="5"/>
  <c r="V16" i="5" s="1"/>
  <c r="G16" i="5"/>
  <c r="M16" i="5" s="1"/>
  <c r="N15" i="5"/>
  <c r="G15" i="5"/>
  <c r="O15" i="5" s="1"/>
  <c r="V15" i="5" s="1"/>
  <c r="O14" i="5"/>
  <c r="N14" i="5"/>
  <c r="G14" i="5"/>
  <c r="M14" i="5" s="1"/>
  <c r="G13" i="5"/>
  <c r="O13" i="5" s="1"/>
  <c r="N12" i="5"/>
  <c r="G12" i="5"/>
  <c r="M12" i="5" s="1"/>
  <c r="G11" i="5"/>
  <c r="O11" i="5" s="1"/>
  <c r="U10" i="5"/>
  <c r="O10" i="5"/>
  <c r="V10" i="5" s="1"/>
  <c r="N10" i="5"/>
  <c r="I10" i="5"/>
  <c r="I116" i="5" s="1"/>
  <c r="G10" i="5"/>
  <c r="M10" i="5" s="1"/>
  <c r="O9" i="5"/>
  <c r="N9" i="5"/>
  <c r="G9" i="5"/>
  <c r="M9" i="5" s="1"/>
  <c r="O8" i="5"/>
  <c r="V8" i="5" s="1"/>
  <c r="N8" i="5"/>
  <c r="G8" i="5"/>
  <c r="M8" i="5" s="1"/>
  <c r="O7" i="5"/>
  <c r="N7" i="5"/>
  <c r="V7" i="5" s="1"/>
  <c r="G7" i="5"/>
  <c r="M7" i="5" s="1"/>
  <c r="O6" i="5"/>
  <c r="N6" i="5"/>
  <c r="V6" i="5" s="1"/>
  <c r="G6" i="5"/>
  <c r="M6" i="5" s="1"/>
  <c r="O5" i="5"/>
  <c r="N5" i="5"/>
  <c r="V5" i="5" s="1"/>
  <c r="G5" i="5"/>
  <c r="M5" i="5" s="1"/>
  <c r="O4" i="5"/>
  <c r="N4" i="5"/>
  <c r="V4" i="5" s="1"/>
  <c r="G4" i="5"/>
  <c r="G116" i="5" s="1"/>
  <c r="C204" i="4"/>
  <c r="C184" i="4"/>
  <c r="C177" i="4"/>
  <c r="C179" i="4" s="1"/>
  <c r="O138" i="4"/>
  <c r="N138" i="4"/>
  <c r="U113" i="4"/>
  <c r="T113" i="4"/>
  <c r="S113" i="4"/>
  <c r="R113" i="4"/>
  <c r="Q113" i="4"/>
  <c r="L113" i="4"/>
  <c r="K113" i="4"/>
  <c r="J113" i="4"/>
  <c r="F113" i="4"/>
  <c r="P112" i="4"/>
  <c r="O112" i="4"/>
  <c r="W112" i="4" s="1"/>
  <c r="H112" i="4"/>
  <c r="N112" i="4" s="1"/>
  <c r="X112" i="4" s="1"/>
  <c r="W111" i="4"/>
  <c r="P111" i="4"/>
  <c r="O111" i="4"/>
  <c r="N111" i="4"/>
  <c r="X111" i="4" s="1"/>
  <c r="H111" i="4"/>
  <c r="P110" i="4"/>
  <c r="O110" i="4"/>
  <c r="W110" i="4" s="1"/>
  <c r="H110" i="4"/>
  <c r="N110" i="4" s="1"/>
  <c r="X110" i="4" s="1"/>
  <c r="W109" i="4"/>
  <c r="P109" i="4"/>
  <c r="O109" i="4"/>
  <c r="H109" i="4"/>
  <c r="N109" i="4" s="1"/>
  <c r="X109" i="4" s="1"/>
  <c r="P108" i="4"/>
  <c r="O108" i="4"/>
  <c r="W108" i="4" s="1"/>
  <c r="H108" i="4"/>
  <c r="N108" i="4" s="1"/>
  <c r="W107" i="4"/>
  <c r="P107" i="4"/>
  <c r="O107" i="4"/>
  <c r="H107" i="4"/>
  <c r="N107" i="4" s="1"/>
  <c r="X107" i="4" s="1"/>
  <c r="P106" i="4"/>
  <c r="O106" i="4"/>
  <c r="H106" i="4"/>
  <c r="N106" i="4" s="1"/>
  <c r="W105" i="4"/>
  <c r="X105" i="4" s="1"/>
  <c r="H105" i="4"/>
  <c r="N105" i="4" s="1"/>
  <c r="W104" i="4"/>
  <c r="P104" i="4"/>
  <c r="O104" i="4"/>
  <c r="H104" i="4"/>
  <c r="N104" i="4" s="1"/>
  <c r="X104" i="4" s="1"/>
  <c r="P103" i="4"/>
  <c r="O103" i="4"/>
  <c r="H103" i="4"/>
  <c r="P102" i="4"/>
  <c r="W102" i="4" s="1"/>
  <c r="O102" i="4"/>
  <c r="H102" i="4"/>
  <c r="M102" i="4" s="1"/>
  <c r="P101" i="4"/>
  <c r="O101" i="4"/>
  <c r="H101" i="4"/>
  <c r="N101" i="4" s="1"/>
  <c r="W100" i="4"/>
  <c r="P100" i="4"/>
  <c r="O100" i="4"/>
  <c r="M100" i="4"/>
  <c r="N100" i="4" s="1"/>
  <c r="X100" i="4" s="1"/>
  <c r="H100" i="4"/>
  <c r="P99" i="4"/>
  <c r="W99" i="4" s="1"/>
  <c r="O99" i="4"/>
  <c r="M99" i="4"/>
  <c r="H99" i="4"/>
  <c r="P98" i="4"/>
  <c r="W98" i="4" s="1"/>
  <c r="N98" i="4"/>
  <c r="X98" i="4" s="1"/>
  <c r="H98" i="4"/>
  <c r="M98" i="4" s="1"/>
  <c r="W97" i="4"/>
  <c r="P97" i="4"/>
  <c r="O97" i="4"/>
  <c r="I97" i="4"/>
  <c r="I113" i="4" s="1"/>
  <c r="H97" i="4"/>
  <c r="W96" i="4"/>
  <c r="P96" i="4"/>
  <c r="O96" i="4"/>
  <c r="M96" i="4"/>
  <c r="H96" i="4"/>
  <c r="P95" i="4"/>
  <c r="O95" i="4"/>
  <c r="W95" i="4" s="1"/>
  <c r="H95" i="4"/>
  <c r="N95" i="4" s="1"/>
  <c r="X95" i="4" s="1"/>
  <c r="W94" i="4"/>
  <c r="H94" i="4"/>
  <c r="N94" i="4" s="1"/>
  <c r="X94" i="4" s="1"/>
  <c r="W93" i="4"/>
  <c r="P93" i="4"/>
  <c r="O93" i="4"/>
  <c r="N93" i="4"/>
  <c r="X93" i="4" s="1"/>
  <c r="H93" i="4"/>
  <c r="P92" i="4"/>
  <c r="O92" i="4"/>
  <c r="W92" i="4" s="1"/>
  <c r="H92" i="4"/>
  <c r="N92" i="4" s="1"/>
  <c r="X92" i="4" s="1"/>
  <c r="W91" i="4"/>
  <c r="P91" i="4"/>
  <c r="O91" i="4"/>
  <c r="N91" i="4"/>
  <c r="X91" i="4" s="1"/>
  <c r="H91" i="4"/>
  <c r="P90" i="4"/>
  <c r="O90" i="4"/>
  <c r="W90" i="4" s="1"/>
  <c r="H90" i="4"/>
  <c r="N90" i="4" s="1"/>
  <c r="W89" i="4"/>
  <c r="P89" i="4"/>
  <c r="O89" i="4"/>
  <c r="H89" i="4"/>
  <c r="N89" i="4" s="1"/>
  <c r="X89" i="4" s="1"/>
  <c r="P88" i="4"/>
  <c r="O88" i="4"/>
  <c r="H88" i="4"/>
  <c r="N88" i="4" s="1"/>
  <c r="W87" i="4"/>
  <c r="P87" i="4"/>
  <c r="O87" i="4"/>
  <c r="H87" i="4"/>
  <c r="N87" i="4" s="1"/>
  <c r="X87" i="4" s="1"/>
  <c r="P86" i="4"/>
  <c r="O86" i="4"/>
  <c r="H86" i="4"/>
  <c r="N86" i="4" s="1"/>
  <c r="W85" i="4"/>
  <c r="P85" i="4"/>
  <c r="O85" i="4"/>
  <c r="N85" i="4"/>
  <c r="X85" i="4" s="1"/>
  <c r="M85" i="4"/>
  <c r="H85" i="4"/>
  <c r="P84" i="4"/>
  <c r="W84" i="4" s="1"/>
  <c r="O84" i="4"/>
  <c r="H84" i="4"/>
  <c r="N84" i="4" s="1"/>
  <c r="X83" i="4"/>
  <c r="W83" i="4"/>
  <c r="H83" i="4"/>
  <c r="N83" i="4" s="1"/>
  <c r="P82" i="4"/>
  <c r="O82" i="4"/>
  <c r="W82" i="4" s="1"/>
  <c r="N82" i="4"/>
  <c r="X82" i="4" s="1"/>
  <c r="H82" i="4"/>
  <c r="P81" i="4"/>
  <c r="W81" i="4" s="1"/>
  <c r="O81" i="4"/>
  <c r="H81" i="4"/>
  <c r="N81" i="4" s="1"/>
  <c r="X80" i="4"/>
  <c r="P80" i="4"/>
  <c r="O80" i="4"/>
  <c r="W80" i="4" s="1"/>
  <c r="N80" i="4"/>
  <c r="H80" i="4"/>
  <c r="W79" i="4"/>
  <c r="P79" i="4"/>
  <c r="O79" i="4"/>
  <c r="H79" i="4"/>
  <c r="N79" i="4" s="1"/>
  <c r="X78" i="4"/>
  <c r="P78" i="4"/>
  <c r="O78" i="4"/>
  <c r="W78" i="4" s="1"/>
  <c r="N78" i="4"/>
  <c r="H78" i="4"/>
  <c r="P77" i="4"/>
  <c r="W77" i="4" s="1"/>
  <c r="O77" i="4"/>
  <c r="H77" i="4"/>
  <c r="N77" i="4" s="1"/>
  <c r="P76" i="4"/>
  <c r="O76" i="4"/>
  <c r="W76" i="4" s="1"/>
  <c r="N76" i="4"/>
  <c r="X76" i="4" s="1"/>
  <c r="H76" i="4"/>
  <c r="P75" i="4"/>
  <c r="W75" i="4" s="1"/>
  <c r="O75" i="4"/>
  <c r="H75" i="4"/>
  <c r="N75" i="4" s="1"/>
  <c r="P74" i="4"/>
  <c r="O74" i="4"/>
  <c r="W74" i="4" s="1"/>
  <c r="N74" i="4"/>
  <c r="X74" i="4" s="1"/>
  <c r="H74" i="4"/>
  <c r="P73" i="4"/>
  <c r="W73" i="4" s="1"/>
  <c r="O73" i="4"/>
  <c r="H73" i="4"/>
  <c r="N73" i="4" s="1"/>
  <c r="X72" i="4"/>
  <c r="P72" i="4"/>
  <c r="O72" i="4"/>
  <c r="W72" i="4" s="1"/>
  <c r="N72" i="4"/>
  <c r="H72" i="4"/>
  <c r="W71" i="4"/>
  <c r="P71" i="4"/>
  <c r="O71" i="4"/>
  <c r="H71" i="4"/>
  <c r="N71" i="4" s="1"/>
  <c r="X70" i="4"/>
  <c r="W70" i="4"/>
  <c r="H70" i="4"/>
  <c r="N70" i="4" s="1"/>
  <c r="X69" i="4"/>
  <c r="P69" i="4"/>
  <c r="O69" i="4"/>
  <c r="W69" i="4" s="1"/>
  <c r="N69" i="4"/>
  <c r="H69" i="4"/>
  <c r="W68" i="4"/>
  <c r="P68" i="4"/>
  <c r="O68" i="4"/>
  <c r="H68" i="4"/>
  <c r="N68" i="4" s="1"/>
  <c r="X67" i="4"/>
  <c r="W67" i="4"/>
  <c r="H67" i="4"/>
  <c r="N67" i="4" s="1"/>
  <c r="X66" i="4"/>
  <c r="P66" i="4"/>
  <c r="O66" i="4"/>
  <c r="W66" i="4" s="1"/>
  <c r="N66" i="4"/>
  <c r="H66" i="4"/>
  <c r="W65" i="4"/>
  <c r="P65" i="4"/>
  <c r="O65" i="4"/>
  <c r="H65" i="4"/>
  <c r="N65" i="4" s="1"/>
  <c r="X64" i="4"/>
  <c r="P64" i="4"/>
  <c r="O64" i="4"/>
  <c r="W64" i="4" s="1"/>
  <c r="N64" i="4"/>
  <c r="M64" i="4"/>
  <c r="H64" i="4"/>
  <c r="W63" i="4"/>
  <c r="P63" i="4"/>
  <c r="O63" i="4"/>
  <c r="H63" i="4"/>
  <c r="N63" i="4" s="1"/>
  <c r="X63" i="4" s="1"/>
  <c r="P62" i="4"/>
  <c r="O62" i="4"/>
  <c r="N62" i="4"/>
  <c r="H62" i="4"/>
  <c r="H61" i="4"/>
  <c r="N61" i="4" s="1"/>
  <c r="P60" i="4"/>
  <c r="O60" i="4"/>
  <c r="N60" i="4"/>
  <c r="H60" i="4"/>
  <c r="W59" i="4"/>
  <c r="P59" i="4"/>
  <c r="O59" i="4"/>
  <c r="N59" i="4"/>
  <c r="X59" i="4" s="1"/>
  <c r="H59" i="4"/>
  <c r="P58" i="4"/>
  <c r="O58" i="4"/>
  <c r="W58" i="4" s="1"/>
  <c r="N58" i="4"/>
  <c r="X58" i="4" s="1"/>
  <c r="H58" i="4"/>
  <c r="N57" i="4"/>
  <c r="H57" i="4"/>
  <c r="P56" i="4"/>
  <c r="O56" i="4"/>
  <c r="W56" i="4" s="1"/>
  <c r="N56" i="4"/>
  <c r="X56" i="4" s="1"/>
  <c r="H56" i="4"/>
  <c r="W55" i="4"/>
  <c r="P55" i="4"/>
  <c r="O55" i="4"/>
  <c r="H55" i="4"/>
  <c r="N55" i="4" s="1"/>
  <c r="X55" i="4" s="1"/>
  <c r="P54" i="4"/>
  <c r="O54" i="4"/>
  <c r="N54" i="4"/>
  <c r="H54" i="4"/>
  <c r="H53" i="4"/>
  <c r="P52" i="4"/>
  <c r="O52" i="4"/>
  <c r="N52" i="4"/>
  <c r="H52" i="4"/>
  <c r="W51" i="4"/>
  <c r="P51" i="4"/>
  <c r="O51" i="4"/>
  <c r="N51" i="4"/>
  <c r="X51" i="4" s="1"/>
  <c r="H51" i="4"/>
  <c r="P50" i="4"/>
  <c r="O50" i="4"/>
  <c r="W50" i="4" s="1"/>
  <c r="N50" i="4"/>
  <c r="X50" i="4" s="1"/>
  <c r="H50" i="4"/>
  <c r="W49" i="4"/>
  <c r="P49" i="4"/>
  <c r="O49" i="4"/>
  <c r="H49" i="4"/>
  <c r="N49" i="4" s="1"/>
  <c r="X49" i="4" s="1"/>
  <c r="P48" i="4"/>
  <c r="O48" i="4"/>
  <c r="N48" i="4"/>
  <c r="H48" i="4"/>
  <c r="W47" i="4"/>
  <c r="P47" i="4"/>
  <c r="O47" i="4"/>
  <c r="N47" i="4"/>
  <c r="X47" i="4" s="1"/>
  <c r="H47" i="4"/>
  <c r="P46" i="4"/>
  <c r="O46" i="4"/>
  <c r="W46" i="4" s="1"/>
  <c r="N46" i="4"/>
  <c r="X46" i="4" s="1"/>
  <c r="H46" i="4"/>
  <c r="W45" i="4"/>
  <c r="P45" i="4"/>
  <c r="O45" i="4"/>
  <c r="H45" i="4"/>
  <c r="N45" i="4" s="1"/>
  <c r="X45" i="4" s="1"/>
  <c r="P44" i="4"/>
  <c r="O44" i="4"/>
  <c r="N44" i="4"/>
  <c r="H44" i="4"/>
  <c r="W43" i="4"/>
  <c r="P43" i="4"/>
  <c r="O43" i="4"/>
  <c r="N43" i="4"/>
  <c r="X43" i="4" s="1"/>
  <c r="H43" i="4"/>
  <c r="P42" i="4"/>
  <c r="O42" i="4"/>
  <c r="W42" i="4" s="1"/>
  <c r="N42" i="4"/>
  <c r="X42" i="4" s="1"/>
  <c r="H42" i="4"/>
  <c r="W41" i="4"/>
  <c r="P41" i="4"/>
  <c r="O41" i="4"/>
  <c r="H41" i="4"/>
  <c r="N41" i="4" s="1"/>
  <c r="X41" i="4" s="1"/>
  <c r="P40" i="4"/>
  <c r="O40" i="4"/>
  <c r="N40" i="4"/>
  <c r="H40" i="4"/>
  <c r="V39" i="4"/>
  <c r="T39" i="4"/>
  <c r="P39" i="4"/>
  <c r="O39" i="4"/>
  <c r="W39" i="4" s="1"/>
  <c r="X39" i="4" s="1"/>
  <c r="N39" i="4"/>
  <c r="H39" i="4"/>
  <c r="W38" i="4"/>
  <c r="P38" i="4"/>
  <c r="O38" i="4"/>
  <c r="N38" i="4"/>
  <c r="X38" i="4" s="1"/>
  <c r="H38" i="4"/>
  <c r="P37" i="4"/>
  <c r="O37" i="4"/>
  <c r="W37" i="4" s="1"/>
  <c r="H37" i="4"/>
  <c r="P36" i="4"/>
  <c r="O36" i="4"/>
  <c r="W36" i="4" s="1"/>
  <c r="N36" i="4"/>
  <c r="X36" i="4" s="1"/>
  <c r="H36" i="4"/>
  <c r="P35" i="4"/>
  <c r="W35" i="4" s="1"/>
  <c r="O35" i="4"/>
  <c r="M35" i="4"/>
  <c r="H35" i="4"/>
  <c r="P34" i="4"/>
  <c r="O34" i="4"/>
  <c r="W34" i="4" s="1"/>
  <c r="N34" i="4"/>
  <c r="H34" i="4"/>
  <c r="W33" i="4"/>
  <c r="P33" i="4"/>
  <c r="O33" i="4"/>
  <c r="H33" i="4"/>
  <c r="N33" i="4" s="1"/>
  <c r="X33" i="4" s="1"/>
  <c r="P32" i="4"/>
  <c r="O32" i="4"/>
  <c r="N32" i="4"/>
  <c r="H32" i="4"/>
  <c r="V31" i="4"/>
  <c r="P31" i="4"/>
  <c r="O31" i="4"/>
  <c r="W31" i="4" s="1"/>
  <c r="X31" i="4" s="1"/>
  <c r="N31" i="4"/>
  <c r="H31" i="4"/>
  <c r="P30" i="4"/>
  <c r="H30" i="4"/>
  <c r="X29" i="4"/>
  <c r="P29" i="4"/>
  <c r="O29" i="4"/>
  <c r="W29" i="4" s="1"/>
  <c r="N29" i="4"/>
  <c r="H29" i="4"/>
  <c r="H28" i="4"/>
  <c r="X27" i="4"/>
  <c r="P27" i="4"/>
  <c r="O27" i="4"/>
  <c r="W27" i="4" s="1"/>
  <c r="N27" i="4"/>
  <c r="H27" i="4"/>
  <c r="W26" i="4"/>
  <c r="P26" i="4"/>
  <c r="O26" i="4"/>
  <c r="H26" i="4"/>
  <c r="N26" i="4" s="1"/>
  <c r="X25" i="4"/>
  <c r="P25" i="4"/>
  <c r="O25" i="4"/>
  <c r="W25" i="4" s="1"/>
  <c r="N25" i="4"/>
  <c r="H25" i="4"/>
  <c r="P24" i="4"/>
  <c r="W24" i="4" s="1"/>
  <c r="O24" i="4"/>
  <c r="H24" i="4"/>
  <c r="N24" i="4" s="1"/>
  <c r="P23" i="4"/>
  <c r="O23" i="4"/>
  <c r="W23" i="4" s="1"/>
  <c r="N23" i="4"/>
  <c r="X23" i="4" s="1"/>
  <c r="H23" i="4"/>
  <c r="H22" i="4"/>
  <c r="P22" i="4" s="1"/>
  <c r="O21" i="4"/>
  <c r="N21" i="4"/>
  <c r="H21" i="4"/>
  <c r="P21" i="4" s="1"/>
  <c r="P20" i="4"/>
  <c r="W20" i="4" s="1"/>
  <c r="O20" i="4"/>
  <c r="H20" i="4"/>
  <c r="N20" i="4" s="1"/>
  <c r="P19" i="4"/>
  <c r="O19" i="4"/>
  <c r="W19" i="4" s="1"/>
  <c r="N19" i="4"/>
  <c r="X19" i="4" s="1"/>
  <c r="M19" i="4"/>
  <c r="H19" i="4"/>
  <c r="W18" i="4"/>
  <c r="P18" i="4"/>
  <c r="O18" i="4"/>
  <c r="H18" i="4"/>
  <c r="N18" i="4" s="1"/>
  <c r="X18" i="4" s="1"/>
  <c r="P17" i="4"/>
  <c r="O17" i="4"/>
  <c r="W17" i="4" s="1"/>
  <c r="N17" i="4"/>
  <c r="X17" i="4" s="1"/>
  <c r="H17" i="4"/>
  <c r="P16" i="4"/>
  <c r="W16" i="4" s="1"/>
  <c r="O16" i="4"/>
  <c r="H16" i="4"/>
  <c r="N16" i="4" s="1"/>
  <c r="X16" i="4" s="1"/>
  <c r="P15" i="4"/>
  <c r="O15" i="4"/>
  <c r="N15" i="4"/>
  <c r="H15" i="4"/>
  <c r="P14" i="4"/>
  <c r="W14" i="4" s="1"/>
  <c r="O14" i="4"/>
  <c r="N14" i="4"/>
  <c r="X14" i="4" s="1"/>
  <c r="H14" i="4"/>
  <c r="P13" i="4"/>
  <c r="O13" i="4"/>
  <c r="W13" i="4" s="1"/>
  <c r="X13" i="4" s="1"/>
  <c r="N13" i="4"/>
  <c r="H13" i="4"/>
  <c r="H12" i="4"/>
  <c r="O12" i="4" s="1"/>
  <c r="X11" i="4"/>
  <c r="P11" i="4"/>
  <c r="O11" i="4"/>
  <c r="W11" i="4" s="1"/>
  <c r="N11" i="4"/>
  <c r="H11" i="4"/>
  <c r="V10" i="4"/>
  <c r="V113" i="4" s="1"/>
  <c r="P10" i="4"/>
  <c r="O10" i="4"/>
  <c r="H10" i="4"/>
  <c r="N10" i="4" s="1"/>
  <c r="W9" i="4"/>
  <c r="P9" i="4"/>
  <c r="O9" i="4"/>
  <c r="H9" i="4"/>
  <c r="N9" i="4" s="1"/>
  <c r="P8" i="4"/>
  <c r="O8" i="4"/>
  <c r="W8" i="4" s="1"/>
  <c r="N8" i="4"/>
  <c r="H8" i="4"/>
  <c r="P7" i="4"/>
  <c r="O7" i="4"/>
  <c r="H7" i="4"/>
  <c r="N7" i="4" s="1"/>
  <c r="W6" i="4"/>
  <c r="P6" i="4"/>
  <c r="O6" i="4"/>
  <c r="H6" i="4"/>
  <c r="N6" i="4" s="1"/>
  <c r="X6" i="4" s="1"/>
  <c r="W5" i="4"/>
  <c r="P5" i="4"/>
  <c r="O5" i="4"/>
  <c r="M5" i="4"/>
  <c r="H5" i="4"/>
  <c r="P4" i="4"/>
  <c r="O4" i="4"/>
  <c r="H4" i="4"/>
  <c r="H113" i="4" s="1"/>
  <c r="C202" i="3"/>
  <c r="C182" i="3"/>
  <c r="C175" i="3"/>
  <c r="C177" i="3" s="1"/>
  <c r="N136" i="3"/>
  <c r="M136" i="3"/>
  <c r="Y111" i="3"/>
  <c r="X111" i="3"/>
  <c r="T111" i="3"/>
  <c r="R111" i="3"/>
  <c r="Q111" i="3"/>
  <c r="P111" i="3"/>
  <c r="K111" i="3"/>
  <c r="I111" i="3"/>
  <c r="E111" i="3"/>
  <c r="O110" i="3"/>
  <c r="N110" i="3"/>
  <c r="G110" i="3"/>
  <c r="M110" i="3" s="1"/>
  <c r="O109" i="3"/>
  <c r="N109" i="3"/>
  <c r="G109" i="3"/>
  <c r="M109" i="3" s="1"/>
  <c r="O108" i="3"/>
  <c r="N108" i="3"/>
  <c r="G108" i="3"/>
  <c r="M108" i="3" s="1"/>
  <c r="O107" i="3"/>
  <c r="N107" i="3"/>
  <c r="G107" i="3"/>
  <c r="M107" i="3" s="1"/>
  <c r="O106" i="3"/>
  <c r="N106" i="3"/>
  <c r="G106" i="3"/>
  <c r="M106" i="3" s="1"/>
  <c r="O105" i="3"/>
  <c r="V105" i="3" s="1"/>
  <c r="N105" i="3"/>
  <c r="H105" i="3"/>
  <c r="G105" i="3"/>
  <c r="M105" i="3" s="1"/>
  <c r="V104" i="3"/>
  <c r="O104" i="3"/>
  <c r="N104" i="3"/>
  <c r="G104" i="3"/>
  <c r="M104" i="3" s="1"/>
  <c r="V103" i="3"/>
  <c r="O103" i="3"/>
  <c r="N103" i="3"/>
  <c r="G103" i="3"/>
  <c r="M103" i="3" s="1"/>
  <c r="V102" i="3"/>
  <c r="W102" i="3" s="1"/>
  <c r="Z102" i="3" s="1"/>
  <c r="O102" i="3"/>
  <c r="N102" i="3"/>
  <c r="G102" i="3"/>
  <c r="O101" i="3"/>
  <c r="V101" i="3" s="1"/>
  <c r="N101" i="3"/>
  <c r="G101" i="3"/>
  <c r="O100" i="3"/>
  <c r="V100" i="3" s="1"/>
  <c r="N100" i="3"/>
  <c r="G100" i="3"/>
  <c r="M100" i="3" s="1"/>
  <c r="O99" i="3"/>
  <c r="V99" i="3" s="1"/>
  <c r="N99" i="3"/>
  <c r="G99" i="3"/>
  <c r="M99" i="3" s="1"/>
  <c r="O98" i="3"/>
  <c r="V98" i="3" s="1"/>
  <c r="N98" i="3"/>
  <c r="G98" i="3"/>
  <c r="L98" i="3" s="1"/>
  <c r="O97" i="3"/>
  <c r="V97" i="3" s="1"/>
  <c r="N97" i="3"/>
  <c r="G97" i="3"/>
  <c r="L97" i="3" s="1"/>
  <c r="V96" i="3"/>
  <c r="O96" i="3"/>
  <c r="G96" i="3"/>
  <c r="L96" i="3" s="1"/>
  <c r="M96" i="3" s="1"/>
  <c r="O95" i="3"/>
  <c r="N95" i="3"/>
  <c r="V95" i="3" s="1"/>
  <c r="H95" i="3"/>
  <c r="G95" i="3"/>
  <c r="M95" i="3" s="1"/>
  <c r="O94" i="3"/>
  <c r="N94" i="3"/>
  <c r="V94" i="3" s="1"/>
  <c r="G94" i="3"/>
  <c r="O93" i="3"/>
  <c r="N93" i="3"/>
  <c r="V93" i="3" s="1"/>
  <c r="G93" i="3"/>
  <c r="M93" i="3" s="1"/>
  <c r="V92" i="3"/>
  <c r="G92" i="3"/>
  <c r="M92" i="3" s="1"/>
  <c r="O91" i="3"/>
  <c r="N91" i="3"/>
  <c r="J91" i="3"/>
  <c r="G91" i="3"/>
  <c r="M91" i="3" s="1"/>
  <c r="O90" i="3"/>
  <c r="V90" i="3" s="1"/>
  <c r="N90" i="3"/>
  <c r="G90" i="3"/>
  <c r="M90" i="3" s="1"/>
  <c r="W90" i="3" s="1"/>
  <c r="Z90" i="3" s="1"/>
  <c r="O89" i="3"/>
  <c r="V89" i="3" s="1"/>
  <c r="N89" i="3"/>
  <c r="G89" i="3"/>
  <c r="M89" i="3" s="1"/>
  <c r="W89" i="3" s="1"/>
  <c r="Z89" i="3" s="1"/>
  <c r="O88" i="3"/>
  <c r="V88" i="3" s="1"/>
  <c r="N88" i="3"/>
  <c r="G88" i="3"/>
  <c r="M88" i="3" s="1"/>
  <c r="O87" i="3"/>
  <c r="V87" i="3" s="1"/>
  <c r="N87" i="3"/>
  <c r="G87" i="3"/>
  <c r="M87" i="3" s="1"/>
  <c r="O86" i="3"/>
  <c r="V86" i="3" s="1"/>
  <c r="N86" i="3"/>
  <c r="G86" i="3"/>
  <c r="M86" i="3" s="1"/>
  <c r="W86" i="3" s="1"/>
  <c r="Z86" i="3" s="1"/>
  <c r="O85" i="3"/>
  <c r="V85" i="3" s="1"/>
  <c r="N85" i="3"/>
  <c r="G85" i="3"/>
  <c r="O84" i="3"/>
  <c r="N84" i="3"/>
  <c r="V84" i="3" s="1"/>
  <c r="J84" i="3"/>
  <c r="G84" i="3" s="1"/>
  <c r="M84" i="3" s="1"/>
  <c r="O83" i="3"/>
  <c r="N83" i="3"/>
  <c r="V83" i="3" s="1"/>
  <c r="L83" i="3"/>
  <c r="M83" i="3" s="1"/>
  <c r="G83" i="3"/>
  <c r="O82" i="3"/>
  <c r="N82" i="3"/>
  <c r="V82" i="3" s="1"/>
  <c r="L82" i="3"/>
  <c r="G82" i="3"/>
  <c r="O81" i="3"/>
  <c r="N81" i="3"/>
  <c r="G81" i="3"/>
  <c r="M81" i="3" s="1"/>
  <c r="O80" i="3"/>
  <c r="N80" i="3"/>
  <c r="G80" i="3"/>
  <c r="L80" i="3" s="1"/>
  <c r="O79" i="3"/>
  <c r="V79" i="3" s="1"/>
  <c r="N79" i="3"/>
  <c r="G79" i="3"/>
  <c r="M79" i="3" s="1"/>
  <c r="V78" i="3"/>
  <c r="G78" i="3"/>
  <c r="M78" i="3" s="1"/>
  <c r="E78" i="3"/>
  <c r="O77" i="3"/>
  <c r="N77" i="3"/>
  <c r="M77" i="3"/>
  <c r="G77" i="3"/>
  <c r="O76" i="3"/>
  <c r="N76" i="3"/>
  <c r="M76" i="3"/>
  <c r="G76" i="3"/>
  <c r="O75" i="3"/>
  <c r="N75" i="3"/>
  <c r="H75" i="3"/>
  <c r="H111" i="3" s="1"/>
  <c r="G75" i="3"/>
  <c r="M75" i="3" s="1"/>
  <c r="V74" i="3"/>
  <c r="O74" i="3"/>
  <c r="N74" i="3"/>
  <c r="G74" i="3"/>
  <c r="M74" i="3" s="1"/>
  <c r="V73" i="3"/>
  <c r="O73" i="3"/>
  <c r="N73" i="3"/>
  <c r="G73" i="3"/>
  <c r="M73" i="3" s="1"/>
  <c r="O72" i="3"/>
  <c r="N72" i="3"/>
  <c r="G72" i="3"/>
  <c r="M72" i="3" s="1"/>
  <c r="O71" i="3"/>
  <c r="N71" i="3"/>
  <c r="V71" i="3" s="1"/>
  <c r="G71" i="3"/>
  <c r="M71" i="3" s="1"/>
  <c r="O70" i="3"/>
  <c r="N70" i="3"/>
  <c r="V70" i="3" s="1"/>
  <c r="G70" i="3"/>
  <c r="M70" i="3" s="1"/>
  <c r="O69" i="3"/>
  <c r="N69" i="3"/>
  <c r="V69" i="3" s="1"/>
  <c r="G69" i="3"/>
  <c r="M69" i="3" s="1"/>
  <c r="O68" i="3"/>
  <c r="N68" i="3"/>
  <c r="V68" i="3" s="1"/>
  <c r="G68" i="3"/>
  <c r="M68" i="3" s="1"/>
  <c r="O67" i="3"/>
  <c r="N67" i="3"/>
  <c r="V67" i="3" s="1"/>
  <c r="G67" i="3"/>
  <c r="M67" i="3" s="1"/>
  <c r="V66" i="3"/>
  <c r="O66" i="3"/>
  <c r="N66" i="3"/>
  <c r="G66" i="3"/>
  <c r="M66" i="3" s="1"/>
  <c r="V65" i="3"/>
  <c r="O65" i="3"/>
  <c r="N65" i="3"/>
  <c r="G65" i="3"/>
  <c r="M65" i="3" s="1"/>
  <c r="V64" i="3"/>
  <c r="G64" i="3"/>
  <c r="M64" i="3" s="1"/>
  <c r="O63" i="3"/>
  <c r="N63" i="3"/>
  <c r="V63" i="3" s="1"/>
  <c r="G63" i="3"/>
  <c r="M63" i="3" s="1"/>
  <c r="O62" i="3"/>
  <c r="N62" i="3"/>
  <c r="V62" i="3" s="1"/>
  <c r="G62" i="3"/>
  <c r="M62" i="3" s="1"/>
  <c r="V61" i="3"/>
  <c r="G61" i="3"/>
  <c r="M61" i="3" s="1"/>
  <c r="W61" i="3" s="1"/>
  <c r="Z61" i="3" s="1"/>
  <c r="O60" i="3"/>
  <c r="N60" i="3"/>
  <c r="V60" i="3" s="1"/>
  <c r="G60" i="3"/>
  <c r="M60" i="3" s="1"/>
  <c r="O59" i="3"/>
  <c r="N59" i="3"/>
  <c r="V59" i="3" s="1"/>
  <c r="G59" i="3"/>
  <c r="M59" i="3" s="1"/>
  <c r="U58" i="3"/>
  <c r="O58" i="3"/>
  <c r="N58" i="3"/>
  <c r="V58" i="3" s="1"/>
  <c r="G58" i="3"/>
  <c r="L58" i="3" s="1"/>
  <c r="B58" i="3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V57" i="3"/>
  <c r="O57" i="3"/>
  <c r="N57" i="3"/>
  <c r="G57" i="3"/>
  <c r="M57" i="3" s="1"/>
  <c r="O56" i="3"/>
  <c r="N56" i="3"/>
  <c r="G56" i="3"/>
  <c r="M56" i="3" s="1"/>
  <c r="M55" i="3"/>
  <c r="G55" i="3"/>
  <c r="O55" i="3" s="1"/>
  <c r="O54" i="3"/>
  <c r="N54" i="3"/>
  <c r="M54" i="3"/>
  <c r="G54" i="3"/>
  <c r="O53" i="3"/>
  <c r="N53" i="3"/>
  <c r="V53" i="3" s="1"/>
  <c r="G53" i="3"/>
  <c r="M53" i="3" s="1"/>
  <c r="W53" i="3" s="1"/>
  <c r="Z53" i="3" s="1"/>
  <c r="AC52" i="3"/>
  <c r="V52" i="3"/>
  <c r="O52" i="3"/>
  <c r="N52" i="3"/>
  <c r="G52" i="3"/>
  <c r="M52" i="3" s="1"/>
  <c r="W52" i="3" s="1"/>
  <c r="Z52" i="3" s="1"/>
  <c r="G51" i="3"/>
  <c r="O51" i="3" s="1"/>
  <c r="O50" i="3"/>
  <c r="N50" i="3"/>
  <c r="V50" i="3" s="1"/>
  <c r="M50" i="3"/>
  <c r="G50" i="3"/>
  <c r="O49" i="3"/>
  <c r="N49" i="3"/>
  <c r="V49" i="3" s="1"/>
  <c r="M49" i="3"/>
  <c r="G49" i="3"/>
  <c r="O48" i="3"/>
  <c r="N48" i="3"/>
  <c r="V48" i="3" s="1"/>
  <c r="G48" i="3"/>
  <c r="M48" i="3" s="1"/>
  <c r="W48" i="3" s="1"/>
  <c r="Z48" i="3" s="1"/>
  <c r="AC47" i="3"/>
  <c r="V47" i="3"/>
  <c r="O47" i="3"/>
  <c r="N47" i="3"/>
  <c r="G47" i="3"/>
  <c r="M47" i="3" s="1"/>
  <c r="W47" i="3" s="1"/>
  <c r="Z47" i="3" s="1"/>
  <c r="O46" i="3"/>
  <c r="N46" i="3"/>
  <c r="V46" i="3" s="1"/>
  <c r="G46" i="3"/>
  <c r="M46" i="3" s="1"/>
  <c r="O45" i="3"/>
  <c r="N45" i="3"/>
  <c r="V45" i="3" s="1"/>
  <c r="G45" i="3"/>
  <c r="M45" i="3" s="1"/>
  <c r="W45" i="3" s="1"/>
  <c r="Z45" i="3" s="1"/>
  <c r="O44" i="3"/>
  <c r="N44" i="3"/>
  <c r="V44" i="3" s="1"/>
  <c r="G44" i="3"/>
  <c r="M44" i="3" s="1"/>
  <c r="W44" i="3" s="1"/>
  <c r="Z44" i="3" s="1"/>
  <c r="O43" i="3"/>
  <c r="N43" i="3"/>
  <c r="V43" i="3" s="1"/>
  <c r="M43" i="3"/>
  <c r="G43" i="3"/>
  <c r="O42" i="3"/>
  <c r="N42" i="3"/>
  <c r="V42" i="3" s="1"/>
  <c r="G42" i="3"/>
  <c r="M42" i="3" s="1"/>
  <c r="O41" i="3"/>
  <c r="N41" i="3"/>
  <c r="V41" i="3" s="1"/>
  <c r="M41" i="3"/>
  <c r="G41" i="3"/>
  <c r="O40" i="3"/>
  <c r="N40" i="3"/>
  <c r="V40" i="3" s="1"/>
  <c r="M40" i="3"/>
  <c r="G40" i="3"/>
  <c r="G39" i="3"/>
  <c r="O39" i="3" s="1"/>
  <c r="V38" i="3"/>
  <c r="O38" i="3"/>
  <c r="N38" i="3"/>
  <c r="G38" i="3"/>
  <c r="M38" i="3" s="1"/>
  <c r="O37" i="3"/>
  <c r="N37" i="3"/>
  <c r="G37" i="3"/>
  <c r="M37" i="3" s="1"/>
  <c r="O36" i="3"/>
  <c r="N36" i="3"/>
  <c r="G36" i="3"/>
  <c r="M36" i="3" s="1"/>
  <c r="V35" i="3"/>
  <c r="O35" i="3"/>
  <c r="N35" i="3"/>
  <c r="G35" i="3"/>
  <c r="M35" i="3" s="1"/>
  <c r="W35" i="3" s="1"/>
  <c r="Z35" i="3" s="1"/>
  <c r="U34" i="3"/>
  <c r="S34" i="3"/>
  <c r="S111" i="3" s="1"/>
  <c r="O34" i="3"/>
  <c r="N34" i="3"/>
  <c r="V34" i="3" s="1"/>
  <c r="G34" i="3"/>
  <c r="M34" i="3" s="1"/>
  <c r="W34" i="3" s="1"/>
  <c r="Z34" i="3" s="1"/>
  <c r="O33" i="3"/>
  <c r="V33" i="3" s="1"/>
  <c r="N33" i="3"/>
  <c r="G33" i="3"/>
  <c r="M33" i="3" s="1"/>
  <c r="W33" i="3" s="1"/>
  <c r="Z33" i="3" s="1"/>
  <c r="V32" i="3"/>
  <c r="O32" i="3"/>
  <c r="N32" i="3"/>
  <c r="G32" i="3"/>
  <c r="M32" i="3" s="1"/>
  <c r="O31" i="3"/>
  <c r="N31" i="3"/>
  <c r="G31" i="3"/>
  <c r="M31" i="3" s="1"/>
  <c r="O30" i="3"/>
  <c r="N30" i="3"/>
  <c r="G30" i="3"/>
  <c r="M30" i="3" s="1"/>
  <c r="V29" i="3"/>
  <c r="O29" i="3"/>
  <c r="N29" i="3"/>
  <c r="G29" i="3"/>
  <c r="M29" i="3" s="1"/>
  <c r="W29" i="3" s="1"/>
  <c r="Z29" i="3" s="1"/>
  <c r="O28" i="3"/>
  <c r="N28" i="3"/>
  <c r="V28" i="3" s="1"/>
  <c r="G28" i="3"/>
  <c r="M28" i="3" s="1"/>
  <c r="U27" i="3"/>
  <c r="O27" i="3"/>
  <c r="N27" i="3"/>
  <c r="V27" i="3" s="1"/>
  <c r="G27" i="3"/>
  <c r="M27" i="3" s="1"/>
  <c r="G26" i="3"/>
  <c r="O26" i="3" s="1"/>
  <c r="O25" i="3"/>
  <c r="N25" i="3"/>
  <c r="V25" i="3" s="1"/>
  <c r="G25" i="3"/>
  <c r="M25" i="3" s="1"/>
  <c r="W25" i="3" s="1"/>
  <c r="Z25" i="3" s="1"/>
  <c r="G24" i="3"/>
  <c r="O24" i="3" s="1"/>
  <c r="O23" i="3"/>
  <c r="V23" i="3" s="1"/>
  <c r="N23" i="3"/>
  <c r="G23" i="3"/>
  <c r="M23" i="3" s="1"/>
  <c r="O22" i="3"/>
  <c r="N22" i="3"/>
  <c r="V22" i="3" s="1"/>
  <c r="G22" i="3"/>
  <c r="M22" i="3" s="1"/>
  <c r="W22" i="3" s="1"/>
  <c r="Z22" i="3" s="1"/>
  <c r="O21" i="3"/>
  <c r="N21" i="3"/>
  <c r="V21" i="3" s="1"/>
  <c r="G21" i="3"/>
  <c r="M21" i="3" s="1"/>
  <c r="W21" i="3" s="1"/>
  <c r="Z21" i="3" s="1"/>
  <c r="O20" i="3"/>
  <c r="V20" i="3" s="1"/>
  <c r="N20" i="3"/>
  <c r="G20" i="3"/>
  <c r="M20" i="3" s="1"/>
  <c r="V19" i="3"/>
  <c r="O19" i="3"/>
  <c r="N19" i="3"/>
  <c r="G19" i="3"/>
  <c r="M19" i="3" s="1"/>
  <c r="O18" i="3"/>
  <c r="G18" i="3"/>
  <c r="N18" i="3" s="1"/>
  <c r="V18" i="3" s="1"/>
  <c r="O17" i="3"/>
  <c r="N17" i="3"/>
  <c r="G17" i="3"/>
  <c r="M17" i="3" s="1"/>
  <c r="V16" i="3"/>
  <c r="O16" i="3"/>
  <c r="N16" i="3"/>
  <c r="L16" i="3"/>
  <c r="M16" i="3" s="1"/>
  <c r="W16" i="3" s="1"/>
  <c r="Z16" i="3" s="1"/>
  <c r="G16" i="3"/>
  <c r="O15" i="3"/>
  <c r="N15" i="3"/>
  <c r="V15" i="3" s="1"/>
  <c r="G15" i="3"/>
  <c r="M15" i="3" s="1"/>
  <c r="W15" i="3" s="1"/>
  <c r="Z15" i="3" s="1"/>
  <c r="O14" i="3"/>
  <c r="V14" i="3" s="1"/>
  <c r="N14" i="3"/>
  <c r="G14" i="3"/>
  <c r="M14" i="3" s="1"/>
  <c r="O13" i="3"/>
  <c r="N13" i="3"/>
  <c r="V13" i="3" s="1"/>
  <c r="G13" i="3"/>
  <c r="M13" i="3" s="1"/>
  <c r="W13" i="3" s="1"/>
  <c r="Z13" i="3" s="1"/>
  <c r="O12" i="3"/>
  <c r="N12" i="3"/>
  <c r="V12" i="3" s="1"/>
  <c r="G12" i="3"/>
  <c r="M12" i="3" s="1"/>
  <c r="W12" i="3" s="1"/>
  <c r="Z12" i="3" s="1"/>
  <c r="O11" i="3"/>
  <c r="V11" i="3" s="1"/>
  <c r="N11" i="3"/>
  <c r="G11" i="3"/>
  <c r="M11" i="3" s="1"/>
  <c r="W11" i="3" s="1"/>
  <c r="Z11" i="3" s="1"/>
  <c r="V10" i="3"/>
  <c r="U10" i="3"/>
  <c r="O10" i="3"/>
  <c r="N10" i="3"/>
  <c r="M10" i="3"/>
  <c r="W10" i="3" s="1"/>
  <c r="Z10" i="3" s="1"/>
  <c r="G10" i="3"/>
  <c r="O9" i="3"/>
  <c r="N9" i="3"/>
  <c r="V9" i="3" s="1"/>
  <c r="G9" i="3"/>
  <c r="M9" i="3" s="1"/>
  <c r="O8" i="3"/>
  <c r="N8" i="3"/>
  <c r="V8" i="3" s="1"/>
  <c r="M8" i="3"/>
  <c r="G8" i="3"/>
  <c r="O7" i="3"/>
  <c r="N7" i="3"/>
  <c r="V7" i="3" s="1"/>
  <c r="M7" i="3"/>
  <c r="G7" i="3"/>
  <c r="O6" i="3"/>
  <c r="N6" i="3"/>
  <c r="V6" i="3" s="1"/>
  <c r="G6" i="3"/>
  <c r="M6" i="3" s="1"/>
  <c r="W6" i="3" s="1"/>
  <c r="Z6" i="3" s="1"/>
  <c r="O5" i="3"/>
  <c r="V5" i="3" s="1"/>
  <c r="N5" i="3"/>
  <c r="G5" i="3"/>
  <c r="M5" i="3" s="1"/>
  <c r="O4" i="3"/>
  <c r="N4" i="3"/>
  <c r="V4" i="3" s="1"/>
  <c r="G4" i="3"/>
  <c r="M4" i="3" s="1"/>
  <c r="C199" i="2"/>
  <c r="C179" i="2"/>
  <c r="C172" i="2"/>
  <c r="C174" i="2" s="1"/>
  <c r="N133" i="2"/>
  <c r="M133" i="2"/>
  <c r="Y108" i="2"/>
  <c r="X108" i="2"/>
  <c r="T108" i="2"/>
  <c r="R108" i="2"/>
  <c r="Q108" i="2"/>
  <c r="P108" i="2"/>
  <c r="K108" i="2"/>
  <c r="O107" i="2"/>
  <c r="N107" i="2"/>
  <c r="V106" i="2"/>
  <c r="O105" i="2"/>
  <c r="N105" i="2"/>
  <c r="V105" i="2" s="1"/>
  <c r="O104" i="2"/>
  <c r="N104" i="2"/>
  <c r="V104" i="2" s="1"/>
  <c r="O103" i="2"/>
  <c r="N103" i="2"/>
  <c r="M103" i="2"/>
  <c r="O102" i="2"/>
  <c r="N102" i="2"/>
  <c r="M101" i="2"/>
  <c r="O101" i="2"/>
  <c r="O100" i="2"/>
  <c r="N100" i="2"/>
  <c r="V100" i="2" s="1"/>
  <c r="O99" i="2"/>
  <c r="N99" i="2"/>
  <c r="O98" i="2"/>
  <c r="N98" i="2"/>
  <c r="O97" i="2"/>
  <c r="N97" i="2"/>
  <c r="O96" i="2"/>
  <c r="N96" i="2"/>
  <c r="O95" i="2"/>
  <c r="N95" i="2"/>
  <c r="O94" i="2"/>
  <c r="N94" i="2"/>
  <c r="M94" i="2"/>
  <c r="O93" i="2"/>
  <c r="N93" i="2"/>
  <c r="V93" i="2" s="1"/>
  <c r="O92" i="2"/>
  <c r="N92" i="2"/>
  <c r="O91" i="2"/>
  <c r="V91" i="2" s="1"/>
  <c r="O90" i="2"/>
  <c r="N90" i="2"/>
  <c r="O89" i="2"/>
  <c r="N89" i="2"/>
  <c r="O88" i="2"/>
  <c r="N88" i="2"/>
  <c r="O87" i="2"/>
  <c r="N87" i="2"/>
  <c r="O86" i="2"/>
  <c r="N86" i="2"/>
  <c r="M86" i="2"/>
  <c r="O85" i="2"/>
  <c r="N85" i="2"/>
  <c r="O84" i="2"/>
  <c r="N84" i="2"/>
  <c r="O83" i="2"/>
  <c r="N83" i="2"/>
  <c r="M83" i="2"/>
  <c r="O82" i="2"/>
  <c r="N82" i="2"/>
  <c r="O81" i="2"/>
  <c r="N81" i="2"/>
  <c r="M81" i="2"/>
  <c r="O80" i="2"/>
  <c r="N80" i="2"/>
  <c r="O79" i="2"/>
  <c r="N79" i="2"/>
  <c r="O78" i="2"/>
  <c r="N78" i="2"/>
  <c r="O77" i="2"/>
  <c r="N77" i="2"/>
  <c r="V77" i="2" s="1"/>
  <c r="O76" i="2"/>
  <c r="N76" i="2"/>
  <c r="M76" i="2"/>
  <c r="O75" i="2"/>
  <c r="N75" i="2"/>
  <c r="O74" i="2"/>
  <c r="N74" i="2"/>
  <c r="V73" i="2"/>
  <c r="M73" i="2"/>
  <c r="O72" i="2"/>
  <c r="N72" i="2"/>
  <c r="V72" i="2" s="1"/>
  <c r="M72" i="2"/>
  <c r="O71" i="2"/>
  <c r="N71" i="2"/>
  <c r="O70" i="2"/>
  <c r="N70" i="2"/>
  <c r="O69" i="2"/>
  <c r="N69" i="2"/>
  <c r="M69" i="2"/>
  <c r="O68" i="2"/>
  <c r="N68" i="2"/>
  <c r="O67" i="2"/>
  <c r="N67" i="2"/>
  <c r="O66" i="2"/>
  <c r="N66" i="2"/>
  <c r="O65" i="2"/>
  <c r="N65" i="2"/>
  <c r="M65" i="2"/>
  <c r="O64" i="2"/>
  <c r="N64" i="2"/>
  <c r="V64" i="2" s="1"/>
  <c r="M64" i="2"/>
  <c r="O63" i="2"/>
  <c r="N63" i="2"/>
  <c r="O62" i="2"/>
  <c r="N62" i="2"/>
  <c r="O61" i="2"/>
  <c r="N61" i="2"/>
  <c r="M61" i="2"/>
  <c r="O60" i="2"/>
  <c r="N60" i="2"/>
  <c r="O59" i="2"/>
  <c r="N59" i="2"/>
  <c r="V58" i="2"/>
  <c r="O57" i="2"/>
  <c r="N57" i="2"/>
  <c r="M57" i="2"/>
  <c r="O56" i="2"/>
  <c r="N56" i="2"/>
  <c r="M56" i="2"/>
  <c r="O55" i="2"/>
  <c r="N55" i="2"/>
  <c r="O54" i="2"/>
  <c r="N54" i="2"/>
  <c r="U53" i="2"/>
  <c r="O53" i="2"/>
  <c r="N53" i="2"/>
  <c r="L53" i="2"/>
  <c r="B53" i="2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O52" i="2"/>
  <c r="N52" i="2"/>
  <c r="M52" i="2"/>
  <c r="O51" i="2"/>
  <c r="N51" i="2"/>
  <c r="O50" i="2"/>
  <c r="N50" i="2"/>
  <c r="M50" i="2"/>
  <c r="O49" i="2"/>
  <c r="N49" i="2"/>
  <c r="M49" i="2"/>
  <c r="AC48" i="2"/>
  <c r="O48" i="2"/>
  <c r="N48" i="2"/>
  <c r="M48" i="2"/>
  <c r="O47" i="2"/>
  <c r="N47" i="2"/>
  <c r="O46" i="2"/>
  <c r="N46" i="2"/>
  <c r="V46" i="2" s="1"/>
  <c r="M46" i="2"/>
  <c r="O45" i="2"/>
  <c r="N45" i="2"/>
  <c r="M45" i="2"/>
  <c r="AC44" i="2"/>
  <c r="O44" i="2"/>
  <c r="N44" i="2"/>
  <c r="M44" i="2"/>
  <c r="O43" i="2"/>
  <c r="N43" i="2"/>
  <c r="O42" i="2"/>
  <c r="N42" i="2"/>
  <c r="V42" i="2" s="1"/>
  <c r="O41" i="2"/>
  <c r="N41" i="2"/>
  <c r="O40" i="2"/>
  <c r="N40" i="2"/>
  <c r="O39" i="2"/>
  <c r="N39" i="2"/>
  <c r="O38" i="2"/>
  <c r="N38" i="2"/>
  <c r="V38" i="2" s="1"/>
  <c r="M38" i="2"/>
  <c r="O37" i="2"/>
  <c r="N37" i="2"/>
  <c r="M37" i="2"/>
  <c r="O36" i="2"/>
  <c r="N36" i="2"/>
  <c r="O35" i="2"/>
  <c r="N35" i="2"/>
  <c r="O34" i="2"/>
  <c r="N34" i="2"/>
  <c r="M34" i="2"/>
  <c r="O33" i="2"/>
  <c r="N33" i="2"/>
  <c r="M33" i="2"/>
  <c r="U32" i="2"/>
  <c r="S32" i="2"/>
  <c r="S108" i="2" s="1"/>
  <c r="O32" i="2"/>
  <c r="N32" i="2"/>
  <c r="O31" i="2"/>
  <c r="N31" i="2"/>
  <c r="M31" i="2"/>
  <c r="O30" i="2"/>
  <c r="N30" i="2"/>
  <c r="M30" i="2"/>
  <c r="O29" i="2"/>
  <c r="N29" i="2"/>
  <c r="M29" i="2"/>
  <c r="O28" i="2"/>
  <c r="N28" i="2"/>
  <c r="O27" i="2"/>
  <c r="N27" i="2"/>
  <c r="O26" i="2"/>
  <c r="N26" i="2"/>
  <c r="M26" i="2"/>
  <c r="O25" i="2"/>
  <c r="N25" i="2"/>
  <c r="M25" i="2"/>
  <c r="U24" i="2"/>
  <c r="O24" i="2"/>
  <c r="N24" i="2"/>
  <c r="O23" i="2"/>
  <c r="N23" i="2"/>
  <c r="O22" i="2"/>
  <c r="N22" i="2"/>
  <c r="V22" i="2" s="1"/>
  <c r="M22" i="2"/>
  <c r="M21" i="2"/>
  <c r="O20" i="2"/>
  <c r="N20" i="2"/>
  <c r="O19" i="2"/>
  <c r="N19" i="2"/>
  <c r="M19" i="2"/>
  <c r="O18" i="2"/>
  <c r="N18" i="2"/>
  <c r="M18" i="2"/>
  <c r="O17" i="2"/>
  <c r="N17" i="2"/>
  <c r="M17" i="2"/>
  <c r="O16" i="2"/>
  <c r="N16" i="2"/>
  <c r="V16" i="2" s="1"/>
  <c r="L16" i="2"/>
  <c r="M16" i="2" s="1"/>
  <c r="O15" i="2"/>
  <c r="N15" i="2"/>
  <c r="V15" i="2" s="1"/>
  <c r="M15" i="2"/>
  <c r="O14" i="2"/>
  <c r="N14" i="2"/>
  <c r="N13" i="2"/>
  <c r="M13" i="2"/>
  <c r="O13" i="2"/>
  <c r="O12" i="2"/>
  <c r="N12" i="2"/>
  <c r="V12" i="2" s="1"/>
  <c r="M12" i="2"/>
  <c r="O11" i="2"/>
  <c r="N11" i="2"/>
  <c r="U10" i="2"/>
  <c r="O10" i="2"/>
  <c r="N10" i="2"/>
  <c r="O9" i="2"/>
  <c r="N9" i="2"/>
  <c r="M9" i="2"/>
  <c r="O8" i="2"/>
  <c r="N8" i="2"/>
  <c r="M8" i="2"/>
  <c r="O7" i="2"/>
  <c r="N7" i="2"/>
  <c r="M7" i="2"/>
  <c r="O6" i="2"/>
  <c r="N6" i="2"/>
  <c r="M5" i="2"/>
  <c r="N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C202" i="1"/>
  <c r="C182" i="1"/>
  <c r="C175" i="1"/>
  <c r="C177" i="1" s="1"/>
  <c r="N136" i="1"/>
  <c r="M136" i="1"/>
  <c r="K113" i="1"/>
  <c r="T111" i="1"/>
  <c r="R111" i="1"/>
  <c r="Q111" i="1"/>
  <c r="P111" i="1"/>
  <c r="K111" i="1"/>
  <c r="J111" i="1"/>
  <c r="O110" i="1"/>
  <c r="N110" i="1"/>
  <c r="V110" i="1" s="1"/>
  <c r="G110" i="1"/>
  <c r="M110" i="1" s="1"/>
  <c r="W110" i="1" s="1"/>
  <c r="Z110" i="1" s="1"/>
  <c r="V109" i="1"/>
  <c r="G109" i="1"/>
  <c r="M109" i="1" s="1"/>
  <c r="O108" i="1"/>
  <c r="N108" i="1"/>
  <c r="M108" i="1"/>
  <c r="G108" i="1"/>
  <c r="V107" i="1"/>
  <c r="N107" i="1"/>
  <c r="M107" i="1"/>
  <c r="W107" i="1" s="1"/>
  <c r="Z107" i="1" s="1"/>
  <c r="G107" i="1"/>
  <c r="V106" i="1"/>
  <c r="G106" i="1"/>
  <c r="M106" i="1" s="1"/>
  <c r="W106" i="1" s="1"/>
  <c r="Z106" i="1" s="1"/>
  <c r="O105" i="1"/>
  <c r="V105" i="1" s="1"/>
  <c r="N105" i="1"/>
  <c r="G105" i="1"/>
  <c r="M105" i="1" s="1"/>
  <c r="N104" i="1"/>
  <c r="V104" i="1" s="1"/>
  <c r="G104" i="1"/>
  <c r="M104" i="1" s="1"/>
  <c r="W104" i="1" s="1"/>
  <c r="Z104" i="1" s="1"/>
  <c r="O103" i="1"/>
  <c r="N103" i="1"/>
  <c r="V103" i="1" s="1"/>
  <c r="G103" i="1"/>
  <c r="M103" i="1" s="1"/>
  <c r="O102" i="1"/>
  <c r="N102" i="1"/>
  <c r="G102" i="1"/>
  <c r="M102" i="1" s="1"/>
  <c r="O101" i="1"/>
  <c r="N101" i="1"/>
  <c r="V101" i="1" s="1"/>
  <c r="G101" i="1"/>
  <c r="L101" i="1" s="1"/>
  <c r="M101" i="1" s="1"/>
  <c r="W101" i="1" s="1"/>
  <c r="Z101" i="1" s="1"/>
  <c r="O100" i="1"/>
  <c r="N100" i="1"/>
  <c r="V100" i="1" s="1"/>
  <c r="G100" i="1"/>
  <c r="M100" i="1" s="1"/>
  <c r="M99" i="1"/>
  <c r="G99" i="1"/>
  <c r="O98" i="1"/>
  <c r="N98" i="1"/>
  <c r="V98" i="1" s="1"/>
  <c r="G98" i="1"/>
  <c r="M98" i="1" s="1"/>
  <c r="O97" i="1"/>
  <c r="V97" i="1" s="1"/>
  <c r="N97" i="1"/>
  <c r="M97" i="1"/>
  <c r="W97" i="1" s="1"/>
  <c r="Z97" i="1" s="1"/>
  <c r="G97" i="1"/>
  <c r="O96" i="1"/>
  <c r="N96" i="1"/>
  <c r="L96" i="1"/>
  <c r="M96" i="1" s="1"/>
  <c r="G96" i="1"/>
  <c r="O95" i="1"/>
  <c r="N95" i="1"/>
  <c r="V95" i="1" s="1"/>
  <c r="L95" i="1"/>
  <c r="M95" i="1" s="1"/>
  <c r="G95" i="1"/>
  <c r="O94" i="1"/>
  <c r="V94" i="1" s="1"/>
  <c r="M94" i="1"/>
  <c r="G94" i="1"/>
  <c r="L94" i="1" s="1"/>
  <c r="O93" i="1"/>
  <c r="N93" i="1"/>
  <c r="V93" i="1" s="1"/>
  <c r="H93" i="1"/>
  <c r="H111" i="1" s="1"/>
  <c r="G93" i="1"/>
  <c r="L93" i="1" s="1"/>
  <c r="O92" i="1"/>
  <c r="N92" i="1"/>
  <c r="I92" i="1"/>
  <c r="G92" i="1"/>
  <c r="L92" i="1" s="1"/>
  <c r="M92" i="1" s="1"/>
  <c r="G91" i="1"/>
  <c r="M91" i="1" s="1"/>
  <c r="O90" i="1"/>
  <c r="N90" i="1"/>
  <c r="V90" i="1" s="1"/>
  <c r="G90" i="1"/>
  <c r="M90" i="1" s="1"/>
  <c r="O89" i="1"/>
  <c r="N89" i="1"/>
  <c r="V89" i="1" s="1"/>
  <c r="M89" i="1"/>
  <c r="G89" i="1"/>
  <c r="O88" i="1"/>
  <c r="N88" i="1"/>
  <c r="V88" i="1" s="1"/>
  <c r="G88" i="1"/>
  <c r="M88" i="1" s="1"/>
  <c r="O87" i="1"/>
  <c r="N87" i="1"/>
  <c r="V87" i="1" s="1"/>
  <c r="L87" i="1"/>
  <c r="O86" i="1"/>
  <c r="N86" i="1"/>
  <c r="V86" i="1" s="1"/>
  <c r="G86" i="1"/>
  <c r="M86" i="1" s="1"/>
  <c r="O85" i="1"/>
  <c r="N85" i="1"/>
  <c r="M85" i="1"/>
  <c r="G85" i="1"/>
  <c r="O84" i="1"/>
  <c r="N84" i="1"/>
  <c r="V84" i="1" s="1"/>
  <c r="G84" i="1"/>
  <c r="M84" i="1" s="1"/>
  <c r="W84" i="1" s="1"/>
  <c r="Z84" i="1" s="1"/>
  <c r="O83" i="1"/>
  <c r="N83" i="1"/>
  <c r="G83" i="1"/>
  <c r="M83" i="1" s="1"/>
  <c r="O82" i="1"/>
  <c r="N82" i="1"/>
  <c r="V82" i="1" s="1"/>
  <c r="G82" i="1"/>
  <c r="M82" i="1" s="1"/>
  <c r="O81" i="1"/>
  <c r="V81" i="1" s="1"/>
  <c r="N81" i="1"/>
  <c r="G81" i="1"/>
  <c r="L81" i="1" s="1"/>
  <c r="M81" i="1" s="1"/>
  <c r="O80" i="1"/>
  <c r="V80" i="1" s="1"/>
  <c r="N80" i="1"/>
  <c r="G80" i="1"/>
  <c r="L80" i="1" s="1"/>
  <c r="M80" i="1" s="1"/>
  <c r="O79" i="1"/>
  <c r="N79" i="1"/>
  <c r="V79" i="1" s="1"/>
  <c r="G79" i="1"/>
  <c r="L79" i="1" s="1"/>
  <c r="M79" i="1" s="1"/>
  <c r="W79" i="1" s="1"/>
  <c r="O78" i="1"/>
  <c r="N78" i="1"/>
  <c r="G78" i="1"/>
  <c r="L78" i="1" s="1"/>
  <c r="M78" i="1" s="1"/>
  <c r="O77" i="1"/>
  <c r="V77" i="1" s="1"/>
  <c r="N77" i="1"/>
  <c r="M77" i="1"/>
  <c r="W77" i="1" s="1"/>
  <c r="Z77" i="1" s="1"/>
  <c r="G77" i="1"/>
  <c r="O76" i="1"/>
  <c r="N76" i="1"/>
  <c r="L76" i="1"/>
  <c r="M76" i="1" s="1"/>
  <c r="G76" i="1"/>
  <c r="O75" i="1"/>
  <c r="N75" i="1"/>
  <c r="V75" i="1" s="1"/>
  <c r="G75" i="1"/>
  <c r="M75" i="1" s="1"/>
  <c r="W75" i="1" s="1"/>
  <c r="Z75" i="1" s="1"/>
  <c r="O74" i="1"/>
  <c r="N74" i="1"/>
  <c r="V74" i="1" s="1"/>
  <c r="G74" i="1"/>
  <c r="M74" i="1" s="1"/>
  <c r="W74" i="1" s="1"/>
  <c r="Z74" i="1" s="1"/>
  <c r="V73" i="1"/>
  <c r="G73" i="1"/>
  <c r="M73" i="1" s="1"/>
  <c r="E73" i="1"/>
  <c r="E111" i="1" s="1"/>
  <c r="O72" i="1"/>
  <c r="N72" i="1"/>
  <c r="G72" i="1"/>
  <c r="M72" i="1" s="1"/>
  <c r="O71" i="1"/>
  <c r="N71" i="1"/>
  <c r="V71" i="1" s="1"/>
  <c r="G71" i="1"/>
  <c r="L71" i="1" s="1"/>
  <c r="O70" i="1"/>
  <c r="N70" i="1"/>
  <c r="G70" i="1"/>
  <c r="M70" i="1" s="1"/>
  <c r="V69" i="1"/>
  <c r="O69" i="1"/>
  <c r="N69" i="1"/>
  <c r="G69" i="1"/>
  <c r="M69" i="1" s="1"/>
  <c r="O68" i="1"/>
  <c r="V68" i="1" s="1"/>
  <c r="N68" i="1"/>
  <c r="G68" i="1"/>
  <c r="M68" i="1" s="1"/>
  <c r="W68" i="1" s="1"/>
  <c r="Z68" i="1" s="1"/>
  <c r="O67" i="1"/>
  <c r="N67" i="1"/>
  <c r="G67" i="1"/>
  <c r="M67" i="1" s="1"/>
  <c r="O66" i="1"/>
  <c r="N66" i="1"/>
  <c r="V66" i="1" s="1"/>
  <c r="G66" i="1"/>
  <c r="M66" i="1" s="1"/>
  <c r="W66" i="1" s="1"/>
  <c r="Z66" i="1" s="1"/>
  <c r="O65" i="1"/>
  <c r="V65" i="1" s="1"/>
  <c r="N65" i="1"/>
  <c r="G65" i="1"/>
  <c r="M65" i="1" s="1"/>
  <c r="O64" i="1"/>
  <c r="N64" i="1"/>
  <c r="G64" i="1"/>
  <c r="M64" i="1" s="1"/>
  <c r="O63" i="1"/>
  <c r="N63" i="1"/>
  <c r="V63" i="1" s="1"/>
  <c r="G63" i="1"/>
  <c r="M63" i="1" s="1"/>
  <c r="O62" i="1"/>
  <c r="N62" i="1"/>
  <c r="M62" i="1"/>
  <c r="G62" i="1"/>
  <c r="O61" i="1"/>
  <c r="N61" i="1"/>
  <c r="V61" i="1" s="1"/>
  <c r="G61" i="1"/>
  <c r="M61" i="1" s="1"/>
  <c r="O60" i="1"/>
  <c r="V60" i="1" s="1"/>
  <c r="N60" i="1"/>
  <c r="M60" i="1"/>
  <c r="G60" i="1"/>
  <c r="O59" i="1"/>
  <c r="N59" i="1"/>
  <c r="L59" i="1"/>
  <c r="O58" i="1"/>
  <c r="N58" i="1"/>
  <c r="V58" i="1" s="1"/>
  <c r="G58" i="1"/>
  <c r="M58" i="1" s="1"/>
  <c r="O57" i="1"/>
  <c r="N57" i="1"/>
  <c r="V57" i="1" s="1"/>
  <c r="M57" i="1"/>
  <c r="W57" i="1" s="1"/>
  <c r="Z57" i="1" s="1"/>
  <c r="L57" i="1"/>
  <c r="G57" i="1"/>
  <c r="O56" i="1"/>
  <c r="N56" i="1"/>
  <c r="G56" i="1"/>
  <c r="M56" i="1" s="1"/>
  <c r="O55" i="1"/>
  <c r="N55" i="1"/>
  <c r="V55" i="1" s="1"/>
  <c r="G55" i="1"/>
  <c r="M55" i="1" s="1"/>
  <c r="O54" i="1"/>
  <c r="N54" i="1"/>
  <c r="V54" i="1" s="1"/>
  <c r="G54" i="1"/>
  <c r="M54" i="1" s="1"/>
  <c r="U53" i="1"/>
  <c r="O53" i="1"/>
  <c r="N53" i="1"/>
  <c r="G53" i="1"/>
  <c r="L53" i="1" s="1"/>
  <c r="M53" i="1" s="1"/>
  <c r="O52" i="1"/>
  <c r="V52" i="1" s="1"/>
  <c r="M52" i="1"/>
  <c r="G52" i="1"/>
  <c r="N52" i="1" s="1"/>
  <c r="G51" i="1"/>
  <c r="M51" i="1" s="1"/>
  <c r="O51" i="1" s="1"/>
  <c r="O50" i="1"/>
  <c r="N50" i="1"/>
  <c r="G50" i="1"/>
  <c r="M50" i="1" s="1"/>
  <c r="O49" i="1"/>
  <c r="N49" i="1"/>
  <c r="G49" i="1"/>
  <c r="M49" i="1" s="1"/>
  <c r="AC48" i="1"/>
  <c r="O48" i="1"/>
  <c r="N48" i="1"/>
  <c r="V48" i="1" s="1"/>
  <c r="G48" i="1"/>
  <c r="M48" i="1" s="1"/>
  <c r="O47" i="1"/>
  <c r="N47" i="1"/>
  <c r="G47" i="1"/>
  <c r="M47" i="1" s="1"/>
  <c r="O46" i="1"/>
  <c r="V46" i="1" s="1"/>
  <c r="N46" i="1"/>
  <c r="G46" i="1"/>
  <c r="M46" i="1" s="1"/>
  <c r="O45" i="1"/>
  <c r="N45" i="1"/>
  <c r="G45" i="1"/>
  <c r="M45" i="1" s="1"/>
  <c r="AC44" i="1"/>
  <c r="V44" i="1"/>
  <c r="O44" i="1"/>
  <c r="N44" i="1"/>
  <c r="M44" i="1"/>
  <c r="O43" i="1"/>
  <c r="N43" i="1"/>
  <c r="G43" i="1"/>
  <c r="M43" i="1" s="1"/>
  <c r="O42" i="1"/>
  <c r="N42" i="1"/>
  <c r="V42" i="1" s="1"/>
  <c r="G42" i="1"/>
  <c r="M42" i="1" s="1"/>
  <c r="O41" i="1"/>
  <c r="N41" i="1"/>
  <c r="G41" i="1"/>
  <c r="M41" i="1" s="1"/>
  <c r="O40" i="1"/>
  <c r="N40" i="1"/>
  <c r="V40" i="1" s="1"/>
  <c r="G40" i="1"/>
  <c r="M40" i="1" s="1"/>
  <c r="O39" i="1"/>
  <c r="N39" i="1"/>
  <c r="G39" i="1"/>
  <c r="M39" i="1" s="1"/>
  <c r="O38" i="1"/>
  <c r="N38" i="1"/>
  <c r="V38" i="1" s="1"/>
  <c r="G38" i="1"/>
  <c r="M38" i="1" s="1"/>
  <c r="O37" i="1"/>
  <c r="N37" i="1"/>
  <c r="G37" i="1"/>
  <c r="M37" i="1" s="1"/>
  <c r="O36" i="1"/>
  <c r="N36" i="1"/>
  <c r="V36" i="1" s="1"/>
  <c r="G36" i="1"/>
  <c r="M36" i="1" s="1"/>
  <c r="O35" i="1"/>
  <c r="N35" i="1"/>
  <c r="G35" i="1"/>
  <c r="M35" i="1" s="1"/>
  <c r="O34" i="1"/>
  <c r="N34" i="1"/>
  <c r="V34" i="1" s="1"/>
  <c r="G34" i="1"/>
  <c r="M34" i="1" s="1"/>
  <c r="O33" i="1"/>
  <c r="N33" i="1"/>
  <c r="G33" i="1"/>
  <c r="M33" i="1" s="1"/>
  <c r="U32" i="1"/>
  <c r="S32" i="1"/>
  <c r="S111" i="1" s="1"/>
  <c r="G32" i="1"/>
  <c r="M32" i="1" s="1"/>
  <c r="V31" i="1"/>
  <c r="O31" i="1"/>
  <c r="N31" i="1"/>
  <c r="G31" i="1"/>
  <c r="M31" i="1" s="1"/>
  <c r="G30" i="1"/>
  <c r="M30" i="1" s="1"/>
  <c r="O29" i="1"/>
  <c r="N29" i="1"/>
  <c r="V29" i="1" s="1"/>
  <c r="G29" i="1"/>
  <c r="M29" i="1" s="1"/>
  <c r="O28" i="1"/>
  <c r="N28" i="1"/>
  <c r="V28" i="1" s="1"/>
  <c r="G28" i="1"/>
  <c r="M28" i="1" s="1"/>
  <c r="O27" i="1"/>
  <c r="N27" i="1"/>
  <c r="V27" i="1" s="1"/>
  <c r="G27" i="1"/>
  <c r="M27" i="1" s="1"/>
  <c r="O26" i="1"/>
  <c r="N26" i="1"/>
  <c r="V26" i="1" s="1"/>
  <c r="G26" i="1"/>
  <c r="M26" i="1" s="1"/>
  <c r="O25" i="1"/>
  <c r="N25" i="1"/>
  <c r="V25" i="1" s="1"/>
  <c r="G25" i="1"/>
  <c r="M25" i="1" s="1"/>
  <c r="O24" i="1"/>
  <c r="N24" i="1"/>
  <c r="V24" i="1" s="1"/>
  <c r="L24" i="1"/>
  <c r="G24" i="1" s="1"/>
  <c r="U23" i="1"/>
  <c r="O23" i="1"/>
  <c r="N23" i="1"/>
  <c r="G23" i="1"/>
  <c r="M23" i="1" s="1"/>
  <c r="O22" i="1"/>
  <c r="N22" i="1"/>
  <c r="V22" i="1" s="1"/>
  <c r="G22" i="1"/>
  <c r="M22" i="1" s="1"/>
  <c r="N21" i="1"/>
  <c r="G21" i="1"/>
  <c r="M21" i="1" s="1"/>
  <c r="I20" i="1"/>
  <c r="I111" i="1" s="1"/>
  <c r="O19" i="1"/>
  <c r="V19" i="1" s="1"/>
  <c r="G19" i="1"/>
  <c r="M19" i="1" s="1"/>
  <c r="W19" i="1" s="1"/>
  <c r="Z19" i="1" s="1"/>
  <c r="O18" i="1"/>
  <c r="N18" i="1"/>
  <c r="V18" i="1" s="1"/>
  <c r="G18" i="1"/>
  <c r="M18" i="1" s="1"/>
  <c r="N17" i="1"/>
  <c r="G17" i="1"/>
  <c r="M17" i="1" s="1"/>
  <c r="G16" i="1"/>
  <c r="M16" i="1" s="1"/>
  <c r="O15" i="1"/>
  <c r="N15" i="1"/>
  <c r="V15" i="1" s="1"/>
  <c r="G15" i="1"/>
  <c r="L15" i="1" s="1"/>
  <c r="O14" i="1"/>
  <c r="N14" i="1"/>
  <c r="V14" i="1" s="1"/>
  <c r="G14" i="1"/>
  <c r="M14" i="1" s="1"/>
  <c r="V13" i="1"/>
  <c r="M13" i="1"/>
  <c r="W13" i="1" s="1"/>
  <c r="Z13" i="1" s="1"/>
  <c r="G13" i="1"/>
  <c r="G12" i="1"/>
  <c r="N12" i="1" s="1"/>
  <c r="O11" i="1"/>
  <c r="N11" i="1"/>
  <c r="V11" i="1" s="1"/>
  <c r="G11" i="1"/>
  <c r="M11" i="1" s="1"/>
  <c r="W11" i="1" s="1"/>
  <c r="Z11" i="1" s="1"/>
  <c r="O10" i="1"/>
  <c r="N10" i="1"/>
  <c r="V10" i="1" s="1"/>
  <c r="G10" i="1"/>
  <c r="M10" i="1" s="1"/>
  <c r="U9" i="1"/>
  <c r="U111" i="1" s="1"/>
  <c r="G9" i="1"/>
  <c r="M9" i="1" s="1"/>
  <c r="O9" i="1" s="1"/>
  <c r="O8" i="1"/>
  <c r="N8" i="1"/>
  <c r="V8" i="1" s="1"/>
  <c r="G8" i="1"/>
  <c r="M8" i="1" s="1"/>
  <c r="N7" i="1"/>
  <c r="G7" i="1"/>
  <c r="M7" i="1" s="1"/>
  <c r="O6" i="1"/>
  <c r="N6" i="1"/>
  <c r="G6" i="1"/>
  <c r="M6" i="1" s="1"/>
  <c r="O5" i="1"/>
  <c r="N5" i="1"/>
  <c r="V5" i="1" s="1"/>
  <c r="G5" i="1"/>
  <c r="M5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O4" i="1"/>
  <c r="N4" i="1"/>
  <c r="G4" i="1"/>
  <c r="W92" i="6" l="1"/>
  <c r="W37" i="6"/>
  <c r="W116" i="6"/>
  <c r="W22" i="6"/>
  <c r="M14" i="6"/>
  <c r="V17" i="6"/>
  <c r="N25" i="6"/>
  <c r="V25" i="6" s="1"/>
  <c r="W42" i="6"/>
  <c r="W57" i="6"/>
  <c r="M59" i="6"/>
  <c r="V68" i="6"/>
  <c r="W74" i="6"/>
  <c r="W96" i="6"/>
  <c r="W103" i="6"/>
  <c r="M12" i="6"/>
  <c r="W12" i="6" s="1"/>
  <c r="N14" i="6"/>
  <c r="V14" i="6" s="1"/>
  <c r="V15" i="6"/>
  <c r="V21" i="6"/>
  <c r="W21" i="6" s="1"/>
  <c r="O25" i="6"/>
  <c r="W28" i="6"/>
  <c r="W31" i="6"/>
  <c r="M33" i="6"/>
  <c r="W33" i="6" s="1"/>
  <c r="V35" i="6"/>
  <c r="V45" i="6"/>
  <c r="V49" i="6"/>
  <c r="W49" i="6" s="1"/>
  <c r="N58" i="6"/>
  <c r="V58" i="6" s="1"/>
  <c r="N59" i="6"/>
  <c r="V59" i="6" s="1"/>
  <c r="W61" i="6"/>
  <c r="N63" i="6"/>
  <c r="V63" i="6" s="1"/>
  <c r="V71" i="6"/>
  <c r="V81" i="6"/>
  <c r="W87" i="6"/>
  <c r="W91" i="6"/>
  <c r="W101" i="6"/>
  <c r="M105" i="6"/>
  <c r="W105" i="6" s="1"/>
  <c r="W108" i="6"/>
  <c r="W114" i="6"/>
  <c r="W117" i="6"/>
  <c r="W15" i="6"/>
  <c r="W25" i="6"/>
  <c r="W48" i="6"/>
  <c r="W80" i="6"/>
  <c r="W86" i="6"/>
  <c r="V6" i="6"/>
  <c r="V8" i="6"/>
  <c r="W8" i="6" s="1"/>
  <c r="V10" i="6"/>
  <c r="O13" i="6"/>
  <c r="V13" i="6" s="1"/>
  <c r="W17" i="6"/>
  <c r="O19" i="6"/>
  <c r="V19" i="6" s="1"/>
  <c r="W26" i="6"/>
  <c r="O29" i="6"/>
  <c r="V32" i="6"/>
  <c r="N33" i="6"/>
  <c r="V33" i="6" s="1"/>
  <c r="M36" i="6"/>
  <c r="W38" i="6"/>
  <c r="V42" i="6"/>
  <c r="V46" i="6"/>
  <c r="W46" i="6" s="1"/>
  <c r="N54" i="6"/>
  <c r="V54" i="6" s="1"/>
  <c r="V55" i="6"/>
  <c r="W55" i="6" s="1"/>
  <c r="V69" i="6"/>
  <c r="W69" i="6" s="1"/>
  <c r="W73" i="6"/>
  <c r="V75" i="6"/>
  <c r="W75" i="6" s="1"/>
  <c r="V77" i="6"/>
  <c r="W77" i="6" s="1"/>
  <c r="V78" i="6"/>
  <c r="W84" i="6"/>
  <c r="V88" i="6"/>
  <c r="W88" i="6" s="1"/>
  <c r="V93" i="6"/>
  <c r="V94" i="6"/>
  <c r="W94" i="6" s="1"/>
  <c r="V105" i="6"/>
  <c r="V112" i="6"/>
  <c r="W112" i="6" s="1"/>
  <c r="V115" i="6"/>
  <c r="W115" i="6" s="1"/>
  <c r="V117" i="6"/>
  <c r="W47" i="5"/>
  <c r="W56" i="5"/>
  <c r="W58" i="5"/>
  <c r="W103" i="5"/>
  <c r="N62" i="5"/>
  <c r="O62" i="5"/>
  <c r="W61" i="5"/>
  <c r="W25" i="5"/>
  <c r="U116" i="5"/>
  <c r="W76" i="5"/>
  <c r="W27" i="5"/>
  <c r="V65" i="5"/>
  <c r="W96" i="5"/>
  <c r="W112" i="5"/>
  <c r="W10" i="5"/>
  <c r="V43" i="5"/>
  <c r="V45" i="5"/>
  <c r="W53" i="5"/>
  <c r="W8" i="5"/>
  <c r="W9" i="5"/>
  <c r="W14" i="5"/>
  <c r="V42" i="5"/>
  <c r="W42" i="5" s="1"/>
  <c r="V49" i="5"/>
  <c r="W49" i="5" s="1"/>
  <c r="O52" i="5"/>
  <c r="V54" i="5"/>
  <c r="W54" i="5" s="1"/>
  <c r="N57" i="5"/>
  <c r="V57" i="5" s="1"/>
  <c r="M61" i="5"/>
  <c r="V63" i="5"/>
  <c r="W63" i="5" s="1"/>
  <c r="V64" i="5"/>
  <c r="W64" i="5" s="1"/>
  <c r="O65" i="5"/>
  <c r="V76" i="5"/>
  <c r="V90" i="5"/>
  <c r="W90" i="5" s="1"/>
  <c r="V92" i="5"/>
  <c r="W92" i="5" s="1"/>
  <c r="V94" i="5"/>
  <c r="W94" i="5" s="1"/>
  <c r="V96" i="5"/>
  <c r="W101" i="5"/>
  <c r="M102" i="5"/>
  <c r="W102" i="5" s="1"/>
  <c r="V111" i="5"/>
  <c r="W26" i="5"/>
  <c r="W84" i="5"/>
  <c r="W89" i="5"/>
  <c r="M106" i="5"/>
  <c r="W106" i="5" s="1"/>
  <c r="W107" i="5"/>
  <c r="V20" i="5"/>
  <c r="W20" i="5" s="1"/>
  <c r="M57" i="5"/>
  <c r="M65" i="5"/>
  <c r="W65" i="5" s="1"/>
  <c r="W75" i="5"/>
  <c r="V99" i="5"/>
  <c r="W99" i="5" s="1"/>
  <c r="L106" i="5"/>
  <c r="W111" i="5"/>
  <c r="W6" i="5"/>
  <c r="W7" i="5"/>
  <c r="V9" i="5"/>
  <c r="V14" i="5"/>
  <c r="W16" i="5"/>
  <c r="V22" i="5"/>
  <c r="W22" i="5" s="1"/>
  <c r="W32" i="5"/>
  <c r="V39" i="5"/>
  <c r="W43" i="5"/>
  <c r="W45" i="5"/>
  <c r="V47" i="5"/>
  <c r="V56" i="5"/>
  <c r="V58" i="5"/>
  <c r="M68" i="5"/>
  <c r="W68" i="5" s="1"/>
  <c r="W69" i="5"/>
  <c r="W70" i="5"/>
  <c r="W74" i="5"/>
  <c r="V78" i="5"/>
  <c r="W78" i="5" s="1"/>
  <c r="V79" i="5"/>
  <c r="V80" i="5"/>
  <c r="W80" i="5" s="1"/>
  <c r="V103" i="5"/>
  <c r="V105" i="5"/>
  <c r="W105" i="5" s="1"/>
  <c r="V109" i="5"/>
  <c r="W109" i="5" s="1"/>
  <c r="W20" i="3"/>
  <c r="Z20" i="3" s="1"/>
  <c r="W37" i="3"/>
  <c r="Z37" i="3" s="1"/>
  <c r="W32" i="3"/>
  <c r="Z32" i="3" s="1"/>
  <c r="V81" i="3"/>
  <c r="W81" i="3" s="1"/>
  <c r="Z81" i="3" s="1"/>
  <c r="W104" i="3"/>
  <c r="Z104" i="3" s="1"/>
  <c r="W43" i="3"/>
  <c r="Z43" i="3" s="1"/>
  <c r="V75" i="3"/>
  <c r="W75" i="3" s="1"/>
  <c r="Z75" i="3" s="1"/>
  <c r="V80" i="3"/>
  <c r="W91" i="3"/>
  <c r="Z91" i="3" s="1"/>
  <c r="W5" i="3"/>
  <c r="Z5" i="3" s="1"/>
  <c r="W14" i="3"/>
  <c r="Z14" i="3" s="1"/>
  <c r="M18" i="3"/>
  <c r="W18" i="3" s="1"/>
  <c r="Z18" i="3" s="1"/>
  <c r="W23" i="3"/>
  <c r="Z23" i="3" s="1"/>
  <c r="N26" i="3"/>
  <c r="V26" i="3" s="1"/>
  <c r="M39" i="3"/>
  <c r="V54" i="3"/>
  <c r="V76" i="3"/>
  <c r="W76" i="3" s="1"/>
  <c r="Z76" i="3" s="1"/>
  <c r="V77" i="3"/>
  <c r="W77" i="3" s="1"/>
  <c r="Z77" i="3" s="1"/>
  <c r="W95" i="3"/>
  <c r="Z95" i="3" s="1"/>
  <c r="W96" i="3"/>
  <c r="Z96" i="3" s="1"/>
  <c r="M97" i="3"/>
  <c r="W97" i="3" s="1"/>
  <c r="Z97" i="3" s="1"/>
  <c r="W99" i="3"/>
  <c r="Z99" i="3" s="1"/>
  <c r="W100" i="3"/>
  <c r="Z100" i="3" s="1"/>
  <c r="W28" i="3"/>
  <c r="Z28" i="3" s="1"/>
  <c r="W46" i="3"/>
  <c r="Z46" i="3" s="1"/>
  <c r="W19" i="3"/>
  <c r="Z19" i="3" s="1"/>
  <c r="M26" i="3"/>
  <c r="W26" i="3" s="1"/>
  <c r="Z26" i="3" s="1"/>
  <c r="W38" i="3"/>
  <c r="Z38" i="3" s="1"/>
  <c r="W65" i="3"/>
  <c r="Z65" i="3" s="1"/>
  <c r="W73" i="3"/>
  <c r="Z73" i="3" s="1"/>
  <c r="W103" i="3"/>
  <c r="Z103" i="3" s="1"/>
  <c r="W105" i="3"/>
  <c r="Z105" i="3" s="1"/>
  <c r="W9" i="3"/>
  <c r="Z9" i="3" s="1"/>
  <c r="V17" i="3"/>
  <c r="W17" i="3" s="1"/>
  <c r="Z17" i="3" s="1"/>
  <c r="M24" i="3"/>
  <c r="V30" i="3"/>
  <c r="W30" i="3" s="1"/>
  <c r="Z30" i="3" s="1"/>
  <c r="V31" i="3"/>
  <c r="W31" i="3" s="1"/>
  <c r="Z31" i="3" s="1"/>
  <c r="V36" i="3"/>
  <c r="W36" i="3" s="1"/>
  <c r="Z36" i="3" s="1"/>
  <c r="V37" i="3"/>
  <c r="W42" i="3"/>
  <c r="Z42" i="3" s="1"/>
  <c r="M58" i="3"/>
  <c r="W58" i="3" s="1"/>
  <c r="Z58" i="3" s="1"/>
  <c r="W63" i="3"/>
  <c r="Z63" i="3" s="1"/>
  <c r="W69" i="3"/>
  <c r="Z69" i="3" s="1"/>
  <c r="V72" i="3"/>
  <c r="W72" i="3" s="1"/>
  <c r="Z72" i="3" s="1"/>
  <c r="M80" i="3"/>
  <c r="W80" i="3" s="1"/>
  <c r="Z80" i="3" s="1"/>
  <c r="V91" i="3"/>
  <c r="W93" i="3"/>
  <c r="Z93" i="3" s="1"/>
  <c r="V108" i="3"/>
  <c r="V13" i="2"/>
  <c r="M100" i="2"/>
  <c r="M82" i="2"/>
  <c r="V60" i="2"/>
  <c r="W60" i="2" s="1"/>
  <c r="Z60" i="2" s="1"/>
  <c r="V68" i="2"/>
  <c r="J108" i="2"/>
  <c r="V59" i="2"/>
  <c r="V65" i="2"/>
  <c r="W65" i="2" s="1"/>
  <c r="Z65" i="2" s="1"/>
  <c r="V67" i="2"/>
  <c r="V75" i="2"/>
  <c r="V83" i="2"/>
  <c r="V95" i="2"/>
  <c r="V103" i="2"/>
  <c r="W106" i="2"/>
  <c r="Z106" i="2" s="1"/>
  <c r="V11" i="2"/>
  <c r="V57" i="2"/>
  <c r="V82" i="2"/>
  <c r="V90" i="2"/>
  <c r="W16" i="2"/>
  <c r="Z16" i="2" s="1"/>
  <c r="V17" i="2"/>
  <c r="V41" i="2"/>
  <c r="V47" i="2"/>
  <c r="W47" i="2" s="1"/>
  <c r="Z47" i="2" s="1"/>
  <c r="V49" i="2"/>
  <c r="V52" i="2"/>
  <c r="V61" i="2"/>
  <c r="V63" i="2"/>
  <c r="V69" i="2"/>
  <c r="V81" i="2"/>
  <c r="W81" i="2" s="1"/>
  <c r="Z81" i="2" s="1"/>
  <c r="V89" i="2"/>
  <c r="V94" i="2"/>
  <c r="W94" i="2" s="1"/>
  <c r="Z94" i="2" s="1"/>
  <c r="V97" i="2"/>
  <c r="G108" i="2"/>
  <c r="G84" i="2"/>
  <c r="M84" i="2" s="1"/>
  <c r="W58" i="2"/>
  <c r="Z58" i="2" s="1"/>
  <c r="V70" i="2"/>
  <c r="W70" i="2" s="1"/>
  <c r="Z70" i="2" s="1"/>
  <c r="W17" i="2"/>
  <c r="Z17" i="2" s="1"/>
  <c r="W38" i="2"/>
  <c r="Z38" i="2" s="1"/>
  <c r="V43" i="2"/>
  <c r="W43" i="2" s="1"/>
  <c r="Z43" i="2" s="1"/>
  <c r="V48" i="2"/>
  <c r="V55" i="2"/>
  <c r="W55" i="2" s="1"/>
  <c r="Z55" i="2" s="1"/>
  <c r="V71" i="2"/>
  <c r="V74" i="2"/>
  <c r="W74" i="2" s="1"/>
  <c r="Z74" i="2" s="1"/>
  <c r="V80" i="2"/>
  <c r="V92" i="2"/>
  <c r="V96" i="2"/>
  <c r="V45" i="2"/>
  <c r="V51" i="2"/>
  <c r="V62" i="2"/>
  <c r="W62" i="2" s="1"/>
  <c r="Z62" i="2" s="1"/>
  <c r="W69" i="2"/>
  <c r="Z69" i="2" s="1"/>
  <c r="V76" i="2"/>
  <c r="W48" i="2"/>
  <c r="Z48" i="2" s="1"/>
  <c r="W41" i="2"/>
  <c r="Z41" i="2" s="1"/>
  <c r="V50" i="2"/>
  <c r="V66" i="2"/>
  <c r="W66" i="2" s="1"/>
  <c r="Z66" i="2" s="1"/>
  <c r="W68" i="2"/>
  <c r="Z68" i="2" s="1"/>
  <c r="W73" i="2"/>
  <c r="Z73" i="2" s="1"/>
  <c r="W105" i="2"/>
  <c r="Z105" i="2" s="1"/>
  <c r="W45" i="2"/>
  <c r="Z45" i="2" s="1"/>
  <c r="W72" i="2"/>
  <c r="Z72" i="2" s="1"/>
  <c r="W82" i="2"/>
  <c r="Z82" i="2" s="1"/>
  <c r="W97" i="2"/>
  <c r="Z97" i="2" s="1"/>
  <c r="V102" i="2"/>
  <c r="W102" i="2" s="1"/>
  <c r="Z102" i="2" s="1"/>
  <c r="W104" i="2"/>
  <c r="Z104" i="2" s="1"/>
  <c r="W42" i="2"/>
  <c r="Z42" i="2" s="1"/>
  <c r="L79" i="2"/>
  <c r="M79" i="2" s="1"/>
  <c r="O4" i="2"/>
  <c r="N4" i="2"/>
  <c r="W61" i="2"/>
  <c r="Z61" i="2" s="1"/>
  <c r="W64" i="2"/>
  <c r="Z64" i="2" s="1"/>
  <c r="W75" i="2"/>
  <c r="Z75" i="2" s="1"/>
  <c r="W76" i="2"/>
  <c r="Z76" i="2" s="1"/>
  <c r="W100" i="2"/>
  <c r="Z100" i="2" s="1"/>
  <c r="W12" i="2"/>
  <c r="Z12" i="2" s="1"/>
  <c r="W13" i="2"/>
  <c r="Z13" i="2" s="1"/>
  <c r="V14" i="2"/>
  <c r="W14" i="2" s="1"/>
  <c r="Z14" i="2" s="1"/>
  <c r="V18" i="2"/>
  <c r="W18" i="2" s="1"/>
  <c r="Z18" i="2" s="1"/>
  <c r="V24" i="2"/>
  <c r="W24" i="2" s="1"/>
  <c r="Z24" i="2" s="1"/>
  <c r="V33" i="2"/>
  <c r="W33" i="2" s="1"/>
  <c r="Z33" i="2" s="1"/>
  <c r="V34" i="2"/>
  <c r="W34" i="2" s="1"/>
  <c r="Z34" i="2" s="1"/>
  <c r="V35" i="2"/>
  <c r="W35" i="2" s="1"/>
  <c r="Z35" i="2" s="1"/>
  <c r="V36" i="2"/>
  <c r="W36" i="2" s="1"/>
  <c r="Z36" i="2" s="1"/>
  <c r="V40" i="2"/>
  <c r="W40" i="2" s="1"/>
  <c r="Z40" i="2" s="1"/>
  <c r="V44" i="2"/>
  <c r="W44" i="2" s="1"/>
  <c r="Z44" i="2" s="1"/>
  <c r="W49" i="2"/>
  <c r="Z49" i="2" s="1"/>
  <c r="W50" i="2"/>
  <c r="Z50" i="2" s="1"/>
  <c r="W51" i="2"/>
  <c r="Z51" i="2" s="1"/>
  <c r="M77" i="2"/>
  <c r="W77" i="2" s="1"/>
  <c r="Z77" i="2" s="1"/>
  <c r="AB77" i="2" s="1"/>
  <c r="V78" i="2"/>
  <c r="W78" i="2" s="1"/>
  <c r="L80" i="2"/>
  <c r="M80" i="2" s="1"/>
  <c r="L89" i="2"/>
  <c r="M89" i="2" s="1"/>
  <c r="W89" i="2" s="1"/>
  <c r="Z89" i="2" s="1"/>
  <c r="M90" i="2"/>
  <c r="W90" i="2" s="1"/>
  <c r="Z90" i="2" s="1"/>
  <c r="V98" i="2"/>
  <c r="W98" i="2" s="1"/>
  <c r="Z98" i="2" s="1"/>
  <c r="V6" i="2"/>
  <c r="W6" i="2" s="1"/>
  <c r="Z6" i="2" s="1"/>
  <c r="V7" i="2"/>
  <c r="W7" i="2" s="1"/>
  <c r="Z7" i="2" s="1"/>
  <c r="V8" i="2"/>
  <c r="W8" i="2" s="1"/>
  <c r="Z8" i="2" s="1"/>
  <c r="V9" i="2"/>
  <c r="W9" i="2" s="1"/>
  <c r="Z9" i="2" s="1"/>
  <c r="V10" i="2"/>
  <c r="W10" i="2" s="1"/>
  <c r="Z10" i="2" s="1"/>
  <c r="W11" i="2"/>
  <c r="Z11" i="2" s="1"/>
  <c r="V19" i="2"/>
  <c r="W19" i="2" s="1"/>
  <c r="Z19" i="2" s="1"/>
  <c r="V20" i="2"/>
  <c r="W20" i="2" s="1"/>
  <c r="Z20" i="2" s="1"/>
  <c r="V23" i="2"/>
  <c r="W23" i="2" s="1"/>
  <c r="Z23" i="2" s="1"/>
  <c r="V25" i="2"/>
  <c r="W25" i="2" s="1"/>
  <c r="Z25" i="2" s="1"/>
  <c r="V26" i="2"/>
  <c r="W26" i="2" s="1"/>
  <c r="Z26" i="2" s="1"/>
  <c r="V27" i="2"/>
  <c r="W27" i="2" s="1"/>
  <c r="Z27" i="2" s="1"/>
  <c r="V28" i="2"/>
  <c r="W28" i="2" s="1"/>
  <c r="Z28" i="2" s="1"/>
  <c r="V29" i="2"/>
  <c r="W29" i="2" s="1"/>
  <c r="Z29" i="2" s="1"/>
  <c r="V30" i="2"/>
  <c r="W30" i="2" s="1"/>
  <c r="Z30" i="2" s="1"/>
  <c r="V31" i="2"/>
  <c r="W31" i="2" s="1"/>
  <c r="Z31" i="2" s="1"/>
  <c r="V32" i="2"/>
  <c r="W32" i="2" s="1"/>
  <c r="Z32" i="2" s="1"/>
  <c r="W46" i="2"/>
  <c r="Z46" i="2" s="1"/>
  <c r="W52" i="2"/>
  <c r="Z52" i="2" s="1"/>
  <c r="W59" i="2"/>
  <c r="Z59" i="2" s="1"/>
  <c r="W63" i="2"/>
  <c r="Z63" i="2" s="1"/>
  <c r="W67" i="2"/>
  <c r="Z67" i="2" s="1"/>
  <c r="W71" i="2"/>
  <c r="Z71" i="2" s="1"/>
  <c r="V79" i="2"/>
  <c r="V85" i="2"/>
  <c r="W85" i="2" s="1"/>
  <c r="Z85" i="2" s="1"/>
  <c r="V86" i="2"/>
  <c r="W86" i="2" s="1"/>
  <c r="Z86" i="2" s="1"/>
  <c r="V87" i="2"/>
  <c r="W87" i="2" s="1"/>
  <c r="Z87" i="2" s="1"/>
  <c r="V99" i="2"/>
  <c r="W99" i="2" s="1"/>
  <c r="Z99" i="2" s="1"/>
  <c r="W103" i="2"/>
  <c r="Z103" i="2" s="1"/>
  <c r="L111" i="1"/>
  <c r="N91" i="1"/>
  <c r="O91" i="1"/>
  <c r="W26" i="1"/>
  <c r="Z26" i="1" s="1"/>
  <c r="W29" i="1"/>
  <c r="Z29" i="1" s="1"/>
  <c r="W52" i="1"/>
  <c r="Z52" i="1" s="1"/>
  <c r="M12" i="1"/>
  <c r="W18" i="1"/>
  <c r="Z18" i="1" s="1"/>
  <c r="W22" i="1"/>
  <c r="Z22" i="1" s="1"/>
  <c r="V23" i="1"/>
  <c r="W23" i="1" s="1"/>
  <c r="Z23" i="1" s="1"/>
  <c r="W31" i="1"/>
  <c r="Z31" i="1" s="1"/>
  <c r="V33" i="1"/>
  <c r="W36" i="1"/>
  <c r="Z36" i="1" s="1"/>
  <c r="V37" i="1"/>
  <c r="W37" i="1" s="1"/>
  <c r="Z37" i="1" s="1"/>
  <c r="W40" i="1"/>
  <c r="Z40" i="1" s="1"/>
  <c r="V41" i="1"/>
  <c r="W44" i="1"/>
  <c r="Z44" i="1" s="1"/>
  <c r="V45" i="1"/>
  <c r="W45" i="1" s="1"/>
  <c r="Z45" i="1" s="1"/>
  <c r="V47" i="1"/>
  <c r="V49" i="1"/>
  <c r="V53" i="1"/>
  <c r="V59" i="1"/>
  <c r="V62" i="1"/>
  <c r="W62" i="1" s="1"/>
  <c r="Z62" i="1" s="1"/>
  <c r="V64" i="1"/>
  <c r="W64" i="1" s="1"/>
  <c r="Z64" i="1" s="1"/>
  <c r="W69" i="1"/>
  <c r="Z69" i="1" s="1"/>
  <c r="V76" i="1"/>
  <c r="W76" i="1" s="1"/>
  <c r="Z76" i="1" s="1"/>
  <c r="V78" i="1"/>
  <c r="W89" i="1"/>
  <c r="Z89" i="1" s="1"/>
  <c r="V96" i="1"/>
  <c r="W96" i="1" s="1"/>
  <c r="Z96" i="1" s="1"/>
  <c r="V108" i="1"/>
  <c r="W108" i="1" s="1"/>
  <c r="Z108" i="1" s="1"/>
  <c r="W25" i="1"/>
  <c r="Z25" i="1" s="1"/>
  <c r="W28" i="1"/>
  <c r="Z28" i="1" s="1"/>
  <c r="W10" i="1"/>
  <c r="Z10" i="1" s="1"/>
  <c r="O12" i="1"/>
  <c r="V12" i="1" s="1"/>
  <c r="W12" i="1" s="1"/>
  <c r="Z12" i="1" s="1"/>
  <c r="W46" i="1"/>
  <c r="Z46" i="1" s="1"/>
  <c r="W48" i="1"/>
  <c r="Z48" i="1" s="1"/>
  <c r="W72" i="1"/>
  <c r="Z72" i="1" s="1"/>
  <c r="V83" i="1"/>
  <c r="W83" i="1" s="1"/>
  <c r="Z83" i="1" s="1"/>
  <c r="V85" i="1"/>
  <c r="W27" i="1"/>
  <c r="Z27" i="1" s="1"/>
  <c r="W94" i="1"/>
  <c r="Z94" i="1" s="1"/>
  <c r="W103" i="1"/>
  <c r="Z103" i="1" s="1"/>
  <c r="V6" i="1"/>
  <c r="W8" i="1"/>
  <c r="Z8" i="1" s="1"/>
  <c r="W34" i="1"/>
  <c r="Z34" i="1" s="1"/>
  <c r="V35" i="1"/>
  <c r="W38" i="1"/>
  <c r="Z38" i="1" s="1"/>
  <c r="V39" i="1"/>
  <c r="W42" i="1"/>
  <c r="Z42" i="1" s="1"/>
  <c r="V43" i="1"/>
  <c r="V50" i="1"/>
  <c r="W54" i="1"/>
  <c r="Z54" i="1" s="1"/>
  <c r="W55" i="1"/>
  <c r="Z55" i="1" s="1"/>
  <c r="W61" i="1"/>
  <c r="Z61" i="1" s="1"/>
  <c r="V67" i="1"/>
  <c r="W67" i="1" s="1"/>
  <c r="Z67" i="1" s="1"/>
  <c r="V70" i="1"/>
  <c r="W70" i="1" s="1"/>
  <c r="Z70" i="1" s="1"/>
  <c r="M71" i="1"/>
  <c r="W71" i="1" s="1"/>
  <c r="Z71" i="1" s="1"/>
  <c r="V72" i="1"/>
  <c r="W86" i="1"/>
  <c r="Z86" i="1" s="1"/>
  <c r="W88" i="1"/>
  <c r="Z88" i="1" s="1"/>
  <c r="V92" i="1"/>
  <c r="M93" i="1"/>
  <c r="W93" i="1" s="1"/>
  <c r="Z93" i="1" s="1"/>
  <c r="W98" i="1"/>
  <c r="Z98" i="1" s="1"/>
  <c r="V102" i="1"/>
  <c r="W102" i="1" s="1"/>
  <c r="Z102" i="1" s="1"/>
  <c r="O5" i="6"/>
  <c r="N5" i="6"/>
  <c r="G118" i="6"/>
  <c r="M5" i="6"/>
  <c r="W10" i="6"/>
  <c r="W27" i="6"/>
  <c r="O36" i="6"/>
  <c r="N36" i="6"/>
  <c r="W40" i="6"/>
  <c r="W65" i="6"/>
  <c r="W82" i="6"/>
  <c r="O7" i="6"/>
  <c r="N7" i="6"/>
  <c r="V7" i="6" s="1"/>
  <c r="W7" i="6" s="1"/>
  <c r="W71" i="6"/>
  <c r="V4" i="6"/>
  <c r="W4" i="6" s="1"/>
  <c r="W6" i="6"/>
  <c r="O9" i="6"/>
  <c r="M9" i="6"/>
  <c r="N9" i="6"/>
  <c r="U118" i="6"/>
  <c r="V11" i="6"/>
  <c r="W11" i="6" s="1"/>
  <c r="W20" i="6"/>
  <c r="W52" i="6"/>
  <c r="W59" i="6"/>
  <c r="W78" i="6"/>
  <c r="W98" i="6"/>
  <c r="N106" i="6"/>
  <c r="O106" i="6"/>
  <c r="W34" i="6"/>
  <c r="W45" i="6"/>
  <c r="W60" i="6"/>
  <c r="W79" i="6"/>
  <c r="M24" i="6"/>
  <c r="M70" i="6"/>
  <c r="W70" i="6" s="1"/>
  <c r="N83" i="6"/>
  <c r="M13" i="6"/>
  <c r="M19" i="6"/>
  <c r="W54" i="6"/>
  <c r="W62" i="6"/>
  <c r="M67" i="6"/>
  <c r="W68" i="6"/>
  <c r="W81" i="6"/>
  <c r="O83" i="6"/>
  <c r="W102" i="6"/>
  <c r="W113" i="6"/>
  <c r="L118" i="6"/>
  <c r="W47" i="6"/>
  <c r="N34" i="6"/>
  <c r="V34" i="6" s="1"/>
  <c r="M35" i="6"/>
  <c r="W35" i="6" s="1"/>
  <c r="W53" i="6"/>
  <c r="W56" i="6"/>
  <c r="W66" i="6"/>
  <c r="W95" i="6"/>
  <c r="W99" i="6"/>
  <c r="M104" i="6"/>
  <c r="W104" i="6" s="1"/>
  <c r="W111" i="6"/>
  <c r="N24" i="6"/>
  <c r="V24" i="6" s="1"/>
  <c r="O34" i="6"/>
  <c r="M41" i="6"/>
  <c r="N29" i="6"/>
  <c r="V29" i="6" s="1"/>
  <c r="W29" i="6" s="1"/>
  <c r="W32" i="6"/>
  <c r="W39" i="6"/>
  <c r="V41" i="6"/>
  <c r="W44" i="6"/>
  <c r="M50" i="6"/>
  <c r="W50" i="6" s="1"/>
  <c r="W51" i="6"/>
  <c r="W58" i="6"/>
  <c r="M63" i="6"/>
  <c r="W63" i="6" s="1"/>
  <c r="W64" i="6"/>
  <c r="N67" i="6"/>
  <c r="V67" i="6" s="1"/>
  <c r="V89" i="6"/>
  <c r="W89" i="6" s="1"/>
  <c r="W93" i="6"/>
  <c r="W97" i="6"/>
  <c r="V107" i="6"/>
  <c r="W107" i="6" s="1"/>
  <c r="W5" i="5"/>
  <c r="W50" i="5"/>
  <c r="M21" i="5"/>
  <c r="W21" i="5" s="1"/>
  <c r="O23" i="5"/>
  <c r="M23" i="5"/>
  <c r="O33" i="5"/>
  <c r="M33" i="5"/>
  <c r="M4" i="5"/>
  <c r="M11" i="5"/>
  <c r="O12" i="5"/>
  <c r="V12" i="5" s="1"/>
  <c r="W12" i="5" s="1"/>
  <c r="M13" i="5"/>
  <c r="M15" i="5"/>
  <c r="W15" i="5" s="1"/>
  <c r="M17" i="5"/>
  <c r="O18" i="5"/>
  <c r="V18" i="5" s="1"/>
  <c r="W18" i="5" s="1"/>
  <c r="M19" i="5"/>
  <c r="N23" i="5"/>
  <c r="V23" i="5" s="1"/>
  <c r="W29" i="5"/>
  <c r="W30" i="5"/>
  <c r="O31" i="5"/>
  <c r="V31" i="5" s="1"/>
  <c r="M31" i="5"/>
  <c r="N33" i="5"/>
  <c r="M40" i="5"/>
  <c r="W40" i="5" s="1"/>
  <c r="V50" i="5"/>
  <c r="W51" i="5"/>
  <c r="V52" i="5"/>
  <c r="W72" i="5"/>
  <c r="W73" i="5"/>
  <c r="V77" i="5"/>
  <c r="W77" i="5" s="1"/>
  <c r="W79" i="5"/>
  <c r="V104" i="5"/>
  <c r="W110" i="5"/>
  <c r="W39" i="5"/>
  <c r="L104" i="5"/>
  <c r="L116" i="5" s="1"/>
  <c r="N11" i="5"/>
  <c r="V11" i="5" s="1"/>
  <c r="N13" i="5"/>
  <c r="V13" i="5" s="1"/>
  <c r="N17" i="5"/>
  <c r="V17" i="5" s="1"/>
  <c r="N19" i="5"/>
  <c r="V19" i="5" s="1"/>
  <c r="M28" i="5"/>
  <c r="O28" i="5"/>
  <c r="W38" i="5"/>
  <c r="M24" i="5"/>
  <c r="O24" i="5"/>
  <c r="V24" i="5" s="1"/>
  <c r="N28" i="5"/>
  <c r="V28" i="5" s="1"/>
  <c r="V36" i="5"/>
  <c r="W36" i="5" s="1"/>
  <c r="V41" i="5"/>
  <c r="W41" i="5" s="1"/>
  <c r="V48" i="5"/>
  <c r="W48" i="5" s="1"/>
  <c r="M52" i="5"/>
  <c r="W52" i="5" s="1"/>
  <c r="V81" i="5"/>
  <c r="W81" i="5" s="1"/>
  <c r="W86" i="5"/>
  <c r="W87" i="5"/>
  <c r="V91" i="5"/>
  <c r="W91" i="5" s="1"/>
  <c r="W93" i="5"/>
  <c r="W114" i="5"/>
  <c r="W115" i="5"/>
  <c r="X8" i="4"/>
  <c r="X24" i="4"/>
  <c r="M37" i="4"/>
  <c r="N37" i="4" s="1"/>
  <c r="X37" i="4" s="1"/>
  <c r="X77" i="4"/>
  <c r="W4" i="4"/>
  <c r="X26" i="4"/>
  <c r="P53" i="4"/>
  <c r="O53" i="4"/>
  <c r="W53" i="4" s="1"/>
  <c r="X68" i="4"/>
  <c r="N4" i="4"/>
  <c r="W7" i="4"/>
  <c r="W21" i="4"/>
  <c r="X21" i="4" s="1"/>
  <c r="O28" i="4"/>
  <c r="N28" i="4"/>
  <c r="O30" i="4"/>
  <c r="W30" i="4" s="1"/>
  <c r="N30" i="4"/>
  <c r="X30" i="4" s="1"/>
  <c r="W32" i="4"/>
  <c r="N35" i="4"/>
  <c r="X35" i="4" s="1"/>
  <c r="X44" i="4"/>
  <c r="N53" i="4"/>
  <c r="X53" i="4" s="1"/>
  <c r="X73" i="4"/>
  <c r="X81" i="4"/>
  <c r="X84" i="4"/>
  <c r="W86" i="4"/>
  <c r="X86" i="4" s="1"/>
  <c r="X88" i="4"/>
  <c r="N97" i="4"/>
  <c r="X97" i="4" s="1"/>
  <c r="N99" i="4"/>
  <c r="X99" i="4" s="1"/>
  <c r="M113" i="4"/>
  <c r="X20" i="4"/>
  <c r="O22" i="4"/>
  <c r="W22" i="4" s="1"/>
  <c r="N22" i="4"/>
  <c r="X22" i="4" s="1"/>
  <c r="N5" i="4"/>
  <c r="X5" i="4" s="1"/>
  <c r="X9" i="4"/>
  <c r="X32" i="4"/>
  <c r="P61" i="4"/>
  <c r="O61" i="4"/>
  <c r="W61" i="4" s="1"/>
  <c r="X61" i="4" s="1"/>
  <c r="X65" i="4"/>
  <c r="X71" i="4"/>
  <c r="X79" i="4"/>
  <c r="N102" i="4"/>
  <c r="X102" i="4" s="1"/>
  <c r="W10" i="4"/>
  <c r="X10" i="4" s="1"/>
  <c r="N12" i="4"/>
  <c r="X7" i="4"/>
  <c r="P12" i="4"/>
  <c r="W12" i="4" s="1"/>
  <c r="W15" i="4"/>
  <c r="X15" i="4" s="1"/>
  <c r="P28" i="4"/>
  <c r="X34" i="4"/>
  <c r="W40" i="4"/>
  <c r="X40" i="4" s="1"/>
  <c r="W44" i="4"/>
  <c r="W48" i="4"/>
  <c r="X48" i="4" s="1"/>
  <c r="W52" i="4"/>
  <c r="X52" i="4" s="1"/>
  <c r="W54" i="4"/>
  <c r="X54" i="4" s="1"/>
  <c r="P57" i="4"/>
  <c r="O57" i="4"/>
  <c r="W57" i="4" s="1"/>
  <c r="X57" i="4" s="1"/>
  <c r="W60" i="4"/>
  <c r="X60" i="4" s="1"/>
  <c r="W62" i="4"/>
  <c r="X62" i="4" s="1"/>
  <c r="X75" i="4"/>
  <c r="W88" i="4"/>
  <c r="X90" i="4"/>
  <c r="N96" i="4"/>
  <c r="X96" i="4" s="1"/>
  <c r="W101" i="4"/>
  <c r="X101" i="4" s="1"/>
  <c r="W103" i="4"/>
  <c r="X103" i="4" s="1"/>
  <c r="W106" i="4"/>
  <c r="X106" i="4" s="1"/>
  <c r="X108" i="4"/>
  <c r="W7" i="3"/>
  <c r="Z7" i="3" s="1"/>
  <c r="W8" i="3"/>
  <c r="Z8" i="3" s="1"/>
  <c r="W27" i="3"/>
  <c r="Z27" i="3" s="1"/>
  <c r="W40" i="3"/>
  <c r="Z40" i="3" s="1"/>
  <c r="W41" i="3"/>
  <c r="Z41" i="3" s="1"/>
  <c r="W49" i="3"/>
  <c r="Z49" i="3" s="1"/>
  <c r="W50" i="3"/>
  <c r="Z50" i="3" s="1"/>
  <c r="W54" i="3"/>
  <c r="Z54" i="3" s="1"/>
  <c r="G111" i="3"/>
  <c r="N24" i="3"/>
  <c r="V24" i="3" s="1"/>
  <c r="W24" i="3" s="1"/>
  <c r="Z24" i="3" s="1"/>
  <c r="N39" i="3"/>
  <c r="V39" i="3" s="1"/>
  <c r="W39" i="3" s="1"/>
  <c r="Z39" i="3" s="1"/>
  <c r="M51" i="3"/>
  <c r="N55" i="3"/>
  <c r="V55" i="3" s="1"/>
  <c r="W55" i="3" s="1"/>
  <c r="Z55" i="3" s="1"/>
  <c r="W57" i="3"/>
  <c r="Z57" i="3" s="1"/>
  <c r="W64" i="3"/>
  <c r="Z64" i="3" s="1"/>
  <c r="W66" i="3"/>
  <c r="Z66" i="3" s="1"/>
  <c r="W70" i="3"/>
  <c r="Z70" i="3" s="1"/>
  <c r="W74" i="3"/>
  <c r="Z74" i="3" s="1"/>
  <c r="W79" i="3"/>
  <c r="Z79" i="3" s="1"/>
  <c r="W87" i="3"/>
  <c r="Z87" i="3" s="1"/>
  <c r="W92" i="3"/>
  <c r="Z92" i="3" s="1"/>
  <c r="V109" i="3"/>
  <c r="W109" i="3" s="1"/>
  <c r="Z109" i="3" s="1"/>
  <c r="W4" i="3"/>
  <c r="N51" i="3"/>
  <c r="V51" i="3" s="1"/>
  <c r="V56" i="3"/>
  <c r="W56" i="3" s="1"/>
  <c r="Z56" i="3" s="1"/>
  <c r="W59" i="3"/>
  <c r="Z59" i="3" s="1"/>
  <c r="W67" i="3"/>
  <c r="Z67" i="3" s="1"/>
  <c r="W71" i="3"/>
  <c r="Z71" i="3" s="1"/>
  <c r="W78" i="3"/>
  <c r="Z78" i="3" s="1"/>
  <c r="M82" i="3"/>
  <c r="W82" i="3" s="1"/>
  <c r="Z82" i="3" s="1"/>
  <c r="AB82" i="3" s="1"/>
  <c r="W83" i="3"/>
  <c r="W88" i="3"/>
  <c r="Z88" i="3" s="1"/>
  <c r="M98" i="3"/>
  <c r="W98" i="3" s="1"/>
  <c r="Z98" i="3" s="1"/>
  <c r="V106" i="3"/>
  <c r="W106" i="3" s="1"/>
  <c r="Z106" i="3" s="1"/>
  <c r="V110" i="3"/>
  <c r="W110" i="3" s="1"/>
  <c r="Z110" i="3" s="1"/>
  <c r="J111" i="3"/>
  <c r="O111" i="3"/>
  <c r="U111" i="3"/>
  <c r="W60" i="3"/>
  <c r="Z60" i="3" s="1"/>
  <c r="W62" i="3"/>
  <c r="Z62" i="3" s="1"/>
  <c r="W68" i="3"/>
  <c r="Z68" i="3" s="1"/>
  <c r="W84" i="3"/>
  <c r="Z84" i="3" s="1"/>
  <c r="L85" i="3"/>
  <c r="L111" i="3" s="1"/>
  <c r="L94" i="3"/>
  <c r="M94" i="3" s="1"/>
  <c r="W94" i="3" s="1"/>
  <c r="Z94" i="3" s="1"/>
  <c r="L101" i="3"/>
  <c r="M101" i="3" s="1"/>
  <c r="W101" i="3" s="1"/>
  <c r="Z101" i="3" s="1"/>
  <c r="V107" i="3"/>
  <c r="W107" i="3" s="1"/>
  <c r="Z107" i="3" s="1"/>
  <c r="W108" i="3"/>
  <c r="Z108" i="3" s="1"/>
  <c r="N21" i="2"/>
  <c r="V21" i="2" s="1"/>
  <c r="W21" i="2" s="1"/>
  <c r="Z21" i="2" s="1"/>
  <c r="O5" i="2"/>
  <c r="V5" i="2" s="1"/>
  <c r="W5" i="2" s="1"/>
  <c r="Z5" i="2" s="1"/>
  <c r="W15" i="2"/>
  <c r="Z15" i="2" s="1"/>
  <c r="W22" i="2"/>
  <c r="Z22" i="2" s="1"/>
  <c r="V39" i="2"/>
  <c r="W39" i="2" s="1"/>
  <c r="Z39" i="2" s="1"/>
  <c r="M53" i="2"/>
  <c r="V54" i="2"/>
  <c r="W54" i="2" s="1"/>
  <c r="Z54" i="2" s="1"/>
  <c r="W83" i="2"/>
  <c r="Z83" i="2" s="1"/>
  <c r="L92" i="2"/>
  <c r="M92" i="2" s="1"/>
  <c r="W95" i="2"/>
  <c r="Z95" i="2" s="1"/>
  <c r="U108" i="2"/>
  <c r="L91" i="2"/>
  <c r="M91" i="2" s="1"/>
  <c r="W91" i="2" s="1"/>
  <c r="Z91" i="2" s="1"/>
  <c r="W96" i="2"/>
  <c r="Z96" i="2" s="1"/>
  <c r="V107" i="2"/>
  <c r="W107" i="2" s="1"/>
  <c r="Z107" i="2" s="1"/>
  <c r="M4" i="2"/>
  <c r="V37" i="2"/>
  <c r="W37" i="2" s="1"/>
  <c r="Z37" i="2" s="1"/>
  <c r="V53" i="2"/>
  <c r="V56" i="2"/>
  <c r="W56" i="2" s="1"/>
  <c r="Z56" i="2" s="1"/>
  <c r="W57" i="2"/>
  <c r="Z57" i="2" s="1"/>
  <c r="V84" i="2"/>
  <c r="W84" i="2" s="1"/>
  <c r="Z84" i="2" s="1"/>
  <c r="V88" i="2"/>
  <c r="W88" i="2" s="1"/>
  <c r="Z88" i="2" s="1"/>
  <c r="W93" i="2"/>
  <c r="Z93" i="2" s="1"/>
  <c r="N101" i="2"/>
  <c r="V101" i="2" s="1"/>
  <c r="W101" i="2" s="1"/>
  <c r="Z101" i="2" s="1"/>
  <c r="W14" i="1"/>
  <c r="Z14" i="1" s="1"/>
  <c r="W35" i="1"/>
  <c r="Z35" i="1" s="1"/>
  <c r="W39" i="1"/>
  <c r="Z39" i="1" s="1"/>
  <c r="W43" i="1"/>
  <c r="Z43" i="1" s="1"/>
  <c r="O32" i="1"/>
  <c r="N32" i="1"/>
  <c r="V32" i="1" s="1"/>
  <c r="W32" i="1" s="1"/>
  <c r="Z32" i="1" s="1"/>
  <c r="O16" i="1"/>
  <c r="W47" i="1"/>
  <c r="Z47" i="1" s="1"/>
  <c r="W53" i="1"/>
  <c r="Z53" i="1" s="1"/>
  <c r="V4" i="1"/>
  <c r="W5" i="1"/>
  <c r="Z5" i="1" s="1"/>
  <c r="W6" i="1"/>
  <c r="Z6" i="1" s="1"/>
  <c r="O7" i="1"/>
  <c r="V7" i="1" s="1"/>
  <c r="W7" i="1" s="1"/>
  <c r="Z7" i="1" s="1"/>
  <c r="N9" i="1"/>
  <c r="V9" i="1" s="1"/>
  <c r="W9" i="1" s="1"/>
  <c r="Z9" i="1" s="1"/>
  <c r="N16" i="1"/>
  <c r="O30" i="1"/>
  <c r="N30" i="1"/>
  <c r="W33" i="1"/>
  <c r="Z33" i="1" s="1"/>
  <c r="W41" i="1"/>
  <c r="Z41" i="1" s="1"/>
  <c r="O17" i="1"/>
  <c r="V17" i="1" s="1"/>
  <c r="W17" i="1" s="1"/>
  <c r="Z17" i="1" s="1"/>
  <c r="G20" i="1"/>
  <c r="O21" i="1"/>
  <c r="V21" i="1" s="1"/>
  <c r="W21" i="1" s="1"/>
  <c r="Z21" i="1" s="1"/>
  <c r="M24" i="1"/>
  <c r="W24" i="1" s="1"/>
  <c r="Z24" i="1" s="1"/>
  <c r="W58" i="1"/>
  <c r="Z58" i="1" s="1"/>
  <c r="W82" i="1"/>
  <c r="Z82" i="1" s="1"/>
  <c r="O99" i="1"/>
  <c r="N99" i="1"/>
  <c r="W109" i="1"/>
  <c r="Z109" i="1" s="1"/>
  <c r="W49" i="1"/>
  <c r="Z49" i="1" s="1"/>
  <c r="G59" i="1"/>
  <c r="G111" i="1" s="1"/>
  <c r="W81" i="1"/>
  <c r="Z81" i="1" s="1"/>
  <c r="G87" i="1"/>
  <c r="M87" i="1"/>
  <c r="W92" i="1"/>
  <c r="Z92" i="1" s="1"/>
  <c r="W105" i="1"/>
  <c r="Z105" i="1" s="1"/>
  <c r="W50" i="1"/>
  <c r="Z50" i="1" s="1"/>
  <c r="M4" i="1"/>
  <c r="M15" i="1"/>
  <c r="W15" i="1" s="1"/>
  <c r="Z15" i="1" s="1"/>
  <c r="N51" i="1"/>
  <c r="V51" i="1" s="1"/>
  <c r="W51" i="1" s="1"/>
  <c r="Z51" i="1" s="1"/>
  <c r="V56" i="1"/>
  <c r="W56" i="1" s="1"/>
  <c r="Z56" i="1" s="1"/>
  <c r="W60" i="1"/>
  <c r="Z60" i="1" s="1"/>
  <c r="W63" i="1"/>
  <c r="Z63" i="1" s="1"/>
  <c r="W65" i="1"/>
  <c r="Z65" i="1" s="1"/>
  <c r="W73" i="1"/>
  <c r="Z73" i="1" s="1"/>
  <c r="W78" i="1"/>
  <c r="Z78" i="1" s="1"/>
  <c r="AB78" i="1" s="1"/>
  <c r="W80" i="1"/>
  <c r="Z80" i="1" s="1"/>
  <c r="W85" i="1"/>
  <c r="Z85" i="1" s="1"/>
  <c r="W90" i="1"/>
  <c r="Z90" i="1" s="1"/>
  <c r="W95" i="1"/>
  <c r="Z95" i="1" s="1"/>
  <c r="W100" i="1"/>
  <c r="Z100" i="1" s="1"/>
  <c r="W13" i="6" l="1"/>
  <c r="O118" i="6"/>
  <c r="W5" i="6"/>
  <c r="W19" i="6"/>
  <c r="W41" i="6"/>
  <c r="V106" i="6"/>
  <c r="W106" i="6" s="1"/>
  <c r="V9" i="6"/>
  <c r="V36" i="6"/>
  <c r="W36" i="6" s="1"/>
  <c r="V5" i="6"/>
  <c r="W14" i="6"/>
  <c r="V33" i="5"/>
  <c r="W28" i="5"/>
  <c r="W13" i="5"/>
  <c r="W33" i="5"/>
  <c r="W57" i="5"/>
  <c r="V62" i="5"/>
  <c r="W62" i="5" s="1"/>
  <c r="V4" i="2"/>
  <c r="W4" i="2" s="1"/>
  <c r="L108" i="2"/>
  <c r="W80" i="2"/>
  <c r="Z80" i="2" s="1"/>
  <c r="W92" i="2"/>
  <c r="Z92" i="2" s="1"/>
  <c r="W79" i="2"/>
  <c r="Z79" i="2" s="1"/>
  <c r="W53" i="2"/>
  <c r="Z53" i="2" s="1"/>
  <c r="O108" i="2"/>
  <c r="M59" i="1"/>
  <c r="W59" i="1" s="1"/>
  <c r="Z59" i="1" s="1"/>
  <c r="V91" i="1"/>
  <c r="W91" i="1" s="1"/>
  <c r="Z91" i="1" s="1"/>
  <c r="V30" i="1"/>
  <c r="W30" i="1" s="1"/>
  <c r="Z30" i="1" s="1"/>
  <c r="V83" i="6"/>
  <c r="W83" i="6" s="1"/>
  <c r="W9" i="6"/>
  <c r="N118" i="6"/>
  <c r="M118" i="6"/>
  <c r="W67" i="6"/>
  <c r="W24" i="6"/>
  <c r="O116" i="5"/>
  <c r="M104" i="5"/>
  <c r="W104" i="5" s="1"/>
  <c r="W24" i="5"/>
  <c r="W19" i="5"/>
  <c r="W17" i="5"/>
  <c r="W11" i="5"/>
  <c r="W23" i="5"/>
  <c r="W31" i="5"/>
  <c r="W4" i="5"/>
  <c r="N116" i="5"/>
  <c r="X12" i="4"/>
  <c r="N113" i="4"/>
  <c r="X4" i="4"/>
  <c r="P113" i="4"/>
  <c r="W28" i="4"/>
  <c r="W113" i="4" s="1"/>
  <c r="O113" i="4"/>
  <c r="M85" i="3"/>
  <c r="W85" i="3" s="1"/>
  <c r="Z85" i="3" s="1"/>
  <c r="Z4" i="3"/>
  <c r="V111" i="3"/>
  <c r="W51" i="3"/>
  <c r="Z51" i="3" s="1"/>
  <c r="N111" i="3"/>
  <c r="M108" i="2"/>
  <c r="N108" i="2"/>
  <c r="W4" i="1"/>
  <c r="V99" i="1"/>
  <c r="W99" i="1" s="1"/>
  <c r="Z99" i="1" s="1"/>
  <c r="O111" i="1"/>
  <c r="V16" i="1"/>
  <c r="W16" i="1" s="1"/>
  <c r="Z16" i="1" s="1"/>
  <c r="W87" i="1"/>
  <c r="X87" i="1" s="1"/>
  <c r="AA87" i="1" s="1"/>
  <c r="M20" i="1"/>
  <c r="O20" i="1"/>
  <c r="N20" i="1"/>
  <c r="V118" i="6" l="1"/>
  <c r="W118" i="6"/>
  <c r="V116" i="5"/>
  <c r="M116" i="5"/>
  <c r="M111" i="3"/>
  <c r="V108" i="2"/>
  <c r="V20" i="1"/>
  <c r="W116" i="5"/>
  <c r="X28" i="4"/>
  <c r="X113" i="4"/>
  <c r="Z111" i="3"/>
  <c r="W111" i="3"/>
  <c r="W108" i="2"/>
  <c r="Z4" i="2"/>
  <c r="Z108" i="2" s="1"/>
  <c r="W20" i="1"/>
  <c r="Z20" i="1" s="1"/>
  <c r="Z4" i="1"/>
  <c r="V111" i="1"/>
  <c r="N111" i="1"/>
  <c r="M111" i="1"/>
  <c r="W1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32" authorId="0" shapeId="0" xr:uid="{F97114C5-436A-4776-B499-5B3C4C1E2C9D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  <comment ref="K95" authorId="0" shapeId="0" xr:uid="{EDA48E5B-A876-4FF6-867E-A0D05F25AC2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L95" authorId="0" shapeId="0" xr:uid="{29AF8323-F4A1-45B2-9A95-2E3C44DC8AD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U98" authorId="0" shapeId="0" xr:uid="{B4BB45BA-F867-4407-B2D2-DDE927FFFD2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R5" authorId="0" shapeId="0" xr:uid="{F4057D4A-6B0A-418E-AD25-3B2FBAA6496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retencion en la fuente es de 30.672</t>
        </r>
      </text>
    </comment>
    <comment ref="R21" authorId="0" shapeId="0" xr:uid="{A0AEFED4-D3B2-484E-9650-07E8F21719C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retencion en la fuente es 269.359, hay una excepcion por que se realizo un pago adicional de horas extras.
</t>
        </r>
      </text>
    </comment>
    <comment ref="V32" authorId="0" shapeId="0" xr:uid="{3F8915B6-98A5-454E-B15B-CB059023F263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  <comment ref="L92" authorId="0" shapeId="0" xr:uid="{5AF93C32-14EC-4674-BA12-050632CAB9D4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anticipo de dividendos hasta diciembre</t>
        </r>
      </text>
    </comment>
    <comment ref="U95" authorId="0" shapeId="0" xr:uid="{E4683B05-EA0F-401E-8407-47F655C191C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 cuota de la libranza es de 514,771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34" authorId="0" shapeId="0" xr:uid="{175CCC1B-283C-4CF1-A33B-E532FE91A217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  <comment ref="H75" authorId="0" shapeId="0" xr:uid="{A0A2963B-858E-4639-9206-F8D45ADF0E9F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ENERO FEBRERO Y MARZO</t>
        </r>
      </text>
    </comment>
    <comment ref="H105" authorId="0" shapeId="0" xr:uid="{86F0C35A-8AA4-44E1-8192-C3C08A829D35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aux transp febrero por 15 dias +aux completo de marzo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W39" authorId="0" shapeId="0" xr:uid="{572FF192-8612-4523-9460-6C92C1C0A4F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42" authorId="0" shapeId="0" xr:uid="{098C2621-5606-494B-BCA2-D92C7D710DF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V45" authorId="0" shapeId="0" xr:uid="{1E9672A9-CB56-41A0-A571-6D335869025B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DECONTO LA MITAD EN AFC Y PRESTAMO; SIGUIENTE MES SERIA NORMAL
</t>
        </r>
      </text>
    </comment>
  </commentList>
</comments>
</file>

<file path=xl/sharedStrings.xml><?xml version="1.0" encoding="utf-8"?>
<sst xmlns="http://schemas.openxmlformats.org/spreadsheetml/2006/main" count="1502" uniqueCount="178">
  <si>
    <t>NOMINA MES DE ENERO 2018</t>
  </si>
  <si>
    <t xml:space="preserve"> </t>
  </si>
  <si>
    <t>DEVENGOS</t>
  </si>
  <si>
    <t>DEDUCCIONES</t>
  </si>
  <si>
    <t>No.</t>
  </si>
  <si>
    <t>Nombre</t>
  </si>
  <si>
    <t>MODALIDAD</t>
  </si>
  <si>
    <t>TIPO DE CONTRATO</t>
  </si>
  <si>
    <t>SUELDO MES</t>
  </si>
  <si>
    <t>No. Dìas</t>
  </si>
  <si>
    <t xml:space="preserve">SUELDO MES </t>
  </si>
  <si>
    <t>Subsidio Transporte</t>
  </si>
  <si>
    <t>Incapacidad</t>
  </si>
  <si>
    <t>Auxilios</t>
  </si>
  <si>
    <t>INT/ CESANTIAS</t>
  </si>
  <si>
    <t>VACACIONES Y/O CESANTIAS</t>
  </si>
  <si>
    <t>Devengos</t>
  </si>
  <si>
    <t>Salud</t>
  </si>
  <si>
    <t>PENSION+ FONDO DE SOLIDARIDAD</t>
  </si>
  <si>
    <t>Cooperativa</t>
  </si>
  <si>
    <t>DESCUENTO PRESTAMO</t>
  </si>
  <si>
    <t>RETENCION</t>
  </si>
  <si>
    <t>CUENTA AFC</t>
  </si>
  <si>
    <t>ANTICIPOS/ PREPAGADA</t>
  </si>
  <si>
    <t>Descuento por Prestamos</t>
  </si>
  <si>
    <t>Total Deducciones</t>
  </si>
  <si>
    <t>TOTAL A PAGAR</t>
  </si>
  <si>
    <t>NETO A PAGAR OCTUBRE</t>
  </si>
  <si>
    <t>ACE</t>
  </si>
  <si>
    <t>ALBERTO ALBEIRO ALMARIO VALBUENA</t>
  </si>
  <si>
    <t>NOMINA</t>
  </si>
  <si>
    <t>INDEFINIDO</t>
  </si>
  <si>
    <t>ALEJANDRO TOVAR ALVARADO</t>
  </si>
  <si>
    <t>ANA LUCIA ARBELAEZ BARBOSA</t>
  </si>
  <si>
    <t>ANA MARIA BARRIOS LEGIZAMON</t>
  </si>
  <si>
    <t>ANDRES HERRERA MALDONADO</t>
  </si>
  <si>
    <t>ANGELA ENITH RODRGUEZ MORENO</t>
  </si>
  <si>
    <t>AURORA VARGAS MORENO</t>
  </si>
  <si>
    <t>CARMEN ALEIDA QUINTERO REYES</t>
  </si>
  <si>
    <t>CHRYSTIAM DAVID MARTINEZ AVILA</t>
  </si>
  <si>
    <t>DIEGO ANDRES MONCADA VEGA</t>
  </si>
  <si>
    <t>EDGAR ALEXANDER ESPINOSA GONZALEZ</t>
  </si>
  <si>
    <t>EDISON DAVID TORRES RUIZ</t>
  </si>
  <si>
    <t xml:space="preserve">NOMINA </t>
  </si>
  <si>
    <t>EDWIN CIFUENTES GUERRERO</t>
  </si>
  <si>
    <t>GUSTAVO ANDRES CAMARGO DUQUE</t>
  </si>
  <si>
    <t>GUSTAVO IGNACIO MAGGI WULFF</t>
  </si>
  <si>
    <t>HECTOR GERMAN CHAPARRO RODRIGUEZ</t>
  </si>
  <si>
    <t>JAIME CARLOS SANMARTIN DAZA</t>
  </si>
  <si>
    <t>JAIRO ERNESTO MALAGON GAITAN</t>
  </si>
  <si>
    <t>JHON DAVID CARVAJAL RIVERA</t>
  </si>
  <si>
    <t>JIMMY ALEXANDER CIFUENTES</t>
  </si>
  <si>
    <t>JOHANA KARINA PELAEZ PUENTES</t>
  </si>
  <si>
    <t>JONATHAN MEZA SANTOS</t>
  </si>
  <si>
    <t>JOSE ANDRES MENESES QUINTERO</t>
  </si>
  <si>
    <t>JOSE GABRIEL AHUMADA SOTO</t>
  </si>
  <si>
    <t>JOSE RAFAEL GOMEZ GONZALEZ</t>
  </si>
  <si>
    <t>JUAN CAMILO MENDIETA SILVA</t>
  </si>
  <si>
    <t>JUAN MANUEL DIAZ ORTIZ</t>
  </si>
  <si>
    <t>JUAN PABLO VIVAS REINOSO</t>
  </si>
  <si>
    <t>JUAN RAMON BELTRAN ALFARO</t>
  </si>
  <si>
    <t>JULIAN ANDRES RAMIREZ CELIS</t>
  </si>
  <si>
    <t>KATTYA ALEXANDRA PEÑA NIETO</t>
  </si>
  <si>
    <t>LEIDY DIANA RODRIGUEZ SUAREZ</t>
  </si>
  <si>
    <t>LEONEL SIERRA MARTINEZ</t>
  </si>
  <si>
    <t xml:space="preserve">LUIS DANIEL HERRERA MALDONADO </t>
  </si>
  <si>
    <t>+</t>
  </si>
  <si>
    <t>LUISA FERNANDA GALINDO HIGUERA</t>
  </si>
  <si>
    <t>MANUEL EDUARDO HERNANDEZ RODRIGUEZ</t>
  </si>
  <si>
    <t>MANUELA RODRIGUEZ BENITEZ</t>
  </si>
  <si>
    <t>MONICA JULIETH SANCHEZ FUENTES</t>
  </si>
  <si>
    <t xml:space="preserve">NYDIA CASTILBLANCO MARIN </t>
  </si>
  <si>
    <t>OLIMARY GOMEZ CORONEL</t>
  </si>
  <si>
    <t>ORLANDO SUAREZ LABOTON</t>
  </si>
  <si>
    <t>OTTO DARLING NIETO GUERRERO</t>
  </si>
  <si>
    <t>RAMON ANTONIO SUAREZ BUITRAGO</t>
  </si>
  <si>
    <t>ROGER BARRIOS AMOROCHO</t>
  </si>
  <si>
    <t>SANDRA MILENA MENDEZ SASTRE</t>
  </si>
  <si>
    <t>SERGIO BAYARDO CORDOBA</t>
  </si>
  <si>
    <t>WILLIAM JOSE VIVAS ESCALANTE</t>
  </si>
  <si>
    <t>YOLIMA ROCIO MARTINEZ PULIDO</t>
  </si>
  <si>
    <t>EXSIS</t>
  </si>
  <si>
    <t>ADRIANA CAMILA LOAIZA</t>
  </si>
  <si>
    <t>ALVARO JAVIER BARBOSA</t>
  </si>
  <si>
    <t>ANGEL JULIAN  GONZALEZ PINZON</t>
  </si>
  <si>
    <t>ARIANA VALENTINA JIMENEZ PEDRAZA</t>
  </si>
  <si>
    <t>20 n</t>
  </si>
  <si>
    <t>CHABELI GINETH SINISTERRA PUSSEY</t>
  </si>
  <si>
    <t>CINDY VIVIANA MENDOZA VILLATE</t>
  </si>
  <si>
    <t>CLARA ISABEL PEDRAZA RUEDA</t>
  </si>
  <si>
    <t>CLARA MARIA VASQUEZ MOSQUERA</t>
  </si>
  <si>
    <t>CRISTHIAN CAMILO JIMENEZ VARON</t>
  </si>
  <si>
    <t>CRISTHIAN FELIPE GUERRERO PINEROS</t>
  </si>
  <si>
    <t>DAVID ALEXANDER OCAMPO</t>
  </si>
  <si>
    <t>DAVID CELIANO HERRERA  GUTIERREZ</t>
  </si>
  <si>
    <t>DAVID ENRIQUE MAHECHA SARMIENTO</t>
  </si>
  <si>
    <t>DAVID JAVIER AGUILAR RODRIGUEZ</t>
  </si>
  <si>
    <t>DAVID OBREGON SANCHEZ</t>
  </si>
  <si>
    <t>DIEGO MAURICIO ORTIZ PARADA</t>
  </si>
  <si>
    <t>DULIETH SANCHEZ PINTO</t>
  </si>
  <si>
    <t>APRENDIZ</t>
  </si>
  <si>
    <t>EDWAR CAMILO LONDOÑO SANCHEZ</t>
  </si>
  <si>
    <t>ELVER YESID MELO MONROY</t>
  </si>
  <si>
    <t xml:space="preserve">ERVID ALFRED MOLINA BARRIOS </t>
  </si>
  <si>
    <t xml:space="preserve">GERARDO ENRIQUE MENDEZ </t>
  </si>
  <si>
    <t>GINNA PAOLA CEPEDA LOMBANA</t>
  </si>
  <si>
    <t>JEAN JAIVER ORTIZ HENAO</t>
  </si>
  <si>
    <t>JEFFERSON STIVENS RODRIGUEZ RODRI</t>
  </si>
  <si>
    <t>JONATHAN BARICOT HERNANDEZ</t>
  </si>
  <si>
    <t>JOSE JAVIER SASTOQUE SANCHEZ</t>
  </si>
  <si>
    <t>JUAN CAMILO LARA LEON</t>
  </si>
  <si>
    <t>JUAN CARLOS RAMIREZ CASTRO</t>
  </si>
  <si>
    <t>JUAN DAVID MONROY</t>
  </si>
  <si>
    <t>JUAN FELIPE ARANGO MANRIQUE</t>
  </si>
  <si>
    <t>JUAN MANUEL CUESTAS BELTRAN</t>
  </si>
  <si>
    <t>JULI ANDREA AVILA GUTIERREZ</t>
  </si>
  <si>
    <t>JULIAN SEBASTIAN PEÑA CASTELLANOS</t>
  </si>
  <si>
    <t>KAREN ELIZABETH MORA DIAZ</t>
  </si>
  <si>
    <t>LEONARDO ARMERO BARBOSA</t>
  </si>
  <si>
    <t>LUIS EDGAR BERNAL CORREDOR</t>
  </si>
  <si>
    <t>MAIRA ALEJANDRA CLARO ROPERO</t>
  </si>
  <si>
    <t>MANUEL FERNANDO MUÑOZ GARCES</t>
  </si>
  <si>
    <t>MARIA TRANSITO PULIDO PARRA</t>
  </si>
  <si>
    <t xml:space="preserve">MENAJEM MENDEL SCHEJTER </t>
  </si>
  <si>
    <t>MERCEDES SALAMANCA CASTAÑEDA</t>
  </si>
  <si>
    <t>MICHAEL STEVEN BONILLA OROZCO</t>
  </si>
  <si>
    <t>MIGUEL ANGEL JIMENEZ NUÑEZ</t>
  </si>
  <si>
    <t>MIGUEL SEBASTIAN JIMENEZ</t>
  </si>
  <si>
    <t>NADIA CATALINA VELASQUEZ CENDALES</t>
  </si>
  <si>
    <t>NELSON JAVIER PINZON LOPEZ</t>
  </si>
  <si>
    <t>NESTOR FABIAN CASTILLO ROZO</t>
  </si>
  <si>
    <t>PATRICIA ISABEL PAIVA</t>
  </si>
  <si>
    <t>RAFAEL LEONARDO GONZALEZ CELIS</t>
  </si>
  <si>
    <t>RICARDO JAVIER ESTRADA SANCHEZ</t>
  </si>
  <si>
    <t>ROBERTO JOSE DUQUE DIASGRANADOS</t>
  </si>
  <si>
    <t>RONALD ANTONY ROJAS FORIGUA</t>
  </si>
  <si>
    <t>SANTIAGO ALVAREZ PORRAS</t>
  </si>
  <si>
    <t>SERGIO ANDRES RODRIGUEZ RODRIGUEZ</t>
  </si>
  <si>
    <t>SOFIA LORENA FAJARDO ESTEBAN</t>
  </si>
  <si>
    <t>TULIO ESTEBAN JIMENEZ VILLANUEVA</t>
  </si>
  <si>
    <t xml:space="preserve">WILLIAM ALEXANDER SIERRA GONZALEZ </t>
  </si>
  <si>
    <t xml:space="preserve">YERALDINE BONILLA BARRERA </t>
  </si>
  <si>
    <t xml:space="preserve">YULY ANDREA RIOS TAPIERO </t>
  </si>
  <si>
    <t>NOMINA MES DE FEBRERO 2018</t>
  </si>
  <si>
    <t>REEMBOLSO</t>
  </si>
  <si>
    <t>ADRIANA PILAR SOCHE CHAPARRO</t>
  </si>
  <si>
    <t>SEHILA SNEIDER LEON MARQUEZ</t>
  </si>
  <si>
    <t>NOMINA MES DE MARZO 2018</t>
  </si>
  <si>
    <t>GUILLERMO JUNIOR MENDOZA CANTILLO</t>
  </si>
  <si>
    <t>JESUS ALBERTO FLOREZ BARRIOS</t>
  </si>
  <si>
    <t>JHON JAIVER URQUIJO RODRIGUEZ</t>
  </si>
  <si>
    <t>LISSETTE TATIANA MORENO BOGOTA</t>
  </si>
  <si>
    <t>ROSMERY PERILLA GALINDO</t>
  </si>
  <si>
    <t>YAIR CASTRO RINCON</t>
  </si>
  <si>
    <t>CARLOS FERNANDO URIBE GUERRERO</t>
  </si>
  <si>
    <t>MAYRA ALEJANDRA AREVALO ALVAREZ</t>
  </si>
  <si>
    <t>NOMINA MES DE ABRIL DE  2018</t>
  </si>
  <si>
    <t>DESCUENTOS VARIOS</t>
  </si>
  <si>
    <t>BLANCA LIDIA ZABIETA GUERRERO</t>
  </si>
  <si>
    <t xml:space="preserve">DIEGO FERNEY CABEZAS MATTA </t>
  </si>
  <si>
    <t>FREDDY ALEXANDER MONTAÑA RAMIREZ</t>
  </si>
  <si>
    <t>OSIRIZ MATIZ ZAPATA</t>
  </si>
  <si>
    <t>ROSA MARIA LOPEZ URBANO</t>
  </si>
  <si>
    <t>NOMINA MES DE MAYO DE  2018</t>
  </si>
  <si>
    <t>CARLOS ENRIQUE MARIN MONRROY</t>
  </si>
  <si>
    <t>DIEGO ALEJANDRO AGUAS RAMIREZ</t>
  </si>
  <si>
    <t>HELVERT GIOVANNY WIESNER GONZALEZ</t>
  </si>
  <si>
    <t>MARCY VIVIANA DIAZ RIVERA</t>
  </si>
  <si>
    <t>DYLAN ANDREY HENAO BELLO</t>
  </si>
  <si>
    <t>NOMINA MES DE JUNIO DE  2018</t>
  </si>
  <si>
    <t>Vacaciones</t>
  </si>
  <si>
    <t>Prima</t>
  </si>
  <si>
    <t>Bonos Horas</t>
  </si>
  <si>
    <t>ANDRES ALFONSO JIMENEZ MEZA</t>
  </si>
  <si>
    <t>HUMBERTO JOSE ORTIZ LOPEZ</t>
  </si>
  <si>
    <t>JENNYFER PAOLA OLARTE CASTILLO</t>
  </si>
  <si>
    <t>SANDRA LUCIA RODRIGUEZ TORRES</t>
  </si>
  <si>
    <t>SIRLEY ZUBIETA MAHECHA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</si>
</sst>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6" formatCode="_-[$$-240A]\ * #,##0_ ;_-[$$-240A]\ * \-#,##0\ ;_-[$$-240A]\ * &quot;-&quot;_ ;_-@_ "/>
    <numFmt numFmtId="168" formatCode="_(&quot;€&quot;* #,##0.00_);_(&quot;€&quot;* \(#,##0.00\);_(&quot;€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3" fontId="3" fillId="0" borderId="3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1" xfId="1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168" fontId="2" fillId="0" borderId="0" xfId="1" applyNumberFormat="1" applyFont="1" applyAlignment="1">
      <alignment horizontal="center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43" fontId="2" fillId="0" borderId="0" xfId="1" applyFont="1" applyAlignment="1">
      <alignment horizontal="left" vertical="center"/>
    </xf>
    <xf numFmtId="3" fontId="2" fillId="0" borderId="0" xfId="2" applyNumberFormat="1" applyFont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2" applyNumberFormat="1" applyFont="1" applyFill="1" applyAlignment="1">
      <alignment horizontal="center" vertical="center"/>
    </xf>
    <xf numFmtId="165" fontId="3" fillId="0" borderId="0" xfId="2" applyNumberFormat="1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3" fillId="0" borderId="0" xfId="2" applyNumberFormat="1" applyFont="1" applyFill="1" applyBorder="1" applyAlignment="1">
      <alignment horizontal="center" vertical="center" wrapText="1"/>
    </xf>
    <xf numFmtId="168" fontId="3" fillId="0" borderId="0" xfId="1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3" fontId="3" fillId="0" borderId="0" xfId="2" applyNumberFormat="1" applyFont="1" applyFill="1" applyBorder="1" applyAlignment="1">
      <alignment horizontal="center"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8" xfId="0" applyNumberFormat="1" applyFont="1" applyFill="1" applyBorder="1" applyAlignment="1">
      <alignment horizontal="center" vertical="center"/>
    </xf>
    <xf numFmtId="3" fontId="3" fillId="0" borderId="9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2"/>
  <sheetViews>
    <sheetView workbookViewId="0">
      <selection activeCell="C5" sqref="C5"/>
    </sheetView>
  </sheetViews>
  <sheetFormatPr baseColWidth="10" defaultRowHeight="12" x14ac:dyDescent="0.25"/>
  <cols>
    <col min="1" max="1" width="6.7109375" style="60" customWidth="1"/>
    <col min="2" max="2" width="4.85546875" style="60" customWidth="1"/>
    <col min="3" max="3" width="32.28515625" style="13" customWidth="1"/>
    <col min="4" max="4" width="8.5703125" style="60" customWidth="1"/>
    <col min="5" max="5" width="10.85546875" style="69" customWidth="1"/>
    <col min="6" max="6" width="4.42578125" style="69" customWidth="1"/>
    <col min="7" max="7" width="14.42578125" style="69" bestFit="1" customWidth="1"/>
    <col min="8" max="8" width="11.42578125" style="69" bestFit="1" customWidth="1"/>
    <col min="9" max="9" width="11.28515625" style="69" customWidth="1"/>
    <col min="10" max="12" width="12.42578125" style="69" bestFit="1" customWidth="1"/>
    <col min="13" max="13" width="13.42578125" style="69" bestFit="1" customWidth="1"/>
    <col min="14" max="15" width="12.42578125" style="69" bestFit="1" customWidth="1"/>
    <col min="16" max="16" width="11.42578125" style="69" bestFit="1" customWidth="1"/>
    <col min="17" max="17" width="11.28515625" style="69" hidden="1" customWidth="1"/>
    <col min="18" max="18" width="11.42578125" style="69" bestFit="1" customWidth="1"/>
    <col min="19" max="19" width="12.42578125" style="69" bestFit="1" customWidth="1"/>
    <col min="20" max="20" width="11.42578125" style="69" bestFit="1" customWidth="1"/>
    <col min="21" max="21" width="15.85546875" style="69" bestFit="1" customWidth="1"/>
    <col min="22" max="22" width="12.42578125" style="69" bestFit="1" customWidth="1"/>
    <col min="23" max="23" width="18" style="60" bestFit="1" customWidth="1"/>
    <col min="24" max="24" width="1.7109375" style="60" customWidth="1"/>
    <col min="25" max="25" width="1.85546875" style="67" customWidth="1"/>
    <col min="26" max="26" width="27.28515625" style="60" customWidth="1"/>
    <col min="27" max="27" width="11.5703125" style="60" bestFit="1" customWidth="1"/>
    <col min="28" max="28" width="11.85546875" style="60" bestFit="1" customWidth="1"/>
    <col min="29" max="29" width="11.5703125" style="60" bestFit="1" customWidth="1"/>
    <col min="30" max="248" width="11.42578125" style="60"/>
    <col min="249" max="249" width="10.5703125" style="60" customWidth="1"/>
    <col min="250" max="250" width="4.85546875" style="60" customWidth="1"/>
    <col min="251" max="251" width="32.42578125" style="60" customWidth="1"/>
    <col min="252" max="252" width="9.85546875" style="60" customWidth="1"/>
    <col min="253" max="253" width="10.140625" style="60" customWidth="1"/>
    <col min="254" max="254" width="12.28515625" style="60" customWidth="1"/>
    <col min="255" max="255" width="15.42578125" style="60" customWidth="1"/>
    <col min="256" max="256" width="11.85546875" style="60" customWidth="1"/>
    <col min="257" max="257" width="13.28515625" style="60" customWidth="1"/>
    <col min="258" max="258" width="15.28515625" style="60" customWidth="1"/>
    <col min="259" max="259" width="11.85546875" style="60" customWidth="1"/>
    <col min="260" max="260" width="6.140625" style="60" customWidth="1"/>
    <col min="261" max="261" width="11.85546875" style="60" customWidth="1"/>
    <col min="262" max="262" width="9.42578125" style="60" customWidth="1"/>
    <col min="263" max="263" width="14.7109375" style="60" customWidth="1"/>
    <col min="264" max="264" width="11.5703125" style="60" customWidth="1"/>
    <col min="265" max="265" width="0.42578125" style="60" customWidth="1"/>
    <col min="266" max="266" width="10.5703125" style="60" bestFit="1" customWidth="1"/>
    <col min="267" max="267" width="12.28515625" style="60" customWidth="1"/>
    <col min="268" max="268" width="12.5703125" style="60" customWidth="1"/>
    <col min="269" max="269" width="10.5703125" style="60" customWidth="1"/>
    <col min="270" max="270" width="10.140625" style="60" customWidth="1"/>
    <col min="271" max="271" width="8.42578125" style="60" customWidth="1"/>
    <col min="272" max="272" width="18.85546875" style="60" customWidth="1"/>
    <col min="273" max="273" width="10.28515625" style="60" customWidth="1"/>
    <col min="274" max="274" width="11.42578125" style="60"/>
    <col min="275" max="275" width="12.140625" style="60" customWidth="1"/>
    <col min="276" max="276" width="10.5703125" style="60" customWidth="1"/>
    <col min="277" max="277" width="12.42578125" style="60" customWidth="1"/>
    <col min="278" max="278" width="15.140625" style="60" customWidth="1"/>
    <col min="279" max="279" width="13.5703125" style="60" customWidth="1"/>
    <col min="280" max="280" width="13.140625" style="60" customWidth="1"/>
    <col min="281" max="281" width="15.7109375" style="60" customWidth="1"/>
    <col min="282" max="282" width="37.5703125" style="60" customWidth="1"/>
    <col min="283" max="504" width="11.42578125" style="60"/>
    <col min="505" max="505" width="10.5703125" style="60" customWidth="1"/>
    <col min="506" max="506" width="4.85546875" style="60" customWidth="1"/>
    <col min="507" max="507" width="32.42578125" style="60" customWidth="1"/>
    <col min="508" max="508" width="9.85546875" style="60" customWidth="1"/>
    <col min="509" max="509" width="10.140625" style="60" customWidth="1"/>
    <col min="510" max="510" width="12.28515625" style="60" customWidth="1"/>
    <col min="511" max="511" width="15.42578125" style="60" customWidth="1"/>
    <col min="512" max="512" width="11.85546875" style="60" customWidth="1"/>
    <col min="513" max="513" width="13.28515625" style="60" customWidth="1"/>
    <col min="514" max="514" width="15.28515625" style="60" customWidth="1"/>
    <col min="515" max="515" width="11.85546875" style="60" customWidth="1"/>
    <col min="516" max="516" width="6.140625" style="60" customWidth="1"/>
    <col min="517" max="517" width="11.85546875" style="60" customWidth="1"/>
    <col min="518" max="518" width="9.42578125" style="60" customWidth="1"/>
    <col min="519" max="519" width="14.7109375" style="60" customWidth="1"/>
    <col min="520" max="520" width="11.5703125" style="60" customWidth="1"/>
    <col min="521" max="521" width="0.42578125" style="60" customWidth="1"/>
    <col min="522" max="522" width="10.5703125" style="60" bestFit="1" customWidth="1"/>
    <col min="523" max="523" width="12.28515625" style="60" customWidth="1"/>
    <col min="524" max="524" width="12.5703125" style="60" customWidth="1"/>
    <col min="525" max="525" width="10.5703125" style="60" customWidth="1"/>
    <col min="526" max="526" width="10.140625" style="60" customWidth="1"/>
    <col min="527" max="527" width="8.42578125" style="60" customWidth="1"/>
    <col min="528" max="528" width="18.85546875" style="60" customWidth="1"/>
    <col min="529" max="529" width="10.28515625" style="60" customWidth="1"/>
    <col min="530" max="530" width="11.42578125" style="60"/>
    <col min="531" max="531" width="12.140625" style="60" customWidth="1"/>
    <col min="532" max="532" width="10.5703125" style="60" customWidth="1"/>
    <col min="533" max="533" width="12.42578125" style="60" customWidth="1"/>
    <col min="534" max="534" width="15.140625" style="60" customWidth="1"/>
    <col min="535" max="535" width="13.5703125" style="60" customWidth="1"/>
    <col min="536" max="536" width="13.140625" style="60" customWidth="1"/>
    <col min="537" max="537" width="15.7109375" style="60" customWidth="1"/>
    <col min="538" max="538" width="37.5703125" style="60" customWidth="1"/>
    <col min="539" max="760" width="11.42578125" style="60"/>
    <col min="761" max="761" width="10.5703125" style="60" customWidth="1"/>
    <col min="762" max="762" width="4.85546875" style="60" customWidth="1"/>
    <col min="763" max="763" width="32.42578125" style="60" customWidth="1"/>
    <col min="764" max="764" width="9.85546875" style="60" customWidth="1"/>
    <col min="765" max="765" width="10.140625" style="60" customWidth="1"/>
    <col min="766" max="766" width="12.28515625" style="60" customWidth="1"/>
    <col min="767" max="767" width="15.42578125" style="60" customWidth="1"/>
    <col min="768" max="768" width="11.85546875" style="60" customWidth="1"/>
    <col min="769" max="769" width="13.28515625" style="60" customWidth="1"/>
    <col min="770" max="770" width="15.28515625" style="60" customWidth="1"/>
    <col min="771" max="771" width="11.85546875" style="60" customWidth="1"/>
    <col min="772" max="772" width="6.140625" style="60" customWidth="1"/>
    <col min="773" max="773" width="11.85546875" style="60" customWidth="1"/>
    <col min="774" max="774" width="9.42578125" style="60" customWidth="1"/>
    <col min="775" max="775" width="14.7109375" style="60" customWidth="1"/>
    <col min="776" max="776" width="11.5703125" style="60" customWidth="1"/>
    <col min="777" max="777" width="0.42578125" style="60" customWidth="1"/>
    <col min="778" max="778" width="10.5703125" style="60" bestFit="1" customWidth="1"/>
    <col min="779" max="779" width="12.28515625" style="60" customWidth="1"/>
    <col min="780" max="780" width="12.5703125" style="60" customWidth="1"/>
    <col min="781" max="781" width="10.5703125" style="60" customWidth="1"/>
    <col min="782" max="782" width="10.140625" style="60" customWidth="1"/>
    <col min="783" max="783" width="8.42578125" style="60" customWidth="1"/>
    <col min="784" max="784" width="18.85546875" style="60" customWidth="1"/>
    <col min="785" max="785" width="10.28515625" style="60" customWidth="1"/>
    <col min="786" max="786" width="11.42578125" style="60"/>
    <col min="787" max="787" width="12.140625" style="60" customWidth="1"/>
    <col min="788" max="788" width="10.5703125" style="60" customWidth="1"/>
    <col min="789" max="789" width="12.42578125" style="60" customWidth="1"/>
    <col min="790" max="790" width="15.140625" style="60" customWidth="1"/>
    <col min="791" max="791" width="13.5703125" style="60" customWidth="1"/>
    <col min="792" max="792" width="13.140625" style="60" customWidth="1"/>
    <col min="793" max="793" width="15.7109375" style="60" customWidth="1"/>
    <col min="794" max="794" width="37.5703125" style="60" customWidth="1"/>
    <col min="795" max="1016" width="11.42578125" style="60"/>
    <col min="1017" max="1017" width="10.5703125" style="60" customWidth="1"/>
    <col min="1018" max="1018" width="4.85546875" style="60" customWidth="1"/>
    <col min="1019" max="1019" width="32.42578125" style="60" customWidth="1"/>
    <col min="1020" max="1020" width="9.85546875" style="60" customWidth="1"/>
    <col min="1021" max="1021" width="10.140625" style="60" customWidth="1"/>
    <col min="1022" max="1022" width="12.28515625" style="60" customWidth="1"/>
    <col min="1023" max="1023" width="15.42578125" style="60" customWidth="1"/>
    <col min="1024" max="1024" width="11.85546875" style="60" customWidth="1"/>
    <col min="1025" max="1025" width="13.28515625" style="60" customWidth="1"/>
    <col min="1026" max="1026" width="15.28515625" style="60" customWidth="1"/>
    <col min="1027" max="1027" width="11.85546875" style="60" customWidth="1"/>
    <col min="1028" max="1028" width="6.140625" style="60" customWidth="1"/>
    <col min="1029" max="1029" width="11.85546875" style="60" customWidth="1"/>
    <col min="1030" max="1030" width="9.42578125" style="60" customWidth="1"/>
    <col min="1031" max="1031" width="14.7109375" style="60" customWidth="1"/>
    <col min="1032" max="1032" width="11.5703125" style="60" customWidth="1"/>
    <col min="1033" max="1033" width="0.42578125" style="60" customWidth="1"/>
    <col min="1034" max="1034" width="10.5703125" style="60" bestFit="1" customWidth="1"/>
    <col min="1035" max="1035" width="12.28515625" style="60" customWidth="1"/>
    <col min="1036" max="1036" width="12.5703125" style="60" customWidth="1"/>
    <col min="1037" max="1037" width="10.5703125" style="60" customWidth="1"/>
    <col min="1038" max="1038" width="10.140625" style="60" customWidth="1"/>
    <col min="1039" max="1039" width="8.42578125" style="60" customWidth="1"/>
    <col min="1040" max="1040" width="18.85546875" style="60" customWidth="1"/>
    <col min="1041" max="1041" width="10.28515625" style="60" customWidth="1"/>
    <col min="1042" max="1042" width="11.42578125" style="60"/>
    <col min="1043" max="1043" width="12.140625" style="60" customWidth="1"/>
    <col min="1044" max="1044" width="10.5703125" style="60" customWidth="1"/>
    <col min="1045" max="1045" width="12.42578125" style="60" customWidth="1"/>
    <col min="1046" max="1046" width="15.140625" style="60" customWidth="1"/>
    <col min="1047" max="1047" width="13.5703125" style="60" customWidth="1"/>
    <col min="1048" max="1048" width="13.140625" style="60" customWidth="1"/>
    <col min="1049" max="1049" width="15.7109375" style="60" customWidth="1"/>
    <col min="1050" max="1050" width="37.5703125" style="60" customWidth="1"/>
    <col min="1051" max="1272" width="11.42578125" style="60"/>
    <col min="1273" max="1273" width="10.5703125" style="60" customWidth="1"/>
    <col min="1274" max="1274" width="4.85546875" style="60" customWidth="1"/>
    <col min="1275" max="1275" width="32.42578125" style="60" customWidth="1"/>
    <col min="1276" max="1276" width="9.85546875" style="60" customWidth="1"/>
    <col min="1277" max="1277" width="10.140625" style="60" customWidth="1"/>
    <col min="1278" max="1278" width="12.28515625" style="60" customWidth="1"/>
    <col min="1279" max="1279" width="15.42578125" style="60" customWidth="1"/>
    <col min="1280" max="1280" width="11.85546875" style="60" customWidth="1"/>
    <col min="1281" max="1281" width="13.28515625" style="60" customWidth="1"/>
    <col min="1282" max="1282" width="15.28515625" style="60" customWidth="1"/>
    <col min="1283" max="1283" width="11.85546875" style="60" customWidth="1"/>
    <col min="1284" max="1284" width="6.140625" style="60" customWidth="1"/>
    <col min="1285" max="1285" width="11.85546875" style="60" customWidth="1"/>
    <col min="1286" max="1286" width="9.42578125" style="60" customWidth="1"/>
    <col min="1287" max="1287" width="14.7109375" style="60" customWidth="1"/>
    <col min="1288" max="1288" width="11.5703125" style="60" customWidth="1"/>
    <col min="1289" max="1289" width="0.42578125" style="60" customWidth="1"/>
    <col min="1290" max="1290" width="10.5703125" style="60" bestFit="1" customWidth="1"/>
    <col min="1291" max="1291" width="12.28515625" style="60" customWidth="1"/>
    <col min="1292" max="1292" width="12.5703125" style="60" customWidth="1"/>
    <col min="1293" max="1293" width="10.5703125" style="60" customWidth="1"/>
    <col min="1294" max="1294" width="10.140625" style="60" customWidth="1"/>
    <col min="1295" max="1295" width="8.42578125" style="60" customWidth="1"/>
    <col min="1296" max="1296" width="18.85546875" style="60" customWidth="1"/>
    <col min="1297" max="1297" width="10.28515625" style="60" customWidth="1"/>
    <col min="1298" max="1298" width="11.42578125" style="60"/>
    <col min="1299" max="1299" width="12.140625" style="60" customWidth="1"/>
    <col min="1300" max="1300" width="10.5703125" style="60" customWidth="1"/>
    <col min="1301" max="1301" width="12.42578125" style="60" customWidth="1"/>
    <col min="1302" max="1302" width="15.140625" style="60" customWidth="1"/>
    <col min="1303" max="1303" width="13.5703125" style="60" customWidth="1"/>
    <col min="1304" max="1304" width="13.140625" style="60" customWidth="1"/>
    <col min="1305" max="1305" width="15.7109375" style="60" customWidth="1"/>
    <col min="1306" max="1306" width="37.5703125" style="60" customWidth="1"/>
    <col min="1307" max="1528" width="11.42578125" style="60"/>
    <col min="1529" max="1529" width="10.5703125" style="60" customWidth="1"/>
    <col min="1530" max="1530" width="4.85546875" style="60" customWidth="1"/>
    <col min="1531" max="1531" width="32.42578125" style="60" customWidth="1"/>
    <col min="1532" max="1532" width="9.85546875" style="60" customWidth="1"/>
    <col min="1533" max="1533" width="10.140625" style="60" customWidth="1"/>
    <col min="1534" max="1534" width="12.28515625" style="60" customWidth="1"/>
    <col min="1535" max="1535" width="15.42578125" style="60" customWidth="1"/>
    <col min="1536" max="1536" width="11.85546875" style="60" customWidth="1"/>
    <col min="1537" max="1537" width="13.28515625" style="60" customWidth="1"/>
    <col min="1538" max="1538" width="15.28515625" style="60" customWidth="1"/>
    <col min="1539" max="1539" width="11.85546875" style="60" customWidth="1"/>
    <col min="1540" max="1540" width="6.140625" style="60" customWidth="1"/>
    <col min="1541" max="1541" width="11.85546875" style="60" customWidth="1"/>
    <col min="1542" max="1542" width="9.42578125" style="60" customWidth="1"/>
    <col min="1543" max="1543" width="14.7109375" style="60" customWidth="1"/>
    <col min="1544" max="1544" width="11.5703125" style="60" customWidth="1"/>
    <col min="1545" max="1545" width="0.42578125" style="60" customWidth="1"/>
    <col min="1546" max="1546" width="10.5703125" style="60" bestFit="1" customWidth="1"/>
    <col min="1547" max="1547" width="12.28515625" style="60" customWidth="1"/>
    <col min="1548" max="1548" width="12.5703125" style="60" customWidth="1"/>
    <col min="1549" max="1549" width="10.5703125" style="60" customWidth="1"/>
    <col min="1550" max="1550" width="10.140625" style="60" customWidth="1"/>
    <col min="1551" max="1551" width="8.42578125" style="60" customWidth="1"/>
    <col min="1552" max="1552" width="18.85546875" style="60" customWidth="1"/>
    <col min="1553" max="1553" width="10.28515625" style="60" customWidth="1"/>
    <col min="1554" max="1554" width="11.42578125" style="60"/>
    <col min="1555" max="1555" width="12.140625" style="60" customWidth="1"/>
    <col min="1556" max="1556" width="10.5703125" style="60" customWidth="1"/>
    <col min="1557" max="1557" width="12.42578125" style="60" customWidth="1"/>
    <col min="1558" max="1558" width="15.140625" style="60" customWidth="1"/>
    <col min="1559" max="1559" width="13.5703125" style="60" customWidth="1"/>
    <col min="1560" max="1560" width="13.140625" style="60" customWidth="1"/>
    <col min="1561" max="1561" width="15.7109375" style="60" customWidth="1"/>
    <col min="1562" max="1562" width="37.5703125" style="60" customWidth="1"/>
    <col min="1563" max="1784" width="11.42578125" style="60"/>
    <col min="1785" max="1785" width="10.5703125" style="60" customWidth="1"/>
    <col min="1786" max="1786" width="4.85546875" style="60" customWidth="1"/>
    <col min="1787" max="1787" width="32.42578125" style="60" customWidth="1"/>
    <col min="1788" max="1788" width="9.85546875" style="60" customWidth="1"/>
    <col min="1789" max="1789" width="10.140625" style="60" customWidth="1"/>
    <col min="1790" max="1790" width="12.28515625" style="60" customWidth="1"/>
    <col min="1791" max="1791" width="15.42578125" style="60" customWidth="1"/>
    <col min="1792" max="1792" width="11.85546875" style="60" customWidth="1"/>
    <col min="1793" max="1793" width="13.28515625" style="60" customWidth="1"/>
    <col min="1794" max="1794" width="15.28515625" style="60" customWidth="1"/>
    <col min="1795" max="1795" width="11.85546875" style="60" customWidth="1"/>
    <col min="1796" max="1796" width="6.140625" style="60" customWidth="1"/>
    <col min="1797" max="1797" width="11.85546875" style="60" customWidth="1"/>
    <col min="1798" max="1798" width="9.42578125" style="60" customWidth="1"/>
    <col min="1799" max="1799" width="14.7109375" style="60" customWidth="1"/>
    <col min="1800" max="1800" width="11.5703125" style="60" customWidth="1"/>
    <col min="1801" max="1801" width="0.42578125" style="60" customWidth="1"/>
    <col min="1802" max="1802" width="10.5703125" style="60" bestFit="1" customWidth="1"/>
    <col min="1803" max="1803" width="12.28515625" style="60" customWidth="1"/>
    <col min="1804" max="1804" width="12.5703125" style="60" customWidth="1"/>
    <col min="1805" max="1805" width="10.5703125" style="60" customWidth="1"/>
    <col min="1806" max="1806" width="10.140625" style="60" customWidth="1"/>
    <col min="1807" max="1807" width="8.42578125" style="60" customWidth="1"/>
    <col min="1808" max="1808" width="18.85546875" style="60" customWidth="1"/>
    <col min="1809" max="1809" width="10.28515625" style="60" customWidth="1"/>
    <col min="1810" max="1810" width="11.42578125" style="60"/>
    <col min="1811" max="1811" width="12.140625" style="60" customWidth="1"/>
    <col min="1812" max="1812" width="10.5703125" style="60" customWidth="1"/>
    <col min="1813" max="1813" width="12.42578125" style="60" customWidth="1"/>
    <col min="1814" max="1814" width="15.140625" style="60" customWidth="1"/>
    <col min="1815" max="1815" width="13.5703125" style="60" customWidth="1"/>
    <col min="1816" max="1816" width="13.140625" style="60" customWidth="1"/>
    <col min="1817" max="1817" width="15.7109375" style="60" customWidth="1"/>
    <col min="1818" max="1818" width="37.5703125" style="60" customWidth="1"/>
    <col min="1819" max="2040" width="11.42578125" style="60"/>
    <col min="2041" max="2041" width="10.5703125" style="60" customWidth="1"/>
    <col min="2042" max="2042" width="4.85546875" style="60" customWidth="1"/>
    <col min="2043" max="2043" width="32.42578125" style="60" customWidth="1"/>
    <col min="2044" max="2044" width="9.85546875" style="60" customWidth="1"/>
    <col min="2045" max="2045" width="10.140625" style="60" customWidth="1"/>
    <col min="2046" max="2046" width="12.28515625" style="60" customWidth="1"/>
    <col min="2047" max="2047" width="15.42578125" style="60" customWidth="1"/>
    <col min="2048" max="2048" width="11.85546875" style="60" customWidth="1"/>
    <col min="2049" max="2049" width="13.28515625" style="60" customWidth="1"/>
    <col min="2050" max="2050" width="15.28515625" style="60" customWidth="1"/>
    <col min="2051" max="2051" width="11.85546875" style="60" customWidth="1"/>
    <col min="2052" max="2052" width="6.140625" style="60" customWidth="1"/>
    <col min="2053" max="2053" width="11.85546875" style="60" customWidth="1"/>
    <col min="2054" max="2054" width="9.42578125" style="60" customWidth="1"/>
    <col min="2055" max="2055" width="14.7109375" style="60" customWidth="1"/>
    <col min="2056" max="2056" width="11.5703125" style="60" customWidth="1"/>
    <col min="2057" max="2057" width="0.42578125" style="60" customWidth="1"/>
    <col min="2058" max="2058" width="10.5703125" style="60" bestFit="1" customWidth="1"/>
    <col min="2059" max="2059" width="12.28515625" style="60" customWidth="1"/>
    <col min="2060" max="2060" width="12.5703125" style="60" customWidth="1"/>
    <col min="2061" max="2061" width="10.5703125" style="60" customWidth="1"/>
    <col min="2062" max="2062" width="10.140625" style="60" customWidth="1"/>
    <col min="2063" max="2063" width="8.42578125" style="60" customWidth="1"/>
    <col min="2064" max="2064" width="18.85546875" style="60" customWidth="1"/>
    <col min="2065" max="2065" width="10.28515625" style="60" customWidth="1"/>
    <col min="2066" max="2066" width="11.42578125" style="60"/>
    <col min="2067" max="2067" width="12.140625" style="60" customWidth="1"/>
    <col min="2068" max="2068" width="10.5703125" style="60" customWidth="1"/>
    <col min="2069" max="2069" width="12.42578125" style="60" customWidth="1"/>
    <col min="2070" max="2070" width="15.140625" style="60" customWidth="1"/>
    <col min="2071" max="2071" width="13.5703125" style="60" customWidth="1"/>
    <col min="2072" max="2072" width="13.140625" style="60" customWidth="1"/>
    <col min="2073" max="2073" width="15.7109375" style="60" customWidth="1"/>
    <col min="2074" max="2074" width="37.5703125" style="60" customWidth="1"/>
    <col min="2075" max="2296" width="11.42578125" style="60"/>
    <col min="2297" max="2297" width="10.5703125" style="60" customWidth="1"/>
    <col min="2298" max="2298" width="4.85546875" style="60" customWidth="1"/>
    <col min="2299" max="2299" width="32.42578125" style="60" customWidth="1"/>
    <col min="2300" max="2300" width="9.85546875" style="60" customWidth="1"/>
    <col min="2301" max="2301" width="10.140625" style="60" customWidth="1"/>
    <col min="2302" max="2302" width="12.28515625" style="60" customWidth="1"/>
    <col min="2303" max="2303" width="15.42578125" style="60" customWidth="1"/>
    <col min="2304" max="2304" width="11.85546875" style="60" customWidth="1"/>
    <col min="2305" max="2305" width="13.28515625" style="60" customWidth="1"/>
    <col min="2306" max="2306" width="15.28515625" style="60" customWidth="1"/>
    <col min="2307" max="2307" width="11.85546875" style="60" customWidth="1"/>
    <col min="2308" max="2308" width="6.140625" style="60" customWidth="1"/>
    <col min="2309" max="2309" width="11.85546875" style="60" customWidth="1"/>
    <col min="2310" max="2310" width="9.42578125" style="60" customWidth="1"/>
    <col min="2311" max="2311" width="14.7109375" style="60" customWidth="1"/>
    <col min="2312" max="2312" width="11.5703125" style="60" customWidth="1"/>
    <col min="2313" max="2313" width="0.42578125" style="60" customWidth="1"/>
    <col min="2314" max="2314" width="10.5703125" style="60" bestFit="1" customWidth="1"/>
    <col min="2315" max="2315" width="12.28515625" style="60" customWidth="1"/>
    <col min="2316" max="2316" width="12.5703125" style="60" customWidth="1"/>
    <col min="2317" max="2317" width="10.5703125" style="60" customWidth="1"/>
    <col min="2318" max="2318" width="10.140625" style="60" customWidth="1"/>
    <col min="2319" max="2319" width="8.42578125" style="60" customWidth="1"/>
    <col min="2320" max="2320" width="18.85546875" style="60" customWidth="1"/>
    <col min="2321" max="2321" width="10.28515625" style="60" customWidth="1"/>
    <col min="2322" max="2322" width="11.42578125" style="60"/>
    <col min="2323" max="2323" width="12.140625" style="60" customWidth="1"/>
    <col min="2324" max="2324" width="10.5703125" style="60" customWidth="1"/>
    <col min="2325" max="2325" width="12.42578125" style="60" customWidth="1"/>
    <col min="2326" max="2326" width="15.140625" style="60" customWidth="1"/>
    <col min="2327" max="2327" width="13.5703125" style="60" customWidth="1"/>
    <col min="2328" max="2328" width="13.140625" style="60" customWidth="1"/>
    <col min="2329" max="2329" width="15.7109375" style="60" customWidth="1"/>
    <col min="2330" max="2330" width="37.5703125" style="60" customWidth="1"/>
    <col min="2331" max="2552" width="11.42578125" style="60"/>
    <col min="2553" max="2553" width="10.5703125" style="60" customWidth="1"/>
    <col min="2554" max="2554" width="4.85546875" style="60" customWidth="1"/>
    <col min="2555" max="2555" width="32.42578125" style="60" customWidth="1"/>
    <col min="2556" max="2556" width="9.85546875" style="60" customWidth="1"/>
    <col min="2557" max="2557" width="10.140625" style="60" customWidth="1"/>
    <col min="2558" max="2558" width="12.28515625" style="60" customWidth="1"/>
    <col min="2559" max="2559" width="15.42578125" style="60" customWidth="1"/>
    <col min="2560" max="2560" width="11.85546875" style="60" customWidth="1"/>
    <col min="2561" max="2561" width="13.28515625" style="60" customWidth="1"/>
    <col min="2562" max="2562" width="15.28515625" style="60" customWidth="1"/>
    <col min="2563" max="2563" width="11.85546875" style="60" customWidth="1"/>
    <col min="2564" max="2564" width="6.140625" style="60" customWidth="1"/>
    <col min="2565" max="2565" width="11.85546875" style="60" customWidth="1"/>
    <col min="2566" max="2566" width="9.42578125" style="60" customWidth="1"/>
    <col min="2567" max="2567" width="14.7109375" style="60" customWidth="1"/>
    <col min="2568" max="2568" width="11.5703125" style="60" customWidth="1"/>
    <col min="2569" max="2569" width="0.42578125" style="60" customWidth="1"/>
    <col min="2570" max="2570" width="10.5703125" style="60" bestFit="1" customWidth="1"/>
    <col min="2571" max="2571" width="12.28515625" style="60" customWidth="1"/>
    <col min="2572" max="2572" width="12.5703125" style="60" customWidth="1"/>
    <col min="2573" max="2573" width="10.5703125" style="60" customWidth="1"/>
    <col min="2574" max="2574" width="10.140625" style="60" customWidth="1"/>
    <col min="2575" max="2575" width="8.42578125" style="60" customWidth="1"/>
    <col min="2576" max="2576" width="18.85546875" style="60" customWidth="1"/>
    <col min="2577" max="2577" width="10.28515625" style="60" customWidth="1"/>
    <col min="2578" max="2578" width="11.42578125" style="60"/>
    <col min="2579" max="2579" width="12.140625" style="60" customWidth="1"/>
    <col min="2580" max="2580" width="10.5703125" style="60" customWidth="1"/>
    <col min="2581" max="2581" width="12.42578125" style="60" customWidth="1"/>
    <col min="2582" max="2582" width="15.140625" style="60" customWidth="1"/>
    <col min="2583" max="2583" width="13.5703125" style="60" customWidth="1"/>
    <col min="2584" max="2584" width="13.140625" style="60" customWidth="1"/>
    <col min="2585" max="2585" width="15.7109375" style="60" customWidth="1"/>
    <col min="2586" max="2586" width="37.5703125" style="60" customWidth="1"/>
    <col min="2587" max="2808" width="11.42578125" style="60"/>
    <col min="2809" max="2809" width="10.5703125" style="60" customWidth="1"/>
    <col min="2810" max="2810" width="4.85546875" style="60" customWidth="1"/>
    <col min="2811" max="2811" width="32.42578125" style="60" customWidth="1"/>
    <col min="2812" max="2812" width="9.85546875" style="60" customWidth="1"/>
    <col min="2813" max="2813" width="10.140625" style="60" customWidth="1"/>
    <col min="2814" max="2814" width="12.28515625" style="60" customWidth="1"/>
    <col min="2815" max="2815" width="15.42578125" style="60" customWidth="1"/>
    <col min="2816" max="2816" width="11.85546875" style="60" customWidth="1"/>
    <col min="2817" max="2817" width="13.28515625" style="60" customWidth="1"/>
    <col min="2818" max="2818" width="15.28515625" style="60" customWidth="1"/>
    <col min="2819" max="2819" width="11.85546875" style="60" customWidth="1"/>
    <col min="2820" max="2820" width="6.140625" style="60" customWidth="1"/>
    <col min="2821" max="2821" width="11.85546875" style="60" customWidth="1"/>
    <col min="2822" max="2822" width="9.42578125" style="60" customWidth="1"/>
    <col min="2823" max="2823" width="14.7109375" style="60" customWidth="1"/>
    <col min="2824" max="2824" width="11.5703125" style="60" customWidth="1"/>
    <col min="2825" max="2825" width="0.42578125" style="60" customWidth="1"/>
    <col min="2826" max="2826" width="10.5703125" style="60" bestFit="1" customWidth="1"/>
    <col min="2827" max="2827" width="12.28515625" style="60" customWidth="1"/>
    <col min="2828" max="2828" width="12.5703125" style="60" customWidth="1"/>
    <col min="2829" max="2829" width="10.5703125" style="60" customWidth="1"/>
    <col min="2830" max="2830" width="10.140625" style="60" customWidth="1"/>
    <col min="2831" max="2831" width="8.42578125" style="60" customWidth="1"/>
    <col min="2832" max="2832" width="18.85546875" style="60" customWidth="1"/>
    <col min="2833" max="2833" width="10.28515625" style="60" customWidth="1"/>
    <col min="2834" max="2834" width="11.42578125" style="60"/>
    <col min="2835" max="2835" width="12.140625" style="60" customWidth="1"/>
    <col min="2836" max="2836" width="10.5703125" style="60" customWidth="1"/>
    <col min="2837" max="2837" width="12.42578125" style="60" customWidth="1"/>
    <col min="2838" max="2838" width="15.140625" style="60" customWidth="1"/>
    <col min="2839" max="2839" width="13.5703125" style="60" customWidth="1"/>
    <col min="2840" max="2840" width="13.140625" style="60" customWidth="1"/>
    <col min="2841" max="2841" width="15.7109375" style="60" customWidth="1"/>
    <col min="2842" max="2842" width="37.5703125" style="60" customWidth="1"/>
    <col min="2843" max="3064" width="11.42578125" style="60"/>
    <col min="3065" max="3065" width="10.5703125" style="60" customWidth="1"/>
    <col min="3066" max="3066" width="4.85546875" style="60" customWidth="1"/>
    <col min="3067" max="3067" width="32.42578125" style="60" customWidth="1"/>
    <col min="3068" max="3068" width="9.85546875" style="60" customWidth="1"/>
    <col min="3069" max="3069" width="10.140625" style="60" customWidth="1"/>
    <col min="3070" max="3070" width="12.28515625" style="60" customWidth="1"/>
    <col min="3071" max="3071" width="15.42578125" style="60" customWidth="1"/>
    <col min="3072" max="3072" width="11.85546875" style="60" customWidth="1"/>
    <col min="3073" max="3073" width="13.28515625" style="60" customWidth="1"/>
    <col min="3074" max="3074" width="15.28515625" style="60" customWidth="1"/>
    <col min="3075" max="3075" width="11.85546875" style="60" customWidth="1"/>
    <col min="3076" max="3076" width="6.140625" style="60" customWidth="1"/>
    <col min="3077" max="3077" width="11.85546875" style="60" customWidth="1"/>
    <col min="3078" max="3078" width="9.42578125" style="60" customWidth="1"/>
    <col min="3079" max="3079" width="14.7109375" style="60" customWidth="1"/>
    <col min="3080" max="3080" width="11.5703125" style="60" customWidth="1"/>
    <col min="3081" max="3081" width="0.42578125" style="60" customWidth="1"/>
    <col min="3082" max="3082" width="10.5703125" style="60" bestFit="1" customWidth="1"/>
    <col min="3083" max="3083" width="12.28515625" style="60" customWidth="1"/>
    <col min="3084" max="3084" width="12.5703125" style="60" customWidth="1"/>
    <col min="3085" max="3085" width="10.5703125" style="60" customWidth="1"/>
    <col min="3086" max="3086" width="10.140625" style="60" customWidth="1"/>
    <col min="3087" max="3087" width="8.42578125" style="60" customWidth="1"/>
    <col min="3088" max="3088" width="18.85546875" style="60" customWidth="1"/>
    <col min="3089" max="3089" width="10.28515625" style="60" customWidth="1"/>
    <col min="3090" max="3090" width="11.42578125" style="60"/>
    <col min="3091" max="3091" width="12.140625" style="60" customWidth="1"/>
    <col min="3092" max="3092" width="10.5703125" style="60" customWidth="1"/>
    <col min="3093" max="3093" width="12.42578125" style="60" customWidth="1"/>
    <col min="3094" max="3094" width="15.140625" style="60" customWidth="1"/>
    <col min="3095" max="3095" width="13.5703125" style="60" customWidth="1"/>
    <col min="3096" max="3096" width="13.140625" style="60" customWidth="1"/>
    <col min="3097" max="3097" width="15.7109375" style="60" customWidth="1"/>
    <col min="3098" max="3098" width="37.5703125" style="60" customWidth="1"/>
    <col min="3099" max="3320" width="11.42578125" style="60"/>
    <col min="3321" max="3321" width="10.5703125" style="60" customWidth="1"/>
    <col min="3322" max="3322" width="4.85546875" style="60" customWidth="1"/>
    <col min="3323" max="3323" width="32.42578125" style="60" customWidth="1"/>
    <col min="3324" max="3324" width="9.85546875" style="60" customWidth="1"/>
    <col min="3325" max="3325" width="10.140625" style="60" customWidth="1"/>
    <col min="3326" max="3326" width="12.28515625" style="60" customWidth="1"/>
    <col min="3327" max="3327" width="15.42578125" style="60" customWidth="1"/>
    <col min="3328" max="3328" width="11.85546875" style="60" customWidth="1"/>
    <col min="3329" max="3329" width="13.28515625" style="60" customWidth="1"/>
    <col min="3330" max="3330" width="15.28515625" style="60" customWidth="1"/>
    <col min="3331" max="3331" width="11.85546875" style="60" customWidth="1"/>
    <col min="3332" max="3332" width="6.140625" style="60" customWidth="1"/>
    <col min="3333" max="3333" width="11.85546875" style="60" customWidth="1"/>
    <col min="3334" max="3334" width="9.42578125" style="60" customWidth="1"/>
    <col min="3335" max="3335" width="14.7109375" style="60" customWidth="1"/>
    <col min="3336" max="3336" width="11.5703125" style="60" customWidth="1"/>
    <col min="3337" max="3337" width="0.42578125" style="60" customWidth="1"/>
    <col min="3338" max="3338" width="10.5703125" style="60" bestFit="1" customWidth="1"/>
    <col min="3339" max="3339" width="12.28515625" style="60" customWidth="1"/>
    <col min="3340" max="3340" width="12.5703125" style="60" customWidth="1"/>
    <col min="3341" max="3341" width="10.5703125" style="60" customWidth="1"/>
    <col min="3342" max="3342" width="10.140625" style="60" customWidth="1"/>
    <col min="3343" max="3343" width="8.42578125" style="60" customWidth="1"/>
    <col min="3344" max="3344" width="18.85546875" style="60" customWidth="1"/>
    <col min="3345" max="3345" width="10.28515625" style="60" customWidth="1"/>
    <col min="3346" max="3346" width="11.42578125" style="60"/>
    <col min="3347" max="3347" width="12.140625" style="60" customWidth="1"/>
    <col min="3348" max="3348" width="10.5703125" style="60" customWidth="1"/>
    <col min="3349" max="3349" width="12.42578125" style="60" customWidth="1"/>
    <col min="3350" max="3350" width="15.140625" style="60" customWidth="1"/>
    <col min="3351" max="3351" width="13.5703125" style="60" customWidth="1"/>
    <col min="3352" max="3352" width="13.140625" style="60" customWidth="1"/>
    <col min="3353" max="3353" width="15.7109375" style="60" customWidth="1"/>
    <col min="3354" max="3354" width="37.5703125" style="60" customWidth="1"/>
    <col min="3355" max="3576" width="11.42578125" style="60"/>
    <col min="3577" max="3577" width="10.5703125" style="60" customWidth="1"/>
    <col min="3578" max="3578" width="4.85546875" style="60" customWidth="1"/>
    <col min="3579" max="3579" width="32.42578125" style="60" customWidth="1"/>
    <col min="3580" max="3580" width="9.85546875" style="60" customWidth="1"/>
    <col min="3581" max="3581" width="10.140625" style="60" customWidth="1"/>
    <col min="3582" max="3582" width="12.28515625" style="60" customWidth="1"/>
    <col min="3583" max="3583" width="15.42578125" style="60" customWidth="1"/>
    <col min="3584" max="3584" width="11.85546875" style="60" customWidth="1"/>
    <col min="3585" max="3585" width="13.28515625" style="60" customWidth="1"/>
    <col min="3586" max="3586" width="15.28515625" style="60" customWidth="1"/>
    <col min="3587" max="3587" width="11.85546875" style="60" customWidth="1"/>
    <col min="3588" max="3588" width="6.140625" style="60" customWidth="1"/>
    <col min="3589" max="3589" width="11.85546875" style="60" customWidth="1"/>
    <col min="3590" max="3590" width="9.42578125" style="60" customWidth="1"/>
    <col min="3591" max="3591" width="14.7109375" style="60" customWidth="1"/>
    <col min="3592" max="3592" width="11.5703125" style="60" customWidth="1"/>
    <col min="3593" max="3593" width="0.42578125" style="60" customWidth="1"/>
    <col min="3594" max="3594" width="10.5703125" style="60" bestFit="1" customWidth="1"/>
    <col min="3595" max="3595" width="12.28515625" style="60" customWidth="1"/>
    <col min="3596" max="3596" width="12.5703125" style="60" customWidth="1"/>
    <col min="3597" max="3597" width="10.5703125" style="60" customWidth="1"/>
    <col min="3598" max="3598" width="10.140625" style="60" customWidth="1"/>
    <col min="3599" max="3599" width="8.42578125" style="60" customWidth="1"/>
    <col min="3600" max="3600" width="18.85546875" style="60" customWidth="1"/>
    <col min="3601" max="3601" width="10.28515625" style="60" customWidth="1"/>
    <col min="3602" max="3602" width="11.42578125" style="60"/>
    <col min="3603" max="3603" width="12.140625" style="60" customWidth="1"/>
    <col min="3604" max="3604" width="10.5703125" style="60" customWidth="1"/>
    <col min="3605" max="3605" width="12.42578125" style="60" customWidth="1"/>
    <col min="3606" max="3606" width="15.140625" style="60" customWidth="1"/>
    <col min="3607" max="3607" width="13.5703125" style="60" customWidth="1"/>
    <col min="3608" max="3608" width="13.140625" style="60" customWidth="1"/>
    <col min="3609" max="3609" width="15.7109375" style="60" customWidth="1"/>
    <col min="3610" max="3610" width="37.5703125" style="60" customWidth="1"/>
    <col min="3611" max="3832" width="11.42578125" style="60"/>
    <col min="3833" max="3833" width="10.5703125" style="60" customWidth="1"/>
    <col min="3834" max="3834" width="4.85546875" style="60" customWidth="1"/>
    <col min="3835" max="3835" width="32.42578125" style="60" customWidth="1"/>
    <col min="3836" max="3836" width="9.85546875" style="60" customWidth="1"/>
    <col min="3837" max="3837" width="10.140625" style="60" customWidth="1"/>
    <col min="3838" max="3838" width="12.28515625" style="60" customWidth="1"/>
    <col min="3839" max="3839" width="15.42578125" style="60" customWidth="1"/>
    <col min="3840" max="3840" width="11.85546875" style="60" customWidth="1"/>
    <col min="3841" max="3841" width="13.28515625" style="60" customWidth="1"/>
    <col min="3842" max="3842" width="15.28515625" style="60" customWidth="1"/>
    <col min="3843" max="3843" width="11.85546875" style="60" customWidth="1"/>
    <col min="3844" max="3844" width="6.140625" style="60" customWidth="1"/>
    <col min="3845" max="3845" width="11.85546875" style="60" customWidth="1"/>
    <col min="3846" max="3846" width="9.42578125" style="60" customWidth="1"/>
    <col min="3847" max="3847" width="14.7109375" style="60" customWidth="1"/>
    <col min="3848" max="3848" width="11.5703125" style="60" customWidth="1"/>
    <col min="3849" max="3849" width="0.42578125" style="60" customWidth="1"/>
    <col min="3850" max="3850" width="10.5703125" style="60" bestFit="1" customWidth="1"/>
    <col min="3851" max="3851" width="12.28515625" style="60" customWidth="1"/>
    <col min="3852" max="3852" width="12.5703125" style="60" customWidth="1"/>
    <col min="3853" max="3853" width="10.5703125" style="60" customWidth="1"/>
    <col min="3854" max="3854" width="10.140625" style="60" customWidth="1"/>
    <col min="3855" max="3855" width="8.42578125" style="60" customWidth="1"/>
    <col min="3856" max="3856" width="18.85546875" style="60" customWidth="1"/>
    <col min="3857" max="3857" width="10.28515625" style="60" customWidth="1"/>
    <col min="3858" max="3858" width="11.42578125" style="60"/>
    <col min="3859" max="3859" width="12.140625" style="60" customWidth="1"/>
    <col min="3860" max="3860" width="10.5703125" style="60" customWidth="1"/>
    <col min="3861" max="3861" width="12.42578125" style="60" customWidth="1"/>
    <col min="3862" max="3862" width="15.140625" style="60" customWidth="1"/>
    <col min="3863" max="3863" width="13.5703125" style="60" customWidth="1"/>
    <col min="3864" max="3864" width="13.140625" style="60" customWidth="1"/>
    <col min="3865" max="3865" width="15.7109375" style="60" customWidth="1"/>
    <col min="3866" max="3866" width="37.5703125" style="60" customWidth="1"/>
    <col min="3867" max="4088" width="11.42578125" style="60"/>
    <col min="4089" max="4089" width="10.5703125" style="60" customWidth="1"/>
    <col min="4090" max="4090" width="4.85546875" style="60" customWidth="1"/>
    <col min="4091" max="4091" width="32.42578125" style="60" customWidth="1"/>
    <col min="4092" max="4092" width="9.85546875" style="60" customWidth="1"/>
    <col min="4093" max="4093" width="10.140625" style="60" customWidth="1"/>
    <col min="4094" max="4094" width="12.28515625" style="60" customWidth="1"/>
    <col min="4095" max="4095" width="15.42578125" style="60" customWidth="1"/>
    <col min="4096" max="4096" width="11.85546875" style="60" customWidth="1"/>
    <col min="4097" max="4097" width="13.28515625" style="60" customWidth="1"/>
    <col min="4098" max="4098" width="15.28515625" style="60" customWidth="1"/>
    <col min="4099" max="4099" width="11.85546875" style="60" customWidth="1"/>
    <col min="4100" max="4100" width="6.140625" style="60" customWidth="1"/>
    <col min="4101" max="4101" width="11.85546875" style="60" customWidth="1"/>
    <col min="4102" max="4102" width="9.42578125" style="60" customWidth="1"/>
    <col min="4103" max="4103" width="14.7109375" style="60" customWidth="1"/>
    <col min="4104" max="4104" width="11.5703125" style="60" customWidth="1"/>
    <col min="4105" max="4105" width="0.42578125" style="60" customWidth="1"/>
    <col min="4106" max="4106" width="10.5703125" style="60" bestFit="1" customWidth="1"/>
    <col min="4107" max="4107" width="12.28515625" style="60" customWidth="1"/>
    <col min="4108" max="4108" width="12.5703125" style="60" customWidth="1"/>
    <col min="4109" max="4109" width="10.5703125" style="60" customWidth="1"/>
    <col min="4110" max="4110" width="10.140625" style="60" customWidth="1"/>
    <col min="4111" max="4111" width="8.42578125" style="60" customWidth="1"/>
    <col min="4112" max="4112" width="18.85546875" style="60" customWidth="1"/>
    <col min="4113" max="4113" width="10.28515625" style="60" customWidth="1"/>
    <col min="4114" max="4114" width="11.42578125" style="60"/>
    <col min="4115" max="4115" width="12.140625" style="60" customWidth="1"/>
    <col min="4116" max="4116" width="10.5703125" style="60" customWidth="1"/>
    <col min="4117" max="4117" width="12.42578125" style="60" customWidth="1"/>
    <col min="4118" max="4118" width="15.140625" style="60" customWidth="1"/>
    <col min="4119" max="4119" width="13.5703125" style="60" customWidth="1"/>
    <col min="4120" max="4120" width="13.140625" style="60" customWidth="1"/>
    <col min="4121" max="4121" width="15.7109375" style="60" customWidth="1"/>
    <col min="4122" max="4122" width="37.5703125" style="60" customWidth="1"/>
    <col min="4123" max="4344" width="11.42578125" style="60"/>
    <col min="4345" max="4345" width="10.5703125" style="60" customWidth="1"/>
    <col min="4346" max="4346" width="4.85546875" style="60" customWidth="1"/>
    <col min="4347" max="4347" width="32.42578125" style="60" customWidth="1"/>
    <col min="4348" max="4348" width="9.85546875" style="60" customWidth="1"/>
    <col min="4349" max="4349" width="10.140625" style="60" customWidth="1"/>
    <col min="4350" max="4350" width="12.28515625" style="60" customWidth="1"/>
    <col min="4351" max="4351" width="15.42578125" style="60" customWidth="1"/>
    <col min="4352" max="4352" width="11.85546875" style="60" customWidth="1"/>
    <col min="4353" max="4353" width="13.28515625" style="60" customWidth="1"/>
    <col min="4354" max="4354" width="15.28515625" style="60" customWidth="1"/>
    <col min="4355" max="4355" width="11.85546875" style="60" customWidth="1"/>
    <col min="4356" max="4356" width="6.140625" style="60" customWidth="1"/>
    <col min="4357" max="4357" width="11.85546875" style="60" customWidth="1"/>
    <col min="4358" max="4358" width="9.42578125" style="60" customWidth="1"/>
    <col min="4359" max="4359" width="14.7109375" style="60" customWidth="1"/>
    <col min="4360" max="4360" width="11.5703125" style="60" customWidth="1"/>
    <col min="4361" max="4361" width="0.42578125" style="60" customWidth="1"/>
    <col min="4362" max="4362" width="10.5703125" style="60" bestFit="1" customWidth="1"/>
    <col min="4363" max="4363" width="12.28515625" style="60" customWidth="1"/>
    <col min="4364" max="4364" width="12.5703125" style="60" customWidth="1"/>
    <col min="4365" max="4365" width="10.5703125" style="60" customWidth="1"/>
    <col min="4366" max="4366" width="10.140625" style="60" customWidth="1"/>
    <col min="4367" max="4367" width="8.42578125" style="60" customWidth="1"/>
    <col min="4368" max="4368" width="18.85546875" style="60" customWidth="1"/>
    <col min="4369" max="4369" width="10.28515625" style="60" customWidth="1"/>
    <col min="4370" max="4370" width="11.42578125" style="60"/>
    <col min="4371" max="4371" width="12.140625" style="60" customWidth="1"/>
    <col min="4372" max="4372" width="10.5703125" style="60" customWidth="1"/>
    <col min="4373" max="4373" width="12.42578125" style="60" customWidth="1"/>
    <col min="4374" max="4374" width="15.140625" style="60" customWidth="1"/>
    <col min="4375" max="4375" width="13.5703125" style="60" customWidth="1"/>
    <col min="4376" max="4376" width="13.140625" style="60" customWidth="1"/>
    <col min="4377" max="4377" width="15.7109375" style="60" customWidth="1"/>
    <col min="4378" max="4378" width="37.5703125" style="60" customWidth="1"/>
    <col min="4379" max="4600" width="11.42578125" style="60"/>
    <col min="4601" max="4601" width="10.5703125" style="60" customWidth="1"/>
    <col min="4602" max="4602" width="4.85546875" style="60" customWidth="1"/>
    <col min="4603" max="4603" width="32.42578125" style="60" customWidth="1"/>
    <col min="4604" max="4604" width="9.85546875" style="60" customWidth="1"/>
    <col min="4605" max="4605" width="10.140625" style="60" customWidth="1"/>
    <col min="4606" max="4606" width="12.28515625" style="60" customWidth="1"/>
    <col min="4607" max="4607" width="15.42578125" style="60" customWidth="1"/>
    <col min="4608" max="4608" width="11.85546875" style="60" customWidth="1"/>
    <col min="4609" max="4609" width="13.28515625" style="60" customWidth="1"/>
    <col min="4610" max="4610" width="15.28515625" style="60" customWidth="1"/>
    <col min="4611" max="4611" width="11.85546875" style="60" customWidth="1"/>
    <col min="4612" max="4612" width="6.140625" style="60" customWidth="1"/>
    <col min="4613" max="4613" width="11.85546875" style="60" customWidth="1"/>
    <col min="4614" max="4614" width="9.42578125" style="60" customWidth="1"/>
    <col min="4615" max="4615" width="14.7109375" style="60" customWidth="1"/>
    <col min="4616" max="4616" width="11.5703125" style="60" customWidth="1"/>
    <col min="4617" max="4617" width="0.42578125" style="60" customWidth="1"/>
    <col min="4618" max="4618" width="10.5703125" style="60" bestFit="1" customWidth="1"/>
    <col min="4619" max="4619" width="12.28515625" style="60" customWidth="1"/>
    <col min="4620" max="4620" width="12.5703125" style="60" customWidth="1"/>
    <col min="4621" max="4621" width="10.5703125" style="60" customWidth="1"/>
    <col min="4622" max="4622" width="10.140625" style="60" customWidth="1"/>
    <col min="4623" max="4623" width="8.42578125" style="60" customWidth="1"/>
    <col min="4624" max="4624" width="18.85546875" style="60" customWidth="1"/>
    <col min="4625" max="4625" width="10.28515625" style="60" customWidth="1"/>
    <col min="4626" max="4626" width="11.42578125" style="60"/>
    <col min="4627" max="4627" width="12.140625" style="60" customWidth="1"/>
    <col min="4628" max="4628" width="10.5703125" style="60" customWidth="1"/>
    <col min="4629" max="4629" width="12.42578125" style="60" customWidth="1"/>
    <col min="4630" max="4630" width="15.140625" style="60" customWidth="1"/>
    <col min="4631" max="4631" width="13.5703125" style="60" customWidth="1"/>
    <col min="4632" max="4632" width="13.140625" style="60" customWidth="1"/>
    <col min="4633" max="4633" width="15.7109375" style="60" customWidth="1"/>
    <col min="4634" max="4634" width="37.5703125" style="60" customWidth="1"/>
    <col min="4635" max="4856" width="11.42578125" style="60"/>
    <col min="4857" max="4857" width="10.5703125" style="60" customWidth="1"/>
    <col min="4858" max="4858" width="4.85546875" style="60" customWidth="1"/>
    <col min="4859" max="4859" width="32.42578125" style="60" customWidth="1"/>
    <col min="4860" max="4860" width="9.85546875" style="60" customWidth="1"/>
    <col min="4861" max="4861" width="10.140625" style="60" customWidth="1"/>
    <col min="4862" max="4862" width="12.28515625" style="60" customWidth="1"/>
    <col min="4863" max="4863" width="15.42578125" style="60" customWidth="1"/>
    <col min="4864" max="4864" width="11.85546875" style="60" customWidth="1"/>
    <col min="4865" max="4865" width="13.28515625" style="60" customWidth="1"/>
    <col min="4866" max="4866" width="15.28515625" style="60" customWidth="1"/>
    <col min="4867" max="4867" width="11.85546875" style="60" customWidth="1"/>
    <col min="4868" max="4868" width="6.140625" style="60" customWidth="1"/>
    <col min="4869" max="4869" width="11.85546875" style="60" customWidth="1"/>
    <col min="4870" max="4870" width="9.42578125" style="60" customWidth="1"/>
    <col min="4871" max="4871" width="14.7109375" style="60" customWidth="1"/>
    <col min="4872" max="4872" width="11.5703125" style="60" customWidth="1"/>
    <col min="4873" max="4873" width="0.42578125" style="60" customWidth="1"/>
    <col min="4874" max="4874" width="10.5703125" style="60" bestFit="1" customWidth="1"/>
    <col min="4875" max="4875" width="12.28515625" style="60" customWidth="1"/>
    <col min="4876" max="4876" width="12.5703125" style="60" customWidth="1"/>
    <col min="4877" max="4877" width="10.5703125" style="60" customWidth="1"/>
    <col min="4878" max="4878" width="10.140625" style="60" customWidth="1"/>
    <col min="4879" max="4879" width="8.42578125" style="60" customWidth="1"/>
    <col min="4880" max="4880" width="18.85546875" style="60" customWidth="1"/>
    <col min="4881" max="4881" width="10.28515625" style="60" customWidth="1"/>
    <col min="4882" max="4882" width="11.42578125" style="60"/>
    <col min="4883" max="4883" width="12.140625" style="60" customWidth="1"/>
    <col min="4884" max="4884" width="10.5703125" style="60" customWidth="1"/>
    <col min="4885" max="4885" width="12.42578125" style="60" customWidth="1"/>
    <col min="4886" max="4886" width="15.140625" style="60" customWidth="1"/>
    <col min="4887" max="4887" width="13.5703125" style="60" customWidth="1"/>
    <col min="4888" max="4888" width="13.140625" style="60" customWidth="1"/>
    <col min="4889" max="4889" width="15.7109375" style="60" customWidth="1"/>
    <col min="4890" max="4890" width="37.5703125" style="60" customWidth="1"/>
    <col min="4891" max="5112" width="11.42578125" style="60"/>
    <col min="5113" max="5113" width="10.5703125" style="60" customWidth="1"/>
    <col min="5114" max="5114" width="4.85546875" style="60" customWidth="1"/>
    <col min="5115" max="5115" width="32.42578125" style="60" customWidth="1"/>
    <col min="5116" max="5116" width="9.85546875" style="60" customWidth="1"/>
    <col min="5117" max="5117" width="10.140625" style="60" customWidth="1"/>
    <col min="5118" max="5118" width="12.28515625" style="60" customWidth="1"/>
    <col min="5119" max="5119" width="15.42578125" style="60" customWidth="1"/>
    <col min="5120" max="5120" width="11.85546875" style="60" customWidth="1"/>
    <col min="5121" max="5121" width="13.28515625" style="60" customWidth="1"/>
    <col min="5122" max="5122" width="15.28515625" style="60" customWidth="1"/>
    <col min="5123" max="5123" width="11.85546875" style="60" customWidth="1"/>
    <col min="5124" max="5124" width="6.140625" style="60" customWidth="1"/>
    <col min="5125" max="5125" width="11.85546875" style="60" customWidth="1"/>
    <col min="5126" max="5126" width="9.42578125" style="60" customWidth="1"/>
    <col min="5127" max="5127" width="14.7109375" style="60" customWidth="1"/>
    <col min="5128" max="5128" width="11.5703125" style="60" customWidth="1"/>
    <col min="5129" max="5129" width="0.42578125" style="60" customWidth="1"/>
    <col min="5130" max="5130" width="10.5703125" style="60" bestFit="1" customWidth="1"/>
    <col min="5131" max="5131" width="12.28515625" style="60" customWidth="1"/>
    <col min="5132" max="5132" width="12.5703125" style="60" customWidth="1"/>
    <col min="5133" max="5133" width="10.5703125" style="60" customWidth="1"/>
    <col min="5134" max="5134" width="10.140625" style="60" customWidth="1"/>
    <col min="5135" max="5135" width="8.42578125" style="60" customWidth="1"/>
    <col min="5136" max="5136" width="18.85546875" style="60" customWidth="1"/>
    <col min="5137" max="5137" width="10.28515625" style="60" customWidth="1"/>
    <col min="5138" max="5138" width="11.42578125" style="60"/>
    <col min="5139" max="5139" width="12.140625" style="60" customWidth="1"/>
    <col min="5140" max="5140" width="10.5703125" style="60" customWidth="1"/>
    <col min="5141" max="5141" width="12.42578125" style="60" customWidth="1"/>
    <col min="5142" max="5142" width="15.140625" style="60" customWidth="1"/>
    <col min="5143" max="5143" width="13.5703125" style="60" customWidth="1"/>
    <col min="5144" max="5144" width="13.140625" style="60" customWidth="1"/>
    <col min="5145" max="5145" width="15.7109375" style="60" customWidth="1"/>
    <col min="5146" max="5146" width="37.5703125" style="60" customWidth="1"/>
    <col min="5147" max="5368" width="11.42578125" style="60"/>
    <col min="5369" max="5369" width="10.5703125" style="60" customWidth="1"/>
    <col min="5370" max="5370" width="4.85546875" style="60" customWidth="1"/>
    <col min="5371" max="5371" width="32.42578125" style="60" customWidth="1"/>
    <col min="5372" max="5372" width="9.85546875" style="60" customWidth="1"/>
    <col min="5373" max="5373" width="10.140625" style="60" customWidth="1"/>
    <col min="5374" max="5374" width="12.28515625" style="60" customWidth="1"/>
    <col min="5375" max="5375" width="15.42578125" style="60" customWidth="1"/>
    <col min="5376" max="5376" width="11.85546875" style="60" customWidth="1"/>
    <col min="5377" max="5377" width="13.28515625" style="60" customWidth="1"/>
    <col min="5378" max="5378" width="15.28515625" style="60" customWidth="1"/>
    <col min="5379" max="5379" width="11.85546875" style="60" customWidth="1"/>
    <col min="5380" max="5380" width="6.140625" style="60" customWidth="1"/>
    <col min="5381" max="5381" width="11.85546875" style="60" customWidth="1"/>
    <col min="5382" max="5382" width="9.42578125" style="60" customWidth="1"/>
    <col min="5383" max="5383" width="14.7109375" style="60" customWidth="1"/>
    <col min="5384" max="5384" width="11.5703125" style="60" customWidth="1"/>
    <col min="5385" max="5385" width="0.42578125" style="60" customWidth="1"/>
    <col min="5386" max="5386" width="10.5703125" style="60" bestFit="1" customWidth="1"/>
    <col min="5387" max="5387" width="12.28515625" style="60" customWidth="1"/>
    <col min="5388" max="5388" width="12.5703125" style="60" customWidth="1"/>
    <col min="5389" max="5389" width="10.5703125" style="60" customWidth="1"/>
    <col min="5390" max="5390" width="10.140625" style="60" customWidth="1"/>
    <col min="5391" max="5391" width="8.42578125" style="60" customWidth="1"/>
    <col min="5392" max="5392" width="18.85546875" style="60" customWidth="1"/>
    <col min="5393" max="5393" width="10.28515625" style="60" customWidth="1"/>
    <col min="5394" max="5394" width="11.42578125" style="60"/>
    <col min="5395" max="5395" width="12.140625" style="60" customWidth="1"/>
    <col min="5396" max="5396" width="10.5703125" style="60" customWidth="1"/>
    <col min="5397" max="5397" width="12.42578125" style="60" customWidth="1"/>
    <col min="5398" max="5398" width="15.140625" style="60" customWidth="1"/>
    <col min="5399" max="5399" width="13.5703125" style="60" customWidth="1"/>
    <col min="5400" max="5400" width="13.140625" style="60" customWidth="1"/>
    <col min="5401" max="5401" width="15.7109375" style="60" customWidth="1"/>
    <col min="5402" max="5402" width="37.5703125" style="60" customWidth="1"/>
    <col min="5403" max="5624" width="11.42578125" style="60"/>
    <col min="5625" max="5625" width="10.5703125" style="60" customWidth="1"/>
    <col min="5626" max="5626" width="4.85546875" style="60" customWidth="1"/>
    <col min="5627" max="5627" width="32.42578125" style="60" customWidth="1"/>
    <col min="5628" max="5628" width="9.85546875" style="60" customWidth="1"/>
    <col min="5629" max="5629" width="10.140625" style="60" customWidth="1"/>
    <col min="5630" max="5630" width="12.28515625" style="60" customWidth="1"/>
    <col min="5631" max="5631" width="15.42578125" style="60" customWidth="1"/>
    <col min="5632" max="5632" width="11.85546875" style="60" customWidth="1"/>
    <col min="5633" max="5633" width="13.28515625" style="60" customWidth="1"/>
    <col min="5634" max="5634" width="15.28515625" style="60" customWidth="1"/>
    <col min="5635" max="5635" width="11.85546875" style="60" customWidth="1"/>
    <col min="5636" max="5636" width="6.140625" style="60" customWidth="1"/>
    <col min="5637" max="5637" width="11.85546875" style="60" customWidth="1"/>
    <col min="5638" max="5638" width="9.42578125" style="60" customWidth="1"/>
    <col min="5639" max="5639" width="14.7109375" style="60" customWidth="1"/>
    <col min="5640" max="5640" width="11.5703125" style="60" customWidth="1"/>
    <col min="5641" max="5641" width="0.42578125" style="60" customWidth="1"/>
    <col min="5642" max="5642" width="10.5703125" style="60" bestFit="1" customWidth="1"/>
    <col min="5643" max="5643" width="12.28515625" style="60" customWidth="1"/>
    <col min="5644" max="5644" width="12.5703125" style="60" customWidth="1"/>
    <col min="5645" max="5645" width="10.5703125" style="60" customWidth="1"/>
    <col min="5646" max="5646" width="10.140625" style="60" customWidth="1"/>
    <col min="5647" max="5647" width="8.42578125" style="60" customWidth="1"/>
    <col min="5648" max="5648" width="18.85546875" style="60" customWidth="1"/>
    <col min="5649" max="5649" width="10.28515625" style="60" customWidth="1"/>
    <col min="5650" max="5650" width="11.42578125" style="60"/>
    <col min="5651" max="5651" width="12.140625" style="60" customWidth="1"/>
    <col min="5652" max="5652" width="10.5703125" style="60" customWidth="1"/>
    <col min="5653" max="5653" width="12.42578125" style="60" customWidth="1"/>
    <col min="5654" max="5654" width="15.140625" style="60" customWidth="1"/>
    <col min="5655" max="5655" width="13.5703125" style="60" customWidth="1"/>
    <col min="5656" max="5656" width="13.140625" style="60" customWidth="1"/>
    <col min="5657" max="5657" width="15.7109375" style="60" customWidth="1"/>
    <col min="5658" max="5658" width="37.5703125" style="60" customWidth="1"/>
    <col min="5659" max="5880" width="11.42578125" style="60"/>
    <col min="5881" max="5881" width="10.5703125" style="60" customWidth="1"/>
    <col min="5882" max="5882" width="4.85546875" style="60" customWidth="1"/>
    <col min="5883" max="5883" width="32.42578125" style="60" customWidth="1"/>
    <col min="5884" max="5884" width="9.85546875" style="60" customWidth="1"/>
    <col min="5885" max="5885" width="10.140625" style="60" customWidth="1"/>
    <col min="5886" max="5886" width="12.28515625" style="60" customWidth="1"/>
    <col min="5887" max="5887" width="15.42578125" style="60" customWidth="1"/>
    <col min="5888" max="5888" width="11.85546875" style="60" customWidth="1"/>
    <col min="5889" max="5889" width="13.28515625" style="60" customWidth="1"/>
    <col min="5890" max="5890" width="15.28515625" style="60" customWidth="1"/>
    <col min="5891" max="5891" width="11.85546875" style="60" customWidth="1"/>
    <col min="5892" max="5892" width="6.140625" style="60" customWidth="1"/>
    <col min="5893" max="5893" width="11.85546875" style="60" customWidth="1"/>
    <col min="5894" max="5894" width="9.42578125" style="60" customWidth="1"/>
    <col min="5895" max="5895" width="14.7109375" style="60" customWidth="1"/>
    <col min="5896" max="5896" width="11.5703125" style="60" customWidth="1"/>
    <col min="5897" max="5897" width="0.42578125" style="60" customWidth="1"/>
    <col min="5898" max="5898" width="10.5703125" style="60" bestFit="1" customWidth="1"/>
    <col min="5899" max="5899" width="12.28515625" style="60" customWidth="1"/>
    <col min="5900" max="5900" width="12.5703125" style="60" customWidth="1"/>
    <col min="5901" max="5901" width="10.5703125" style="60" customWidth="1"/>
    <col min="5902" max="5902" width="10.140625" style="60" customWidth="1"/>
    <col min="5903" max="5903" width="8.42578125" style="60" customWidth="1"/>
    <col min="5904" max="5904" width="18.85546875" style="60" customWidth="1"/>
    <col min="5905" max="5905" width="10.28515625" style="60" customWidth="1"/>
    <col min="5906" max="5906" width="11.42578125" style="60"/>
    <col min="5907" max="5907" width="12.140625" style="60" customWidth="1"/>
    <col min="5908" max="5908" width="10.5703125" style="60" customWidth="1"/>
    <col min="5909" max="5909" width="12.42578125" style="60" customWidth="1"/>
    <col min="5910" max="5910" width="15.140625" style="60" customWidth="1"/>
    <col min="5911" max="5911" width="13.5703125" style="60" customWidth="1"/>
    <col min="5912" max="5912" width="13.140625" style="60" customWidth="1"/>
    <col min="5913" max="5913" width="15.7109375" style="60" customWidth="1"/>
    <col min="5914" max="5914" width="37.5703125" style="60" customWidth="1"/>
    <col min="5915" max="6136" width="11.42578125" style="60"/>
    <col min="6137" max="6137" width="10.5703125" style="60" customWidth="1"/>
    <col min="6138" max="6138" width="4.85546875" style="60" customWidth="1"/>
    <col min="6139" max="6139" width="32.42578125" style="60" customWidth="1"/>
    <col min="6140" max="6140" width="9.85546875" style="60" customWidth="1"/>
    <col min="6141" max="6141" width="10.140625" style="60" customWidth="1"/>
    <col min="6142" max="6142" width="12.28515625" style="60" customWidth="1"/>
    <col min="6143" max="6143" width="15.42578125" style="60" customWidth="1"/>
    <col min="6144" max="6144" width="11.85546875" style="60" customWidth="1"/>
    <col min="6145" max="6145" width="13.28515625" style="60" customWidth="1"/>
    <col min="6146" max="6146" width="15.28515625" style="60" customWidth="1"/>
    <col min="6147" max="6147" width="11.85546875" style="60" customWidth="1"/>
    <col min="6148" max="6148" width="6.140625" style="60" customWidth="1"/>
    <col min="6149" max="6149" width="11.85546875" style="60" customWidth="1"/>
    <col min="6150" max="6150" width="9.42578125" style="60" customWidth="1"/>
    <col min="6151" max="6151" width="14.7109375" style="60" customWidth="1"/>
    <col min="6152" max="6152" width="11.5703125" style="60" customWidth="1"/>
    <col min="6153" max="6153" width="0.42578125" style="60" customWidth="1"/>
    <col min="6154" max="6154" width="10.5703125" style="60" bestFit="1" customWidth="1"/>
    <col min="6155" max="6155" width="12.28515625" style="60" customWidth="1"/>
    <col min="6156" max="6156" width="12.5703125" style="60" customWidth="1"/>
    <col min="6157" max="6157" width="10.5703125" style="60" customWidth="1"/>
    <col min="6158" max="6158" width="10.140625" style="60" customWidth="1"/>
    <col min="6159" max="6159" width="8.42578125" style="60" customWidth="1"/>
    <col min="6160" max="6160" width="18.85546875" style="60" customWidth="1"/>
    <col min="6161" max="6161" width="10.28515625" style="60" customWidth="1"/>
    <col min="6162" max="6162" width="11.42578125" style="60"/>
    <col min="6163" max="6163" width="12.140625" style="60" customWidth="1"/>
    <col min="6164" max="6164" width="10.5703125" style="60" customWidth="1"/>
    <col min="6165" max="6165" width="12.42578125" style="60" customWidth="1"/>
    <col min="6166" max="6166" width="15.140625" style="60" customWidth="1"/>
    <col min="6167" max="6167" width="13.5703125" style="60" customWidth="1"/>
    <col min="6168" max="6168" width="13.140625" style="60" customWidth="1"/>
    <col min="6169" max="6169" width="15.7109375" style="60" customWidth="1"/>
    <col min="6170" max="6170" width="37.5703125" style="60" customWidth="1"/>
    <col min="6171" max="6392" width="11.42578125" style="60"/>
    <col min="6393" max="6393" width="10.5703125" style="60" customWidth="1"/>
    <col min="6394" max="6394" width="4.85546875" style="60" customWidth="1"/>
    <col min="6395" max="6395" width="32.42578125" style="60" customWidth="1"/>
    <col min="6396" max="6396" width="9.85546875" style="60" customWidth="1"/>
    <col min="6397" max="6397" width="10.140625" style="60" customWidth="1"/>
    <col min="6398" max="6398" width="12.28515625" style="60" customWidth="1"/>
    <col min="6399" max="6399" width="15.42578125" style="60" customWidth="1"/>
    <col min="6400" max="6400" width="11.85546875" style="60" customWidth="1"/>
    <col min="6401" max="6401" width="13.28515625" style="60" customWidth="1"/>
    <col min="6402" max="6402" width="15.28515625" style="60" customWidth="1"/>
    <col min="6403" max="6403" width="11.85546875" style="60" customWidth="1"/>
    <col min="6404" max="6404" width="6.140625" style="60" customWidth="1"/>
    <col min="6405" max="6405" width="11.85546875" style="60" customWidth="1"/>
    <col min="6406" max="6406" width="9.42578125" style="60" customWidth="1"/>
    <col min="6407" max="6407" width="14.7109375" style="60" customWidth="1"/>
    <col min="6408" max="6408" width="11.5703125" style="60" customWidth="1"/>
    <col min="6409" max="6409" width="0.42578125" style="60" customWidth="1"/>
    <col min="6410" max="6410" width="10.5703125" style="60" bestFit="1" customWidth="1"/>
    <col min="6411" max="6411" width="12.28515625" style="60" customWidth="1"/>
    <col min="6412" max="6412" width="12.5703125" style="60" customWidth="1"/>
    <col min="6413" max="6413" width="10.5703125" style="60" customWidth="1"/>
    <col min="6414" max="6414" width="10.140625" style="60" customWidth="1"/>
    <col min="6415" max="6415" width="8.42578125" style="60" customWidth="1"/>
    <col min="6416" max="6416" width="18.85546875" style="60" customWidth="1"/>
    <col min="6417" max="6417" width="10.28515625" style="60" customWidth="1"/>
    <col min="6418" max="6418" width="11.42578125" style="60"/>
    <col min="6419" max="6419" width="12.140625" style="60" customWidth="1"/>
    <col min="6420" max="6420" width="10.5703125" style="60" customWidth="1"/>
    <col min="6421" max="6421" width="12.42578125" style="60" customWidth="1"/>
    <col min="6422" max="6422" width="15.140625" style="60" customWidth="1"/>
    <col min="6423" max="6423" width="13.5703125" style="60" customWidth="1"/>
    <col min="6424" max="6424" width="13.140625" style="60" customWidth="1"/>
    <col min="6425" max="6425" width="15.7109375" style="60" customWidth="1"/>
    <col min="6426" max="6426" width="37.5703125" style="60" customWidth="1"/>
    <col min="6427" max="6648" width="11.42578125" style="60"/>
    <col min="6649" max="6649" width="10.5703125" style="60" customWidth="1"/>
    <col min="6650" max="6650" width="4.85546875" style="60" customWidth="1"/>
    <col min="6651" max="6651" width="32.42578125" style="60" customWidth="1"/>
    <col min="6652" max="6652" width="9.85546875" style="60" customWidth="1"/>
    <col min="6653" max="6653" width="10.140625" style="60" customWidth="1"/>
    <col min="6654" max="6654" width="12.28515625" style="60" customWidth="1"/>
    <col min="6655" max="6655" width="15.42578125" style="60" customWidth="1"/>
    <col min="6656" max="6656" width="11.85546875" style="60" customWidth="1"/>
    <col min="6657" max="6657" width="13.28515625" style="60" customWidth="1"/>
    <col min="6658" max="6658" width="15.28515625" style="60" customWidth="1"/>
    <col min="6659" max="6659" width="11.85546875" style="60" customWidth="1"/>
    <col min="6660" max="6660" width="6.140625" style="60" customWidth="1"/>
    <col min="6661" max="6661" width="11.85546875" style="60" customWidth="1"/>
    <col min="6662" max="6662" width="9.42578125" style="60" customWidth="1"/>
    <col min="6663" max="6663" width="14.7109375" style="60" customWidth="1"/>
    <col min="6664" max="6664" width="11.5703125" style="60" customWidth="1"/>
    <col min="6665" max="6665" width="0.42578125" style="60" customWidth="1"/>
    <col min="6666" max="6666" width="10.5703125" style="60" bestFit="1" customWidth="1"/>
    <col min="6667" max="6667" width="12.28515625" style="60" customWidth="1"/>
    <col min="6668" max="6668" width="12.5703125" style="60" customWidth="1"/>
    <col min="6669" max="6669" width="10.5703125" style="60" customWidth="1"/>
    <col min="6670" max="6670" width="10.140625" style="60" customWidth="1"/>
    <col min="6671" max="6671" width="8.42578125" style="60" customWidth="1"/>
    <col min="6672" max="6672" width="18.85546875" style="60" customWidth="1"/>
    <col min="6673" max="6673" width="10.28515625" style="60" customWidth="1"/>
    <col min="6674" max="6674" width="11.42578125" style="60"/>
    <col min="6675" max="6675" width="12.140625" style="60" customWidth="1"/>
    <col min="6676" max="6676" width="10.5703125" style="60" customWidth="1"/>
    <col min="6677" max="6677" width="12.42578125" style="60" customWidth="1"/>
    <col min="6678" max="6678" width="15.140625" style="60" customWidth="1"/>
    <col min="6679" max="6679" width="13.5703125" style="60" customWidth="1"/>
    <col min="6680" max="6680" width="13.140625" style="60" customWidth="1"/>
    <col min="6681" max="6681" width="15.7109375" style="60" customWidth="1"/>
    <col min="6682" max="6682" width="37.5703125" style="60" customWidth="1"/>
    <col min="6683" max="6904" width="11.42578125" style="60"/>
    <col min="6905" max="6905" width="10.5703125" style="60" customWidth="1"/>
    <col min="6906" max="6906" width="4.85546875" style="60" customWidth="1"/>
    <col min="6907" max="6907" width="32.42578125" style="60" customWidth="1"/>
    <col min="6908" max="6908" width="9.85546875" style="60" customWidth="1"/>
    <col min="6909" max="6909" width="10.140625" style="60" customWidth="1"/>
    <col min="6910" max="6910" width="12.28515625" style="60" customWidth="1"/>
    <col min="6911" max="6911" width="15.42578125" style="60" customWidth="1"/>
    <col min="6912" max="6912" width="11.85546875" style="60" customWidth="1"/>
    <col min="6913" max="6913" width="13.28515625" style="60" customWidth="1"/>
    <col min="6914" max="6914" width="15.28515625" style="60" customWidth="1"/>
    <col min="6915" max="6915" width="11.85546875" style="60" customWidth="1"/>
    <col min="6916" max="6916" width="6.140625" style="60" customWidth="1"/>
    <col min="6917" max="6917" width="11.85546875" style="60" customWidth="1"/>
    <col min="6918" max="6918" width="9.42578125" style="60" customWidth="1"/>
    <col min="6919" max="6919" width="14.7109375" style="60" customWidth="1"/>
    <col min="6920" max="6920" width="11.5703125" style="60" customWidth="1"/>
    <col min="6921" max="6921" width="0.42578125" style="60" customWidth="1"/>
    <col min="6922" max="6922" width="10.5703125" style="60" bestFit="1" customWidth="1"/>
    <col min="6923" max="6923" width="12.28515625" style="60" customWidth="1"/>
    <col min="6924" max="6924" width="12.5703125" style="60" customWidth="1"/>
    <col min="6925" max="6925" width="10.5703125" style="60" customWidth="1"/>
    <col min="6926" max="6926" width="10.140625" style="60" customWidth="1"/>
    <col min="6927" max="6927" width="8.42578125" style="60" customWidth="1"/>
    <col min="6928" max="6928" width="18.85546875" style="60" customWidth="1"/>
    <col min="6929" max="6929" width="10.28515625" style="60" customWidth="1"/>
    <col min="6930" max="6930" width="11.42578125" style="60"/>
    <col min="6931" max="6931" width="12.140625" style="60" customWidth="1"/>
    <col min="6932" max="6932" width="10.5703125" style="60" customWidth="1"/>
    <col min="6933" max="6933" width="12.42578125" style="60" customWidth="1"/>
    <col min="6934" max="6934" width="15.140625" style="60" customWidth="1"/>
    <col min="6935" max="6935" width="13.5703125" style="60" customWidth="1"/>
    <col min="6936" max="6936" width="13.140625" style="60" customWidth="1"/>
    <col min="6937" max="6937" width="15.7109375" style="60" customWidth="1"/>
    <col min="6938" max="6938" width="37.5703125" style="60" customWidth="1"/>
    <col min="6939" max="7160" width="11.42578125" style="60"/>
    <col min="7161" max="7161" width="10.5703125" style="60" customWidth="1"/>
    <col min="7162" max="7162" width="4.85546875" style="60" customWidth="1"/>
    <col min="7163" max="7163" width="32.42578125" style="60" customWidth="1"/>
    <col min="7164" max="7164" width="9.85546875" style="60" customWidth="1"/>
    <col min="7165" max="7165" width="10.140625" style="60" customWidth="1"/>
    <col min="7166" max="7166" width="12.28515625" style="60" customWidth="1"/>
    <col min="7167" max="7167" width="15.42578125" style="60" customWidth="1"/>
    <col min="7168" max="7168" width="11.85546875" style="60" customWidth="1"/>
    <col min="7169" max="7169" width="13.28515625" style="60" customWidth="1"/>
    <col min="7170" max="7170" width="15.28515625" style="60" customWidth="1"/>
    <col min="7171" max="7171" width="11.85546875" style="60" customWidth="1"/>
    <col min="7172" max="7172" width="6.140625" style="60" customWidth="1"/>
    <col min="7173" max="7173" width="11.85546875" style="60" customWidth="1"/>
    <col min="7174" max="7174" width="9.42578125" style="60" customWidth="1"/>
    <col min="7175" max="7175" width="14.7109375" style="60" customWidth="1"/>
    <col min="7176" max="7176" width="11.5703125" style="60" customWidth="1"/>
    <col min="7177" max="7177" width="0.42578125" style="60" customWidth="1"/>
    <col min="7178" max="7178" width="10.5703125" style="60" bestFit="1" customWidth="1"/>
    <col min="7179" max="7179" width="12.28515625" style="60" customWidth="1"/>
    <col min="7180" max="7180" width="12.5703125" style="60" customWidth="1"/>
    <col min="7181" max="7181" width="10.5703125" style="60" customWidth="1"/>
    <col min="7182" max="7182" width="10.140625" style="60" customWidth="1"/>
    <col min="7183" max="7183" width="8.42578125" style="60" customWidth="1"/>
    <col min="7184" max="7184" width="18.85546875" style="60" customWidth="1"/>
    <col min="7185" max="7185" width="10.28515625" style="60" customWidth="1"/>
    <col min="7186" max="7186" width="11.42578125" style="60"/>
    <col min="7187" max="7187" width="12.140625" style="60" customWidth="1"/>
    <col min="7188" max="7188" width="10.5703125" style="60" customWidth="1"/>
    <col min="7189" max="7189" width="12.42578125" style="60" customWidth="1"/>
    <col min="7190" max="7190" width="15.140625" style="60" customWidth="1"/>
    <col min="7191" max="7191" width="13.5703125" style="60" customWidth="1"/>
    <col min="7192" max="7192" width="13.140625" style="60" customWidth="1"/>
    <col min="7193" max="7193" width="15.7109375" style="60" customWidth="1"/>
    <col min="7194" max="7194" width="37.5703125" style="60" customWidth="1"/>
    <col min="7195" max="7416" width="11.42578125" style="60"/>
    <col min="7417" max="7417" width="10.5703125" style="60" customWidth="1"/>
    <col min="7418" max="7418" width="4.85546875" style="60" customWidth="1"/>
    <col min="7419" max="7419" width="32.42578125" style="60" customWidth="1"/>
    <col min="7420" max="7420" width="9.85546875" style="60" customWidth="1"/>
    <col min="7421" max="7421" width="10.140625" style="60" customWidth="1"/>
    <col min="7422" max="7422" width="12.28515625" style="60" customWidth="1"/>
    <col min="7423" max="7423" width="15.42578125" style="60" customWidth="1"/>
    <col min="7424" max="7424" width="11.85546875" style="60" customWidth="1"/>
    <col min="7425" max="7425" width="13.28515625" style="60" customWidth="1"/>
    <col min="7426" max="7426" width="15.28515625" style="60" customWidth="1"/>
    <col min="7427" max="7427" width="11.85546875" style="60" customWidth="1"/>
    <col min="7428" max="7428" width="6.140625" style="60" customWidth="1"/>
    <col min="7429" max="7429" width="11.85546875" style="60" customWidth="1"/>
    <col min="7430" max="7430" width="9.42578125" style="60" customWidth="1"/>
    <col min="7431" max="7431" width="14.7109375" style="60" customWidth="1"/>
    <col min="7432" max="7432" width="11.5703125" style="60" customWidth="1"/>
    <col min="7433" max="7433" width="0.42578125" style="60" customWidth="1"/>
    <col min="7434" max="7434" width="10.5703125" style="60" bestFit="1" customWidth="1"/>
    <col min="7435" max="7435" width="12.28515625" style="60" customWidth="1"/>
    <col min="7436" max="7436" width="12.5703125" style="60" customWidth="1"/>
    <col min="7437" max="7437" width="10.5703125" style="60" customWidth="1"/>
    <col min="7438" max="7438" width="10.140625" style="60" customWidth="1"/>
    <col min="7439" max="7439" width="8.42578125" style="60" customWidth="1"/>
    <col min="7440" max="7440" width="18.85546875" style="60" customWidth="1"/>
    <col min="7441" max="7441" width="10.28515625" style="60" customWidth="1"/>
    <col min="7442" max="7442" width="11.42578125" style="60"/>
    <col min="7443" max="7443" width="12.140625" style="60" customWidth="1"/>
    <col min="7444" max="7444" width="10.5703125" style="60" customWidth="1"/>
    <col min="7445" max="7445" width="12.42578125" style="60" customWidth="1"/>
    <col min="7446" max="7446" width="15.140625" style="60" customWidth="1"/>
    <col min="7447" max="7447" width="13.5703125" style="60" customWidth="1"/>
    <col min="7448" max="7448" width="13.140625" style="60" customWidth="1"/>
    <col min="7449" max="7449" width="15.7109375" style="60" customWidth="1"/>
    <col min="7450" max="7450" width="37.5703125" style="60" customWidth="1"/>
    <col min="7451" max="7672" width="11.42578125" style="60"/>
    <col min="7673" max="7673" width="10.5703125" style="60" customWidth="1"/>
    <col min="7674" max="7674" width="4.85546875" style="60" customWidth="1"/>
    <col min="7675" max="7675" width="32.42578125" style="60" customWidth="1"/>
    <col min="7676" max="7676" width="9.85546875" style="60" customWidth="1"/>
    <col min="7677" max="7677" width="10.140625" style="60" customWidth="1"/>
    <col min="7678" max="7678" width="12.28515625" style="60" customWidth="1"/>
    <col min="7679" max="7679" width="15.42578125" style="60" customWidth="1"/>
    <col min="7680" max="7680" width="11.85546875" style="60" customWidth="1"/>
    <col min="7681" max="7681" width="13.28515625" style="60" customWidth="1"/>
    <col min="7682" max="7682" width="15.28515625" style="60" customWidth="1"/>
    <col min="7683" max="7683" width="11.85546875" style="60" customWidth="1"/>
    <col min="7684" max="7684" width="6.140625" style="60" customWidth="1"/>
    <col min="7685" max="7685" width="11.85546875" style="60" customWidth="1"/>
    <col min="7686" max="7686" width="9.42578125" style="60" customWidth="1"/>
    <col min="7687" max="7687" width="14.7109375" style="60" customWidth="1"/>
    <col min="7688" max="7688" width="11.5703125" style="60" customWidth="1"/>
    <col min="7689" max="7689" width="0.42578125" style="60" customWidth="1"/>
    <col min="7690" max="7690" width="10.5703125" style="60" bestFit="1" customWidth="1"/>
    <col min="7691" max="7691" width="12.28515625" style="60" customWidth="1"/>
    <col min="7692" max="7692" width="12.5703125" style="60" customWidth="1"/>
    <col min="7693" max="7693" width="10.5703125" style="60" customWidth="1"/>
    <col min="7694" max="7694" width="10.140625" style="60" customWidth="1"/>
    <col min="7695" max="7695" width="8.42578125" style="60" customWidth="1"/>
    <col min="7696" max="7696" width="18.85546875" style="60" customWidth="1"/>
    <col min="7697" max="7697" width="10.28515625" style="60" customWidth="1"/>
    <col min="7698" max="7698" width="11.42578125" style="60"/>
    <col min="7699" max="7699" width="12.140625" style="60" customWidth="1"/>
    <col min="7700" max="7700" width="10.5703125" style="60" customWidth="1"/>
    <col min="7701" max="7701" width="12.42578125" style="60" customWidth="1"/>
    <col min="7702" max="7702" width="15.140625" style="60" customWidth="1"/>
    <col min="7703" max="7703" width="13.5703125" style="60" customWidth="1"/>
    <col min="7704" max="7704" width="13.140625" style="60" customWidth="1"/>
    <col min="7705" max="7705" width="15.7109375" style="60" customWidth="1"/>
    <col min="7706" max="7706" width="37.5703125" style="60" customWidth="1"/>
    <col min="7707" max="7928" width="11.42578125" style="60"/>
    <col min="7929" max="7929" width="10.5703125" style="60" customWidth="1"/>
    <col min="7930" max="7930" width="4.85546875" style="60" customWidth="1"/>
    <col min="7931" max="7931" width="32.42578125" style="60" customWidth="1"/>
    <col min="7932" max="7932" width="9.85546875" style="60" customWidth="1"/>
    <col min="7933" max="7933" width="10.140625" style="60" customWidth="1"/>
    <col min="7934" max="7934" width="12.28515625" style="60" customWidth="1"/>
    <col min="7935" max="7935" width="15.42578125" style="60" customWidth="1"/>
    <col min="7936" max="7936" width="11.85546875" style="60" customWidth="1"/>
    <col min="7937" max="7937" width="13.28515625" style="60" customWidth="1"/>
    <col min="7938" max="7938" width="15.28515625" style="60" customWidth="1"/>
    <col min="7939" max="7939" width="11.85546875" style="60" customWidth="1"/>
    <col min="7940" max="7940" width="6.140625" style="60" customWidth="1"/>
    <col min="7941" max="7941" width="11.85546875" style="60" customWidth="1"/>
    <col min="7942" max="7942" width="9.42578125" style="60" customWidth="1"/>
    <col min="7943" max="7943" width="14.7109375" style="60" customWidth="1"/>
    <col min="7944" max="7944" width="11.5703125" style="60" customWidth="1"/>
    <col min="7945" max="7945" width="0.42578125" style="60" customWidth="1"/>
    <col min="7946" max="7946" width="10.5703125" style="60" bestFit="1" customWidth="1"/>
    <col min="7947" max="7947" width="12.28515625" style="60" customWidth="1"/>
    <col min="7948" max="7948" width="12.5703125" style="60" customWidth="1"/>
    <col min="7949" max="7949" width="10.5703125" style="60" customWidth="1"/>
    <col min="7950" max="7950" width="10.140625" style="60" customWidth="1"/>
    <col min="7951" max="7951" width="8.42578125" style="60" customWidth="1"/>
    <col min="7952" max="7952" width="18.85546875" style="60" customWidth="1"/>
    <col min="7953" max="7953" width="10.28515625" style="60" customWidth="1"/>
    <col min="7954" max="7954" width="11.42578125" style="60"/>
    <col min="7955" max="7955" width="12.140625" style="60" customWidth="1"/>
    <col min="7956" max="7956" width="10.5703125" style="60" customWidth="1"/>
    <col min="7957" max="7957" width="12.42578125" style="60" customWidth="1"/>
    <col min="7958" max="7958" width="15.140625" style="60" customWidth="1"/>
    <col min="7959" max="7959" width="13.5703125" style="60" customWidth="1"/>
    <col min="7960" max="7960" width="13.140625" style="60" customWidth="1"/>
    <col min="7961" max="7961" width="15.7109375" style="60" customWidth="1"/>
    <col min="7962" max="7962" width="37.5703125" style="60" customWidth="1"/>
    <col min="7963" max="8184" width="11.42578125" style="60"/>
    <col min="8185" max="8185" width="10.5703125" style="60" customWidth="1"/>
    <col min="8186" max="8186" width="4.85546875" style="60" customWidth="1"/>
    <col min="8187" max="8187" width="32.42578125" style="60" customWidth="1"/>
    <col min="8188" max="8188" width="9.85546875" style="60" customWidth="1"/>
    <col min="8189" max="8189" width="10.140625" style="60" customWidth="1"/>
    <col min="8190" max="8190" width="12.28515625" style="60" customWidth="1"/>
    <col min="8191" max="8191" width="15.42578125" style="60" customWidth="1"/>
    <col min="8192" max="8192" width="11.85546875" style="60" customWidth="1"/>
    <col min="8193" max="8193" width="13.28515625" style="60" customWidth="1"/>
    <col min="8194" max="8194" width="15.28515625" style="60" customWidth="1"/>
    <col min="8195" max="8195" width="11.85546875" style="60" customWidth="1"/>
    <col min="8196" max="8196" width="6.140625" style="60" customWidth="1"/>
    <col min="8197" max="8197" width="11.85546875" style="60" customWidth="1"/>
    <col min="8198" max="8198" width="9.42578125" style="60" customWidth="1"/>
    <col min="8199" max="8199" width="14.7109375" style="60" customWidth="1"/>
    <col min="8200" max="8200" width="11.5703125" style="60" customWidth="1"/>
    <col min="8201" max="8201" width="0.42578125" style="60" customWidth="1"/>
    <col min="8202" max="8202" width="10.5703125" style="60" bestFit="1" customWidth="1"/>
    <col min="8203" max="8203" width="12.28515625" style="60" customWidth="1"/>
    <col min="8204" max="8204" width="12.5703125" style="60" customWidth="1"/>
    <col min="8205" max="8205" width="10.5703125" style="60" customWidth="1"/>
    <col min="8206" max="8206" width="10.140625" style="60" customWidth="1"/>
    <col min="8207" max="8207" width="8.42578125" style="60" customWidth="1"/>
    <col min="8208" max="8208" width="18.85546875" style="60" customWidth="1"/>
    <col min="8209" max="8209" width="10.28515625" style="60" customWidth="1"/>
    <col min="8210" max="8210" width="11.42578125" style="60"/>
    <col min="8211" max="8211" width="12.140625" style="60" customWidth="1"/>
    <col min="8212" max="8212" width="10.5703125" style="60" customWidth="1"/>
    <col min="8213" max="8213" width="12.42578125" style="60" customWidth="1"/>
    <col min="8214" max="8214" width="15.140625" style="60" customWidth="1"/>
    <col min="8215" max="8215" width="13.5703125" style="60" customWidth="1"/>
    <col min="8216" max="8216" width="13.140625" style="60" customWidth="1"/>
    <col min="8217" max="8217" width="15.7109375" style="60" customWidth="1"/>
    <col min="8218" max="8218" width="37.5703125" style="60" customWidth="1"/>
    <col min="8219" max="8440" width="11.42578125" style="60"/>
    <col min="8441" max="8441" width="10.5703125" style="60" customWidth="1"/>
    <col min="8442" max="8442" width="4.85546875" style="60" customWidth="1"/>
    <col min="8443" max="8443" width="32.42578125" style="60" customWidth="1"/>
    <col min="8444" max="8444" width="9.85546875" style="60" customWidth="1"/>
    <col min="8445" max="8445" width="10.140625" style="60" customWidth="1"/>
    <col min="8446" max="8446" width="12.28515625" style="60" customWidth="1"/>
    <col min="8447" max="8447" width="15.42578125" style="60" customWidth="1"/>
    <col min="8448" max="8448" width="11.85546875" style="60" customWidth="1"/>
    <col min="8449" max="8449" width="13.28515625" style="60" customWidth="1"/>
    <col min="8450" max="8450" width="15.28515625" style="60" customWidth="1"/>
    <col min="8451" max="8451" width="11.85546875" style="60" customWidth="1"/>
    <col min="8452" max="8452" width="6.140625" style="60" customWidth="1"/>
    <col min="8453" max="8453" width="11.85546875" style="60" customWidth="1"/>
    <col min="8454" max="8454" width="9.42578125" style="60" customWidth="1"/>
    <col min="8455" max="8455" width="14.7109375" style="60" customWidth="1"/>
    <col min="8456" max="8456" width="11.5703125" style="60" customWidth="1"/>
    <col min="8457" max="8457" width="0.42578125" style="60" customWidth="1"/>
    <col min="8458" max="8458" width="10.5703125" style="60" bestFit="1" customWidth="1"/>
    <col min="8459" max="8459" width="12.28515625" style="60" customWidth="1"/>
    <col min="8460" max="8460" width="12.5703125" style="60" customWidth="1"/>
    <col min="8461" max="8461" width="10.5703125" style="60" customWidth="1"/>
    <col min="8462" max="8462" width="10.140625" style="60" customWidth="1"/>
    <col min="8463" max="8463" width="8.42578125" style="60" customWidth="1"/>
    <col min="8464" max="8464" width="18.85546875" style="60" customWidth="1"/>
    <col min="8465" max="8465" width="10.28515625" style="60" customWidth="1"/>
    <col min="8466" max="8466" width="11.42578125" style="60"/>
    <col min="8467" max="8467" width="12.140625" style="60" customWidth="1"/>
    <col min="8468" max="8468" width="10.5703125" style="60" customWidth="1"/>
    <col min="8469" max="8469" width="12.42578125" style="60" customWidth="1"/>
    <col min="8470" max="8470" width="15.140625" style="60" customWidth="1"/>
    <col min="8471" max="8471" width="13.5703125" style="60" customWidth="1"/>
    <col min="8472" max="8472" width="13.140625" style="60" customWidth="1"/>
    <col min="8473" max="8473" width="15.7109375" style="60" customWidth="1"/>
    <col min="8474" max="8474" width="37.5703125" style="60" customWidth="1"/>
    <col min="8475" max="8696" width="11.42578125" style="60"/>
    <col min="8697" max="8697" width="10.5703125" style="60" customWidth="1"/>
    <col min="8698" max="8698" width="4.85546875" style="60" customWidth="1"/>
    <col min="8699" max="8699" width="32.42578125" style="60" customWidth="1"/>
    <col min="8700" max="8700" width="9.85546875" style="60" customWidth="1"/>
    <col min="8701" max="8701" width="10.140625" style="60" customWidth="1"/>
    <col min="8702" max="8702" width="12.28515625" style="60" customWidth="1"/>
    <col min="8703" max="8703" width="15.42578125" style="60" customWidth="1"/>
    <col min="8704" max="8704" width="11.85546875" style="60" customWidth="1"/>
    <col min="8705" max="8705" width="13.28515625" style="60" customWidth="1"/>
    <col min="8706" max="8706" width="15.28515625" style="60" customWidth="1"/>
    <col min="8707" max="8707" width="11.85546875" style="60" customWidth="1"/>
    <col min="8708" max="8708" width="6.140625" style="60" customWidth="1"/>
    <col min="8709" max="8709" width="11.85546875" style="60" customWidth="1"/>
    <col min="8710" max="8710" width="9.42578125" style="60" customWidth="1"/>
    <col min="8711" max="8711" width="14.7109375" style="60" customWidth="1"/>
    <col min="8712" max="8712" width="11.5703125" style="60" customWidth="1"/>
    <col min="8713" max="8713" width="0.42578125" style="60" customWidth="1"/>
    <col min="8714" max="8714" width="10.5703125" style="60" bestFit="1" customWidth="1"/>
    <col min="8715" max="8715" width="12.28515625" style="60" customWidth="1"/>
    <col min="8716" max="8716" width="12.5703125" style="60" customWidth="1"/>
    <col min="8717" max="8717" width="10.5703125" style="60" customWidth="1"/>
    <col min="8718" max="8718" width="10.140625" style="60" customWidth="1"/>
    <col min="8719" max="8719" width="8.42578125" style="60" customWidth="1"/>
    <col min="8720" max="8720" width="18.85546875" style="60" customWidth="1"/>
    <col min="8721" max="8721" width="10.28515625" style="60" customWidth="1"/>
    <col min="8722" max="8722" width="11.42578125" style="60"/>
    <col min="8723" max="8723" width="12.140625" style="60" customWidth="1"/>
    <col min="8724" max="8724" width="10.5703125" style="60" customWidth="1"/>
    <col min="8725" max="8725" width="12.42578125" style="60" customWidth="1"/>
    <col min="8726" max="8726" width="15.140625" style="60" customWidth="1"/>
    <col min="8727" max="8727" width="13.5703125" style="60" customWidth="1"/>
    <col min="8728" max="8728" width="13.140625" style="60" customWidth="1"/>
    <col min="8729" max="8729" width="15.7109375" style="60" customWidth="1"/>
    <col min="8730" max="8730" width="37.5703125" style="60" customWidth="1"/>
    <col min="8731" max="8952" width="11.42578125" style="60"/>
    <col min="8953" max="8953" width="10.5703125" style="60" customWidth="1"/>
    <col min="8954" max="8954" width="4.85546875" style="60" customWidth="1"/>
    <col min="8955" max="8955" width="32.42578125" style="60" customWidth="1"/>
    <col min="8956" max="8956" width="9.85546875" style="60" customWidth="1"/>
    <col min="8957" max="8957" width="10.140625" style="60" customWidth="1"/>
    <col min="8958" max="8958" width="12.28515625" style="60" customWidth="1"/>
    <col min="8959" max="8959" width="15.42578125" style="60" customWidth="1"/>
    <col min="8960" max="8960" width="11.85546875" style="60" customWidth="1"/>
    <col min="8961" max="8961" width="13.28515625" style="60" customWidth="1"/>
    <col min="8962" max="8962" width="15.28515625" style="60" customWidth="1"/>
    <col min="8963" max="8963" width="11.85546875" style="60" customWidth="1"/>
    <col min="8964" max="8964" width="6.140625" style="60" customWidth="1"/>
    <col min="8965" max="8965" width="11.85546875" style="60" customWidth="1"/>
    <col min="8966" max="8966" width="9.42578125" style="60" customWidth="1"/>
    <col min="8967" max="8967" width="14.7109375" style="60" customWidth="1"/>
    <col min="8968" max="8968" width="11.5703125" style="60" customWidth="1"/>
    <col min="8969" max="8969" width="0.42578125" style="60" customWidth="1"/>
    <col min="8970" max="8970" width="10.5703125" style="60" bestFit="1" customWidth="1"/>
    <col min="8971" max="8971" width="12.28515625" style="60" customWidth="1"/>
    <col min="8972" max="8972" width="12.5703125" style="60" customWidth="1"/>
    <col min="8973" max="8973" width="10.5703125" style="60" customWidth="1"/>
    <col min="8974" max="8974" width="10.140625" style="60" customWidth="1"/>
    <col min="8975" max="8975" width="8.42578125" style="60" customWidth="1"/>
    <col min="8976" max="8976" width="18.85546875" style="60" customWidth="1"/>
    <col min="8977" max="8977" width="10.28515625" style="60" customWidth="1"/>
    <col min="8978" max="8978" width="11.42578125" style="60"/>
    <col min="8979" max="8979" width="12.140625" style="60" customWidth="1"/>
    <col min="8980" max="8980" width="10.5703125" style="60" customWidth="1"/>
    <col min="8981" max="8981" width="12.42578125" style="60" customWidth="1"/>
    <col min="8982" max="8982" width="15.140625" style="60" customWidth="1"/>
    <col min="8983" max="8983" width="13.5703125" style="60" customWidth="1"/>
    <col min="8984" max="8984" width="13.140625" style="60" customWidth="1"/>
    <col min="8985" max="8985" width="15.7109375" style="60" customWidth="1"/>
    <col min="8986" max="8986" width="37.5703125" style="60" customWidth="1"/>
    <col min="8987" max="9208" width="11.42578125" style="60"/>
    <col min="9209" max="9209" width="10.5703125" style="60" customWidth="1"/>
    <col min="9210" max="9210" width="4.85546875" style="60" customWidth="1"/>
    <col min="9211" max="9211" width="32.42578125" style="60" customWidth="1"/>
    <col min="9212" max="9212" width="9.85546875" style="60" customWidth="1"/>
    <col min="9213" max="9213" width="10.140625" style="60" customWidth="1"/>
    <col min="9214" max="9214" width="12.28515625" style="60" customWidth="1"/>
    <col min="9215" max="9215" width="15.42578125" style="60" customWidth="1"/>
    <col min="9216" max="9216" width="11.85546875" style="60" customWidth="1"/>
    <col min="9217" max="9217" width="13.28515625" style="60" customWidth="1"/>
    <col min="9218" max="9218" width="15.28515625" style="60" customWidth="1"/>
    <col min="9219" max="9219" width="11.85546875" style="60" customWidth="1"/>
    <col min="9220" max="9220" width="6.140625" style="60" customWidth="1"/>
    <col min="9221" max="9221" width="11.85546875" style="60" customWidth="1"/>
    <col min="9222" max="9222" width="9.42578125" style="60" customWidth="1"/>
    <col min="9223" max="9223" width="14.7109375" style="60" customWidth="1"/>
    <col min="9224" max="9224" width="11.5703125" style="60" customWidth="1"/>
    <col min="9225" max="9225" width="0.42578125" style="60" customWidth="1"/>
    <col min="9226" max="9226" width="10.5703125" style="60" bestFit="1" customWidth="1"/>
    <col min="9227" max="9227" width="12.28515625" style="60" customWidth="1"/>
    <col min="9228" max="9228" width="12.5703125" style="60" customWidth="1"/>
    <col min="9229" max="9229" width="10.5703125" style="60" customWidth="1"/>
    <col min="9230" max="9230" width="10.140625" style="60" customWidth="1"/>
    <col min="9231" max="9231" width="8.42578125" style="60" customWidth="1"/>
    <col min="9232" max="9232" width="18.85546875" style="60" customWidth="1"/>
    <col min="9233" max="9233" width="10.28515625" style="60" customWidth="1"/>
    <col min="9234" max="9234" width="11.42578125" style="60"/>
    <col min="9235" max="9235" width="12.140625" style="60" customWidth="1"/>
    <col min="9236" max="9236" width="10.5703125" style="60" customWidth="1"/>
    <col min="9237" max="9237" width="12.42578125" style="60" customWidth="1"/>
    <col min="9238" max="9238" width="15.140625" style="60" customWidth="1"/>
    <col min="9239" max="9239" width="13.5703125" style="60" customWidth="1"/>
    <col min="9240" max="9240" width="13.140625" style="60" customWidth="1"/>
    <col min="9241" max="9241" width="15.7109375" style="60" customWidth="1"/>
    <col min="9242" max="9242" width="37.5703125" style="60" customWidth="1"/>
    <col min="9243" max="9464" width="11.42578125" style="60"/>
    <col min="9465" max="9465" width="10.5703125" style="60" customWidth="1"/>
    <col min="9466" max="9466" width="4.85546875" style="60" customWidth="1"/>
    <col min="9467" max="9467" width="32.42578125" style="60" customWidth="1"/>
    <col min="9468" max="9468" width="9.85546875" style="60" customWidth="1"/>
    <col min="9469" max="9469" width="10.140625" style="60" customWidth="1"/>
    <col min="9470" max="9470" width="12.28515625" style="60" customWidth="1"/>
    <col min="9471" max="9471" width="15.42578125" style="60" customWidth="1"/>
    <col min="9472" max="9472" width="11.85546875" style="60" customWidth="1"/>
    <col min="9473" max="9473" width="13.28515625" style="60" customWidth="1"/>
    <col min="9474" max="9474" width="15.28515625" style="60" customWidth="1"/>
    <col min="9475" max="9475" width="11.85546875" style="60" customWidth="1"/>
    <col min="9476" max="9476" width="6.140625" style="60" customWidth="1"/>
    <col min="9477" max="9477" width="11.85546875" style="60" customWidth="1"/>
    <col min="9478" max="9478" width="9.42578125" style="60" customWidth="1"/>
    <col min="9479" max="9479" width="14.7109375" style="60" customWidth="1"/>
    <col min="9480" max="9480" width="11.5703125" style="60" customWidth="1"/>
    <col min="9481" max="9481" width="0.42578125" style="60" customWidth="1"/>
    <col min="9482" max="9482" width="10.5703125" style="60" bestFit="1" customWidth="1"/>
    <col min="9483" max="9483" width="12.28515625" style="60" customWidth="1"/>
    <col min="9484" max="9484" width="12.5703125" style="60" customWidth="1"/>
    <col min="9485" max="9485" width="10.5703125" style="60" customWidth="1"/>
    <col min="9486" max="9486" width="10.140625" style="60" customWidth="1"/>
    <col min="9487" max="9487" width="8.42578125" style="60" customWidth="1"/>
    <col min="9488" max="9488" width="18.85546875" style="60" customWidth="1"/>
    <col min="9489" max="9489" width="10.28515625" style="60" customWidth="1"/>
    <col min="9490" max="9490" width="11.42578125" style="60"/>
    <col min="9491" max="9491" width="12.140625" style="60" customWidth="1"/>
    <col min="9492" max="9492" width="10.5703125" style="60" customWidth="1"/>
    <col min="9493" max="9493" width="12.42578125" style="60" customWidth="1"/>
    <col min="9494" max="9494" width="15.140625" style="60" customWidth="1"/>
    <col min="9495" max="9495" width="13.5703125" style="60" customWidth="1"/>
    <col min="9496" max="9496" width="13.140625" style="60" customWidth="1"/>
    <col min="9497" max="9497" width="15.7109375" style="60" customWidth="1"/>
    <col min="9498" max="9498" width="37.5703125" style="60" customWidth="1"/>
    <col min="9499" max="9720" width="11.42578125" style="60"/>
    <col min="9721" max="9721" width="10.5703125" style="60" customWidth="1"/>
    <col min="9722" max="9722" width="4.85546875" style="60" customWidth="1"/>
    <col min="9723" max="9723" width="32.42578125" style="60" customWidth="1"/>
    <col min="9724" max="9724" width="9.85546875" style="60" customWidth="1"/>
    <col min="9725" max="9725" width="10.140625" style="60" customWidth="1"/>
    <col min="9726" max="9726" width="12.28515625" style="60" customWidth="1"/>
    <col min="9727" max="9727" width="15.42578125" style="60" customWidth="1"/>
    <col min="9728" max="9728" width="11.85546875" style="60" customWidth="1"/>
    <col min="9729" max="9729" width="13.28515625" style="60" customWidth="1"/>
    <col min="9730" max="9730" width="15.28515625" style="60" customWidth="1"/>
    <col min="9731" max="9731" width="11.85546875" style="60" customWidth="1"/>
    <col min="9732" max="9732" width="6.140625" style="60" customWidth="1"/>
    <col min="9733" max="9733" width="11.85546875" style="60" customWidth="1"/>
    <col min="9734" max="9734" width="9.42578125" style="60" customWidth="1"/>
    <col min="9735" max="9735" width="14.7109375" style="60" customWidth="1"/>
    <col min="9736" max="9736" width="11.5703125" style="60" customWidth="1"/>
    <col min="9737" max="9737" width="0.42578125" style="60" customWidth="1"/>
    <col min="9738" max="9738" width="10.5703125" style="60" bestFit="1" customWidth="1"/>
    <col min="9739" max="9739" width="12.28515625" style="60" customWidth="1"/>
    <col min="9740" max="9740" width="12.5703125" style="60" customWidth="1"/>
    <col min="9741" max="9741" width="10.5703125" style="60" customWidth="1"/>
    <col min="9742" max="9742" width="10.140625" style="60" customWidth="1"/>
    <col min="9743" max="9743" width="8.42578125" style="60" customWidth="1"/>
    <col min="9744" max="9744" width="18.85546875" style="60" customWidth="1"/>
    <col min="9745" max="9745" width="10.28515625" style="60" customWidth="1"/>
    <col min="9746" max="9746" width="11.42578125" style="60"/>
    <col min="9747" max="9747" width="12.140625" style="60" customWidth="1"/>
    <col min="9748" max="9748" width="10.5703125" style="60" customWidth="1"/>
    <col min="9749" max="9749" width="12.42578125" style="60" customWidth="1"/>
    <col min="9750" max="9750" width="15.140625" style="60" customWidth="1"/>
    <col min="9751" max="9751" width="13.5703125" style="60" customWidth="1"/>
    <col min="9752" max="9752" width="13.140625" style="60" customWidth="1"/>
    <col min="9753" max="9753" width="15.7109375" style="60" customWidth="1"/>
    <col min="9754" max="9754" width="37.5703125" style="60" customWidth="1"/>
    <col min="9755" max="9976" width="11.42578125" style="60"/>
    <col min="9977" max="9977" width="10.5703125" style="60" customWidth="1"/>
    <col min="9978" max="9978" width="4.85546875" style="60" customWidth="1"/>
    <col min="9979" max="9979" width="32.42578125" style="60" customWidth="1"/>
    <col min="9980" max="9980" width="9.85546875" style="60" customWidth="1"/>
    <col min="9981" max="9981" width="10.140625" style="60" customWidth="1"/>
    <col min="9982" max="9982" width="12.28515625" style="60" customWidth="1"/>
    <col min="9983" max="9983" width="15.42578125" style="60" customWidth="1"/>
    <col min="9984" max="9984" width="11.85546875" style="60" customWidth="1"/>
    <col min="9985" max="9985" width="13.28515625" style="60" customWidth="1"/>
    <col min="9986" max="9986" width="15.28515625" style="60" customWidth="1"/>
    <col min="9987" max="9987" width="11.85546875" style="60" customWidth="1"/>
    <col min="9988" max="9988" width="6.140625" style="60" customWidth="1"/>
    <col min="9989" max="9989" width="11.85546875" style="60" customWidth="1"/>
    <col min="9990" max="9990" width="9.42578125" style="60" customWidth="1"/>
    <col min="9991" max="9991" width="14.7109375" style="60" customWidth="1"/>
    <col min="9992" max="9992" width="11.5703125" style="60" customWidth="1"/>
    <col min="9993" max="9993" width="0.42578125" style="60" customWidth="1"/>
    <col min="9994" max="9994" width="10.5703125" style="60" bestFit="1" customWidth="1"/>
    <col min="9995" max="9995" width="12.28515625" style="60" customWidth="1"/>
    <col min="9996" max="9996" width="12.5703125" style="60" customWidth="1"/>
    <col min="9997" max="9997" width="10.5703125" style="60" customWidth="1"/>
    <col min="9998" max="9998" width="10.140625" style="60" customWidth="1"/>
    <col min="9999" max="9999" width="8.42578125" style="60" customWidth="1"/>
    <col min="10000" max="10000" width="18.85546875" style="60" customWidth="1"/>
    <col min="10001" max="10001" width="10.28515625" style="60" customWidth="1"/>
    <col min="10002" max="10002" width="11.42578125" style="60"/>
    <col min="10003" max="10003" width="12.140625" style="60" customWidth="1"/>
    <col min="10004" max="10004" width="10.5703125" style="60" customWidth="1"/>
    <col min="10005" max="10005" width="12.42578125" style="60" customWidth="1"/>
    <col min="10006" max="10006" width="15.140625" style="60" customWidth="1"/>
    <col min="10007" max="10007" width="13.5703125" style="60" customWidth="1"/>
    <col min="10008" max="10008" width="13.140625" style="60" customWidth="1"/>
    <col min="10009" max="10009" width="15.7109375" style="60" customWidth="1"/>
    <col min="10010" max="10010" width="37.5703125" style="60" customWidth="1"/>
    <col min="10011" max="10232" width="11.42578125" style="60"/>
    <col min="10233" max="10233" width="10.5703125" style="60" customWidth="1"/>
    <col min="10234" max="10234" width="4.85546875" style="60" customWidth="1"/>
    <col min="10235" max="10235" width="32.42578125" style="60" customWidth="1"/>
    <col min="10236" max="10236" width="9.85546875" style="60" customWidth="1"/>
    <col min="10237" max="10237" width="10.140625" style="60" customWidth="1"/>
    <col min="10238" max="10238" width="12.28515625" style="60" customWidth="1"/>
    <col min="10239" max="10239" width="15.42578125" style="60" customWidth="1"/>
    <col min="10240" max="10240" width="11.85546875" style="60" customWidth="1"/>
    <col min="10241" max="10241" width="13.28515625" style="60" customWidth="1"/>
    <col min="10242" max="10242" width="15.28515625" style="60" customWidth="1"/>
    <col min="10243" max="10243" width="11.85546875" style="60" customWidth="1"/>
    <col min="10244" max="10244" width="6.140625" style="60" customWidth="1"/>
    <col min="10245" max="10245" width="11.85546875" style="60" customWidth="1"/>
    <col min="10246" max="10246" width="9.42578125" style="60" customWidth="1"/>
    <col min="10247" max="10247" width="14.7109375" style="60" customWidth="1"/>
    <col min="10248" max="10248" width="11.5703125" style="60" customWidth="1"/>
    <col min="10249" max="10249" width="0.42578125" style="60" customWidth="1"/>
    <col min="10250" max="10250" width="10.5703125" style="60" bestFit="1" customWidth="1"/>
    <col min="10251" max="10251" width="12.28515625" style="60" customWidth="1"/>
    <col min="10252" max="10252" width="12.5703125" style="60" customWidth="1"/>
    <col min="10253" max="10253" width="10.5703125" style="60" customWidth="1"/>
    <col min="10254" max="10254" width="10.140625" style="60" customWidth="1"/>
    <col min="10255" max="10255" width="8.42578125" style="60" customWidth="1"/>
    <col min="10256" max="10256" width="18.85546875" style="60" customWidth="1"/>
    <col min="10257" max="10257" width="10.28515625" style="60" customWidth="1"/>
    <col min="10258" max="10258" width="11.42578125" style="60"/>
    <col min="10259" max="10259" width="12.140625" style="60" customWidth="1"/>
    <col min="10260" max="10260" width="10.5703125" style="60" customWidth="1"/>
    <col min="10261" max="10261" width="12.42578125" style="60" customWidth="1"/>
    <col min="10262" max="10262" width="15.140625" style="60" customWidth="1"/>
    <col min="10263" max="10263" width="13.5703125" style="60" customWidth="1"/>
    <col min="10264" max="10264" width="13.140625" style="60" customWidth="1"/>
    <col min="10265" max="10265" width="15.7109375" style="60" customWidth="1"/>
    <col min="10266" max="10266" width="37.5703125" style="60" customWidth="1"/>
    <col min="10267" max="10488" width="11.42578125" style="60"/>
    <col min="10489" max="10489" width="10.5703125" style="60" customWidth="1"/>
    <col min="10490" max="10490" width="4.85546875" style="60" customWidth="1"/>
    <col min="10491" max="10491" width="32.42578125" style="60" customWidth="1"/>
    <col min="10492" max="10492" width="9.85546875" style="60" customWidth="1"/>
    <col min="10493" max="10493" width="10.140625" style="60" customWidth="1"/>
    <col min="10494" max="10494" width="12.28515625" style="60" customWidth="1"/>
    <col min="10495" max="10495" width="15.42578125" style="60" customWidth="1"/>
    <col min="10496" max="10496" width="11.85546875" style="60" customWidth="1"/>
    <col min="10497" max="10497" width="13.28515625" style="60" customWidth="1"/>
    <col min="10498" max="10498" width="15.28515625" style="60" customWidth="1"/>
    <col min="10499" max="10499" width="11.85546875" style="60" customWidth="1"/>
    <col min="10500" max="10500" width="6.140625" style="60" customWidth="1"/>
    <col min="10501" max="10501" width="11.85546875" style="60" customWidth="1"/>
    <col min="10502" max="10502" width="9.42578125" style="60" customWidth="1"/>
    <col min="10503" max="10503" width="14.7109375" style="60" customWidth="1"/>
    <col min="10504" max="10504" width="11.5703125" style="60" customWidth="1"/>
    <col min="10505" max="10505" width="0.42578125" style="60" customWidth="1"/>
    <col min="10506" max="10506" width="10.5703125" style="60" bestFit="1" customWidth="1"/>
    <col min="10507" max="10507" width="12.28515625" style="60" customWidth="1"/>
    <col min="10508" max="10508" width="12.5703125" style="60" customWidth="1"/>
    <col min="10509" max="10509" width="10.5703125" style="60" customWidth="1"/>
    <col min="10510" max="10510" width="10.140625" style="60" customWidth="1"/>
    <col min="10511" max="10511" width="8.42578125" style="60" customWidth="1"/>
    <col min="10512" max="10512" width="18.85546875" style="60" customWidth="1"/>
    <col min="10513" max="10513" width="10.28515625" style="60" customWidth="1"/>
    <col min="10514" max="10514" width="11.42578125" style="60"/>
    <col min="10515" max="10515" width="12.140625" style="60" customWidth="1"/>
    <col min="10516" max="10516" width="10.5703125" style="60" customWidth="1"/>
    <col min="10517" max="10517" width="12.42578125" style="60" customWidth="1"/>
    <col min="10518" max="10518" width="15.140625" style="60" customWidth="1"/>
    <col min="10519" max="10519" width="13.5703125" style="60" customWidth="1"/>
    <col min="10520" max="10520" width="13.140625" style="60" customWidth="1"/>
    <col min="10521" max="10521" width="15.7109375" style="60" customWidth="1"/>
    <col min="10522" max="10522" width="37.5703125" style="60" customWidth="1"/>
    <col min="10523" max="10744" width="11.42578125" style="60"/>
    <col min="10745" max="10745" width="10.5703125" style="60" customWidth="1"/>
    <col min="10746" max="10746" width="4.85546875" style="60" customWidth="1"/>
    <col min="10747" max="10747" width="32.42578125" style="60" customWidth="1"/>
    <col min="10748" max="10748" width="9.85546875" style="60" customWidth="1"/>
    <col min="10749" max="10749" width="10.140625" style="60" customWidth="1"/>
    <col min="10750" max="10750" width="12.28515625" style="60" customWidth="1"/>
    <col min="10751" max="10751" width="15.42578125" style="60" customWidth="1"/>
    <col min="10752" max="10752" width="11.85546875" style="60" customWidth="1"/>
    <col min="10753" max="10753" width="13.28515625" style="60" customWidth="1"/>
    <col min="10754" max="10754" width="15.28515625" style="60" customWidth="1"/>
    <col min="10755" max="10755" width="11.85546875" style="60" customWidth="1"/>
    <col min="10756" max="10756" width="6.140625" style="60" customWidth="1"/>
    <col min="10757" max="10757" width="11.85546875" style="60" customWidth="1"/>
    <col min="10758" max="10758" width="9.42578125" style="60" customWidth="1"/>
    <col min="10759" max="10759" width="14.7109375" style="60" customWidth="1"/>
    <col min="10760" max="10760" width="11.5703125" style="60" customWidth="1"/>
    <col min="10761" max="10761" width="0.42578125" style="60" customWidth="1"/>
    <col min="10762" max="10762" width="10.5703125" style="60" bestFit="1" customWidth="1"/>
    <col min="10763" max="10763" width="12.28515625" style="60" customWidth="1"/>
    <col min="10764" max="10764" width="12.5703125" style="60" customWidth="1"/>
    <col min="10765" max="10765" width="10.5703125" style="60" customWidth="1"/>
    <col min="10766" max="10766" width="10.140625" style="60" customWidth="1"/>
    <col min="10767" max="10767" width="8.42578125" style="60" customWidth="1"/>
    <col min="10768" max="10768" width="18.85546875" style="60" customWidth="1"/>
    <col min="10769" max="10769" width="10.28515625" style="60" customWidth="1"/>
    <col min="10770" max="10770" width="11.42578125" style="60"/>
    <col min="10771" max="10771" width="12.140625" style="60" customWidth="1"/>
    <col min="10772" max="10772" width="10.5703125" style="60" customWidth="1"/>
    <col min="10773" max="10773" width="12.42578125" style="60" customWidth="1"/>
    <col min="10774" max="10774" width="15.140625" style="60" customWidth="1"/>
    <col min="10775" max="10775" width="13.5703125" style="60" customWidth="1"/>
    <col min="10776" max="10776" width="13.140625" style="60" customWidth="1"/>
    <col min="10777" max="10777" width="15.7109375" style="60" customWidth="1"/>
    <col min="10778" max="10778" width="37.5703125" style="60" customWidth="1"/>
    <col min="10779" max="11000" width="11.42578125" style="60"/>
    <col min="11001" max="11001" width="10.5703125" style="60" customWidth="1"/>
    <col min="11002" max="11002" width="4.85546875" style="60" customWidth="1"/>
    <col min="11003" max="11003" width="32.42578125" style="60" customWidth="1"/>
    <col min="11004" max="11004" width="9.85546875" style="60" customWidth="1"/>
    <col min="11005" max="11005" width="10.140625" style="60" customWidth="1"/>
    <col min="11006" max="11006" width="12.28515625" style="60" customWidth="1"/>
    <col min="11007" max="11007" width="15.42578125" style="60" customWidth="1"/>
    <col min="11008" max="11008" width="11.85546875" style="60" customWidth="1"/>
    <col min="11009" max="11009" width="13.28515625" style="60" customWidth="1"/>
    <col min="11010" max="11010" width="15.28515625" style="60" customWidth="1"/>
    <col min="11011" max="11011" width="11.85546875" style="60" customWidth="1"/>
    <col min="11012" max="11012" width="6.140625" style="60" customWidth="1"/>
    <col min="11013" max="11013" width="11.85546875" style="60" customWidth="1"/>
    <col min="11014" max="11014" width="9.42578125" style="60" customWidth="1"/>
    <col min="11015" max="11015" width="14.7109375" style="60" customWidth="1"/>
    <col min="11016" max="11016" width="11.5703125" style="60" customWidth="1"/>
    <col min="11017" max="11017" width="0.42578125" style="60" customWidth="1"/>
    <col min="11018" max="11018" width="10.5703125" style="60" bestFit="1" customWidth="1"/>
    <col min="11019" max="11019" width="12.28515625" style="60" customWidth="1"/>
    <col min="11020" max="11020" width="12.5703125" style="60" customWidth="1"/>
    <col min="11021" max="11021" width="10.5703125" style="60" customWidth="1"/>
    <col min="11022" max="11022" width="10.140625" style="60" customWidth="1"/>
    <col min="11023" max="11023" width="8.42578125" style="60" customWidth="1"/>
    <col min="11024" max="11024" width="18.85546875" style="60" customWidth="1"/>
    <col min="11025" max="11025" width="10.28515625" style="60" customWidth="1"/>
    <col min="11026" max="11026" width="11.42578125" style="60"/>
    <col min="11027" max="11027" width="12.140625" style="60" customWidth="1"/>
    <col min="11028" max="11028" width="10.5703125" style="60" customWidth="1"/>
    <col min="11029" max="11029" width="12.42578125" style="60" customWidth="1"/>
    <col min="11030" max="11030" width="15.140625" style="60" customWidth="1"/>
    <col min="11031" max="11031" width="13.5703125" style="60" customWidth="1"/>
    <col min="11032" max="11032" width="13.140625" style="60" customWidth="1"/>
    <col min="11033" max="11033" width="15.7109375" style="60" customWidth="1"/>
    <col min="11034" max="11034" width="37.5703125" style="60" customWidth="1"/>
    <col min="11035" max="11256" width="11.42578125" style="60"/>
    <col min="11257" max="11257" width="10.5703125" style="60" customWidth="1"/>
    <col min="11258" max="11258" width="4.85546875" style="60" customWidth="1"/>
    <col min="11259" max="11259" width="32.42578125" style="60" customWidth="1"/>
    <col min="11260" max="11260" width="9.85546875" style="60" customWidth="1"/>
    <col min="11261" max="11261" width="10.140625" style="60" customWidth="1"/>
    <col min="11262" max="11262" width="12.28515625" style="60" customWidth="1"/>
    <col min="11263" max="11263" width="15.42578125" style="60" customWidth="1"/>
    <col min="11264" max="11264" width="11.85546875" style="60" customWidth="1"/>
    <col min="11265" max="11265" width="13.28515625" style="60" customWidth="1"/>
    <col min="11266" max="11266" width="15.28515625" style="60" customWidth="1"/>
    <col min="11267" max="11267" width="11.85546875" style="60" customWidth="1"/>
    <col min="11268" max="11268" width="6.140625" style="60" customWidth="1"/>
    <col min="11269" max="11269" width="11.85546875" style="60" customWidth="1"/>
    <col min="11270" max="11270" width="9.42578125" style="60" customWidth="1"/>
    <col min="11271" max="11271" width="14.7109375" style="60" customWidth="1"/>
    <col min="11272" max="11272" width="11.5703125" style="60" customWidth="1"/>
    <col min="11273" max="11273" width="0.42578125" style="60" customWidth="1"/>
    <col min="11274" max="11274" width="10.5703125" style="60" bestFit="1" customWidth="1"/>
    <col min="11275" max="11275" width="12.28515625" style="60" customWidth="1"/>
    <col min="11276" max="11276" width="12.5703125" style="60" customWidth="1"/>
    <col min="11277" max="11277" width="10.5703125" style="60" customWidth="1"/>
    <col min="11278" max="11278" width="10.140625" style="60" customWidth="1"/>
    <col min="11279" max="11279" width="8.42578125" style="60" customWidth="1"/>
    <col min="11280" max="11280" width="18.85546875" style="60" customWidth="1"/>
    <col min="11281" max="11281" width="10.28515625" style="60" customWidth="1"/>
    <col min="11282" max="11282" width="11.42578125" style="60"/>
    <col min="11283" max="11283" width="12.140625" style="60" customWidth="1"/>
    <col min="11284" max="11284" width="10.5703125" style="60" customWidth="1"/>
    <col min="11285" max="11285" width="12.42578125" style="60" customWidth="1"/>
    <col min="11286" max="11286" width="15.140625" style="60" customWidth="1"/>
    <col min="11287" max="11287" width="13.5703125" style="60" customWidth="1"/>
    <col min="11288" max="11288" width="13.140625" style="60" customWidth="1"/>
    <col min="11289" max="11289" width="15.7109375" style="60" customWidth="1"/>
    <col min="11290" max="11290" width="37.5703125" style="60" customWidth="1"/>
    <col min="11291" max="11512" width="11.42578125" style="60"/>
    <col min="11513" max="11513" width="10.5703125" style="60" customWidth="1"/>
    <col min="11514" max="11514" width="4.85546875" style="60" customWidth="1"/>
    <col min="11515" max="11515" width="32.42578125" style="60" customWidth="1"/>
    <col min="11516" max="11516" width="9.85546875" style="60" customWidth="1"/>
    <col min="11517" max="11517" width="10.140625" style="60" customWidth="1"/>
    <col min="11518" max="11518" width="12.28515625" style="60" customWidth="1"/>
    <col min="11519" max="11519" width="15.42578125" style="60" customWidth="1"/>
    <col min="11520" max="11520" width="11.85546875" style="60" customWidth="1"/>
    <col min="11521" max="11521" width="13.28515625" style="60" customWidth="1"/>
    <col min="11522" max="11522" width="15.28515625" style="60" customWidth="1"/>
    <col min="11523" max="11523" width="11.85546875" style="60" customWidth="1"/>
    <col min="11524" max="11524" width="6.140625" style="60" customWidth="1"/>
    <col min="11525" max="11525" width="11.85546875" style="60" customWidth="1"/>
    <col min="11526" max="11526" width="9.42578125" style="60" customWidth="1"/>
    <col min="11527" max="11527" width="14.7109375" style="60" customWidth="1"/>
    <col min="11528" max="11528" width="11.5703125" style="60" customWidth="1"/>
    <col min="11529" max="11529" width="0.42578125" style="60" customWidth="1"/>
    <col min="11530" max="11530" width="10.5703125" style="60" bestFit="1" customWidth="1"/>
    <col min="11531" max="11531" width="12.28515625" style="60" customWidth="1"/>
    <col min="11532" max="11532" width="12.5703125" style="60" customWidth="1"/>
    <col min="11533" max="11533" width="10.5703125" style="60" customWidth="1"/>
    <col min="11534" max="11534" width="10.140625" style="60" customWidth="1"/>
    <col min="11535" max="11535" width="8.42578125" style="60" customWidth="1"/>
    <col min="11536" max="11536" width="18.85546875" style="60" customWidth="1"/>
    <col min="11537" max="11537" width="10.28515625" style="60" customWidth="1"/>
    <col min="11538" max="11538" width="11.42578125" style="60"/>
    <col min="11539" max="11539" width="12.140625" style="60" customWidth="1"/>
    <col min="11540" max="11540" width="10.5703125" style="60" customWidth="1"/>
    <col min="11541" max="11541" width="12.42578125" style="60" customWidth="1"/>
    <col min="11542" max="11542" width="15.140625" style="60" customWidth="1"/>
    <col min="11543" max="11543" width="13.5703125" style="60" customWidth="1"/>
    <col min="11544" max="11544" width="13.140625" style="60" customWidth="1"/>
    <col min="11545" max="11545" width="15.7109375" style="60" customWidth="1"/>
    <col min="11546" max="11546" width="37.5703125" style="60" customWidth="1"/>
    <col min="11547" max="11768" width="11.42578125" style="60"/>
    <col min="11769" max="11769" width="10.5703125" style="60" customWidth="1"/>
    <col min="11770" max="11770" width="4.85546875" style="60" customWidth="1"/>
    <col min="11771" max="11771" width="32.42578125" style="60" customWidth="1"/>
    <col min="11772" max="11772" width="9.85546875" style="60" customWidth="1"/>
    <col min="11773" max="11773" width="10.140625" style="60" customWidth="1"/>
    <col min="11774" max="11774" width="12.28515625" style="60" customWidth="1"/>
    <col min="11775" max="11775" width="15.42578125" style="60" customWidth="1"/>
    <col min="11776" max="11776" width="11.85546875" style="60" customWidth="1"/>
    <col min="11777" max="11777" width="13.28515625" style="60" customWidth="1"/>
    <col min="11778" max="11778" width="15.28515625" style="60" customWidth="1"/>
    <col min="11779" max="11779" width="11.85546875" style="60" customWidth="1"/>
    <col min="11780" max="11780" width="6.140625" style="60" customWidth="1"/>
    <col min="11781" max="11781" width="11.85546875" style="60" customWidth="1"/>
    <col min="11782" max="11782" width="9.42578125" style="60" customWidth="1"/>
    <col min="11783" max="11783" width="14.7109375" style="60" customWidth="1"/>
    <col min="11784" max="11784" width="11.5703125" style="60" customWidth="1"/>
    <col min="11785" max="11785" width="0.42578125" style="60" customWidth="1"/>
    <col min="11786" max="11786" width="10.5703125" style="60" bestFit="1" customWidth="1"/>
    <col min="11787" max="11787" width="12.28515625" style="60" customWidth="1"/>
    <col min="11788" max="11788" width="12.5703125" style="60" customWidth="1"/>
    <col min="11789" max="11789" width="10.5703125" style="60" customWidth="1"/>
    <col min="11790" max="11790" width="10.140625" style="60" customWidth="1"/>
    <col min="11791" max="11791" width="8.42578125" style="60" customWidth="1"/>
    <col min="11792" max="11792" width="18.85546875" style="60" customWidth="1"/>
    <col min="11793" max="11793" width="10.28515625" style="60" customWidth="1"/>
    <col min="11794" max="11794" width="11.42578125" style="60"/>
    <col min="11795" max="11795" width="12.140625" style="60" customWidth="1"/>
    <col min="11796" max="11796" width="10.5703125" style="60" customWidth="1"/>
    <col min="11797" max="11797" width="12.42578125" style="60" customWidth="1"/>
    <col min="11798" max="11798" width="15.140625" style="60" customWidth="1"/>
    <col min="11799" max="11799" width="13.5703125" style="60" customWidth="1"/>
    <col min="11800" max="11800" width="13.140625" style="60" customWidth="1"/>
    <col min="11801" max="11801" width="15.7109375" style="60" customWidth="1"/>
    <col min="11802" max="11802" width="37.5703125" style="60" customWidth="1"/>
    <col min="11803" max="12024" width="11.42578125" style="60"/>
    <col min="12025" max="12025" width="10.5703125" style="60" customWidth="1"/>
    <col min="12026" max="12026" width="4.85546875" style="60" customWidth="1"/>
    <col min="12027" max="12027" width="32.42578125" style="60" customWidth="1"/>
    <col min="12028" max="12028" width="9.85546875" style="60" customWidth="1"/>
    <col min="12029" max="12029" width="10.140625" style="60" customWidth="1"/>
    <col min="12030" max="12030" width="12.28515625" style="60" customWidth="1"/>
    <col min="12031" max="12031" width="15.42578125" style="60" customWidth="1"/>
    <col min="12032" max="12032" width="11.85546875" style="60" customWidth="1"/>
    <col min="12033" max="12033" width="13.28515625" style="60" customWidth="1"/>
    <col min="12034" max="12034" width="15.28515625" style="60" customWidth="1"/>
    <col min="12035" max="12035" width="11.85546875" style="60" customWidth="1"/>
    <col min="12036" max="12036" width="6.140625" style="60" customWidth="1"/>
    <col min="12037" max="12037" width="11.85546875" style="60" customWidth="1"/>
    <col min="12038" max="12038" width="9.42578125" style="60" customWidth="1"/>
    <col min="12039" max="12039" width="14.7109375" style="60" customWidth="1"/>
    <col min="12040" max="12040" width="11.5703125" style="60" customWidth="1"/>
    <col min="12041" max="12041" width="0.42578125" style="60" customWidth="1"/>
    <col min="12042" max="12042" width="10.5703125" style="60" bestFit="1" customWidth="1"/>
    <col min="12043" max="12043" width="12.28515625" style="60" customWidth="1"/>
    <col min="12044" max="12044" width="12.5703125" style="60" customWidth="1"/>
    <col min="12045" max="12045" width="10.5703125" style="60" customWidth="1"/>
    <col min="12046" max="12046" width="10.140625" style="60" customWidth="1"/>
    <col min="12047" max="12047" width="8.42578125" style="60" customWidth="1"/>
    <col min="12048" max="12048" width="18.85546875" style="60" customWidth="1"/>
    <col min="12049" max="12049" width="10.28515625" style="60" customWidth="1"/>
    <col min="12050" max="12050" width="11.42578125" style="60"/>
    <col min="12051" max="12051" width="12.140625" style="60" customWidth="1"/>
    <col min="12052" max="12052" width="10.5703125" style="60" customWidth="1"/>
    <col min="12053" max="12053" width="12.42578125" style="60" customWidth="1"/>
    <col min="12054" max="12054" width="15.140625" style="60" customWidth="1"/>
    <col min="12055" max="12055" width="13.5703125" style="60" customWidth="1"/>
    <col min="12056" max="12056" width="13.140625" style="60" customWidth="1"/>
    <col min="12057" max="12057" width="15.7109375" style="60" customWidth="1"/>
    <col min="12058" max="12058" width="37.5703125" style="60" customWidth="1"/>
    <col min="12059" max="12280" width="11.42578125" style="60"/>
    <col min="12281" max="12281" width="10.5703125" style="60" customWidth="1"/>
    <col min="12282" max="12282" width="4.85546875" style="60" customWidth="1"/>
    <col min="12283" max="12283" width="32.42578125" style="60" customWidth="1"/>
    <col min="12284" max="12284" width="9.85546875" style="60" customWidth="1"/>
    <col min="12285" max="12285" width="10.140625" style="60" customWidth="1"/>
    <col min="12286" max="12286" width="12.28515625" style="60" customWidth="1"/>
    <col min="12287" max="12287" width="15.42578125" style="60" customWidth="1"/>
    <col min="12288" max="12288" width="11.85546875" style="60" customWidth="1"/>
    <col min="12289" max="12289" width="13.28515625" style="60" customWidth="1"/>
    <col min="12290" max="12290" width="15.28515625" style="60" customWidth="1"/>
    <col min="12291" max="12291" width="11.85546875" style="60" customWidth="1"/>
    <col min="12292" max="12292" width="6.140625" style="60" customWidth="1"/>
    <col min="12293" max="12293" width="11.85546875" style="60" customWidth="1"/>
    <col min="12294" max="12294" width="9.42578125" style="60" customWidth="1"/>
    <col min="12295" max="12295" width="14.7109375" style="60" customWidth="1"/>
    <col min="12296" max="12296" width="11.5703125" style="60" customWidth="1"/>
    <col min="12297" max="12297" width="0.42578125" style="60" customWidth="1"/>
    <col min="12298" max="12298" width="10.5703125" style="60" bestFit="1" customWidth="1"/>
    <col min="12299" max="12299" width="12.28515625" style="60" customWidth="1"/>
    <col min="12300" max="12300" width="12.5703125" style="60" customWidth="1"/>
    <col min="12301" max="12301" width="10.5703125" style="60" customWidth="1"/>
    <col min="12302" max="12302" width="10.140625" style="60" customWidth="1"/>
    <col min="12303" max="12303" width="8.42578125" style="60" customWidth="1"/>
    <col min="12304" max="12304" width="18.85546875" style="60" customWidth="1"/>
    <col min="12305" max="12305" width="10.28515625" style="60" customWidth="1"/>
    <col min="12306" max="12306" width="11.42578125" style="60"/>
    <col min="12307" max="12307" width="12.140625" style="60" customWidth="1"/>
    <col min="12308" max="12308" width="10.5703125" style="60" customWidth="1"/>
    <col min="12309" max="12309" width="12.42578125" style="60" customWidth="1"/>
    <col min="12310" max="12310" width="15.140625" style="60" customWidth="1"/>
    <col min="12311" max="12311" width="13.5703125" style="60" customWidth="1"/>
    <col min="12312" max="12312" width="13.140625" style="60" customWidth="1"/>
    <col min="12313" max="12313" width="15.7109375" style="60" customWidth="1"/>
    <col min="12314" max="12314" width="37.5703125" style="60" customWidth="1"/>
    <col min="12315" max="12536" width="11.42578125" style="60"/>
    <col min="12537" max="12537" width="10.5703125" style="60" customWidth="1"/>
    <col min="12538" max="12538" width="4.85546875" style="60" customWidth="1"/>
    <col min="12539" max="12539" width="32.42578125" style="60" customWidth="1"/>
    <col min="12540" max="12540" width="9.85546875" style="60" customWidth="1"/>
    <col min="12541" max="12541" width="10.140625" style="60" customWidth="1"/>
    <col min="12542" max="12542" width="12.28515625" style="60" customWidth="1"/>
    <col min="12543" max="12543" width="15.42578125" style="60" customWidth="1"/>
    <col min="12544" max="12544" width="11.85546875" style="60" customWidth="1"/>
    <col min="12545" max="12545" width="13.28515625" style="60" customWidth="1"/>
    <col min="12546" max="12546" width="15.28515625" style="60" customWidth="1"/>
    <col min="12547" max="12547" width="11.85546875" style="60" customWidth="1"/>
    <col min="12548" max="12548" width="6.140625" style="60" customWidth="1"/>
    <col min="12549" max="12549" width="11.85546875" style="60" customWidth="1"/>
    <col min="12550" max="12550" width="9.42578125" style="60" customWidth="1"/>
    <col min="12551" max="12551" width="14.7109375" style="60" customWidth="1"/>
    <col min="12552" max="12552" width="11.5703125" style="60" customWidth="1"/>
    <col min="12553" max="12553" width="0.42578125" style="60" customWidth="1"/>
    <col min="12554" max="12554" width="10.5703125" style="60" bestFit="1" customWidth="1"/>
    <col min="12555" max="12555" width="12.28515625" style="60" customWidth="1"/>
    <col min="12556" max="12556" width="12.5703125" style="60" customWidth="1"/>
    <col min="12557" max="12557" width="10.5703125" style="60" customWidth="1"/>
    <col min="12558" max="12558" width="10.140625" style="60" customWidth="1"/>
    <col min="12559" max="12559" width="8.42578125" style="60" customWidth="1"/>
    <col min="12560" max="12560" width="18.85546875" style="60" customWidth="1"/>
    <col min="12561" max="12561" width="10.28515625" style="60" customWidth="1"/>
    <col min="12562" max="12562" width="11.42578125" style="60"/>
    <col min="12563" max="12563" width="12.140625" style="60" customWidth="1"/>
    <col min="12564" max="12564" width="10.5703125" style="60" customWidth="1"/>
    <col min="12565" max="12565" width="12.42578125" style="60" customWidth="1"/>
    <col min="12566" max="12566" width="15.140625" style="60" customWidth="1"/>
    <col min="12567" max="12567" width="13.5703125" style="60" customWidth="1"/>
    <col min="12568" max="12568" width="13.140625" style="60" customWidth="1"/>
    <col min="12569" max="12569" width="15.7109375" style="60" customWidth="1"/>
    <col min="12570" max="12570" width="37.5703125" style="60" customWidth="1"/>
    <col min="12571" max="12792" width="11.42578125" style="60"/>
    <col min="12793" max="12793" width="10.5703125" style="60" customWidth="1"/>
    <col min="12794" max="12794" width="4.85546875" style="60" customWidth="1"/>
    <col min="12795" max="12795" width="32.42578125" style="60" customWidth="1"/>
    <col min="12796" max="12796" width="9.85546875" style="60" customWidth="1"/>
    <col min="12797" max="12797" width="10.140625" style="60" customWidth="1"/>
    <col min="12798" max="12798" width="12.28515625" style="60" customWidth="1"/>
    <col min="12799" max="12799" width="15.42578125" style="60" customWidth="1"/>
    <col min="12800" max="12800" width="11.85546875" style="60" customWidth="1"/>
    <col min="12801" max="12801" width="13.28515625" style="60" customWidth="1"/>
    <col min="12802" max="12802" width="15.28515625" style="60" customWidth="1"/>
    <col min="12803" max="12803" width="11.85546875" style="60" customWidth="1"/>
    <col min="12804" max="12804" width="6.140625" style="60" customWidth="1"/>
    <col min="12805" max="12805" width="11.85546875" style="60" customWidth="1"/>
    <col min="12806" max="12806" width="9.42578125" style="60" customWidth="1"/>
    <col min="12807" max="12807" width="14.7109375" style="60" customWidth="1"/>
    <col min="12808" max="12808" width="11.5703125" style="60" customWidth="1"/>
    <col min="12809" max="12809" width="0.42578125" style="60" customWidth="1"/>
    <col min="12810" max="12810" width="10.5703125" style="60" bestFit="1" customWidth="1"/>
    <col min="12811" max="12811" width="12.28515625" style="60" customWidth="1"/>
    <col min="12812" max="12812" width="12.5703125" style="60" customWidth="1"/>
    <col min="12813" max="12813" width="10.5703125" style="60" customWidth="1"/>
    <col min="12814" max="12814" width="10.140625" style="60" customWidth="1"/>
    <col min="12815" max="12815" width="8.42578125" style="60" customWidth="1"/>
    <col min="12816" max="12816" width="18.85546875" style="60" customWidth="1"/>
    <col min="12817" max="12817" width="10.28515625" style="60" customWidth="1"/>
    <col min="12818" max="12818" width="11.42578125" style="60"/>
    <col min="12819" max="12819" width="12.140625" style="60" customWidth="1"/>
    <col min="12820" max="12820" width="10.5703125" style="60" customWidth="1"/>
    <col min="12821" max="12821" width="12.42578125" style="60" customWidth="1"/>
    <col min="12822" max="12822" width="15.140625" style="60" customWidth="1"/>
    <col min="12823" max="12823" width="13.5703125" style="60" customWidth="1"/>
    <col min="12824" max="12824" width="13.140625" style="60" customWidth="1"/>
    <col min="12825" max="12825" width="15.7109375" style="60" customWidth="1"/>
    <col min="12826" max="12826" width="37.5703125" style="60" customWidth="1"/>
    <col min="12827" max="13048" width="11.42578125" style="60"/>
    <col min="13049" max="13049" width="10.5703125" style="60" customWidth="1"/>
    <col min="13050" max="13050" width="4.85546875" style="60" customWidth="1"/>
    <col min="13051" max="13051" width="32.42578125" style="60" customWidth="1"/>
    <col min="13052" max="13052" width="9.85546875" style="60" customWidth="1"/>
    <col min="13053" max="13053" width="10.140625" style="60" customWidth="1"/>
    <col min="13054" max="13054" width="12.28515625" style="60" customWidth="1"/>
    <col min="13055" max="13055" width="15.42578125" style="60" customWidth="1"/>
    <col min="13056" max="13056" width="11.85546875" style="60" customWidth="1"/>
    <col min="13057" max="13057" width="13.28515625" style="60" customWidth="1"/>
    <col min="13058" max="13058" width="15.28515625" style="60" customWidth="1"/>
    <col min="13059" max="13059" width="11.85546875" style="60" customWidth="1"/>
    <col min="13060" max="13060" width="6.140625" style="60" customWidth="1"/>
    <col min="13061" max="13061" width="11.85546875" style="60" customWidth="1"/>
    <col min="13062" max="13062" width="9.42578125" style="60" customWidth="1"/>
    <col min="13063" max="13063" width="14.7109375" style="60" customWidth="1"/>
    <col min="13064" max="13064" width="11.5703125" style="60" customWidth="1"/>
    <col min="13065" max="13065" width="0.42578125" style="60" customWidth="1"/>
    <col min="13066" max="13066" width="10.5703125" style="60" bestFit="1" customWidth="1"/>
    <col min="13067" max="13067" width="12.28515625" style="60" customWidth="1"/>
    <col min="13068" max="13068" width="12.5703125" style="60" customWidth="1"/>
    <col min="13069" max="13069" width="10.5703125" style="60" customWidth="1"/>
    <col min="13070" max="13070" width="10.140625" style="60" customWidth="1"/>
    <col min="13071" max="13071" width="8.42578125" style="60" customWidth="1"/>
    <col min="13072" max="13072" width="18.85546875" style="60" customWidth="1"/>
    <col min="13073" max="13073" width="10.28515625" style="60" customWidth="1"/>
    <col min="13074" max="13074" width="11.42578125" style="60"/>
    <col min="13075" max="13075" width="12.140625" style="60" customWidth="1"/>
    <col min="13076" max="13076" width="10.5703125" style="60" customWidth="1"/>
    <col min="13077" max="13077" width="12.42578125" style="60" customWidth="1"/>
    <col min="13078" max="13078" width="15.140625" style="60" customWidth="1"/>
    <col min="13079" max="13079" width="13.5703125" style="60" customWidth="1"/>
    <col min="13080" max="13080" width="13.140625" style="60" customWidth="1"/>
    <col min="13081" max="13081" width="15.7109375" style="60" customWidth="1"/>
    <col min="13082" max="13082" width="37.5703125" style="60" customWidth="1"/>
    <col min="13083" max="13304" width="11.42578125" style="60"/>
    <col min="13305" max="13305" width="10.5703125" style="60" customWidth="1"/>
    <col min="13306" max="13306" width="4.85546875" style="60" customWidth="1"/>
    <col min="13307" max="13307" width="32.42578125" style="60" customWidth="1"/>
    <col min="13308" max="13308" width="9.85546875" style="60" customWidth="1"/>
    <col min="13309" max="13309" width="10.140625" style="60" customWidth="1"/>
    <col min="13310" max="13310" width="12.28515625" style="60" customWidth="1"/>
    <col min="13311" max="13311" width="15.42578125" style="60" customWidth="1"/>
    <col min="13312" max="13312" width="11.85546875" style="60" customWidth="1"/>
    <col min="13313" max="13313" width="13.28515625" style="60" customWidth="1"/>
    <col min="13314" max="13314" width="15.28515625" style="60" customWidth="1"/>
    <col min="13315" max="13315" width="11.85546875" style="60" customWidth="1"/>
    <col min="13316" max="13316" width="6.140625" style="60" customWidth="1"/>
    <col min="13317" max="13317" width="11.85546875" style="60" customWidth="1"/>
    <col min="13318" max="13318" width="9.42578125" style="60" customWidth="1"/>
    <col min="13319" max="13319" width="14.7109375" style="60" customWidth="1"/>
    <col min="13320" max="13320" width="11.5703125" style="60" customWidth="1"/>
    <col min="13321" max="13321" width="0.42578125" style="60" customWidth="1"/>
    <col min="13322" max="13322" width="10.5703125" style="60" bestFit="1" customWidth="1"/>
    <col min="13323" max="13323" width="12.28515625" style="60" customWidth="1"/>
    <col min="13324" max="13324" width="12.5703125" style="60" customWidth="1"/>
    <col min="13325" max="13325" width="10.5703125" style="60" customWidth="1"/>
    <col min="13326" max="13326" width="10.140625" style="60" customWidth="1"/>
    <col min="13327" max="13327" width="8.42578125" style="60" customWidth="1"/>
    <col min="13328" max="13328" width="18.85546875" style="60" customWidth="1"/>
    <col min="13329" max="13329" width="10.28515625" style="60" customWidth="1"/>
    <col min="13330" max="13330" width="11.42578125" style="60"/>
    <col min="13331" max="13331" width="12.140625" style="60" customWidth="1"/>
    <col min="13332" max="13332" width="10.5703125" style="60" customWidth="1"/>
    <col min="13333" max="13333" width="12.42578125" style="60" customWidth="1"/>
    <col min="13334" max="13334" width="15.140625" style="60" customWidth="1"/>
    <col min="13335" max="13335" width="13.5703125" style="60" customWidth="1"/>
    <col min="13336" max="13336" width="13.140625" style="60" customWidth="1"/>
    <col min="13337" max="13337" width="15.7109375" style="60" customWidth="1"/>
    <col min="13338" max="13338" width="37.5703125" style="60" customWidth="1"/>
    <col min="13339" max="13560" width="11.42578125" style="60"/>
    <col min="13561" max="13561" width="10.5703125" style="60" customWidth="1"/>
    <col min="13562" max="13562" width="4.85546875" style="60" customWidth="1"/>
    <col min="13563" max="13563" width="32.42578125" style="60" customWidth="1"/>
    <col min="13564" max="13564" width="9.85546875" style="60" customWidth="1"/>
    <col min="13565" max="13565" width="10.140625" style="60" customWidth="1"/>
    <col min="13566" max="13566" width="12.28515625" style="60" customWidth="1"/>
    <col min="13567" max="13567" width="15.42578125" style="60" customWidth="1"/>
    <col min="13568" max="13568" width="11.85546875" style="60" customWidth="1"/>
    <col min="13569" max="13569" width="13.28515625" style="60" customWidth="1"/>
    <col min="13570" max="13570" width="15.28515625" style="60" customWidth="1"/>
    <col min="13571" max="13571" width="11.85546875" style="60" customWidth="1"/>
    <col min="13572" max="13572" width="6.140625" style="60" customWidth="1"/>
    <col min="13573" max="13573" width="11.85546875" style="60" customWidth="1"/>
    <col min="13574" max="13574" width="9.42578125" style="60" customWidth="1"/>
    <col min="13575" max="13575" width="14.7109375" style="60" customWidth="1"/>
    <col min="13576" max="13576" width="11.5703125" style="60" customWidth="1"/>
    <col min="13577" max="13577" width="0.42578125" style="60" customWidth="1"/>
    <col min="13578" max="13578" width="10.5703125" style="60" bestFit="1" customWidth="1"/>
    <col min="13579" max="13579" width="12.28515625" style="60" customWidth="1"/>
    <col min="13580" max="13580" width="12.5703125" style="60" customWidth="1"/>
    <col min="13581" max="13581" width="10.5703125" style="60" customWidth="1"/>
    <col min="13582" max="13582" width="10.140625" style="60" customWidth="1"/>
    <col min="13583" max="13583" width="8.42578125" style="60" customWidth="1"/>
    <col min="13584" max="13584" width="18.85546875" style="60" customWidth="1"/>
    <col min="13585" max="13585" width="10.28515625" style="60" customWidth="1"/>
    <col min="13586" max="13586" width="11.42578125" style="60"/>
    <col min="13587" max="13587" width="12.140625" style="60" customWidth="1"/>
    <col min="13588" max="13588" width="10.5703125" style="60" customWidth="1"/>
    <col min="13589" max="13589" width="12.42578125" style="60" customWidth="1"/>
    <col min="13590" max="13590" width="15.140625" style="60" customWidth="1"/>
    <col min="13591" max="13591" width="13.5703125" style="60" customWidth="1"/>
    <col min="13592" max="13592" width="13.140625" style="60" customWidth="1"/>
    <col min="13593" max="13593" width="15.7109375" style="60" customWidth="1"/>
    <col min="13594" max="13594" width="37.5703125" style="60" customWidth="1"/>
    <col min="13595" max="13816" width="11.42578125" style="60"/>
    <col min="13817" max="13817" width="10.5703125" style="60" customWidth="1"/>
    <col min="13818" max="13818" width="4.85546875" style="60" customWidth="1"/>
    <col min="13819" max="13819" width="32.42578125" style="60" customWidth="1"/>
    <col min="13820" max="13820" width="9.85546875" style="60" customWidth="1"/>
    <col min="13821" max="13821" width="10.140625" style="60" customWidth="1"/>
    <col min="13822" max="13822" width="12.28515625" style="60" customWidth="1"/>
    <col min="13823" max="13823" width="15.42578125" style="60" customWidth="1"/>
    <col min="13824" max="13824" width="11.85546875" style="60" customWidth="1"/>
    <col min="13825" max="13825" width="13.28515625" style="60" customWidth="1"/>
    <col min="13826" max="13826" width="15.28515625" style="60" customWidth="1"/>
    <col min="13827" max="13827" width="11.85546875" style="60" customWidth="1"/>
    <col min="13828" max="13828" width="6.140625" style="60" customWidth="1"/>
    <col min="13829" max="13829" width="11.85546875" style="60" customWidth="1"/>
    <col min="13830" max="13830" width="9.42578125" style="60" customWidth="1"/>
    <col min="13831" max="13831" width="14.7109375" style="60" customWidth="1"/>
    <col min="13832" max="13832" width="11.5703125" style="60" customWidth="1"/>
    <col min="13833" max="13833" width="0.42578125" style="60" customWidth="1"/>
    <col min="13834" max="13834" width="10.5703125" style="60" bestFit="1" customWidth="1"/>
    <col min="13835" max="13835" width="12.28515625" style="60" customWidth="1"/>
    <col min="13836" max="13836" width="12.5703125" style="60" customWidth="1"/>
    <col min="13837" max="13837" width="10.5703125" style="60" customWidth="1"/>
    <col min="13838" max="13838" width="10.140625" style="60" customWidth="1"/>
    <col min="13839" max="13839" width="8.42578125" style="60" customWidth="1"/>
    <col min="13840" max="13840" width="18.85546875" style="60" customWidth="1"/>
    <col min="13841" max="13841" width="10.28515625" style="60" customWidth="1"/>
    <col min="13842" max="13842" width="11.42578125" style="60"/>
    <col min="13843" max="13843" width="12.140625" style="60" customWidth="1"/>
    <col min="13844" max="13844" width="10.5703125" style="60" customWidth="1"/>
    <col min="13845" max="13845" width="12.42578125" style="60" customWidth="1"/>
    <col min="13846" max="13846" width="15.140625" style="60" customWidth="1"/>
    <col min="13847" max="13847" width="13.5703125" style="60" customWidth="1"/>
    <col min="13848" max="13848" width="13.140625" style="60" customWidth="1"/>
    <col min="13849" max="13849" width="15.7109375" style="60" customWidth="1"/>
    <col min="13850" max="13850" width="37.5703125" style="60" customWidth="1"/>
    <col min="13851" max="14072" width="11.42578125" style="60"/>
    <col min="14073" max="14073" width="10.5703125" style="60" customWidth="1"/>
    <col min="14074" max="14074" width="4.85546875" style="60" customWidth="1"/>
    <col min="14075" max="14075" width="32.42578125" style="60" customWidth="1"/>
    <col min="14076" max="14076" width="9.85546875" style="60" customWidth="1"/>
    <col min="14077" max="14077" width="10.140625" style="60" customWidth="1"/>
    <col min="14078" max="14078" width="12.28515625" style="60" customWidth="1"/>
    <col min="14079" max="14079" width="15.42578125" style="60" customWidth="1"/>
    <col min="14080" max="14080" width="11.85546875" style="60" customWidth="1"/>
    <col min="14081" max="14081" width="13.28515625" style="60" customWidth="1"/>
    <col min="14082" max="14082" width="15.28515625" style="60" customWidth="1"/>
    <col min="14083" max="14083" width="11.85546875" style="60" customWidth="1"/>
    <col min="14084" max="14084" width="6.140625" style="60" customWidth="1"/>
    <col min="14085" max="14085" width="11.85546875" style="60" customWidth="1"/>
    <col min="14086" max="14086" width="9.42578125" style="60" customWidth="1"/>
    <col min="14087" max="14087" width="14.7109375" style="60" customWidth="1"/>
    <col min="14088" max="14088" width="11.5703125" style="60" customWidth="1"/>
    <col min="14089" max="14089" width="0.42578125" style="60" customWidth="1"/>
    <col min="14090" max="14090" width="10.5703125" style="60" bestFit="1" customWidth="1"/>
    <col min="14091" max="14091" width="12.28515625" style="60" customWidth="1"/>
    <col min="14092" max="14092" width="12.5703125" style="60" customWidth="1"/>
    <col min="14093" max="14093" width="10.5703125" style="60" customWidth="1"/>
    <col min="14094" max="14094" width="10.140625" style="60" customWidth="1"/>
    <col min="14095" max="14095" width="8.42578125" style="60" customWidth="1"/>
    <col min="14096" max="14096" width="18.85546875" style="60" customWidth="1"/>
    <col min="14097" max="14097" width="10.28515625" style="60" customWidth="1"/>
    <col min="14098" max="14098" width="11.42578125" style="60"/>
    <col min="14099" max="14099" width="12.140625" style="60" customWidth="1"/>
    <col min="14100" max="14100" width="10.5703125" style="60" customWidth="1"/>
    <col min="14101" max="14101" width="12.42578125" style="60" customWidth="1"/>
    <col min="14102" max="14102" width="15.140625" style="60" customWidth="1"/>
    <col min="14103" max="14103" width="13.5703125" style="60" customWidth="1"/>
    <col min="14104" max="14104" width="13.140625" style="60" customWidth="1"/>
    <col min="14105" max="14105" width="15.7109375" style="60" customWidth="1"/>
    <col min="14106" max="14106" width="37.5703125" style="60" customWidth="1"/>
    <col min="14107" max="14328" width="11.42578125" style="60"/>
    <col min="14329" max="14329" width="10.5703125" style="60" customWidth="1"/>
    <col min="14330" max="14330" width="4.85546875" style="60" customWidth="1"/>
    <col min="14331" max="14331" width="32.42578125" style="60" customWidth="1"/>
    <col min="14332" max="14332" width="9.85546875" style="60" customWidth="1"/>
    <col min="14333" max="14333" width="10.140625" style="60" customWidth="1"/>
    <col min="14334" max="14334" width="12.28515625" style="60" customWidth="1"/>
    <col min="14335" max="14335" width="15.42578125" style="60" customWidth="1"/>
    <col min="14336" max="14336" width="11.85546875" style="60" customWidth="1"/>
    <col min="14337" max="14337" width="13.28515625" style="60" customWidth="1"/>
    <col min="14338" max="14338" width="15.28515625" style="60" customWidth="1"/>
    <col min="14339" max="14339" width="11.85546875" style="60" customWidth="1"/>
    <col min="14340" max="14340" width="6.140625" style="60" customWidth="1"/>
    <col min="14341" max="14341" width="11.85546875" style="60" customWidth="1"/>
    <col min="14342" max="14342" width="9.42578125" style="60" customWidth="1"/>
    <col min="14343" max="14343" width="14.7109375" style="60" customWidth="1"/>
    <col min="14344" max="14344" width="11.5703125" style="60" customWidth="1"/>
    <col min="14345" max="14345" width="0.42578125" style="60" customWidth="1"/>
    <col min="14346" max="14346" width="10.5703125" style="60" bestFit="1" customWidth="1"/>
    <col min="14347" max="14347" width="12.28515625" style="60" customWidth="1"/>
    <col min="14348" max="14348" width="12.5703125" style="60" customWidth="1"/>
    <col min="14349" max="14349" width="10.5703125" style="60" customWidth="1"/>
    <col min="14350" max="14350" width="10.140625" style="60" customWidth="1"/>
    <col min="14351" max="14351" width="8.42578125" style="60" customWidth="1"/>
    <col min="14352" max="14352" width="18.85546875" style="60" customWidth="1"/>
    <col min="14353" max="14353" width="10.28515625" style="60" customWidth="1"/>
    <col min="14354" max="14354" width="11.42578125" style="60"/>
    <col min="14355" max="14355" width="12.140625" style="60" customWidth="1"/>
    <col min="14356" max="14356" width="10.5703125" style="60" customWidth="1"/>
    <col min="14357" max="14357" width="12.42578125" style="60" customWidth="1"/>
    <col min="14358" max="14358" width="15.140625" style="60" customWidth="1"/>
    <col min="14359" max="14359" width="13.5703125" style="60" customWidth="1"/>
    <col min="14360" max="14360" width="13.140625" style="60" customWidth="1"/>
    <col min="14361" max="14361" width="15.7109375" style="60" customWidth="1"/>
    <col min="14362" max="14362" width="37.5703125" style="60" customWidth="1"/>
    <col min="14363" max="14584" width="11.42578125" style="60"/>
    <col min="14585" max="14585" width="10.5703125" style="60" customWidth="1"/>
    <col min="14586" max="14586" width="4.85546875" style="60" customWidth="1"/>
    <col min="14587" max="14587" width="32.42578125" style="60" customWidth="1"/>
    <col min="14588" max="14588" width="9.85546875" style="60" customWidth="1"/>
    <col min="14589" max="14589" width="10.140625" style="60" customWidth="1"/>
    <col min="14590" max="14590" width="12.28515625" style="60" customWidth="1"/>
    <col min="14591" max="14591" width="15.42578125" style="60" customWidth="1"/>
    <col min="14592" max="14592" width="11.85546875" style="60" customWidth="1"/>
    <col min="14593" max="14593" width="13.28515625" style="60" customWidth="1"/>
    <col min="14594" max="14594" width="15.28515625" style="60" customWidth="1"/>
    <col min="14595" max="14595" width="11.85546875" style="60" customWidth="1"/>
    <col min="14596" max="14596" width="6.140625" style="60" customWidth="1"/>
    <col min="14597" max="14597" width="11.85546875" style="60" customWidth="1"/>
    <col min="14598" max="14598" width="9.42578125" style="60" customWidth="1"/>
    <col min="14599" max="14599" width="14.7109375" style="60" customWidth="1"/>
    <col min="14600" max="14600" width="11.5703125" style="60" customWidth="1"/>
    <col min="14601" max="14601" width="0.42578125" style="60" customWidth="1"/>
    <col min="14602" max="14602" width="10.5703125" style="60" bestFit="1" customWidth="1"/>
    <col min="14603" max="14603" width="12.28515625" style="60" customWidth="1"/>
    <col min="14604" max="14604" width="12.5703125" style="60" customWidth="1"/>
    <col min="14605" max="14605" width="10.5703125" style="60" customWidth="1"/>
    <col min="14606" max="14606" width="10.140625" style="60" customWidth="1"/>
    <col min="14607" max="14607" width="8.42578125" style="60" customWidth="1"/>
    <col min="14608" max="14608" width="18.85546875" style="60" customWidth="1"/>
    <col min="14609" max="14609" width="10.28515625" style="60" customWidth="1"/>
    <col min="14610" max="14610" width="11.42578125" style="60"/>
    <col min="14611" max="14611" width="12.140625" style="60" customWidth="1"/>
    <col min="14612" max="14612" width="10.5703125" style="60" customWidth="1"/>
    <col min="14613" max="14613" width="12.42578125" style="60" customWidth="1"/>
    <col min="14614" max="14614" width="15.140625" style="60" customWidth="1"/>
    <col min="14615" max="14615" width="13.5703125" style="60" customWidth="1"/>
    <col min="14616" max="14616" width="13.140625" style="60" customWidth="1"/>
    <col min="14617" max="14617" width="15.7109375" style="60" customWidth="1"/>
    <col min="14618" max="14618" width="37.5703125" style="60" customWidth="1"/>
    <col min="14619" max="14840" width="11.42578125" style="60"/>
    <col min="14841" max="14841" width="10.5703125" style="60" customWidth="1"/>
    <col min="14842" max="14842" width="4.85546875" style="60" customWidth="1"/>
    <col min="14843" max="14843" width="32.42578125" style="60" customWidth="1"/>
    <col min="14844" max="14844" width="9.85546875" style="60" customWidth="1"/>
    <col min="14845" max="14845" width="10.140625" style="60" customWidth="1"/>
    <col min="14846" max="14846" width="12.28515625" style="60" customWidth="1"/>
    <col min="14847" max="14847" width="15.42578125" style="60" customWidth="1"/>
    <col min="14848" max="14848" width="11.85546875" style="60" customWidth="1"/>
    <col min="14849" max="14849" width="13.28515625" style="60" customWidth="1"/>
    <col min="14850" max="14850" width="15.28515625" style="60" customWidth="1"/>
    <col min="14851" max="14851" width="11.85546875" style="60" customWidth="1"/>
    <col min="14852" max="14852" width="6.140625" style="60" customWidth="1"/>
    <col min="14853" max="14853" width="11.85546875" style="60" customWidth="1"/>
    <col min="14854" max="14854" width="9.42578125" style="60" customWidth="1"/>
    <col min="14855" max="14855" width="14.7109375" style="60" customWidth="1"/>
    <col min="14856" max="14856" width="11.5703125" style="60" customWidth="1"/>
    <col min="14857" max="14857" width="0.42578125" style="60" customWidth="1"/>
    <col min="14858" max="14858" width="10.5703125" style="60" bestFit="1" customWidth="1"/>
    <col min="14859" max="14859" width="12.28515625" style="60" customWidth="1"/>
    <col min="14860" max="14860" width="12.5703125" style="60" customWidth="1"/>
    <col min="14861" max="14861" width="10.5703125" style="60" customWidth="1"/>
    <col min="14862" max="14862" width="10.140625" style="60" customWidth="1"/>
    <col min="14863" max="14863" width="8.42578125" style="60" customWidth="1"/>
    <col min="14864" max="14864" width="18.85546875" style="60" customWidth="1"/>
    <col min="14865" max="14865" width="10.28515625" style="60" customWidth="1"/>
    <col min="14866" max="14866" width="11.42578125" style="60"/>
    <col min="14867" max="14867" width="12.140625" style="60" customWidth="1"/>
    <col min="14868" max="14868" width="10.5703125" style="60" customWidth="1"/>
    <col min="14869" max="14869" width="12.42578125" style="60" customWidth="1"/>
    <col min="14870" max="14870" width="15.140625" style="60" customWidth="1"/>
    <col min="14871" max="14871" width="13.5703125" style="60" customWidth="1"/>
    <col min="14872" max="14872" width="13.140625" style="60" customWidth="1"/>
    <col min="14873" max="14873" width="15.7109375" style="60" customWidth="1"/>
    <col min="14874" max="14874" width="37.5703125" style="60" customWidth="1"/>
    <col min="14875" max="15096" width="11.42578125" style="60"/>
    <col min="15097" max="15097" width="10.5703125" style="60" customWidth="1"/>
    <col min="15098" max="15098" width="4.85546875" style="60" customWidth="1"/>
    <col min="15099" max="15099" width="32.42578125" style="60" customWidth="1"/>
    <col min="15100" max="15100" width="9.85546875" style="60" customWidth="1"/>
    <col min="15101" max="15101" width="10.140625" style="60" customWidth="1"/>
    <col min="15102" max="15102" width="12.28515625" style="60" customWidth="1"/>
    <col min="15103" max="15103" width="15.42578125" style="60" customWidth="1"/>
    <col min="15104" max="15104" width="11.85546875" style="60" customWidth="1"/>
    <col min="15105" max="15105" width="13.28515625" style="60" customWidth="1"/>
    <col min="15106" max="15106" width="15.28515625" style="60" customWidth="1"/>
    <col min="15107" max="15107" width="11.85546875" style="60" customWidth="1"/>
    <col min="15108" max="15108" width="6.140625" style="60" customWidth="1"/>
    <col min="15109" max="15109" width="11.85546875" style="60" customWidth="1"/>
    <col min="15110" max="15110" width="9.42578125" style="60" customWidth="1"/>
    <col min="15111" max="15111" width="14.7109375" style="60" customWidth="1"/>
    <col min="15112" max="15112" width="11.5703125" style="60" customWidth="1"/>
    <col min="15113" max="15113" width="0.42578125" style="60" customWidth="1"/>
    <col min="15114" max="15114" width="10.5703125" style="60" bestFit="1" customWidth="1"/>
    <col min="15115" max="15115" width="12.28515625" style="60" customWidth="1"/>
    <col min="15116" max="15116" width="12.5703125" style="60" customWidth="1"/>
    <col min="15117" max="15117" width="10.5703125" style="60" customWidth="1"/>
    <col min="15118" max="15118" width="10.140625" style="60" customWidth="1"/>
    <col min="15119" max="15119" width="8.42578125" style="60" customWidth="1"/>
    <col min="15120" max="15120" width="18.85546875" style="60" customWidth="1"/>
    <col min="15121" max="15121" width="10.28515625" style="60" customWidth="1"/>
    <col min="15122" max="15122" width="11.42578125" style="60"/>
    <col min="15123" max="15123" width="12.140625" style="60" customWidth="1"/>
    <col min="15124" max="15124" width="10.5703125" style="60" customWidth="1"/>
    <col min="15125" max="15125" width="12.42578125" style="60" customWidth="1"/>
    <col min="15126" max="15126" width="15.140625" style="60" customWidth="1"/>
    <col min="15127" max="15127" width="13.5703125" style="60" customWidth="1"/>
    <col min="15128" max="15128" width="13.140625" style="60" customWidth="1"/>
    <col min="15129" max="15129" width="15.7109375" style="60" customWidth="1"/>
    <col min="15130" max="15130" width="37.5703125" style="60" customWidth="1"/>
    <col min="15131" max="15352" width="11.42578125" style="60"/>
    <col min="15353" max="15353" width="10.5703125" style="60" customWidth="1"/>
    <col min="15354" max="15354" width="4.85546875" style="60" customWidth="1"/>
    <col min="15355" max="15355" width="32.42578125" style="60" customWidth="1"/>
    <col min="15356" max="15356" width="9.85546875" style="60" customWidth="1"/>
    <col min="15357" max="15357" width="10.140625" style="60" customWidth="1"/>
    <col min="15358" max="15358" width="12.28515625" style="60" customWidth="1"/>
    <col min="15359" max="15359" width="15.42578125" style="60" customWidth="1"/>
    <col min="15360" max="15360" width="11.85546875" style="60" customWidth="1"/>
    <col min="15361" max="15361" width="13.28515625" style="60" customWidth="1"/>
    <col min="15362" max="15362" width="15.28515625" style="60" customWidth="1"/>
    <col min="15363" max="15363" width="11.85546875" style="60" customWidth="1"/>
    <col min="15364" max="15364" width="6.140625" style="60" customWidth="1"/>
    <col min="15365" max="15365" width="11.85546875" style="60" customWidth="1"/>
    <col min="15366" max="15366" width="9.42578125" style="60" customWidth="1"/>
    <col min="15367" max="15367" width="14.7109375" style="60" customWidth="1"/>
    <col min="15368" max="15368" width="11.5703125" style="60" customWidth="1"/>
    <col min="15369" max="15369" width="0.42578125" style="60" customWidth="1"/>
    <col min="15370" max="15370" width="10.5703125" style="60" bestFit="1" customWidth="1"/>
    <col min="15371" max="15371" width="12.28515625" style="60" customWidth="1"/>
    <col min="15372" max="15372" width="12.5703125" style="60" customWidth="1"/>
    <col min="15373" max="15373" width="10.5703125" style="60" customWidth="1"/>
    <col min="15374" max="15374" width="10.140625" style="60" customWidth="1"/>
    <col min="15375" max="15375" width="8.42578125" style="60" customWidth="1"/>
    <col min="15376" max="15376" width="18.85546875" style="60" customWidth="1"/>
    <col min="15377" max="15377" width="10.28515625" style="60" customWidth="1"/>
    <col min="15378" max="15378" width="11.42578125" style="60"/>
    <col min="15379" max="15379" width="12.140625" style="60" customWidth="1"/>
    <col min="15380" max="15380" width="10.5703125" style="60" customWidth="1"/>
    <col min="15381" max="15381" width="12.42578125" style="60" customWidth="1"/>
    <col min="15382" max="15382" width="15.140625" style="60" customWidth="1"/>
    <col min="15383" max="15383" width="13.5703125" style="60" customWidth="1"/>
    <col min="15384" max="15384" width="13.140625" style="60" customWidth="1"/>
    <col min="15385" max="15385" width="15.7109375" style="60" customWidth="1"/>
    <col min="15386" max="15386" width="37.5703125" style="60" customWidth="1"/>
    <col min="15387" max="15608" width="11.42578125" style="60"/>
    <col min="15609" max="15609" width="10.5703125" style="60" customWidth="1"/>
    <col min="15610" max="15610" width="4.85546875" style="60" customWidth="1"/>
    <col min="15611" max="15611" width="32.42578125" style="60" customWidth="1"/>
    <col min="15612" max="15612" width="9.85546875" style="60" customWidth="1"/>
    <col min="15613" max="15613" width="10.140625" style="60" customWidth="1"/>
    <col min="15614" max="15614" width="12.28515625" style="60" customWidth="1"/>
    <col min="15615" max="15615" width="15.42578125" style="60" customWidth="1"/>
    <col min="15616" max="15616" width="11.85546875" style="60" customWidth="1"/>
    <col min="15617" max="15617" width="13.28515625" style="60" customWidth="1"/>
    <col min="15618" max="15618" width="15.28515625" style="60" customWidth="1"/>
    <col min="15619" max="15619" width="11.85546875" style="60" customWidth="1"/>
    <col min="15620" max="15620" width="6.140625" style="60" customWidth="1"/>
    <col min="15621" max="15621" width="11.85546875" style="60" customWidth="1"/>
    <col min="15622" max="15622" width="9.42578125" style="60" customWidth="1"/>
    <col min="15623" max="15623" width="14.7109375" style="60" customWidth="1"/>
    <col min="15624" max="15624" width="11.5703125" style="60" customWidth="1"/>
    <col min="15625" max="15625" width="0.42578125" style="60" customWidth="1"/>
    <col min="15626" max="15626" width="10.5703125" style="60" bestFit="1" customWidth="1"/>
    <col min="15627" max="15627" width="12.28515625" style="60" customWidth="1"/>
    <col min="15628" max="15628" width="12.5703125" style="60" customWidth="1"/>
    <col min="15629" max="15629" width="10.5703125" style="60" customWidth="1"/>
    <col min="15630" max="15630" width="10.140625" style="60" customWidth="1"/>
    <col min="15631" max="15631" width="8.42578125" style="60" customWidth="1"/>
    <col min="15632" max="15632" width="18.85546875" style="60" customWidth="1"/>
    <col min="15633" max="15633" width="10.28515625" style="60" customWidth="1"/>
    <col min="15634" max="15634" width="11.42578125" style="60"/>
    <col min="15635" max="15635" width="12.140625" style="60" customWidth="1"/>
    <col min="15636" max="15636" width="10.5703125" style="60" customWidth="1"/>
    <col min="15637" max="15637" width="12.42578125" style="60" customWidth="1"/>
    <col min="15638" max="15638" width="15.140625" style="60" customWidth="1"/>
    <col min="15639" max="15639" width="13.5703125" style="60" customWidth="1"/>
    <col min="15640" max="15640" width="13.140625" style="60" customWidth="1"/>
    <col min="15641" max="15641" width="15.7109375" style="60" customWidth="1"/>
    <col min="15642" max="15642" width="37.5703125" style="60" customWidth="1"/>
    <col min="15643" max="15864" width="11.42578125" style="60"/>
    <col min="15865" max="15865" width="10.5703125" style="60" customWidth="1"/>
    <col min="15866" max="15866" width="4.85546875" style="60" customWidth="1"/>
    <col min="15867" max="15867" width="32.42578125" style="60" customWidth="1"/>
    <col min="15868" max="15868" width="9.85546875" style="60" customWidth="1"/>
    <col min="15869" max="15869" width="10.140625" style="60" customWidth="1"/>
    <col min="15870" max="15870" width="12.28515625" style="60" customWidth="1"/>
    <col min="15871" max="15871" width="15.42578125" style="60" customWidth="1"/>
    <col min="15872" max="15872" width="11.85546875" style="60" customWidth="1"/>
    <col min="15873" max="15873" width="13.28515625" style="60" customWidth="1"/>
    <col min="15874" max="15874" width="15.28515625" style="60" customWidth="1"/>
    <col min="15875" max="15875" width="11.85546875" style="60" customWidth="1"/>
    <col min="15876" max="15876" width="6.140625" style="60" customWidth="1"/>
    <col min="15877" max="15877" width="11.85546875" style="60" customWidth="1"/>
    <col min="15878" max="15878" width="9.42578125" style="60" customWidth="1"/>
    <col min="15879" max="15879" width="14.7109375" style="60" customWidth="1"/>
    <col min="15880" max="15880" width="11.5703125" style="60" customWidth="1"/>
    <col min="15881" max="15881" width="0.42578125" style="60" customWidth="1"/>
    <col min="15882" max="15882" width="10.5703125" style="60" bestFit="1" customWidth="1"/>
    <col min="15883" max="15883" width="12.28515625" style="60" customWidth="1"/>
    <col min="15884" max="15884" width="12.5703125" style="60" customWidth="1"/>
    <col min="15885" max="15885" width="10.5703125" style="60" customWidth="1"/>
    <col min="15886" max="15886" width="10.140625" style="60" customWidth="1"/>
    <col min="15887" max="15887" width="8.42578125" style="60" customWidth="1"/>
    <col min="15888" max="15888" width="18.85546875" style="60" customWidth="1"/>
    <col min="15889" max="15889" width="10.28515625" style="60" customWidth="1"/>
    <col min="15890" max="15890" width="11.42578125" style="60"/>
    <col min="15891" max="15891" width="12.140625" style="60" customWidth="1"/>
    <col min="15892" max="15892" width="10.5703125" style="60" customWidth="1"/>
    <col min="15893" max="15893" width="12.42578125" style="60" customWidth="1"/>
    <col min="15894" max="15894" width="15.140625" style="60" customWidth="1"/>
    <col min="15895" max="15895" width="13.5703125" style="60" customWidth="1"/>
    <col min="15896" max="15896" width="13.140625" style="60" customWidth="1"/>
    <col min="15897" max="15897" width="15.7109375" style="60" customWidth="1"/>
    <col min="15898" max="15898" width="37.5703125" style="60" customWidth="1"/>
    <col min="15899" max="16120" width="11.42578125" style="60"/>
    <col min="16121" max="16121" width="10.5703125" style="60" customWidth="1"/>
    <col min="16122" max="16122" width="4.85546875" style="60" customWidth="1"/>
    <col min="16123" max="16123" width="32.42578125" style="60" customWidth="1"/>
    <col min="16124" max="16124" width="9.85546875" style="60" customWidth="1"/>
    <col min="16125" max="16125" width="10.140625" style="60" customWidth="1"/>
    <col min="16126" max="16126" width="12.28515625" style="60" customWidth="1"/>
    <col min="16127" max="16127" width="15.42578125" style="60" customWidth="1"/>
    <col min="16128" max="16128" width="11.85546875" style="60" customWidth="1"/>
    <col min="16129" max="16129" width="13.28515625" style="60" customWidth="1"/>
    <col min="16130" max="16130" width="15.28515625" style="60" customWidth="1"/>
    <col min="16131" max="16131" width="11.85546875" style="60" customWidth="1"/>
    <col min="16132" max="16132" width="6.140625" style="60" customWidth="1"/>
    <col min="16133" max="16133" width="11.85546875" style="60" customWidth="1"/>
    <col min="16134" max="16134" width="9.42578125" style="60" customWidth="1"/>
    <col min="16135" max="16135" width="14.7109375" style="60" customWidth="1"/>
    <col min="16136" max="16136" width="11.5703125" style="60" customWidth="1"/>
    <col min="16137" max="16137" width="0.42578125" style="60" customWidth="1"/>
    <col min="16138" max="16138" width="10.5703125" style="60" bestFit="1" customWidth="1"/>
    <col min="16139" max="16139" width="12.28515625" style="60" customWidth="1"/>
    <col min="16140" max="16140" width="12.5703125" style="60" customWidth="1"/>
    <col min="16141" max="16141" width="10.5703125" style="60" customWidth="1"/>
    <col min="16142" max="16142" width="10.140625" style="60" customWidth="1"/>
    <col min="16143" max="16143" width="8.42578125" style="60" customWidth="1"/>
    <col min="16144" max="16144" width="18.85546875" style="60" customWidth="1"/>
    <col min="16145" max="16145" width="10.28515625" style="60" customWidth="1"/>
    <col min="16146" max="16146" width="11.42578125" style="60"/>
    <col min="16147" max="16147" width="12.140625" style="60" customWidth="1"/>
    <col min="16148" max="16148" width="10.5703125" style="60" customWidth="1"/>
    <col min="16149" max="16149" width="12.42578125" style="60" customWidth="1"/>
    <col min="16150" max="16150" width="15.140625" style="60" customWidth="1"/>
    <col min="16151" max="16151" width="13.5703125" style="60" customWidth="1"/>
    <col min="16152" max="16152" width="13.140625" style="60" customWidth="1"/>
    <col min="16153" max="16153" width="15.7109375" style="60" customWidth="1"/>
    <col min="16154" max="16154" width="37.5703125" style="60" customWidth="1"/>
    <col min="16155" max="16384" width="11.42578125" style="60"/>
  </cols>
  <sheetData>
    <row r="1" spans="1:26" x14ac:dyDescent="0.25">
      <c r="C1" s="61" t="s">
        <v>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8"/>
      <c r="Y1" s="62"/>
      <c r="Z1" s="8"/>
    </row>
    <row r="2" spans="1:26" x14ac:dyDescent="0.25">
      <c r="C2" s="9" t="s">
        <v>1</v>
      </c>
      <c r="D2" s="8"/>
      <c r="E2" s="85" t="s">
        <v>2</v>
      </c>
      <c r="F2" s="85"/>
      <c r="G2" s="85"/>
      <c r="H2" s="85"/>
      <c r="I2" s="85"/>
      <c r="J2" s="85"/>
      <c r="K2" s="85"/>
      <c r="L2" s="85"/>
      <c r="M2" s="85"/>
      <c r="N2" s="85" t="s">
        <v>3</v>
      </c>
      <c r="O2" s="85"/>
      <c r="P2" s="85"/>
      <c r="Q2" s="85"/>
      <c r="R2" s="85"/>
      <c r="S2" s="85"/>
      <c r="T2" s="85"/>
      <c r="U2" s="85"/>
      <c r="V2" s="85"/>
      <c r="W2" s="8"/>
      <c r="X2" s="8"/>
      <c r="Y2" s="62"/>
      <c r="Z2" s="8"/>
    </row>
    <row r="3" spans="1:26" ht="24.95" customHeight="1" x14ac:dyDescent="0.25">
      <c r="B3" s="2" t="s">
        <v>4</v>
      </c>
      <c r="C3" s="2" t="s">
        <v>5</v>
      </c>
      <c r="D3" s="2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2" t="s">
        <v>26</v>
      </c>
      <c r="X3" s="2"/>
      <c r="Y3" s="86"/>
      <c r="Z3" s="2" t="s">
        <v>27</v>
      </c>
    </row>
    <row r="4" spans="1:26" ht="24.95" customHeight="1" x14ac:dyDescent="0.25">
      <c r="A4" s="63" t="s">
        <v>28</v>
      </c>
      <c r="B4" s="2">
        <v>1</v>
      </c>
      <c r="C4" s="1" t="s">
        <v>29</v>
      </c>
      <c r="D4" s="2" t="s">
        <v>30</v>
      </c>
      <c r="E4" s="4">
        <v>4500000</v>
      </c>
      <c r="F4" s="3">
        <v>30</v>
      </c>
      <c r="G4" s="4">
        <f>+E4-L4</f>
        <v>4500000</v>
      </c>
      <c r="H4" s="4"/>
      <c r="I4" s="4"/>
      <c r="J4" s="4">
        <v>500000</v>
      </c>
      <c r="K4" s="4"/>
      <c r="L4" s="4"/>
      <c r="M4" s="4">
        <f>SUM(G4:J4)+L4+K4:K4</f>
        <v>5000000</v>
      </c>
      <c r="N4" s="4">
        <f>+E4*4%</f>
        <v>180000</v>
      </c>
      <c r="O4" s="4">
        <f>+E4*5%</f>
        <v>225000</v>
      </c>
      <c r="P4" s="4"/>
      <c r="Q4" s="4"/>
      <c r="R4" s="4">
        <v>30672</v>
      </c>
      <c r="S4" s="4"/>
      <c r="T4" s="4"/>
      <c r="U4" s="4"/>
      <c r="V4" s="4">
        <f t="shared" ref="V4:V9" si="0">SUM(N4:U4)</f>
        <v>435672</v>
      </c>
      <c r="W4" s="5">
        <f>+M4-V4</f>
        <v>4564328</v>
      </c>
      <c r="X4" s="5"/>
      <c r="Y4" s="62"/>
      <c r="Z4" s="5">
        <f t="shared" ref="Z4:Z67" si="1">W4+X4-Y4</f>
        <v>4564328</v>
      </c>
    </row>
    <row r="5" spans="1:26" ht="24.95" customHeight="1" x14ac:dyDescent="0.25">
      <c r="A5" s="63"/>
      <c r="B5" s="2">
        <f t="shared" ref="B5:B51" si="2">+B4+1</f>
        <v>2</v>
      </c>
      <c r="C5" s="1" t="s">
        <v>32</v>
      </c>
      <c r="D5" s="2" t="s">
        <v>30</v>
      </c>
      <c r="E5" s="4">
        <v>5500000</v>
      </c>
      <c r="F5" s="3">
        <v>30</v>
      </c>
      <c r="G5" s="4">
        <f>+E5-L5</f>
        <v>5500000</v>
      </c>
      <c r="H5" s="4"/>
      <c r="I5" s="4"/>
      <c r="J5" s="4">
        <v>500000</v>
      </c>
      <c r="K5" s="4"/>
      <c r="L5" s="4">
        <v>0</v>
      </c>
      <c r="M5" s="4">
        <f t="shared" ref="M5:M68" si="3">SUM(G5:J5)+L5+K5:K5</f>
        <v>6000000</v>
      </c>
      <c r="N5" s="4">
        <f>E5*4%</f>
        <v>220000</v>
      </c>
      <c r="O5" s="4">
        <f>E5*5%</f>
        <v>275000</v>
      </c>
      <c r="P5" s="4"/>
      <c r="Q5" s="4"/>
      <c r="R5" s="4">
        <v>102000</v>
      </c>
      <c r="S5" s="4"/>
      <c r="T5" s="4"/>
      <c r="U5" s="4">
        <v>1212777</v>
      </c>
      <c r="V5" s="4">
        <f t="shared" si="0"/>
        <v>1809777</v>
      </c>
      <c r="W5" s="5">
        <f t="shared" ref="W5:W6" si="4">+M5-V5</f>
        <v>4190223</v>
      </c>
      <c r="X5" s="5"/>
      <c r="Y5" s="62"/>
      <c r="Z5" s="5">
        <f t="shared" si="1"/>
        <v>4190223</v>
      </c>
    </row>
    <row r="6" spans="1:26" ht="24.95" customHeight="1" x14ac:dyDescent="0.25">
      <c r="A6" s="63"/>
      <c r="B6" s="2">
        <f t="shared" si="2"/>
        <v>3</v>
      </c>
      <c r="C6" s="1" t="s">
        <v>33</v>
      </c>
      <c r="D6" s="2" t="s">
        <v>30</v>
      </c>
      <c r="E6" s="4">
        <v>5492319</v>
      </c>
      <c r="F6" s="3">
        <v>30</v>
      </c>
      <c r="G6" s="4">
        <f>+E6-L6</f>
        <v>4393855</v>
      </c>
      <c r="H6" s="4"/>
      <c r="I6" s="4"/>
      <c r="J6" s="4"/>
      <c r="K6" s="4"/>
      <c r="L6" s="4">
        <v>1098464</v>
      </c>
      <c r="M6" s="4">
        <f t="shared" si="3"/>
        <v>5492319</v>
      </c>
      <c r="N6" s="4">
        <f>+E6*4%</f>
        <v>219692.76</v>
      </c>
      <c r="O6" s="4">
        <f>+E6*5%</f>
        <v>274615.95</v>
      </c>
      <c r="P6" s="4"/>
      <c r="Q6" s="4"/>
      <c r="R6" s="7">
        <v>98000</v>
      </c>
      <c r="S6" s="4"/>
      <c r="T6" s="4"/>
      <c r="U6" s="4">
        <v>726520</v>
      </c>
      <c r="V6" s="4">
        <f t="shared" si="0"/>
        <v>1318828.71</v>
      </c>
      <c r="W6" s="5">
        <f t="shared" si="4"/>
        <v>4173490.29</v>
      </c>
      <c r="X6" s="5"/>
      <c r="Y6" s="62"/>
      <c r="Z6" s="5">
        <f t="shared" si="1"/>
        <v>4173490.29</v>
      </c>
    </row>
    <row r="7" spans="1:26" ht="24.95" customHeight="1" x14ac:dyDescent="0.25">
      <c r="A7" s="63"/>
      <c r="B7" s="2">
        <f t="shared" si="2"/>
        <v>4</v>
      </c>
      <c r="C7" s="1" t="s">
        <v>34</v>
      </c>
      <c r="D7" s="2" t="s">
        <v>30</v>
      </c>
      <c r="E7" s="4">
        <v>5000000</v>
      </c>
      <c r="F7" s="3">
        <v>30</v>
      </c>
      <c r="G7" s="4">
        <f>+E7/30*F7</f>
        <v>5000000</v>
      </c>
      <c r="H7" s="4"/>
      <c r="I7" s="4"/>
      <c r="J7" s="4"/>
      <c r="K7" s="4"/>
      <c r="L7" s="4"/>
      <c r="M7" s="4">
        <f t="shared" si="3"/>
        <v>5000000</v>
      </c>
      <c r="N7" s="4">
        <f>+M7*4%</f>
        <v>200000</v>
      </c>
      <c r="O7" s="4">
        <f>+M7*5%</f>
        <v>250000</v>
      </c>
      <c r="P7" s="4"/>
      <c r="Q7" s="4"/>
      <c r="R7" s="7">
        <v>21409</v>
      </c>
      <c r="S7" s="4">
        <v>500000</v>
      </c>
      <c r="T7" s="4">
        <v>111000</v>
      </c>
      <c r="U7" s="4"/>
      <c r="V7" s="4">
        <f t="shared" si="0"/>
        <v>1082409</v>
      </c>
      <c r="W7" s="5">
        <f>+M7-V7</f>
        <v>3917591</v>
      </c>
      <c r="X7" s="5"/>
      <c r="Y7" s="62"/>
      <c r="Z7" s="5">
        <f t="shared" si="1"/>
        <v>3917591</v>
      </c>
    </row>
    <row r="8" spans="1:26" ht="24.95" customHeight="1" x14ac:dyDescent="0.25">
      <c r="A8" s="63"/>
      <c r="B8" s="2">
        <f t="shared" si="2"/>
        <v>5</v>
      </c>
      <c r="C8" s="1" t="s">
        <v>35</v>
      </c>
      <c r="D8" s="2" t="s">
        <v>30</v>
      </c>
      <c r="E8" s="4">
        <v>5300000</v>
      </c>
      <c r="F8" s="3">
        <v>30</v>
      </c>
      <c r="G8" s="4">
        <f>+E8/30*F8</f>
        <v>5300000</v>
      </c>
      <c r="H8" s="4"/>
      <c r="I8" s="4"/>
      <c r="J8" s="4">
        <v>2012670</v>
      </c>
      <c r="K8" s="4"/>
      <c r="L8" s="4"/>
      <c r="M8" s="4">
        <f t="shared" si="3"/>
        <v>7312670</v>
      </c>
      <c r="N8" s="4">
        <f>+E8*4%</f>
        <v>212000</v>
      </c>
      <c r="O8" s="4">
        <f>+E8*5%</f>
        <v>265000</v>
      </c>
      <c r="P8" s="4"/>
      <c r="Q8" s="4"/>
      <c r="R8" s="4">
        <v>100000</v>
      </c>
      <c r="S8" s="4">
        <v>700000</v>
      </c>
      <c r="T8" s="4"/>
      <c r="U8" s="4"/>
      <c r="V8" s="4">
        <f t="shared" si="0"/>
        <v>1277000</v>
      </c>
      <c r="W8" s="5">
        <f>+M8-V8</f>
        <v>6035670</v>
      </c>
      <c r="X8" s="5"/>
      <c r="Y8" s="62"/>
      <c r="Z8" s="5">
        <f t="shared" si="1"/>
        <v>6035670</v>
      </c>
    </row>
    <row r="9" spans="1:26" ht="24.95" customHeight="1" x14ac:dyDescent="0.25">
      <c r="A9" s="63"/>
      <c r="B9" s="2">
        <f t="shared" si="2"/>
        <v>6</v>
      </c>
      <c r="C9" s="1" t="s">
        <v>36</v>
      </c>
      <c r="D9" s="2" t="s">
        <v>30</v>
      </c>
      <c r="E9" s="4">
        <v>4500000</v>
      </c>
      <c r="F9" s="3">
        <v>30</v>
      </c>
      <c r="G9" s="4">
        <f>+E9/30*F9</f>
        <v>4500000</v>
      </c>
      <c r="H9" s="4"/>
      <c r="I9" s="4"/>
      <c r="J9" s="4"/>
      <c r="K9" s="4"/>
      <c r="L9" s="4">
        <v>0</v>
      </c>
      <c r="M9" s="4">
        <f t="shared" si="3"/>
        <v>4500000</v>
      </c>
      <c r="N9" s="4">
        <f>+M9*4%</f>
        <v>180000</v>
      </c>
      <c r="O9" s="4">
        <f>+M9*5%</f>
        <v>225000</v>
      </c>
      <c r="P9" s="4"/>
      <c r="Q9" s="4"/>
      <c r="R9" s="4">
        <v>0</v>
      </c>
      <c r="S9" s="4"/>
      <c r="T9" s="4"/>
      <c r="U9" s="4">
        <f>945750+420786</f>
        <v>1366536</v>
      </c>
      <c r="V9" s="4">
        <f t="shared" si="0"/>
        <v>1771536</v>
      </c>
      <c r="W9" s="5">
        <f>M9-V9</f>
        <v>2728464</v>
      </c>
      <c r="X9" s="5"/>
      <c r="Y9" s="62"/>
      <c r="Z9" s="5">
        <f t="shared" si="1"/>
        <v>2728464</v>
      </c>
    </row>
    <row r="10" spans="1:26" ht="24.95" customHeight="1" x14ac:dyDescent="0.25">
      <c r="A10" s="63"/>
      <c r="B10" s="2">
        <f t="shared" si="2"/>
        <v>7</v>
      </c>
      <c r="C10" s="1" t="s">
        <v>37</v>
      </c>
      <c r="D10" s="2" t="s">
        <v>30</v>
      </c>
      <c r="E10" s="4">
        <v>4500000</v>
      </c>
      <c r="F10" s="3">
        <v>30</v>
      </c>
      <c r="G10" s="4">
        <f>+E10/30*F10</f>
        <v>4500000</v>
      </c>
      <c r="H10" s="4"/>
      <c r="I10" s="4"/>
      <c r="J10" s="4"/>
      <c r="K10" s="4"/>
      <c r="L10" s="4"/>
      <c r="M10" s="4">
        <f t="shared" si="3"/>
        <v>4500000</v>
      </c>
      <c r="N10" s="4">
        <f>+E10*4%</f>
        <v>180000</v>
      </c>
      <c r="O10" s="4">
        <f>+E10*5%</f>
        <v>225000</v>
      </c>
      <c r="P10" s="4"/>
      <c r="Q10" s="4"/>
      <c r="R10" s="4">
        <v>0</v>
      </c>
      <c r="S10" s="4"/>
      <c r="T10" s="4"/>
      <c r="U10" s="4"/>
      <c r="V10" s="4">
        <f t="shared" ref="V10:V51" si="5">SUM(N10:U10)</f>
        <v>405000</v>
      </c>
      <c r="W10" s="5">
        <f>M10-V10</f>
        <v>4095000</v>
      </c>
      <c r="X10" s="5"/>
      <c r="Y10" s="62"/>
      <c r="Z10" s="5">
        <f t="shared" si="1"/>
        <v>4095000</v>
      </c>
    </row>
    <row r="11" spans="1:26" ht="24.95" customHeight="1" x14ac:dyDescent="0.25">
      <c r="A11" s="63"/>
      <c r="B11" s="2">
        <f t="shared" si="2"/>
        <v>8</v>
      </c>
      <c r="C11" s="1" t="s">
        <v>38</v>
      </c>
      <c r="D11" s="2" t="s">
        <v>30</v>
      </c>
      <c r="E11" s="4">
        <v>5400000</v>
      </c>
      <c r="F11" s="3">
        <v>30</v>
      </c>
      <c r="G11" s="4">
        <f>+E11-L11</f>
        <v>4140000</v>
      </c>
      <c r="H11" s="4"/>
      <c r="I11" s="4"/>
      <c r="J11" s="4"/>
      <c r="K11" s="4"/>
      <c r="L11" s="4">
        <v>1260000</v>
      </c>
      <c r="M11" s="4">
        <f t="shared" si="3"/>
        <v>5400000</v>
      </c>
      <c r="N11" s="4">
        <f>+E11*4%</f>
        <v>216000</v>
      </c>
      <c r="O11" s="4">
        <f>+E11*5%</f>
        <v>270000</v>
      </c>
      <c r="P11" s="4"/>
      <c r="Q11" s="4"/>
      <c r="R11" s="4">
        <v>0</v>
      </c>
      <c r="S11" s="4"/>
      <c r="T11" s="4"/>
      <c r="U11" s="4"/>
      <c r="V11" s="4">
        <f t="shared" si="5"/>
        <v>486000</v>
      </c>
      <c r="W11" s="5">
        <f t="shared" ref="W11:W18" si="6">+M11-V11</f>
        <v>4914000</v>
      </c>
      <c r="X11" s="5"/>
      <c r="Y11" s="62"/>
      <c r="Z11" s="5">
        <f t="shared" si="1"/>
        <v>4914000</v>
      </c>
    </row>
    <row r="12" spans="1:26" ht="24.95" customHeight="1" x14ac:dyDescent="0.25">
      <c r="A12" s="63"/>
      <c r="B12" s="2">
        <f t="shared" si="2"/>
        <v>9</v>
      </c>
      <c r="C12" s="1" t="s">
        <v>39</v>
      </c>
      <c r="D12" s="2" t="s">
        <v>30</v>
      </c>
      <c r="E12" s="4">
        <v>4500000</v>
      </c>
      <c r="F12" s="3">
        <v>30</v>
      </c>
      <c r="G12" s="4">
        <f>+E12/30*F12</f>
        <v>4500000</v>
      </c>
      <c r="H12" s="4"/>
      <c r="I12" s="4"/>
      <c r="J12" s="4"/>
      <c r="K12" s="4"/>
      <c r="L12" s="4"/>
      <c r="M12" s="4">
        <f t="shared" si="3"/>
        <v>4500000</v>
      </c>
      <c r="N12" s="4">
        <f>+G12*4%</f>
        <v>180000</v>
      </c>
      <c r="O12" s="4">
        <f>+G12*5%</f>
        <v>225000</v>
      </c>
      <c r="P12" s="4"/>
      <c r="Q12" s="4"/>
      <c r="R12" s="7">
        <v>0</v>
      </c>
      <c r="S12" s="4"/>
      <c r="T12" s="4"/>
      <c r="U12" s="4"/>
      <c r="V12" s="4">
        <f t="shared" si="5"/>
        <v>405000</v>
      </c>
      <c r="W12" s="5">
        <f t="shared" si="6"/>
        <v>4095000</v>
      </c>
      <c r="X12" s="5"/>
      <c r="Y12" s="62"/>
      <c r="Z12" s="5">
        <f t="shared" si="1"/>
        <v>4095000</v>
      </c>
    </row>
    <row r="13" spans="1:26" ht="24.95" customHeight="1" x14ac:dyDescent="0.25">
      <c r="A13" s="63"/>
      <c r="B13" s="2">
        <f t="shared" si="2"/>
        <v>10</v>
      </c>
      <c r="C13" s="9" t="s">
        <v>40</v>
      </c>
      <c r="D13" s="8" t="s">
        <v>30</v>
      </c>
      <c r="E13" s="4">
        <v>4500000</v>
      </c>
      <c r="F13" s="3">
        <v>30</v>
      </c>
      <c r="G13" s="4">
        <f>+E13/30*F13</f>
        <v>4500000</v>
      </c>
      <c r="H13" s="4"/>
      <c r="I13" s="4"/>
      <c r="J13" s="4"/>
      <c r="K13" s="4"/>
      <c r="L13" s="4"/>
      <c r="M13" s="4">
        <f t="shared" si="3"/>
        <v>4500000</v>
      </c>
      <c r="N13" s="4">
        <v>180000</v>
      </c>
      <c r="O13" s="4">
        <v>225000</v>
      </c>
      <c r="P13" s="4"/>
      <c r="Q13" s="4"/>
      <c r="R13" s="4">
        <v>0</v>
      </c>
      <c r="S13" s="4"/>
      <c r="T13" s="4"/>
      <c r="U13" s="4"/>
      <c r="V13" s="4">
        <f t="shared" si="5"/>
        <v>405000</v>
      </c>
      <c r="W13" s="5">
        <f t="shared" si="6"/>
        <v>4095000</v>
      </c>
      <c r="X13" s="5"/>
      <c r="Y13" s="62"/>
      <c r="Z13" s="5">
        <f t="shared" si="1"/>
        <v>4095000</v>
      </c>
    </row>
    <row r="14" spans="1:26" ht="24.95" customHeight="1" x14ac:dyDescent="0.25">
      <c r="A14" s="63"/>
      <c r="B14" s="2">
        <f t="shared" si="2"/>
        <v>11</v>
      </c>
      <c r="C14" s="9" t="s">
        <v>41</v>
      </c>
      <c r="D14" s="8" t="s">
        <v>30</v>
      </c>
      <c r="E14" s="4">
        <v>4500000</v>
      </c>
      <c r="F14" s="3">
        <v>30</v>
      </c>
      <c r="G14" s="4">
        <f>+E14-L14</f>
        <v>3450000</v>
      </c>
      <c r="H14" s="4"/>
      <c r="I14" s="4"/>
      <c r="J14" s="4"/>
      <c r="K14" s="4"/>
      <c r="L14" s="4">
        <v>1050000</v>
      </c>
      <c r="M14" s="4">
        <f t="shared" si="3"/>
        <v>4500000</v>
      </c>
      <c r="N14" s="4">
        <f>+E14*4%</f>
        <v>180000</v>
      </c>
      <c r="O14" s="4">
        <f>+E14*5%</f>
        <v>225000</v>
      </c>
      <c r="P14" s="4"/>
      <c r="Q14" s="4"/>
      <c r="R14" s="4">
        <v>0</v>
      </c>
      <c r="S14" s="4"/>
      <c r="T14" s="4"/>
      <c r="U14" s="4">
        <v>838529</v>
      </c>
      <c r="V14" s="4">
        <f t="shared" si="5"/>
        <v>1243529</v>
      </c>
      <c r="W14" s="5">
        <f t="shared" si="6"/>
        <v>3256471</v>
      </c>
      <c r="X14" s="5"/>
      <c r="Y14" s="62"/>
      <c r="Z14" s="5">
        <f t="shared" si="1"/>
        <v>3256471</v>
      </c>
    </row>
    <row r="15" spans="1:26" ht="24.95" customHeight="1" x14ac:dyDescent="0.25">
      <c r="A15" s="63"/>
      <c r="B15" s="2">
        <f t="shared" si="2"/>
        <v>12</v>
      </c>
      <c r="C15" s="9" t="s">
        <v>42</v>
      </c>
      <c r="D15" s="8" t="s">
        <v>43</v>
      </c>
      <c r="E15" s="4">
        <v>4000000</v>
      </c>
      <c r="F15" s="3">
        <v>30</v>
      </c>
      <c r="G15" s="4">
        <f>+E15/30*F15</f>
        <v>4000000.0000000005</v>
      </c>
      <c r="H15" s="4"/>
      <c r="I15" s="4"/>
      <c r="J15" s="4"/>
      <c r="K15" s="4"/>
      <c r="L15" s="4">
        <f>+E15-G15</f>
        <v>0</v>
      </c>
      <c r="M15" s="4">
        <f t="shared" si="3"/>
        <v>4000000.0000000005</v>
      </c>
      <c r="N15" s="4">
        <f>+E15*0.04</f>
        <v>160000</v>
      </c>
      <c r="O15" s="4">
        <f>+E15*0.05</f>
        <v>200000</v>
      </c>
      <c r="P15" s="4"/>
      <c r="Q15" s="4"/>
      <c r="R15" s="4"/>
      <c r="S15" s="4"/>
      <c r="T15" s="4"/>
      <c r="U15" s="4"/>
      <c r="V15" s="4">
        <f t="shared" si="5"/>
        <v>360000</v>
      </c>
      <c r="W15" s="5">
        <f t="shared" si="6"/>
        <v>3640000.0000000005</v>
      </c>
      <c r="X15" s="5"/>
      <c r="Y15" s="62"/>
      <c r="Z15" s="5">
        <f t="shared" si="1"/>
        <v>3640000.0000000005</v>
      </c>
    </row>
    <row r="16" spans="1:26" ht="24.95" customHeight="1" x14ac:dyDescent="0.25">
      <c r="A16" s="63"/>
      <c r="B16" s="2">
        <f t="shared" si="2"/>
        <v>13</v>
      </c>
      <c r="C16" s="9" t="s">
        <v>44</v>
      </c>
      <c r="D16" s="8"/>
      <c r="E16" s="4">
        <v>5500000</v>
      </c>
      <c r="F16" s="3">
        <v>29</v>
      </c>
      <c r="G16" s="4">
        <f>+E16/30*F16</f>
        <v>5316666.666666667</v>
      </c>
      <c r="H16" s="4"/>
      <c r="I16" s="4"/>
      <c r="J16" s="4"/>
      <c r="K16" s="4"/>
      <c r="L16" s="4"/>
      <c r="M16" s="4">
        <f t="shared" si="3"/>
        <v>5316666.666666667</v>
      </c>
      <c r="N16" s="4">
        <f>+M16*0.04</f>
        <v>212666.66666666669</v>
      </c>
      <c r="O16" s="4">
        <f>+M16*0.05</f>
        <v>265833.33333333337</v>
      </c>
      <c r="P16" s="4"/>
      <c r="Q16" s="4"/>
      <c r="R16" s="4">
        <v>83397</v>
      </c>
      <c r="S16" s="4"/>
      <c r="T16" s="4"/>
      <c r="U16" s="4"/>
      <c r="V16" s="4">
        <f t="shared" si="5"/>
        <v>561897</v>
      </c>
      <c r="W16" s="5">
        <f t="shared" si="6"/>
        <v>4754769.666666667</v>
      </c>
      <c r="X16" s="5"/>
      <c r="Y16" s="62"/>
      <c r="Z16" s="5">
        <f t="shared" si="1"/>
        <v>4754769.666666667</v>
      </c>
    </row>
    <row r="17" spans="1:26" ht="24.95" customHeight="1" x14ac:dyDescent="0.25">
      <c r="A17" s="63"/>
      <c r="B17" s="2">
        <f t="shared" si="2"/>
        <v>14</v>
      </c>
      <c r="C17" s="9" t="s">
        <v>45</v>
      </c>
      <c r="D17" s="8" t="s">
        <v>43</v>
      </c>
      <c r="E17" s="4">
        <v>5200000</v>
      </c>
      <c r="F17" s="3">
        <v>30</v>
      </c>
      <c r="G17" s="4">
        <f>+E17/30*F17</f>
        <v>5200000</v>
      </c>
      <c r="H17" s="4"/>
      <c r="I17" s="4"/>
      <c r="J17" s="4"/>
      <c r="K17" s="4"/>
      <c r="L17" s="4">
        <v>0</v>
      </c>
      <c r="M17" s="4">
        <f t="shared" si="3"/>
        <v>5200000</v>
      </c>
      <c r="N17" s="4">
        <f>+G17*4%</f>
        <v>208000</v>
      </c>
      <c r="O17" s="4">
        <f>+G17*5%</f>
        <v>260000</v>
      </c>
      <c r="P17" s="4"/>
      <c r="Q17" s="4"/>
      <c r="R17" s="4">
        <v>46204</v>
      </c>
      <c r="S17" s="4"/>
      <c r="T17" s="4"/>
      <c r="U17" s="4"/>
      <c r="V17" s="4">
        <f t="shared" si="5"/>
        <v>514204</v>
      </c>
      <c r="W17" s="5">
        <f t="shared" si="6"/>
        <v>4685796</v>
      </c>
      <c r="X17" s="5"/>
      <c r="Y17" s="62"/>
      <c r="Z17" s="5">
        <f t="shared" si="1"/>
        <v>4685796</v>
      </c>
    </row>
    <row r="18" spans="1:26" ht="24.95" customHeight="1" x14ac:dyDescent="0.25">
      <c r="A18" s="63"/>
      <c r="B18" s="2">
        <f t="shared" si="2"/>
        <v>15</v>
      </c>
      <c r="C18" s="1" t="s">
        <v>46</v>
      </c>
      <c r="D18" s="2" t="s">
        <v>30</v>
      </c>
      <c r="E18" s="4">
        <v>5500000</v>
      </c>
      <c r="F18" s="3">
        <v>30</v>
      </c>
      <c r="G18" s="4">
        <f>+E18-L18</f>
        <v>2750000</v>
      </c>
      <c r="H18" s="4"/>
      <c r="I18" s="4"/>
      <c r="J18" s="4">
        <v>450000</v>
      </c>
      <c r="K18" s="4"/>
      <c r="L18" s="4">
        <v>2750000</v>
      </c>
      <c r="M18" s="4">
        <f t="shared" si="3"/>
        <v>5950000</v>
      </c>
      <c r="N18" s="4">
        <f>+E18*4%</f>
        <v>220000</v>
      </c>
      <c r="O18" s="4">
        <f>+E18*5%</f>
        <v>275000</v>
      </c>
      <c r="P18" s="4"/>
      <c r="Q18" s="4"/>
      <c r="R18" s="7">
        <v>150521</v>
      </c>
      <c r="S18" s="4">
        <v>1365000</v>
      </c>
      <c r="T18" s="4"/>
      <c r="U18" s="4"/>
      <c r="V18" s="4">
        <f t="shared" si="5"/>
        <v>2010521</v>
      </c>
      <c r="W18" s="5">
        <f t="shared" si="6"/>
        <v>3939479</v>
      </c>
      <c r="X18" s="5"/>
      <c r="Y18" s="62"/>
      <c r="Z18" s="5">
        <f t="shared" si="1"/>
        <v>3939479</v>
      </c>
    </row>
    <row r="19" spans="1:26" ht="24.95" customHeight="1" x14ac:dyDescent="0.25">
      <c r="A19" s="63"/>
      <c r="B19" s="2">
        <f t="shared" si="2"/>
        <v>16</v>
      </c>
      <c r="C19" s="1" t="s">
        <v>47</v>
      </c>
      <c r="D19" s="2" t="s">
        <v>30</v>
      </c>
      <c r="E19" s="4">
        <v>5350000</v>
      </c>
      <c r="F19" s="3">
        <v>30</v>
      </c>
      <c r="G19" s="4">
        <f>+E19/30*F19</f>
        <v>5350000</v>
      </c>
      <c r="H19" s="4"/>
      <c r="I19" s="4"/>
      <c r="J19" s="4">
        <v>1000000</v>
      </c>
      <c r="K19" s="4"/>
      <c r="L19" s="4"/>
      <c r="M19" s="4">
        <f t="shared" si="3"/>
        <v>6350000</v>
      </c>
      <c r="N19" s="4">
        <v>214000</v>
      </c>
      <c r="O19" s="4">
        <f>214000+53500</f>
        <v>267500</v>
      </c>
      <c r="P19" s="4"/>
      <c r="Q19" s="4"/>
      <c r="R19" s="7">
        <v>116813</v>
      </c>
      <c r="S19" s="4"/>
      <c r="T19" s="4"/>
      <c r="U19" s="4">
        <v>810005</v>
      </c>
      <c r="V19" s="4">
        <f t="shared" si="5"/>
        <v>1408318</v>
      </c>
      <c r="W19" s="5">
        <f>M19-V19</f>
        <v>4941682</v>
      </c>
      <c r="X19" s="5"/>
      <c r="Y19" s="62"/>
      <c r="Z19" s="5">
        <f t="shared" si="1"/>
        <v>4941682</v>
      </c>
    </row>
    <row r="20" spans="1:26" ht="24.95" customHeight="1" x14ac:dyDescent="0.25">
      <c r="A20" s="63"/>
      <c r="B20" s="2">
        <f t="shared" si="2"/>
        <v>17</v>
      </c>
      <c r="C20" s="1" t="s">
        <v>48</v>
      </c>
      <c r="D20" s="2" t="s">
        <v>30</v>
      </c>
      <c r="E20" s="4">
        <v>7000000</v>
      </c>
      <c r="F20" s="3">
        <v>30</v>
      </c>
      <c r="G20" s="4">
        <f>+E20-I20</f>
        <v>6766666.666666667</v>
      </c>
      <c r="H20" s="4"/>
      <c r="I20" s="4">
        <f>+E20/30</f>
        <v>233333.33333333334</v>
      </c>
      <c r="J20" s="4"/>
      <c r="K20" s="4"/>
      <c r="L20" s="4"/>
      <c r="M20" s="4">
        <f t="shared" si="3"/>
        <v>7000000</v>
      </c>
      <c r="N20" s="4">
        <f>+G20*4%</f>
        <v>270666.66666666669</v>
      </c>
      <c r="O20" s="4">
        <f>+G20*5%</f>
        <v>338333.33333333337</v>
      </c>
      <c r="P20" s="4"/>
      <c r="Q20" s="4"/>
      <c r="R20" s="7">
        <v>269359</v>
      </c>
      <c r="S20" s="4"/>
      <c r="T20" s="4"/>
      <c r="U20" s="4"/>
      <c r="V20" s="4">
        <f t="shared" si="5"/>
        <v>878359</v>
      </c>
      <c r="W20" s="5">
        <f>M20-V20</f>
        <v>6121641</v>
      </c>
      <c r="X20" s="5"/>
      <c r="Y20" s="62"/>
      <c r="Z20" s="5">
        <f t="shared" si="1"/>
        <v>6121641</v>
      </c>
    </row>
    <row r="21" spans="1:26" ht="24.95" customHeight="1" x14ac:dyDescent="0.25">
      <c r="A21" s="63"/>
      <c r="B21" s="2">
        <f t="shared" si="2"/>
        <v>18</v>
      </c>
      <c r="C21" s="1" t="s">
        <v>49</v>
      </c>
      <c r="D21" s="2" t="s">
        <v>30</v>
      </c>
      <c r="E21" s="4">
        <v>6900000</v>
      </c>
      <c r="F21" s="3">
        <v>30</v>
      </c>
      <c r="G21" s="4">
        <f>+E21/30*F21</f>
        <v>6900000</v>
      </c>
      <c r="H21" s="4"/>
      <c r="I21" s="4"/>
      <c r="J21" s="4">
        <v>1400000</v>
      </c>
      <c r="K21" s="10"/>
      <c r="L21" s="10"/>
      <c r="M21" s="4">
        <f t="shared" si="3"/>
        <v>8300000</v>
      </c>
      <c r="N21" s="4">
        <f>+G21*4%</f>
        <v>276000</v>
      </c>
      <c r="O21" s="4">
        <f>+G21*5%</f>
        <v>345000</v>
      </c>
      <c r="P21" s="4"/>
      <c r="Q21" s="4"/>
      <c r="R21" s="7">
        <v>113000</v>
      </c>
      <c r="S21" s="4">
        <v>1300000</v>
      </c>
      <c r="T21" s="4"/>
      <c r="U21" s="4"/>
      <c r="V21" s="4">
        <f t="shared" si="5"/>
        <v>2034000</v>
      </c>
      <c r="W21" s="5">
        <f>M21-V21</f>
        <v>6266000</v>
      </c>
      <c r="X21" s="5"/>
      <c r="Y21" s="62"/>
      <c r="Z21" s="5">
        <f t="shared" si="1"/>
        <v>6266000</v>
      </c>
    </row>
    <row r="22" spans="1:26" ht="24.95" customHeight="1" x14ac:dyDescent="0.25">
      <c r="A22" s="63"/>
      <c r="B22" s="2">
        <f t="shared" si="2"/>
        <v>19</v>
      </c>
      <c r="C22" s="1" t="s">
        <v>50</v>
      </c>
      <c r="D22" s="2"/>
      <c r="E22" s="4">
        <v>3500000</v>
      </c>
      <c r="F22" s="3">
        <v>30</v>
      </c>
      <c r="G22" s="4">
        <f>+E22/30*F22</f>
        <v>3500000</v>
      </c>
      <c r="H22" s="4"/>
      <c r="I22" s="4"/>
      <c r="J22" s="4"/>
      <c r="K22" s="4"/>
      <c r="L22" s="4"/>
      <c r="M22" s="4">
        <f t="shared" si="3"/>
        <v>3500000</v>
      </c>
      <c r="N22" s="4">
        <f t="shared" ref="N22:N29" si="7">E22*4/100</f>
        <v>140000</v>
      </c>
      <c r="O22" s="4">
        <f t="shared" ref="O22:O29" si="8">+E22*0.05</f>
        <v>175000</v>
      </c>
      <c r="P22" s="4"/>
      <c r="Q22" s="4"/>
      <c r="R22" s="4"/>
      <c r="S22" s="4"/>
      <c r="T22" s="4"/>
      <c r="U22" s="4"/>
      <c r="V22" s="4">
        <f t="shared" si="5"/>
        <v>315000</v>
      </c>
      <c r="W22" s="5">
        <f t="shared" ref="W22:W28" si="9">+M22-V22</f>
        <v>3185000</v>
      </c>
      <c r="X22" s="5"/>
      <c r="Y22" s="62"/>
      <c r="Z22" s="5">
        <f t="shared" si="1"/>
        <v>3185000</v>
      </c>
    </row>
    <row r="23" spans="1:26" ht="24.95" customHeight="1" x14ac:dyDescent="0.25">
      <c r="A23" s="63"/>
      <c r="B23" s="2">
        <f t="shared" si="2"/>
        <v>20</v>
      </c>
      <c r="C23" s="1" t="s">
        <v>51</v>
      </c>
      <c r="D23" s="2" t="s">
        <v>30</v>
      </c>
      <c r="E23" s="4">
        <v>5300000</v>
      </c>
      <c r="F23" s="3">
        <v>30</v>
      </c>
      <c r="G23" s="4">
        <f>+E23/30*F23</f>
        <v>5300000</v>
      </c>
      <c r="H23" s="4"/>
      <c r="I23" s="4"/>
      <c r="J23" s="4">
        <v>1621317</v>
      </c>
      <c r="K23" s="4"/>
      <c r="L23" s="4"/>
      <c r="M23" s="4">
        <f t="shared" si="3"/>
        <v>6921317</v>
      </c>
      <c r="N23" s="4">
        <f t="shared" si="7"/>
        <v>212000</v>
      </c>
      <c r="O23" s="4">
        <f t="shared" si="8"/>
        <v>265000</v>
      </c>
      <c r="P23" s="4"/>
      <c r="Q23" s="4"/>
      <c r="R23" s="7">
        <v>100000</v>
      </c>
      <c r="S23" s="4"/>
      <c r="T23" s="4"/>
      <c r="U23" s="4">
        <f>884747</f>
        <v>884747</v>
      </c>
      <c r="V23" s="4">
        <f t="shared" si="5"/>
        <v>1461747</v>
      </c>
      <c r="W23" s="5">
        <f t="shared" si="9"/>
        <v>5459570</v>
      </c>
      <c r="X23" s="5"/>
      <c r="Y23" s="62"/>
      <c r="Z23" s="5">
        <f t="shared" si="1"/>
        <v>5459570</v>
      </c>
    </row>
    <row r="24" spans="1:26" ht="24.95" customHeight="1" x14ac:dyDescent="0.25">
      <c r="A24" s="63"/>
      <c r="B24" s="2">
        <f t="shared" si="2"/>
        <v>21</v>
      </c>
      <c r="C24" s="1" t="s">
        <v>52</v>
      </c>
      <c r="D24" s="2" t="s">
        <v>30</v>
      </c>
      <c r="E24" s="4">
        <v>4500000</v>
      </c>
      <c r="F24" s="3">
        <v>30</v>
      </c>
      <c r="G24" s="4">
        <f>+E24-L24</f>
        <v>2400000</v>
      </c>
      <c r="H24" s="4"/>
      <c r="I24" s="4"/>
      <c r="J24" s="4"/>
      <c r="K24" s="4"/>
      <c r="L24" s="4">
        <f>600000+1500000</f>
        <v>2100000</v>
      </c>
      <c r="M24" s="4">
        <f t="shared" si="3"/>
        <v>4500000</v>
      </c>
      <c r="N24" s="4">
        <f t="shared" si="7"/>
        <v>180000</v>
      </c>
      <c r="O24" s="4">
        <f t="shared" si="8"/>
        <v>225000</v>
      </c>
      <c r="P24" s="4"/>
      <c r="Q24" s="4"/>
      <c r="R24" s="7">
        <v>0</v>
      </c>
      <c r="S24" s="4"/>
      <c r="T24" s="4"/>
      <c r="U24" s="4"/>
      <c r="V24" s="4">
        <f t="shared" si="5"/>
        <v>405000</v>
      </c>
      <c r="W24" s="5">
        <f t="shared" si="9"/>
        <v>4095000</v>
      </c>
      <c r="X24" s="5"/>
      <c r="Y24" s="62"/>
      <c r="Z24" s="5">
        <f t="shared" si="1"/>
        <v>4095000</v>
      </c>
    </row>
    <row r="25" spans="1:26" ht="24.95" customHeight="1" x14ac:dyDescent="0.25">
      <c r="A25" s="63"/>
      <c r="B25" s="2">
        <f t="shared" si="2"/>
        <v>22</v>
      </c>
      <c r="C25" s="1" t="s">
        <v>53</v>
      </c>
      <c r="D25" s="2" t="s">
        <v>30</v>
      </c>
      <c r="E25" s="4">
        <v>5500000</v>
      </c>
      <c r="F25" s="3">
        <v>30</v>
      </c>
      <c r="G25" s="4">
        <f>+E25-I25</f>
        <v>5500000</v>
      </c>
      <c r="H25" s="4"/>
      <c r="I25" s="4"/>
      <c r="J25" s="4"/>
      <c r="K25" s="4"/>
      <c r="L25" s="4"/>
      <c r="M25" s="4">
        <f t="shared" si="3"/>
        <v>5500000</v>
      </c>
      <c r="N25" s="4">
        <f t="shared" si="7"/>
        <v>220000</v>
      </c>
      <c r="O25" s="4">
        <f t="shared" si="8"/>
        <v>275000</v>
      </c>
      <c r="P25" s="4"/>
      <c r="Q25" s="4"/>
      <c r="R25" s="4">
        <v>5022</v>
      </c>
      <c r="S25" s="4"/>
      <c r="T25" s="4"/>
      <c r="U25" s="4"/>
      <c r="V25" s="4">
        <f t="shared" si="5"/>
        <v>500022</v>
      </c>
      <c r="W25" s="5">
        <f t="shared" si="9"/>
        <v>4999978</v>
      </c>
      <c r="X25" s="5"/>
      <c r="Y25" s="62"/>
      <c r="Z25" s="5">
        <f t="shared" si="1"/>
        <v>4999978</v>
      </c>
    </row>
    <row r="26" spans="1:26" ht="24.95" customHeight="1" x14ac:dyDescent="0.25">
      <c r="A26" s="63"/>
      <c r="B26" s="2">
        <f t="shared" si="2"/>
        <v>23</v>
      </c>
      <c r="C26" s="1" t="s">
        <v>54</v>
      </c>
      <c r="D26" s="2" t="s">
        <v>30</v>
      </c>
      <c r="E26" s="4">
        <v>5500000</v>
      </c>
      <c r="F26" s="3">
        <v>30</v>
      </c>
      <c r="G26" s="4">
        <f>+E26/30*F26</f>
        <v>5500000</v>
      </c>
      <c r="H26" s="4"/>
      <c r="I26" s="4"/>
      <c r="J26" s="4"/>
      <c r="K26" s="4"/>
      <c r="L26" s="4"/>
      <c r="M26" s="4">
        <f t="shared" si="3"/>
        <v>5500000</v>
      </c>
      <c r="N26" s="4">
        <f t="shared" si="7"/>
        <v>220000</v>
      </c>
      <c r="O26" s="4">
        <f t="shared" si="8"/>
        <v>275000</v>
      </c>
      <c r="P26" s="4"/>
      <c r="Q26" s="4"/>
      <c r="R26" s="7">
        <v>141000</v>
      </c>
      <c r="S26" s="4"/>
      <c r="T26" s="4"/>
      <c r="U26" s="4"/>
      <c r="V26" s="4">
        <f t="shared" si="5"/>
        <v>636000</v>
      </c>
      <c r="W26" s="5">
        <f t="shared" si="9"/>
        <v>4864000</v>
      </c>
      <c r="X26" s="5"/>
      <c r="Y26" s="62"/>
      <c r="Z26" s="5">
        <f t="shared" si="1"/>
        <v>4864000</v>
      </c>
    </row>
    <row r="27" spans="1:26" ht="24.95" customHeight="1" x14ac:dyDescent="0.25">
      <c r="A27" s="63"/>
      <c r="B27" s="2">
        <f t="shared" si="2"/>
        <v>24</v>
      </c>
      <c r="C27" s="1" t="s">
        <v>55</v>
      </c>
      <c r="D27" s="2"/>
      <c r="E27" s="4">
        <v>6600000</v>
      </c>
      <c r="F27" s="3">
        <v>30</v>
      </c>
      <c r="G27" s="4">
        <f>+E27/30*F27</f>
        <v>6600000</v>
      </c>
      <c r="H27" s="4"/>
      <c r="I27" s="4"/>
      <c r="J27" s="4"/>
      <c r="K27" s="4"/>
      <c r="L27" s="4"/>
      <c r="M27" s="4">
        <f t="shared" si="3"/>
        <v>6600000</v>
      </c>
      <c r="N27" s="4">
        <f t="shared" si="7"/>
        <v>264000</v>
      </c>
      <c r="O27" s="4">
        <f t="shared" si="8"/>
        <v>330000</v>
      </c>
      <c r="P27" s="4"/>
      <c r="Q27" s="4"/>
      <c r="R27" s="7">
        <v>281000</v>
      </c>
      <c r="S27" s="4"/>
      <c r="T27" s="4"/>
      <c r="U27" s="4"/>
      <c r="V27" s="4">
        <f t="shared" si="5"/>
        <v>875000</v>
      </c>
      <c r="W27" s="5">
        <f t="shared" si="9"/>
        <v>5725000</v>
      </c>
      <c r="X27" s="5"/>
      <c r="Y27" s="62"/>
      <c r="Z27" s="5">
        <f t="shared" si="1"/>
        <v>5725000</v>
      </c>
    </row>
    <row r="28" spans="1:26" ht="24.95" customHeight="1" x14ac:dyDescent="0.25">
      <c r="A28" s="63"/>
      <c r="B28" s="2">
        <f t="shared" si="2"/>
        <v>25</v>
      </c>
      <c r="C28" s="1" t="s">
        <v>56</v>
      </c>
      <c r="D28" s="2" t="s">
        <v>30</v>
      </c>
      <c r="E28" s="4">
        <v>4500000</v>
      </c>
      <c r="F28" s="3">
        <v>30</v>
      </c>
      <c r="G28" s="4">
        <f>+E28-L28</f>
        <v>3450000</v>
      </c>
      <c r="H28" s="4"/>
      <c r="I28" s="4"/>
      <c r="J28" s="4"/>
      <c r="K28" s="4"/>
      <c r="L28" s="4">
        <v>1050000</v>
      </c>
      <c r="M28" s="4">
        <f t="shared" si="3"/>
        <v>4500000</v>
      </c>
      <c r="N28" s="4">
        <f t="shared" si="7"/>
        <v>180000</v>
      </c>
      <c r="O28" s="4">
        <f t="shared" si="8"/>
        <v>225000</v>
      </c>
      <c r="P28" s="4"/>
      <c r="Q28" s="4"/>
      <c r="R28" s="7">
        <v>0</v>
      </c>
      <c r="S28" s="4"/>
      <c r="T28" s="4"/>
      <c r="U28" s="4"/>
      <c r="V28" s="4">
        <f t="shared" si="5"/>
        <v>405000</v>
      </c>
      <c r="W28" s="5">
        <f t="shared" si="9"/>
        <v>4095000</v>
      </c>
      <c r="X28" s="5"/>
      <c r="Y28" s="62"/>
      <c r="Z28" s="5">
        <f t="shared" si="1"/>
        <v>4095000</v>
      </c>
    </row>
    <row r="29" spans="1:26" ht="24.95" customHeight="1" x14ac:dyDescent="0.25">
      <c r="A29" s="63"/>
      <c r="B29" s="2">
        <f t="shared" si="2"/>
        <v>26</v>
      </c>
      <c r="C29" s="1" t="s">
        <v>57</v>
      </c>
      <c r="D29" s="2" t="s">
        <v>30</v>
      </c>
      <c r="E29" s="4">
        <v>6600000</v>
      </c>
      <c r="F29" s="3">
        <v>30</v>
      </c>
      <c r="G29" s="4">
        <f>+E29/30*F29</f>
        <v>6600000</v>
      </c>
      <c r="H29" s="4"/>
      <c r="I29" s="4"/>
      <c r="J29" s="4"/>
      <c r="K29" s="10"/>
      <c r="L29" s="10"/>
      <c r="M29" s="4">
        <f t="shared" si="3"/>
        <v>6600000</v>
      </c>
      <c r="N29" s="4">
        <f t="shared" si="7"/>
        <v>264000</v>
      </c>
      <c r="O29" s="4">
        <f t="shared" si="8"/>
        <v>330000</v>
      </c>
      <c r="P29" s="4"/>
      <c r="Q29" s="4"/>
      <c r="R29" s="7">
        <v>126000</v>
      </c>
      <c r="S29" s="4"/>
      <c r="T29" s="4"/>
      <c r="U29" s="4"/>
      <c r="V29" s="4">
        <f t="shared" si="5"/>
        <v>720000</v>
      </c>
      <c r="W29" s="5">
        <f>M29-V29</f>
        <v>5880000</v>
      </c>
      <c r="X29" s="5"/>
      <c r="Y29" s="62"/>
      <c r="Z29" s="5">
        <f t="shared" si="1"/>
        <v>5880000</v>
      </c>
    </row>
    <row r="30" spans="1:26" ht="24.95" customHeight="1" x14ac:dyDescent="0.25">
      <c r="A30" s="63"/>
      <c r="B30" s="2">
        <f t="shared" si="2"/>
        <v>27</v>
      </c>
      <c r="C30" s="1" t="s">
        <v>58</v>
      </c>
      <c r="D30" s="2"/>
      <c r="E30" s="4">
        <v>7000000</v>
      </c>
      <c r="F30" s="3">
        <v>16</v>
      </c>
      <c r="G30" s="4">
        <f>+E30/30*F30</f>
        <v>3733333.3333333335</v>
      </c>
      <c r="H30" s="4"/>
      <c r="I30" s="4"/>
      <c r="J30" s="4"/>
      <c r="K30" s="11"/>
      <c r="L30" s="11"/>
      <c r="M30" s="4">
        <f t="shared" si="3"/>
        <v>3733333.3333333335</v>
      </c>
      <c r="N30" s="4">
        <f>M30*4/100</f>
        <v>149333.33333333334</v>
      </c>
      <c r="O30" s="4">
        <f>+M30*0.05</f>
        <v>186666.66666666669</v>
      </c>
      <c r="P30" s="4"/>
      <c r="Q30" s="4"/>
      <c r="R30" s="7">
        <v>269359</v>
      </c>
      <c r="S30" s="4"/>
      <c r="T30" s="4"/>
      <c r="U30" s="4"/>
      <c r="V30" s="4">
        <f t="shared" si="5"/>
        <v>605359</v>
      </c>
      <c r="W30" s="5">
        <f>M30-V30</f>
        <v>3127974.3333333335</v>
      </c>
      <c r="X30" s="5"/>
      <c r="Y30" s="62"/>
      <c r="Z30" s="5">
        <f t="shared" si="1"/>
        <v>3127974.3333333335</v>
      </c>
    </row>
    <row r="31" spans="1:26" ht="24.95" customHeight="1" x14ac:dyDescent="0.25">
      <c r="A31" s="63"/>
      <c r="B31" s="2">
        <f t="shared" si="2"/>
        <v>28</v>
      </c>
      <c r="C31" s="1" t="s">
        <v>59</v>
      </c>
      <c r="D31" s="2" t="s">
        <v>30</v>
      </c>
      <c r="E31" s="4">
        <v>3500000</v>
      </c>
      <c r="F31" s="3">
        <v>30</v>
      </c>
      <c r="G31" s="4">
        <f>+E31-L31</f>
        <v>2683333</v>
      </c>
      <c r="H31" s="4"/>
      <c r="I31" s="4"/>
      <c r="J31" s="4"/>
      <c r="K31" s="4"/>
      <c r="L31" s="4">
        <v>816667</v>
      </c>
      <c r="M31" s="4">
        <f t="shared" si="3"/>
        <v>3500000</v>
      </c>
      <c r="N31" s="4">
        <f>E31*4/100</f>
        <v>140000</v>
      </c>
      <c r="O31" s="4">
        <f>+E31*0.05</f>
        <v>175000</v>
      </c>
      <c r="P31" s="4"/>
      <c r="Q31" s="4"/>
      <c r="R31" s="7">
        <v>0</v>
      </c>
      <c r="S31" s="4"/>
      <c r="T31" s="4">
        <v>111000</v>
      </c>
      <c r="U31" s="4"/>
      <c r="V31" s="4">
        <f t="shared" si="5"/>
        <v>426000</v>
      </c>
      <c r="W31" s="5">
        <f>M31-V31</f>
        <v>3074000</v>
      </c>
      <c r="X31" s="5"/>
      <c r="Y31" s="62"/>
      <c r="Z31" s="5">
        <f t="shared" si="1"/>
        <v>3074000</v>
      </c>
    </row>
    <row r="32" spans="1:26" ht="24.95" customHeight="1" x14ac:dyDescent="0.25">
      <c r="A32" s="63"/>
      <c r="B32" s="2">
        <f t="shared" si="2"/>
        <v>29</v>
      </c>
      <c r="C32" s="1" t="s">
        <v>60</v>
      </c>
      <c r="D32" s="2" t="s">
        <v>30</v>
      </c>
      <c r="E32" s="4">
        <v>4800000</v>
      </c>
      <c r="F32" s="3">
        <v>16</v>
      </c>
      <c r="G32" s="4">
        <f>2560000-L32</f>
        <v>160000</v>
      </c>
      <c r="H32" s="4"/>
      <c r="I32" s="4"/>
      <c r="J32" s="4"/>
      <c r="K32" s="4"/>
      <c r="L32" s="4">
        <v>2400000</v>
      </c>
      <c r="M32" s="4">
        <f t="shared" si="3"/>
        <v>2560000</v>
      </c>
      <c r="N32" s="4">
        <f>M32*4/100</f>
        <v>102400</v>
      </c>
      <c r="O32" s="4">
        <f>+M32*0.05</f>
        <v>128000</v>
      </c>
      <c r="P32" s="4"/>
      <c r="Q32" s="4"/>
      <c r="R32" s="4">
        <v>0</v>
      </c>
      <c r="S32" s="4">
        <f>1150000/2</f>
        <v>575000</v>
      </c>
      <c r="T32" s="4"/>
      <c r="U32" s="4">
        <f>209579/2</f>
        <v>104789.5</v>
      </c>
      <c r="V32" s="4">
        <f t="shared" si="5"/>
        <v>910189.5</v>
      </c>
      <c r="W32" s="5">
        <f>M32-V32</f>
        <v>1649810.5</v>
      </c>
      <c r="X32" s="5"/>
      <c r="Y32" s="62"/>
      <c r="Z32" s="5">
        <f t="shared" si="1"/>
        <v>1649810.5</v>
      </c>
    </row>
    <row r="33" spans="1:29" ht="24.95" customHeight="1" x14ac:dyDescent="0.25">
      <c r="A33" s="63"/>
      <c r="B33" s="2">
        <f t="shared" si="2"/>
        <v>30</v>
      </c>
      <c r="C33" s="1" t="s">
        <v>61</v>
      </c>
      <c r="D33" s="2" t="s">
        <v>30</v>
      </c>
      <c r="E33" s="4">
        <v>4540000</v>
      </c>
      <c r="F33" s="3">
        <v>30</v>
      </c>
      <c r="G33" s="4">
        <f>+E33/30*F33</f>
        <v>4540000</v>
      </c>
      <c r="H33" s="4"/>
      <c r="I33" s="4"/>
      <c r="J33" s="4"/>
      <c r="K33" s="4"/>
      <c r="L33" s="4"/>
      <c r="M33" s="4">
        <f t="shared" si="3"/>
        <v>4540000</v>
      </c>
      <c r="N33" s="4">
        <f t="shared" ref="N33:N49" si="10">E33*4/100</f>
        <v>181600</v>
      </c>
      <c r="O33" s="4">
        <f t="shared" ref="O33:O49" si="11">+E33*0.05</f>
        <v>227000</v>
      </c>
      <c r="P33" s="4"/>
      <c r="Q33" s="4"/>
      <c r="R33" s="7">
        <v>0</v>
      </c>
      <c r="S33" s="4"/>
      <c r="T33" s="4"/>
      <c r="U33" s="4"/>
      <c r="V33" s="4">
        <f t="shared" si="5"/>
        <v>408600</v>
      </c>
      <c r="W33" s="5">
        <f>M33-V33</f>
        <v>4131400</v>
      </c>
      <c r="X33" s="5"/>
      <c r="Y33" s="62"/>
      <c r="Z33" s="5">
        <f t="shared" si="1"/>
        <v>4131400</v>
      </c>
    </row>
    <row r="34" spans="1:29" ht="24.95" customHeight="1" x14ac:dyDescent="0.25">
      <c r="A34" s="63"/>
      <c r="B34" s="2">
        <f t="shared" si="2"/>
        <v>31</v>
      </c>
      <c r="C34" s="1" t="s">
        <v>62</v>
      </c>
      <c r="D34" s="2" t="s">
        <v>30</v>
      </c>
      <c r="E34" s="4">
        <v>3500000</v>
      </c>
      <c r="F34" s="3">
        <v>30</v>
      </c>
      <c r="G34" s="4">
        <f>+E34/30*F34</f>
        <v>3500000</v>
      </c>
      <c r="H34" s="4"/>
      <c r="I34" s="4"/>
      <c r="J34" s="4"/>
      <c r="K34" s="4"/>
      <c r="L34" s="4"/>
      <c r="M34" s="4">
        <f t="shared" si="3"/>
        <v>3500000</v>
      </c>
      <c r="N34" s="4">
        <f t="shared" si="10"/>
        <v>140000</v>
      </c>
      <c r="O34" s="4">
        <f t="shared" si="11"/>
        <v>175000</v>
      </c>
      <c r="P34" s="4"/>
      <c r="Q34" s="4"/>
      <c r="R34" s="4">
        <v>0</v>
      </c>
      <c r="S34" s="4"/>
      <c r="T34" s="4"/>
      <c r="U34" s="4">
        <v>257196</v>
      </c>
      <c r="V34" s="4">
        <f t="shared" si="5"/>
        <v>572196</v>
      </c>
      <c r="W34" s="5">
        <f>+M34-V34</f>
        <v>2927804</v>
      </c>
      <c r="X34" s="5"/>
      <c r="Y34" s="62"/>
      <c r="Z34" s="5">
        <f t="shared" si="1"/>
        <v>2927804</v>
      </c>
    </row>
    <row r="35" spans="1:29" ht="24.95" customHeight="1" x14ac:dyDescent="0.25">
      <c r="A35" s="63"/>
      <c r="B35" s="2">
        <f t="shared" si="2"/>
        <v>32</v>
      </c>
      <c r="C35" s="1" t="s">
        <v>63</v>
      </c>
      <c r="D35" s="2"/>
      <c r="E35" s="4">
        <v>4500000</v>
      </c>
      <c r="F35" s="3">
        <v>30</v>
      </c>
      <c r="G35" s="4">
        <f>+E35/30*F35</f>
        <v>4500000</v>
      </c>
      <c r="H35" s="4"/>
      <c r="I35" s="4"/>
      <c r="J35" s="4"/>
      <c r="K35" s="4"/>
      <c r="L35" s="4"/>
      <c r="M35" s="4">
        <f t="shared" si="3"/>
        <v>4500000</v>
      </c>
      <c r="N35" s="4">
        <f t="shared" si="10"/>
        <v>180000</v>
      </c>
      <c r="O35" s="4">
        <f t="shared" si="11"/>
        <v>225000</v>
      </c>
      <c r="P35" s="4"/>
      <c r="Q35" s="4"/>
      <c r="R35" s="4">
        <v>0</v>
      </c>
      <c r="S35" s="4"/>
      <c r="T35" s="4"/>
      <c r="U35" s="4"/>
      <c r="V35" s="4">
        <f t="shared" si="5"/>
        <v>405000</v>
      </c>
      <c r="W35" s="5">
        <f>+M35-V35</f>
        <v>4095000</v>
      </c>
      <c r="X35" s="5"/>
      <c r="Y35" s="62"/>
      <c r="Z35" s="5">
        <f t="shared" si="1"/>
        <v>4095000</v>
      </c>
    </row>
    <row r="36" spans="1:29" ht="24.95" customHeight="1" x14ac:dyDescent="0.25">
      <c r="A36" s="63"/>
      <c r="B36" s="2">
        <f t="shared" si="2"/>
        <v>33</v>
      </c>
      <c r="C36" s="1" t="s">
        <v>64</v>
      </c>
      <c r="D36" s="2" t="s">
        <v>30</v>
      </c>
      <c r="E36" s="4">
        <v>6360000</v>
      </c>
      <c r="F36" s="3">
        <v>30</v>
      </c>
      <c r="G36" s="4">
        <f>+E36/30*F36</f>
        <v>6360000</v>
      </c>
      <c r="H36" s="4"/>
      <c r="I36" s="12"/>
      <c r="J36" s="4"/>
      <c r="K36" s="4"/>
      <c r="L36" s="4"/>
      <c r="M36" s="4">
        <f t="shared" si="3"/>
        <v>6360000</v>
      </c>
      <c r="N36" s="4">
        <f t="shared" si="10"/>
        <v>254400</v>
      </c>
      <c r="O36" s="4">
        <f t="shared" si="11"/>
        <v>318000</v>
      </c>
      <c r="P36" s="4"/>
      <c r="Q36" s="4"/>
      <c r="R36" s="4">
        <v>208000</v>
      </c>
      <c r="S36" s="4"/>
      <c r="T36" s="4">
        <v>122614</v>
      </c>
      <c r="U36" s="4"/>
      <c r="V36" s="4">
        <f t="shared" si="5"/>
        <v>903014</v>
      </c>
      <c r="W36" s="5">
        <f>+M36-V36</f>
        <v>5456986</v>
      </c>
      <c r="X36" s="5"/>
      <c r="Y36" s="62"/>
      <c r="Z36" s="5">
        <f t="shared" si="1"/>
        <v>5456986</v>
      </c>
    </row>
    <row r="37" spans="1:29" ht="24.95" customHeight="1" x14ac:dyDescent="0.25">
      <c r="A37" s="63"/>
      <c r="B37" s="2">
        <f t="shared" si="2"/>
        <v>34</v>
      </c>
      <c r="C37" s="1" t="s">
        <v>65</v>
      </c>
      <c r="D37" s="2" t="s">
        <v>30</v>
      </c>
      <c r="E37" s="4">
        <v>4770000</v>
      </c>
      <c r="F37" s="3">
        <v>30</v>
      </c>
      <c r="G37" s="4">
        <f>+E37/30*F37</f>
        <v>4770000</v>
      </c>
      <c r="H37" s="4"/>
      <c r="I37" s="4"/>
      <c r="J37" s="4">
        <v>500000</v>
      </c>
      <c r="K37" s="4"/>
      <c r="L37" s="4"/>
      <c r="M37" s="4">
        <f t="shared" si="3"/>
        <v>5270000</v>
      </c>
      <c r="N37" s="4">
        <f t="shared" si="10"/>
        <v>190800</v>
      </c>
      <c r="O37" s="4">
        <f t="shared" si="11"/>
        <v>238500</v>
      </c>
      <c r="P37" s="4"/>
      <c r="Q37" s="4"/>
      <c r="R37" s="4">
        <v>0</v>
      </c>
      <c r="S37" s="4"/>
      <c r="T37" s="4"/>
      <c r="U37" s="4">
        <v>551399</v>
      </c>
      <c r="V37" s="4">
        <f t="shared" si="5"/>
        <v>980699</v>
      </c>
      <c r="W37" s="5">
        <f>+M37-V37</f>
        <v>4289301</v>
      </c>
      <c r="X37" s="5"/>
      <c r="Y37" s="62"/>
      <c r="Z37" s="5">
        <f t="shared" si="1"/>
        <v>4289301</v>
      </c>
      <c r="AA37" s="60" t="s">
        <v>66</v>
      </c>
    </row>
    <row r="38" spans="1:29" ht="24.95" customHeight="1" x14ac:dyDescent="0.25">
      <c r="A38" s="63"/>
      <c r="B38" s="2">
        <f t="shared" si="2"/>
        <v>35</v>
      </c>
      <c r="C38" s="1" t="s">
        <v>67</v>
      </c>
      <c r="D38" s="2" t="s">
        <v>30</v>
      </c>
      <c r="E38" s="4">
        <v>6000000</v>
      </c>
      <c r="F38" s="3">
        <v>30</v>
      </c>
      <c r="G38" s="4">
        <f>+E38-L38</f>
        <v>4600000</v>
      </c>
      <c r="H38" s="4"/>
      <c r="I38" s="4"/>
      <c r="J38" s="4"/>
      <c r="K38" s="4"/>
      <c r="L38" s="4">
        <v>1400000</v>
      </c>
      <c r="M38" s="4">
        <f t="shared" si="3"/>
        <v>6000000</v>
      </c>
      <c r="N38" s="4">
        <f t="shared" si="10"/>
        <v>240000</v>
      </c>
      <c r="O38" s="4">
        <f t="shared" si="11"/>
        <v>300000</v>
      </c>
      <c r="P38" s="4">
        <v>0</v>
      </c>
      <c r="Q38" s="4"/>
      <c r="R38" s="4">
        <v>59884</v>
      </c>
      <c r="S38" s="4"/>
      <c r="T38" s="4"/>
      <c r="U38" s="4"/>
      <c r="V38" s="4">
        <f t="shared" si="5"/>
        <v>599884</v>
      </c>
      <c r="W38" s="5">
        <f>M38-V38</f>
        <v>5400116</v>
      </c>
      <c r="X38" s="5"/>
      <c r="Y38" s="62"/>
      <c r="Z38" s="5">
        <f t="shared" si="1"/>
        <v>5400116</v>
      </c>
    </row>
    <row r="39" spans="1:29" ht="24.95" customHeight="1" x14ac:dyDescent="0.25">
      <c r="A39" s="63"/>
      <c r="B39" s="2">
        <f t="shared" si="2"/>
        <v>36</v>
      </c>
      <c r="C39" s="1" t="s">
        <v>68</v>
      </c>
      <c r="D39" s="2" t="s">
        <v>30</v>
      </c>
      <c r="E39" s="4">
        <v>6420000</v>
      </c>
      <c r="F39" s="3">
        <v>30</v>
      </c>
      <c r="G39" s="4">
        <f>+E39/30*F39</f>
        <v>6420000</v>
      </c>
      <c r="H39" s="4"/>
      <c r="I39" s="4"/>
      <c r="J39" s="4"/>
      <c r="K39" s="4"/>
      <c r="L39" s="4"/>
      <c r="M39" s="4">
        <f t="shared" si="3"/>
        <v>6420000</v>
      </c>
      <c r="N39" s="4">
        <f t="shared" si="10"/>
        <v>256800</v>
      </c>
      <c r="O39" s="4">
        <f t="shared" si="11"/>
        <v>321000</v>
      </c>
      <c r="P39" s="4"/>
      <c r="Q39" s="4"/>
      <c r="R39" s="4">
        <v>231000</v>
      </c>
      <c r="S39" s="4"/>
      <c r="T39" s="4"/>
      <c r="U39" s="4"/>
      <c r="V39" s="4">
        <f t="shared" si="5"/>
        <v>808800</v>
      </c>
      <c r="W39" s="5">
        <f>+M39-V39</f>
        <v>5611200</v>
      </c>
      <c r="X39" s="5"/>
      <c r="Y39" s="62"/>
      <c r="Z39" s="5">
        <f t="shared" si="1"/>
        <v>5611200</v>
      </c>
    </row>
    <row r="40" spans="1:29" ht="24.95" customHeight="1" x14ac:dyDescent="0.25">
      <c r="A40" s="63"/>
      <c r="B40" s="2">
        <f t="shared" si="2"/>
        <v>37</v>
      </c>
      <c r="C40" s="9" t="s">
        <v>69</v>
      </c>
      <c r="D40" s="8" t="s">
        <v>30</v>
      </c>
      <c r="E40" s="4">
        <v>7590000</v>
      </c>
      <c r="F40" s="3">
        <v>30</v>
      </c>
      <c r="G40" s="4">
        <f>+E40/30*F40</f>
        <v>7590000</v>
      </c>
      <c r="H40" s="4"/>
      <c r="I40" s="4"/>
      <c r="J40" s="4">
        <v>1500000</v>
      </c>
      <c r="K40" s="11"/>
      <c r="L40" s="11"/>
      <c r="M40" s="4">
        <f t="shared" si="3"/>
        <v>9090000</v>
      </c>
      <c r="N40" s="4">
        <f t="shared" si="10"/>
        <v>303600</v>
      </c>
      <c r="O40" s="4">
        <f t="shared" si="11"/>
        <v>379500</v>
      </c>
      <c r="P40" s="4"/>
      <c r="Q40" s="4"/>
      <c r="R40" s="4">
        <v>449811</v>
      </c>
      <c r="S40" s="4"/>
      <c r="T40" s="4"/>
      <c r="U40" s="4"/>
      <c r="V40" s="4">
        <f t="shared" si="5"/>
        <v>1132911</v>
      </c>
      <c r="W40" s="5">
        <f>M40-V40</f>
        <v>7957089</v>
      </c>
      <c r="X40" s="5"/>
      <c r="Y40" s="62"/>
      <c r="Z40" s="5">
        <f t="shared" si="1"/>
        <v>7957089</v>
      </c>
    </row>
    <row r="41" spans="1:29" ht="24.95" customHeight="1" x14ac:dyDescent="0.25">
      <c r="A41" s="63"/>
      <c r="B41" s="2">
        <f t="shared" si="2"/>
        <v>38</v>
      </c>
      <c r="C41" s="9" t="s">
        <v>70</v>
      </c>
      <c r="D41" s="8" t="s">
        <v>30</v>
      </c>
      <c r="E41" s="4">
        <v>5500000</v>
      </c>
      <c r="F41" s="3">
        <v>30</v>
      </c>
      <c r="G41" s="4">
        <f>+E41/30*F41</f>
        <v>5500000</v>
      </c>
      <c r="H41" s="4"/>
      <c r="I41" s="4"/>
      <c r="J41" s="4">
        <v>500000</v>
      </c>
      <c r="K41" s="4"/>
      <c r="L41" s="4"/>
      <c r="M41" s="4">
        <f t="shared" si="3"/>
        <v>6000000</v>
      </c>
      <c r="N41" s="4">
        <f t="shared" si="10"/>
        <v>220000</v>
      </c>
      <c r="O41" s="4">
        <f t="shared" si="11"/>
        <v>275000</v>
      </c>
      <c r="P41" s="4"/>
      <c r="Q41" s="4"/>
      <c r="R41" s="4">
        <v>144000</v>
      </c>
      <c r="S41" s="4"/>
      <c r="T41" s="4"/>
      <c r="U41" s="4"/>
      <c r="V41" s="4">
        <f t="shared" si="5"/>
        <v>639000</v>
      </c>
      <c r="W41" s="5">
        <f>M41-V41</f>
        <v>5361000</v>
      </c>
      <c r="X41" s="5"/>
      <c r="Y41" s="62"/>
      <c r="Z41" s="5">
        <f t="shared" si="1"/>
        <v>5361000</v>
      </c>
    </row>
    <row r="42" spans="1:29" ht="24.95" customHeight="1" x14ac:dyDescent="0.25">
      <c r="A42" s="63"/>
      <c r="B42" s="2">
        <f t="shared" si="2"/>
        <v>39</v>
      </c>
      <c r="C42" s="1" t="s">
        <v>71</v>
      </c>
      <c r="D42" s="2" t="s">
        <v>30</v>
      </c>
      <c r="E42" s="4">
        <v>5350000</v>
      </c>
      <c r="F42" s="3">
        <v>30</v>
      </c>
      <c r="G42" s="4">
        <f>+E42-L42</f>
        <v>3210000</v>
      </c>
      <c r="H42" s="4"/>
      <c r="I42" s="4"/>
      <c r="J42" s="4"/>
      <c r="K42" s="4"/>
      <c r="L42" s="4">
        <v>2140000</v>
      </c>
      <c r="M42" s="4">
        <f t="shared" si="3"/>
        <v>5350000</v>
      </c>
      <c r="N42" s="4">
        <f t="shared" si="10"/>
        <v>214000</v>
      </c>
      <c r="O42" s="4">
        <f t="shared" si="11"/>
        <v>267500</v>
      </c>
      <c r="P42" s="4"/>
      <c r="Q42" s="4"/>
      <c r="R42" s="4">
        <v>121000</v>
      </c>
      <c r="S42" s="4"/>
      <c r="T42" s="4"/>
      <c r="U42" s="4"/>
      <c r="V42" s="4">
        <f t="shared" si="5"/>
        <v>602500</v>
      </c>
      <c r="W42" s="5">
        <f t="shared" ref="W42:W47" si="12">+M42-V42</f>
        <v>4747500</v>
      </c>
      <c r="X42" s="5"/>
      <c r="Y42" s="62"/>
      <c r="Z42" s="5">
        <f t="shared" si="1"/>
        <v>4747500</v>
      </c>
    </row>
    <row r="43" spans="1:29" ht="24.95" customHeight="1" x14ac:dyDescent="0.25">
      <c r="A43" s="63"/>
      <c r="B43" s="2">
        <f t="shared" si="2"/>
        <v>40</v>
      </c>
      <c r="C43" s="1" t="s">
        <v>72</v>
      </c>
      <c r="D43" s="2"/>
      <c r="E43" s="4">
        <v>4000000</v>
      </c>
      <c r="F43" s="3">
        <v>30</v>
      </c>
      <c r="G43" s="4">
        <f>+E43/30*F43</f>
        <v>4000000.0000000005</v>
      </c>
      <c r="H43" s="4"/>
      <c r="I43" s="4"/>
      <c r="J43" s="4"/>
      <c r="K43" s="4"/>
      <c r="L43" s="4"/>
      <c r="M43" s="4">
        <f t="shared" si="3"/>
        <v>4000000.0000000005</v>
      </c>
      <c r="N43" s="4">
        <f t="shared" si="10"/>
        <v>160000</v>
      </c>
      <c r="O43" s="4">
        <f t="shared" si="11"/>
        <v>200000</v>
      </c>
      <c r="P43" s="4"/>
      <c r="Q43" s="4"/>
      <c r="R43" s="4">
        <v>0</v>
      </c>
      <c r="S43" s="4"/>
      <c r="T43" s="4"/>
      <c r="U43" s="4"/>
      <c r="V43" s="4">
        <f t="shared" si="5"/>
        <v>360000</v>
      </c>
      <c r="W43" s="5">
        <f t="shared" si="12"/>
        <v>3640000.0000000005</v>
      </c>
      <c r="X43" s="5"/>
      <c r="Y43" s="62"/>
      <c r="Z43" s="5">
        <f t="shared" si="1"/>
        <v>3640000.0000000005</v>
      </c>
    </row>
    <row r="44" spans="1:29" ht="24.95" customHeight="1" x14ac:dyDescent="0.25">
      <c r="A44" s="63"/>
      <c r="B44" s="2">
        <f t="shared" si="2"/>
        <v>41</v>
      </c>
      <c r="C44" s="1" t="s">
        <v>73</v>
      </c>
      <c r="D44" s="2" t="s">
        <v>30</v>
      </c>
      <c r="E44" s="4">
        <v>4500000</v>
      </c>
      <c r="F44" s="3">
        <v>30</v>
      </c>
      <c r="G44" s="4">
        <v>4500000</v>
      </c>
      <c r="H44" s="4"/>
      <c r="I44" s="4"/>
      <c r="J44" s="4"/>
      <c r="K44" s="4"/>
      <c r="L44" s="4"/>
      <c r="M44" s="4">
        <f t="shared" si="3"/>
        <v>4500000</v>
      </c>
      <c r="N44" s="4">
        <f t="shared" si="10"/>
        <v>180000</v>
      </c>
      <c r="O44" s="4">
        <f t="shared" si="11"/>
        <v>225000</v>
      </c>
      <c r="P44" s="4"/>
      <c r="Q44" s="4"/>
      <c r="R44" s="4">
        <v>0</v>
      </c>
      <c r="S44" s="4"/>
      <c r="T44" s="4"/>
      <c r="U44" s="4">
        <v>317224</v>
      </c>
      <c r="V44" s="4">
        <f t="shared" si="5"/>
        <v>722224</v>
      </c>
      <c r="W44" s="5">
        <f t="shared" si="12"/>
        <v>3777776</v>
      </c>
      <c r="X44" s="5"/>
      <c r="Y44" s="62"/>
      <c r="Z44" s="5">
        <f t="shared" si="1"/>
        <v>3777776</v>
      </c>
      <c r="AC44" s="60">
        <f>1840000-1196000</f>
        <v>644000</v>
      </c>
    </row>
    <row r="45" spans="1:29" ht="24.95" customHeight="1" x14ac:dyDescent="0.25">
      <c r="A45" s="63"/>
      <c r="B45" s="2">
        <f t="shared" si="2"/>
        <v>42</v>
      </c>
      <c r="C45" s="1" t="s">
        <v>74</v>
      </c>
      <c r="D45" s="2" t="s">
        <v>30</v>
      </c>
      <c r="E45" s="4">
        <v>4800000</v>
      </c>
      <c r="F45" s="3">
        <v>30</v>
      </c>
      <c r="G45" s="4">
        <f>+E45-L45</f>
        <v>4800000</v>
      </c>
      <c r="H45" s="4"/>
      <c r="I45" s="4"/>
      <c r="J45" s="4"/>
      <c r="K45" s="4"/>
      <c r="L45" s="4">
        <v>0</v>
      </c>
      <c r="M45" s="4">
        <f t="shared" si="3"/>
        <v>4800000</v>
      </c>
      <c r="N45" s="4">
        <f t="shared" si="10"/>
        <v>192000</v>
      </c>
      <c r="O45" s="4">
        <f t="shared" si="11"/>
        <v>240000</v>
      </c>
      <c r="P45" s="4"/>
      <c r="Q45" s="4"/>
      <c r="R45" s="4">
        <v>0</v>
      </c>
      <c r="S45" s="4"/>
      <c r="T45" s="4"/>
      <c r="U45" s="4">
        <v>1198791</v>
      </c>
      <c r="V45" s="4">
        <f t="shared" si="5"/>
        <v>1630791</v>
      </c>
      <c r="W45" s="5">
        <f t="shared" si="12"/>
        <v>3169209</v>
      </c>
      <c r="X45" s="5"/>
      <c r="Y45" s="62"/>
      <c r="Z45" s="5">
        <f t="shared" si="1"/>
        <v>3169209</v>
      </c>
    </row>
    <row r="46" spans="1:29" ht="24.95" customHeight="1" x14ac:dyDescent="0.25">
      <c r="A46" s="63"/>
      <c r="B46" s="2">
        <f t="shared" si="2"/>
        <v>43</v>
      </c>
      <c r="C46" s="1" t="s">
        <v>75</v>
      </c>
      <c r="D46" s="2"/>
      <c r="E46" s="4">
        <v>4000000</v>
      </c>
      <c r="F46" s="3">
        <v>30</v>
      </c>
      <c r="G46" s="4">
        <f>+E46/30*F46</f>
        <v>4000000.0000000005</v>
      </c>
      <c r="H46" s="4"/>
      <c r="I46" s="4"/>
      <c r="J46" s="4"/>
      <c r="K46" s="4"/>
      <c r="L46" s="4"/>
      <c r="M46" s="4">
        <f t="shared" si="3"/>
        <v>4000000.0000000005</v>
      </c>
      <c r="N46" s="4">
        <f t="shared" si="10"/>
        <v>160000</v>
      </c>
      <c r="O46" s="4">
        <f t="shared" si="11"/>
        <v>200000</v>
      </c>
      <c r="P46" s="4"/>
      <c r="Q46" s="4"/>
      <c r="R46" s="4">
        <v>0</v>
      </c>
      <c r="S46" s="4"/>
      <c r="T46" s="4"/>
      <c r="U46" s="4">
        <v>141077</v>
      </c>
      <c r="V46" s="4">
        <f t="shared" si="5"/>
        <v>501077</v>
      </c>
      <c r="W46" s="5">
        <f t="shared" si="12"/>
        <v>3498923.0000000005</v>
      </c>
      <c r="X46" s="5"/>
      <c r="Y46" s="62"/>
      <c r="Z46" s="5">
        <f t="shared" si="1"/>
        <v>3498923.0000000005</v>
      </c>
    </row>
    <row r="47" spans="1:29" ht="24.95" customHeight="1" x14ac:dyDescent="0.25">
      <c r="A47" s="63"/>
      <c r="B47" s="2">
        <f t="shared" si="2"/>
        <v>44</v>
      </c>
      <c r="C47" s="1" t="s">
        <v>76</v>
      </c>
      <c r="D47" s="2" t="s">
        <v>30</v>
      </c>
      <c r="E47" s="4">
        <v>6000000</v>
      </c>
      <c r="F47" s="3">
        <v>30</v>
      </c>
      <c r="G47" s="4">
        <f>+E47/30*F47</f>
        <v>6000000</v>
      </c>
      <c r="H47" s="4"/>
      <c r="I47" s="4"/>
      <c r="J47" s="4">
        <v>400000</v>
      </c>
      <c r="K47" s="4"/>
      <c r="L47" s="4"/>
      <c r="M47" s="4">
        <f t="shared" si="3"/>
        <v>6400000</v>
      </c>
      <c r="N47" s="4">
        <f t="shared" si="10"/>
        <v>240000</v>
      </c>
      <c r="O47" s="4">
        <f t="shared" si="11"/>
        <v>300000</v>
      </c>
      <c r="P47" s="4"/>
      <c r="Q47" s="4"/>
      <c r="R47" s="4">
        <v>126000</v>
      </c>
      <c r="S47" s="4"/>
      <c r="T47" s="4"/>
      <c r="U47" s="4"/>
      <c r="V47" s="4">
        <f t="shared" si="5"/>
        <v>666000</v>
      </c>
      <c r="W47" s="5">
        <f t="shared" si="12"/>
        <v>5734000</v>
      </c>
      <c r="X47" s="5"/>
      <c r="Y47" s="62"/>
      <c r="Z47" s="5">
        <f t="shared" si="1"/>
        <v>5734000</v>
      </c>
    </row>
    <row r="48" spans="1:29" ht="24.95" customHeight="1" x14ac:dyDescent="0.25">
      <c r="A48" s="63"/>
      <c r="B48" s="2">
        <f t="shared" si="2"/>
        <v>45</v>
      </c>
      <c r="C48" s="1" t="s">
        <v>77</v>
      </c>
      <c r="D48" s="2" t="s">
        <v>30</v>
      </c>
      <c r="E48" s="4">
        <v>4500000</v>
      </c>
      <c r="F48" s="3">
        <v>30</v>
      </c>
      <c r="G48" s="4">
        <f>+E48/30*F48</f>
        <v>4500000</v>
      </c>
      <c r="H48" s="4"/>
      <c r="I48" s="4"/>
      <c r="J48" s="4"/>
      <c r="K48" s="4"/>
      <c r="L48" s="4">
        <v>0</v>
      </c>
      <c r="M48" s="4">
        <f t="shared" si="3"/>
        <v>4500000</v>
      </c>
      <c r="N48" s="4">
        <f t="shared" si="10"/>
        <v>180000</v>
      </c>
      <c r="O48" s="4">
        <f t="shared" si="11"/>
        <v>225000</v>
      </c>
      <c r="P48" s="4"/>
      <c r="Q48" s="4"/>
      <c r="R48" s="4">
        <v>0</v>
      </c>
      <c r="S48" s="4"/>
      <c r="T48" s="4"/>
      <c r="U48" s="4"/>
      <c r="V48" s="4">
        <f t="shared" si="5"/>
        <v>405000</v>
      </c>
      <c r="W48" s="5">
        <f>M48-V48</f>
        <v>4095000</v>
      </c>
      <c r="X48" s="5"/>
      <c r="Y48" s="62"/>
      <c r="Z48" s="5">
        <f t="shared" si="1"/>
        <v>4095000</v>
      </c>
      <c r="AC48" s="60">
        <f>1840000-1196000</f>
        <v>644000</v>
      </c>
    </row>
    <row r="49" spans="1:26" ht="24.95" customHeight="1" x14ac:dyDescent="0.25">
      <c r="A49" s="63"/>
      <c r="B49" s="2">
        <f t="shared" si="2"/>
        <v>46</v>
      </c>
      <c r="C49" s="1" t="s">
        <v>78</v>
      </c>
      <c r="D49" s="2" t="s">
        <v>30</v>
      </c>
      <c r="E49" s="4">
        <v>6000000</v>
      </c>
      <c r="F49" s="3">
        <v>30</v>
      </c>
      <c r="G49" s="4">
        <f>+E49-L49</f>
        <v>2200000</v>
      </c>
      <c r="H49" s="4"/>
      <c r="I49" s="4"/>
      <c r="J49" s="4">
        <v>400000</v>
      </c>
      <c r="K49" s="4"/>
      <c r="L49" s="4">
        <v>3800000</v>
      </c>
      <c r="M49" s="4">
        <f t="shared" si="3"/>
        <v>6400000</v>
      </c>
      <c r="N49" s="4">
        <f t="shared" si="10"/>
        <v>240000</v>
      </c>
      <c r="O49" s="4">
        <f t="shared" si="11"/>
        <v>300000</v>
      </c>
      <c r="P49" s="4"/>
      <c r="Q49" s="4"/>
      <c r="R49" s="4">
        <v>120000</v>
      </c>
      <c r="S49" s="4"/>
      <c r="T49" s="4"/>
      <c r="U49" s="4"/>
      <c r="V49" s="4">
        <f t="shared" si="5"/>
        <v>660000</v>
      </c>
      <c r="W49" s="5">
        <f>M49-V49</f>
        <v>5740000</v>
      </c>
      <c r="X49" s="5"/>
      <c r="Y49" s="62"/>
      <c r="Z49" s="5">
        <f t="shared" si="1"/>
        <v>5740000</v>
      </c>
    </row>
    <row r="50" spans="1:26" ht="24.95" customHeight="1" x14ac:dyDescent="0.25">
      <c r="A50" s="63"/>
      <c r="B50" s="2">
        <f t="shared" si="2"/>
        <v>47</v>
      </c>
      <c r="C50" s="1" t="s">
        <v>79</v>
      </c>
      <c r="D50" s="2"/>
      <c r="E50" s="4">
        <v>4500000</v>
      </c>
      <c r="F50" s="3">
        <v>30</v>
      </c>
      <c r="G50" s="4">
        <f>E50/30*F50</f>
        <v>4500000</v>
      </c>
      <c r="H50" s="4"/>
      <c r="I50" s="4"/>
      <c r="J50" s="4"/>
      <c r="K50" s="4"/>
      <c r="L50" s="4"/>
      <c r="M50" s="4">
        <f t="shared" si="3"/>
        <v>4500000</v>
      </c>
      <c r="N50" s="4">
        <f>+E50*4%</f>
        <v>180000</v>
      </c>
      <c r="O50" s="4">
        <f>+E50*4%</f>
        <v>180000</v>
      </c>
      <c r="P50" s="4"/>
      <c r="Q50" s="4"/>
      <c r="R50" s="4">
        <v>0</v>
      </c>
      <c r="S50" s="4"/>
      <c r="T50" s="4"/>
      <c r="U50" s="4"/>
      <c r="V50" s="4">
        <f t="shared" si="5"/>
        <v>360000</v>
      </c>
      <c r="W50" s="5">
        <f>+M50-V50</f>
        <v>4140000</v>
      </c>
      <c r="X50" s="5"/>
      <c r="Y50" s="62"/>
      <c r="Z50" s="5">
        <f t="shared" si="1"/>
        <v>4140000</v>
      </c>
    </row>
    <row r="51" spans="1:26" ht="24.95" customHeight="1" x14ac:dyDescent="0.25">
      <c r="A51" s="63"/>
      <c r="B51" s="2">
        <f t="shared" si="2"/>
        <v>48</v>
      </c>
      <c r="C51" s="1" t="s">
        <v>80</v>
      </c>
      <c r="D51" s="2"/>
      <c r="E51" s="4">
        <v>6500000</v>
      </c>
      <c r="F51" s="3">
        <v>16</v>
      </c>
      <c r="G51" s="4">
        <f>+E51/30*F51</f>
        <v>3466666.6666666665</v>
      </c>
      <c r="H51" s="4"/>
      <c r="I51" s="4"/>
      <c r="J51" s="4"/>
      <c r="K51" s="4"/>
      <c r="L51" s="4"/>
      <c r="M51" s="4">
        <f t="shared" si="3"/>
        <v>3466666.6666666665</v>
      </c>
      <c r="N51" s="4">
        <f>+M51*0.04</f>
        <v>138666.66666666666</v>
      </c>
      <c r="O51" s="4">
        <f>+M51*0.05</f>
        <v>173333.33333333334</v>
      </c>
      <c r="P51" s="4"/>
      <c r="Q51" s="4"/>
      <c r="R51" s="4">
        <v>207372</v>
      </c>
      <c r="S51" s="4"/>
      <c r="T51" s="4"/>
      <c r="U51" s="4"/>
      <c r="V51" s="4">
        <f t="shared" si="5"/>
        <v>519372</v>
      </c>
      <c r="W51" s="5">
        <f>M51-V51</f>
        <v>2947294.6666666665</v>
      </c>
      <c r="X51" s="5"/>
      <c r="Y51" s="62"/>
      <c r="Z51" s="5">
        <f t="shared" si="1"/>
        <v>2947294.6666666665</v>
      </c>
    </row>
    <row r="52" spans="1:26" ht="24.95" customHeight="1" x14ac:dyDescent="0.25">
      <c r="A52" s="63" t="s">
        <v>81</v>
      </c>
      <c r="B52" s="2">
        <v>1</v>
      </c>
      <c r="C52" s="1" t="s">
        <v>82</v>
      </c>
      <c r="D52" s="2"/>
      <c r="E52" s="4">
        <v>912000</v>
      </c>
      <c r="F52" s="3">
        <v>5</v>
      </c>
      <c r="G52" s="4">
        <f>+E52/30*F52</f>
        <v>152000</v>
      </c>
      <c r="H52" s="4">
        <v>14702</v>
      </c>
      <c r="I52" s="4">
        <v>651035</v>
      </c>
      <c r="J52" s="4"/>
      <c r="K52" s="4"/>
      <c r="L52" s="4"/>
      <c r="M52" s="4">
        <f t="shared" si="3"/>
        <v>817737</v>
      </c>
      <c r="N52" s="4">
        <f>+G52*0.04</f>
        <v>6080</v>
      </c>
      <c r="O52" s="4">
        <f>+G52*0.04</f>
        <v>6080</v>
      </c>
      <c r="P52" s="4"/>
      <c r="Q52" s="4"/>
      <c r="R52" s="4"/>
      <c r="S52" s="4"/>
      <c r="T52" s="4"/>
      <c r="U52" s="4"/>
      <c r="V52" s="4">
        <f>SUM(N52:U52)</f>
        <v>12160</v>
      </c>
      <c r="W52" s="5">
        <f>M52-V52</f>
        <v>805577</v>
      </c>
      <c r="X52" s="5"/>
      <c r="Y52" s="62"/>
      <c r="Z52" s="5">
        <f t="shared" si="1"/>
        <v>805577</v>
      </c>
    </row>
    <row r="53" spans="1:26" ht="24.95" customHeight="1" x14ac:dyDescent="0.25">
      <c r="A53" s="63"/>
      <c r="B53" s="2">
        <v>2</v>
      </c>
      <c r="C53" s="1" t="s">
        <v>83</v>
      </c>
      <c r="D53" s="2" t="s">
        <v>30</v>
      </c>
      <c r="E53" s="4">
        <v>3000000</v>
      </c>
      <c r="F53" s="3">
        <v>30</v>
      </c>
      <c r="G53" s="4">
        <f>+E53/30*F53</f>
        <v>3000000</v>
      </c>
      <c r="H53" s="4"/>
      <c r="I53" s="4"/>
      <c r="J53" s="4"/>
      <c r="K53" s="4"/>
      <c r="L53" s="4">
        <f>+E53-G53</f>
        <v>0</v>
      </c>
      <c r="M53" s="4">
        <f t="shared" si="3"/>
        <v>3000000</v>
      </c>
      <c r="N53" s="4">
        <f>+E53*0.04</f>
        <v>120000</v>
      </c>
      <c r="O53" s="4">
        <f>+E53*0.04</f>
        <v>120000</v>
      </c>
      <c r="P53" s="4"/>
      <c r="Q53" s="4"/>
      <c r="R53" s="4"/>
      <c r="S53" s="4"/>
      <c r="T53" s="4"/>
      <c r="U53" s="4">
        <f>481778</f>
        <v>481778</v>
      </c>
      <c r="V53" s="4">
        <f t="shared" ref="V53:V110" si="13">SUM(N53:U53)</f>
        <v>721778</v>
      </c>
      <c r="W53" s="5">
        <f>M53-V53</f>
        <v>2278222</v>
      </c>
      <c r="X53" s="5"/>
      <c r="Y53" s="62"/>
      <c r="Z53" s="5">
        <f t="shared" si="1"/>
        <v>2278222</v>
      </c>
    </row>
    <row r="54" spans="1:26" ht="24.95" customHeight="1" x14ac:dyDescent="0.25">
      <c r="A54" s="63"/>
      <c r="B54" s="2">
        <v>3</v>
      </c>
      <c r="C54" s="9" t="s">
        <v>84</v>
      </c>
      <c r="D54" s="8" t="s">
        <v>30</v>
      </c>
      <c r="E54" s="4">
        <v>2500000</v>
      </c>
      <c r="F54" s="3">
        <v>30</v>
      </c>
      <c r="G54" s="4">
        <f>+E54</f>
        <v>2500000</v>
      </c>
      <c r="H54" s="4"/>
      <c r="I54" s="4">
        <v>0</v>
      </c>
      <c r="J54" s="4"/>
      <c r="K54" s="4"/>
      <c r="L54" s="4"/>
      <c r="M54" s="4">
        <f t="shared" si="3"/>
        <v>2500000</v>
      </c>
      <c r="N54" s="4">
        <f>+E54*4%</f>
        <v>100000</v>
      </c>
      <c r="O54" s="4">
        <f>+E54*4%</f>
        <v>100000</v>
      </c>
      <c r="P54" s="4"/>
      <c r="Q54" s="4"/>
      <c r="R54" s="4"/>
      <c r="S54" s="4"/>
      <c r="T54" s="4"/>
      <c r="U54" s="4"/>
      <c r="V54" s="4">
        <f t="shared" si="13"/>
        <v>200000</v>
      </c>
      <c r="W54" s="5">
        <f>M54-V54</f>
        <v>2300000</v>
      </c>
      <c r="X54" s="5"/>
      <c r="Y54" s="62"/>
      <c r="Z54" s="5">
        <f t="shared" si="1"/>
        <v>2300000</v>
      </c>
    </row>
    <row r="55" spans="1:26" ht="24.95" customHeight="1" x14ac:dyDescent="0.25">
      <c r="A55" s="63"/>
      <c r="B55" s="2">
        <v>4</v>
      </c>
      <c r="C55" s="1" t="s">
        <v>85</v>
      </c>
      <c r="D55" s="2" t="s">
        <v>30</v>
      </c>
      <c r="E55" s="4">
        <v>3000000</v>
      </c>
      <c r="F55" s="3">
        <v>30</v>
      </c>
      <c r="G55" s="4">
        <f>+E55/30*F55</f>
        <v>3000000</v>
      </c>
      <c r="H55" s="4">
        <v>0</v>
      </c>
      <c r="I55" s="4"/>
      <c r="J55" s="4" t="s">
        <v>86</v>
      </c>
      <c r="K55" s="4"/>
      <c r="L55" s="4"/>
      <c r="M55" s="4">
        <f t="shared" si="3"/>
        <v>3000000</v>
      </c>
      <c r="N55" s="4">
        <f>+E55*4%</f>
        <v>120000</v>
      </c>
      <c r="O55" s="4">
        <f>+E55*4%</f>
        <v>120000</v>
      </c>
      <c r="P55" s="4"/>
      <c r="Q55" s="4"/>
      <c r="R55" s="7"/>
      <c r="S55" s="4"/>
      <c r="T55" s="4"/>
      <c r="U55" s="4"/>
      <c r="V55" s="4">
        <f t="shared" si="13"/>
        <v>240000</v>
      </c>
      <c r="W55" s="5">
        <f t="shared" ref="W55:W65" si="14">+M55-V55</f>
        <v>2760000</v>
      </c>
      <c r="X55" s="5"/>
      <c r="Y55" s="62"/>
      <c r="Z55" s="5">
        <f t="shared" si="1"/>
        <v>2760000</v>
      </c>
    </row>
    <row r="56" spans="1:26" ht="24.95" customHeight="1" x14ac:dyDescent="0.25">
      <c r="A56" s="63"/>
      <c r="B56" s="2">
        <v>5</v>
      </c>
      <c r="C56" s="1" t="s">
        <v>87</v>
      </c>
      <c r="D56" s="2" t="s">
        <v>30</v>
      </c>
      <c r="E56" s="4">
        <v>2200000</v>
      </c>
      <c r="F56" s="3">
        <v>30</v>
      </c>
      <c r="G56" s="4">
        <f>+E56-L56</f>
        <v>1686667</v>
      </c>
      <c r="H56" s="4"/>
      <c r="I56" s="4"/>
      <c r="J56" s="4"/>
      <c r="K56" s="4"/>
      <c r="L56" s="4">
        <v>513333</v>
      </c>
      <c r="M56" s="4">
        <f t="shared" si="3"/>
        <v>2200000</v>
      </c>
      <c r="N56" s="4">
        <f>+E56*4%</f>
        <v>88000</v>
      </c>
      <c r="O56" s="4">
        <f>+E56*4%</f>
        <v>88000</v>
      </c>
      <c r="P56" s="4"/>
      <c r="Q56" s="4"/>
      <c r="R56" s="7"/>
      <c r="S56" s="4"/>
      <c r="T56" s="4"/>
      <c r="U56" s="4"/>
      <c r="V56" s="4">
        <f t="shared" si="13"/>
        <v>176000</v>
      </c>
      <c r="W56" s="5">
        <f t="shared" si="14"/>
        <v>2024000</v>
      </c>
      <c r="X56" s="5"/>
      <c r="Y56" s="62"/>
      <c r="Z56" s="5">
        <f t="shared" si="1"/>
        <v>2024000</v>
      </c>
    </row>
    <row r="57" spans="1:26" ht="24.95" customHeight="1" x14ac:dyDescent="0.25">
      <c r="A57" s="63"/>
      <c r="B57" s="2">
        <v>6</v>
      </c>
      <c r="C57" s="1" t="s">
        <v>88</v>
      </c>
      <c r="D57" s="2" t="s">
        <v>30</v>
      </c>
      <c r="E57" s="4">
        <v>1800000</v>
      </c>
      <c r="F57" s="3">
        <v>30</v>
      </c>
      <c r="G57" s="4">
        <f>+E57-L57</f>
        <v>780000</v>
      </c>
      <c r="H57" s="4">
        <v>0</v>
      </c>
      <c r="I57" s="4"/>
      <c r="J57" s="4"/>
      <c r="K57" s="4"/>
      <c r="L57" s="4">
        <f>420000+600000</f>
        <v>1020000</v>
      </c>
      <c r="M57" s="4">
        <f t="shared" si="3"/>
        <v>1800000</v>
      </c>
      <c r="N57" s="4">
        <f>+E57*4%</f>
        <v>72000</v>
      </c>
      <c r="O57" s="4">
        <f>+E57*4%</f>
        <v>72000</v>
      </c>
      <c r="P57" s="4"/>
      <c r="Q57" s="4"/>
      <c r="R57" s="4">
        <v>0</v>
      </c>
      <c r="S57" s="4"/>
      <c r="T57" s="4"/>
      <c r="U57" s="4"/>
      <c r="V57" s="4">
        <f t="shared" si="13"/>
        <v>144000</v>
      </c>
      <c r="W57" s="5">
        <f t="shared" si="14"/>
        <v>1656000</v>
      </c>
      <c r="X57" s="5"/>
      <c r="Y57" s="62"/>
      <c r="Z57" s="5">
        <f t="shared" si="1"/>
        <v>1656000</v>
      </c>
    </row>
    <row r="58" spans="1:26" ht="24.95" customHeight="1" x14ac:dyDescent="0.25">
      <c r="A58" s="63"/>
      <c r="B58" s="2">
        <v>7</v>
      </c>
      <c r="C58" s="1" t="s">
        <v>89</v>
      </c>
      <c r="D58" s="2" t="s">
        <v>30</v>
      </c>
      <c r="E58" s="4">
        <v>781242</v>
      </c>
      <c r="F58" s="3">
        <v>30</v>
      </c>
      <c r="G58" s="4">
        <f>+E58/30*F58</f>
        <v>781242</v>
      </c>
      <c r="H58" s="4">
        <v>88211</v>
      </c>
      <c r="I58" s="4"/>
      <c r="J58" s="4"/>
      <c r="K58" s="4"/>
      <c r="L58" s="4"/>
      <c r="M58" s="4">
        <f t="shared" si="3"/>
        <v>869453</v>
      </c>
      <c r="N58" s="4">
        <f>+E58*0.04</f>
        <v>31249.68</v>
      </c>
      <c r="O58" s="4">
        <f>+E58*0.04</f>
        <v>31249.68</v>
      </c>
      <c r="P58" s="4"/>
      <c r="Q58" s="4"/>
      <c r="R58" s="7"/>
      <c r="S58" s="4"/>
      <c r="T58" s="4"/>
      <c r="U58" s="4"/>
      <c r="V58" s="4">
        <f t="shared" si="13"/>
        <v>62499.360000000001</v>
      </c>
      <c r="W58" s="5">
        <f t="shared" si="14"/>
        <v>806953.64</v>
      </c>
      <c r="X58" s="5"/>
      <c r="Y58" s="62"/>
      <c r="Z58" s="5">
        <f t="shared" si="1"/>
        <v>806953.64</v>
      </c>
    </row>
    <row r="59" spans="1:26" ht="24.95" customHeight="1" x14ac:dyDescent="0.25">
      <c r="A59" s="63"/>
      <c r="B59" s="2">
        <v>8</v>
      </c>
      <c r="C59" s="1" t="s">
        <v>90</v>
      </c>
      <c r="D59" s="2"/>
      <c r="E59" s="4">
        <v>3000000</v>
      </c>
      <c r="F59" s="3">
        <v>30</v>
      </c>
      <c r="G59" s="4">
        <f>+E59-L59</f>
        <v>2000000</v>
      </c>
      <c r="H59" s="4"/>
      <c r="I59" s="4"/>
      <c r="J59" s="4"/>
      <c r="K59" s="4"/>
      <c r="L59" s="4">
        <f>700000+300000</f>
        <v>1000000</v>
      </c>
      <c r="M59" s="4">
        <f t="shared" si="3"/>
        <v>3000000</v>
      </c>
      <c r="N59" s="4">
        <f t="shared" ref="N59:N66" si="15">+E59*4%</f>
        <v>120000</v>
      </c>
      <c r="O59" s="4">
        <f>+E59*4%</f>
        <v>120000</v>
      </c>
      <c r="P59" s="4"/>
      <c r="Q59" s="4"/>
      <c r="R59" s="4"/>
      <c r="S59" s="4"/>
      <c r="T59" s="4"/>
      <c r="U59" s="4"/>
      <c r="V59" s="4">
        <f t="shared" si="13"/>
        <v>240000</v>
      </c>
      <c r="W59" s="5">
        <f t="shared" si="14"/>
        <v>2760000</v>
      </c>
      <c r="X59" s="5"/>
      <c r="Y59" s="62"/>
      <c r="Z59" s="5">
        <f t="shared" si="1"/>
        <v>2760000</v>
      </c>
    </row>
    <row r="60" spans="1:26" ht="24.95" customHeight="1" x14ac:dyDescent="0.25">
      <c r="A60" s="63"/>
      <c r="B60" s="2">
        <v>9</v>
      </c>
      <c r="C60" s="1" t="s">
        <v>91</v>
      </c>
      <c r="D60" s="2" t="s">
        <v>30</v>
      </c>
      <c r="E60" s="4">
        <v>3500000</v>
      </c>
      <c r="F60" s="3">
        <v>30</v>
      </c>
      <c r="G60" s="4">
        <f>+E60-L60</f>
        <v>3500000</v>
      </c>
      <c r="H60" s="4"/>
      <c r="I60" s="4"/>
      <c r="J60" s="4"/>
      <c r="K60" s="4"/>
      <c r="L60" s="4"/>
      <c r="M60" s="4">
        <f t="shared" si="3"/>
        <v>3500000</v>
      </c>
      <c r="N60" s="4">
        <f t="shared" si="15"/>
        <v>140000</v>
      </c>
      <c r="O60" s="4">
        <f>+E60*5%</f>
        <v>175000</v>
      </c>
      <c r="P60" s="4"/>
      <c r="Q60" s="4"/>
      <c r="R60" s="4">
        <v>0</v>
      </c>
      <c r="S60" s="4"/>
      <c r="T60" s="4"/>
      <c r="U60" s="4">
        <v>774624</v>
      </c>
      <c r="V60" s="4">
        <f t="shared" si="13"/>
        <v>1089624</v>
      </c>
      <c r="W60" s="5">
        <f t="shared" si="14"/>
        <v>2410376</v>
      </c>
      <c r="X60" s="5"/>
      <c r="Y60" s="62"/>
      <c r="Z60" s="5">
        <f t="shared" si="1"/>
        <v>2410376</v>
      </c>
    </row>
    <row r="61" spans="1:26" ht="24.95" customHeight="1" x14ac:dyDescent="0.25">
      <c r="A61" s="63"/>
      <c r="B61" s="2">
        <v>10</v>
      </c>
      <c r="C61" s="1" t="s">
        <v>92</v>
      </c>
      <c r="D61" s="2" t="s">
        <v>30</v>
      </c>
      <c r="E61" s="4">
        <v>2500000</v>
      </c>
      <c r="F61" s="3">
        <v>30</v>
      </c>
      <c r="G61" s="4">
        <f>+E61-L61</f>
        <v>1916667</v>
      </c>
      <c r="H61" s="4"/>
      <c r="I61" s="4"/>
      <c r="J61" s="4">
        <v>700000</v>
      </c>
      <c r="K61" s="4"/>
      <c r="L61" s="4">
        <v>583333</v>
      </c>
      <c r="M61" s="4">
        <f t="shared" si="3"/>
        <v>3200000</v>
      </c>
      <c r="N61" s="4">
        <f t="shared" si="15"/>
        <v>100000</v>
      </c>
      <c r="O61" s="4">
        <f>+E61*4%</f>
        <v>100000</v>
      </c>
      <c r="P61" s="4"/>
      <c r="Q61" s="4"/>
      <c r="R61" s="4">
        <v>0</v>
      </c>
      <c r="S61" s="4"/>
      <c r="T61" s="4"/>
      <c r="U61" s="4">
        <v>200210</v>
      </c>
      <c r="V61" s="4">
        <f t="shared" si="13"/>
        <v>400210</v>
      </c>
      <c r="W61" s="5">
        <f t="shared" si="14"/>
        <v>2799790</v>
      </c>
      <c r="X61" s="5"/>
      <c r="Y61" s="62"/>
      <c r="Z61" s="5">
        <f t="shared" si="1"/>
        <v>2799790</v>
      </c>
    </row>
    <row r="62" spans="1:26" ht="24.95" customHeight="1" x14ac:dyDescent="0.25">
      <c r="A62" s="63"/>
      <c r="B62" s="2">
        <v>11</v>
      </c>
      <c r="C62" s="1" t="s">
        <v>93</v>
      </c>
      <c r="D62" s="2" t="s">
        <v>30</v>
      </c>
      <c r="E62" s="4">
        <v>1500000</v>
      </c>
      <c r="F62" s="3">
        <v>30</v>
      </c>
      <c r="G62" s="4">
        <f>+E62-L62</f>
        <v>1150000</v>
      </c>
      <c r="H62" s="4"/>
      <c r="I62" s="4"/>
      <c r="J62" s="4"/>
      <c r="K62" s="4"/>
      <c r="L62" s="4">
        <v>350000</v>
      </c>
      <c r="M62" s="4">
        <f t="shared" si="3"/>
        <v>1500000</v>
      </c>
      <c r="N62" s="4">
        <f t="shared" si="15"/>
        <v>60000</v>
      </c>
      <c r="O62" s="4">
        <f>+E62*4%</f>
        <v>60000</v>
      </c>
      <c r="P62" s="4">
        <v>0</v>
      </c>
      <c r="Q62" s="4"/>
      <c r="R62" s="4">
        <v>0</v>
      </c>
      <c r="S62" s="4"/>
      <c r="T62" s="4"/>
      <c r="U62" s="4">
        <v>422966</v>
      </c>
      <c r="V62" s="4">
        <f t="shared" si="13"/>
        <v>542966</v>
      </c>
      <c r="W62" s="5">
        <f t="shared" si="14"/>
        <v>957034</v>
      </c>
      <c r="X62" s="5"/>
      <c r="Y62" s="62"/>
      <c r="Z62" s="5">
        <f t="shared" si="1"/>
        <v>957034</v>
      </c>
    </row>
    <row r="63" spans="1:26" ht="24.95" customHeight="1" x14ac:dyDescent="0.25">
      <c r="A63" s="63"/>
      <c r="B63" s="2">
        <v>12</v>
      </c>
      <c r="C63" s="1" t="s">
        <v>94</v>
      </c>
      <c r="D63" s="2" t="s">
        <v>30</v>
      </c>
      <c r="E63" s="4">
        <v>781242</v>
      </c>
      <c r="F63" s="3">
        <v>30</v>
      </c>
      <c r="G63" s="4">
        <f>+E63-L63</f>
        <v>598952</v>
      </c>
      <c r="H63" s="4">
        <v>88211</v>
      </c>
      <c r="I63" s="4"/>
      <c r="J63" s="4"/>
      <c r="K63" s="4"/>
      <c r="L63" s="4">
        <v>182290</v>
      </c>
      <c r="M63" s="4">
        <f t="shared" si="3"/>
        <v>869453</v>
      </c>
      <c r="N63" s="4">
        <f t="shared" si="15"/>
        <v>31249.68</v>
      </c>
      <c r="O63" s="4">
        <f>+E63*4%</f>
        <v>31249.68</v>
      </c>
      <c r="P63" s="4"/>
      <c r="Q63" s="4"/>
      <c r="R63" s="4">
        <v>0</v>
      </c>
      <c r="S63" s="4"/>
      <c r="T63" s="4"/>
      <c r="U63" s="4"/>
      <c r="V63" s="4">
        <f t="shared" si="13"/>
        <v>62499.360000000001</v>
      </c>
      <c r="W63" s="5">
        <f t="shared" si="14"/>
        <v>806953.64</v>
      </c>
      <c r="X63" s="5"/>
      <c r="Y63" s="62"/>
      <c r="Z63" s="5">
        <f t="shared" si="1"/>
        <v>806953.64</v>
      </c>
    </row>
    <row r="64" spans="1:26" ht="24.95" customHeight="1" x14ac:dyDescent="0.25">
      <c r="A64" s="63"/>
      <c r="B64" s="2">
        <v>13</v>
      </c>
      <c r="C64" s="1" t="s">
        <v>95</v>
      </c>
      <c r="D64" s="2" t="s">
        <v>30</v>
      </c>
      <c r="E64" s="4">
        <v>3000000</v>
      </c>
      <c r="F64" s="3">
        <v>30</v>
      </c>
      <c r="G64" s="4">
        <f>E64/30*F64</f>
        <v>3000000</v>
      </c>
      <c r="H64" s="4"/>
      <c r="I64" s="4"/>
      <c r="J64" s="4">
        <v>200000</v>
      </c>
      <c r="K64" s="4"/>
      <c r="L64" s="4"/>
      <c r="M64" s="4">
        <f t="shared" si="3"/>
        <v>3200000</v>
      </c>
      <c r="N64" s="4">
        <f t="shared" si="15"/>
        <v>120000</v>
      </c>
      <c r="O64" s="4">
        <f>+E64*0.04</f>
        <v>120000</v>
      </c>
      <c r="P64" s="4"/>
      <c r="Q64" s="4"/>
      <c r="R64" s="4">
        <v>0</v>
      </c>
      <c r="S64" s="4"/>
      <c r="T64" s="4"/>
      <c r="U64" s="4">
        <v>323803</v>
      </c>
      <c r="V64" s="4">
        <f t="shared" si="13"/>
        <v>563803</v>
      </c>
      <c r="W64" s="5">
        <f t="shared" si="14"/>
        <v>2636197</v>
      </c>
      <c r="X64" s="5"/>
      <c r="Y64" s="62"/>
      <c r="Z64" s="5">
        <f t="shared" si="1"/>
        <v>2636197</v>
      </c>
    </row>
    <row r="65" spans="1:28" ht="24.95" customHeight="1" x14ac:dyDescent="0.25">
      <c r="A65" s="63"/>
      <c r="B65" s="2">
        <v>14</v>
      </c>
      <c r="C65" s="1" t="s">
        <v>96</v>
      </c>
      <c r="D65" s="2"/>
      <c r="E65" s="4">
        <v>2000000</v>
      </c>
      <c r="F65" s="3">
        <v>30</v>
      </c>
      <c r="G65" s="4">
        <f>+E65</f>
        <v>2000000</v>
      </c>
      <c r="H65" s="4"/>
      <c r="I65" s="4"/>
      <c r="J65" s="4"/>
      <c r="K65" s="4"/>
      <c r="L65" s="4"/>
      <c r="M65" s="4">
        <f t="shared" si="3"/>
        <v>2000000</v>
      </c>
      <c r="N65" s="4">
        <f t="shared" si="15"/>
        <v>80000</v>
      </c>
      <c r="O65" s="4">
        <f>+E65*4%</f>
        <v>80000</v>
      </c>
      <c r="P65" s="4"/>
      <c r="Q65" s="4"/>
      <c r="R65" s="4">
        <v>0</v>
      </c>
      <c r="S65" s="4"/>
      <c r="T65" s="4"/>
      <c r="U65" s="4"/>
      <c r="V65" s="4">
        <f t="shared" si="13"/>
        <v>160000</v>
      </c>
      <c r="W65" s="5">
        <f t="shared" si="14"/>
        <v>1840000</v>
      </c>
      <c r="X65" s="5"/>
      <c r="Y65" s="62"/>
      <c r="Z65" s="5">
        <f t="shared" si="1"/>
        <v>1840000</v>
      </c>
    </row>
    <row r="66" spans="1:28" ht="24.95" customHeight="1" x14ac:dyDescent="0.25">
      <c r="A66" s="63"/>
      <c r="B66" s="2">
        <v>15</v>
      </c>
      <c r="C66" s="9" t="s">
        <v>97</v>
      </c>
      <c r="D66" s="8" t="s">
        <v>30</v>
      </c>
      <c r="E66" s="4">
        <v>4100000</v>
      </c>
      <c r="F66" s="3">
        <v>30</v>
      </c>
      <c r="G66" s="4">
        <f>+E66-L66</f>
        <v>3143333</v>
      </c>
      <c r="H66" s="4"/>
      <c r="I66" s="4"/>
      <c r="J66" s="4"/>
      <c r="K66" s="4"/>
      <c r="L66" s="4">
        <v>956667</v>
      </c>
      <c r="M66" s="4">
        <f t="shared" si="3"/>
        <v>4100000</v>
      </c>
      <c r="N66" s="4">
        <f t="shared" si="15"/>
        <v>164000</v>
      </c>
      <c r="O66" s="4">
        <f>+E66*5%</f>
        <v>205000</v>
      </c>
      <c r="P66" s="4"/>
      <c r="Q66" s="4"/>
      <c r="R66" s="4">
        <v>0</v>
      </c>
      <c r="S66" s="4"/>
      <c r="T66" s="4"/>
      <c r="U66" s="4"/>
      <c r="V66" s="4">
        <f t="shared" si="13"/>
        <v>369000</v>
      </c>
      <c r="W66" s="5">
        <f t="shared" ref="W66:W76" si="16">M66-V66</f>
        <v>3731000</v>
      </c>
      <c r="X66" s="5"/>
      <c r="Y66" s="62"/>
      <c r="Z66" s="5">
        <f t="shared" si="1"/>
        <v>3731000</v>
      </c>
    </row>
    <row r="67" spans="1:28" ht="24.95" customHeight="1" x14ac:dyDescent="0.25">
      <c r="A67" s="63"/>
      <c r="B67" s="2">
        <v>16</v>
      </c>
      <c r="C67" s="1" t="s">
        <v>98</v>
      </c>
      <c r="D67" s="2" t="s">
        <v>30</v>
      </c>
      <c r="E67" s="4">
        <v>4000000</v>
      </c>
      <c r="F67" s="3">
        <v>30</v>
      </c>
      <c r="G67" s="4">
        <f>E67/30*F67</f>
        <v>4000000.0000000005</v>
      </c>
      <c r="H67" s="4"/>
      <c r="I67" s="4"/>
      <c r="J67" s="4">
        <v>300000</v>
      </c>
      <c r="K67" s="4"/>
      <c r="L67" s="4"/>
      <c r="M67" s="4">
        <f t="shared" si="3"/>
        <v>4300000</v>
      </c>
      <c r="N67" s="4">
        <f>E67*4%</f>
        <v>160000</v>
      </c>
      <c r="O67" s="4">
        <f>+E67*0.05</f>
        <v>200000</v>
      </c>
      <c r="P67" s="4"/>
      <c r="Q67" s="4"/>
      <c r="R67" s="4">
        <v>0</v>
      </c>
      <c r="S67" s="4"/>
      <c r="T67" s="4"/>
      <c r="U67" s="4">
        <v>879143</v>
      </c>
      <c r="V67" s="4">
        <f t="shared" si="13"/>
        <v>1239143</v>
      </c>
      <c r="W67" s="5">
        <f t="shared" si="16"/>
        <v>3060857</v>
      </c>
      <c r="X67" s="5"/>
      <c r="Y67" s="62"/>
      <c r="Z67" s="5">
        <f t="shared" si="1"/>
        <v>3060857</v>
      </c>
    </row>
    <row r="68" spans="1:28" ht="24.95" customHeight="1" x14ac:dyDescent="0.25">
      <c r="A68" s="63"/>
      <c r="B68" s="2">
        <v>17</v>
      </c>
      <c r="C68" s="1" t="s">
        <v>99</v>
      </c>
      <c r="D68" s="2" t="s">
        <v>30</v>
      </c>
      <c r="E68" s="4">
        <v>800000</v>
      </c>
      <c r="F68" s="3">
        <v>30</v>
      </c>
      <c r="G68" s="4">
        <f>+E68-L68</f>
        <v>613333</v>
      </c>
      <c r="H68" s="4">
        <v>88211</v>
      </c>
      <c r="I68" s="4"/>
      <c r="J68" s="4"/>
      <c r="K68" s="4"/>
      <c r="L68" s="4">
        <v>186667</v>
      </c>
      <c r="M68" s="4">
        <f t="shared" si="3"/>
        <v>888211</v>
      </c>
      <c r="N68" s="4">
        <f>+E68*4%</f>
        <v>32000</v>
      </c>
      <c r="O68" s="4">
        <f>+E68*4%</f>
        <v>32000</v>
      </c>
      <c r="P68" s="4"/>
      <c r="Q68" s="4"/>
      <c r="R68" s="4"/>
      <c r="S68" s="4"/>
      <c r="T68" s="4"/>
      <c r="U68" s="4"/>
      <c r="V68" s="4">
        <f t="shared" si="13"/>
        <v>64000</v>
      </c>
      <c r="W68" s="5">
        <f t="shared" si="16"/>
        <v>824211</v>
      </c>
      <c r="X68" s="5"/>
      <c r="Y68" s="62"/>
      <c r="Z68" s="5">
        <f t="shared" ref="Z68:Z94" si="17">W68+X68-Y68</f>
        <v>824211</v>
      </c>
    </row>
    <row r="69" spans="1:28" ht="24.95" customHeight="1" x14ac:dyDescent="0.25">
      <c r="A69" s="63"/>
      <c r="B69" s="2">
        <v>18</v>
      </c>
      <c r="C69" s="1" t="s">
        <v>101</v>
      </c>
      <c r="D69" s="2" t="s">
        <v>30</v>
      </c>
      <c r="E69" s="4">
        <v>4200000</v>
      </c>
      <c r="F69" s="3">
        <v>30</v>
      </c>
      <c r="G69" s="4">
        <f>+E69</f>
        <v>4200000</v>
      </c>
      <c r="H69" s="4"/>
      <c r="I69" s="4"/>
      <c r="J69" s="4"/>
      <c r="K69" s="4"/>
      <c r="L69" s="4"/>
      <c r="M69" s="4">
        <f t="shared" ref="M69:M110" si="18">SUM(G69:J69)+L69+K69:K69</f>
        <v>4200000</v>
      </c>
      <c r="N69" s="4">
        <f>+E69*0.04</f>
        <v>168000</v>
      </c>
      <c r="O69" s="4">
        <f>+E69*0.05</f>
        <v>210000</v>
      </c>
      <c r="P69" s="4"/>
      <c r="Q69" s="4"/>
      <c r="R69" s="4">
        <v>0</v>
      </c>
      <c r="S69" s="4"/>
      <c r="T69" s="4"/>
      <c r="U69" s="4"/>
      <c r="V69" s="4">
        <f t="shared" si="13"/>
        <v>378000</v>
      </c>
      <c r="W69" s="5">
        <f t="shared" si="16"/>
        <v>3822000</v>
      </c>
      <c r="X69" s="5"/>
      <c r="Y69" s="62"/>
      <c r="Z69" s="5">
        <f t="shared" si="17"/>
        <v>3822000</v>
      </c>
    </row>
    <row r="70" spans="1:28" ht="24.95" customHeight="1" x14ac:dyDescent="0.25">
      <c r="A70" s="63"/>
      <c r="B70" s="2">
        <v>19</v>
      </c>
      <c r="C70" s="1" t="s">
        <v>102</v>
      </c>
      <c r="D70" s="2" t="s">
        <v>30</v>
      </c>
      <c r="E70" s="4">
        <v>1550000</v>
      </c>
      <c r="F70" s="3">
        <v>30</v>
      </c>
      <c r="G70" s="4">
        <f>+E70-L70</f>
        <v>1188333</v>
      </c>
      <c r="H70" s="4"/>
      <c r="I70" s="4"/>
      <c r="J70" s="4"/>
      <c r="K70" s="4"/>
      <c r="L70" s="4">
        <v>361667</v>
      </c>
      <c r="M70" s="4">
        <f t="shared" si="18"/>
        <v>1550000</v>
      </c>
      <c r="N70" s="4">
        <f>+E70*4%</f>
        <v>62000</v>
      </c>
      <c r="O70" s="4">
        <f>+E70*4%</f>
        <v>62000</v>
      </c>
      <c r="P70" s="4"/>
      <c r="Q70" s="4"/>
      <c r="R70" s="4"/>
      <c r="S70" s="4"/>
      <c r="T70" s="4"/>
      <c r="U70" s="4"/>
      <c r="V70" s="4">
        <f t="shared" si="13"/>
        <v>124000</v>
      </c>
      <c r="W70" s="5">
        <f t="shared" si="16"/>
        <v>1426000</v>
      </c>
      <c r="X70" s="5"/>
      <c r="Y70" s="62"/>
      <c r="Z70" s="5">
        <f t="shared" si="17"/>
        <v>1426000</v>
      </c>
    </row>
    <row r="71" spans="1:28" ht="24.95" customHeight="1" x14ac:dyDescent="0.25">
      <c r="A71" s="63"/>
      <c r="B71" s="2">
        <v>20</v>
      </c>
      <c r="C71" s="1" t="s">
        <v>103</v>
      </c>
      <c r="D71" s="2"/>
      <c r="E71" s="4">
        <v>1200000</v>
      </c>
      <c r="F71" s="3">
        <v>30</v>
      </c>
      <c r="G71" s="4">
        <f>E71/30*F71</f>
        <v>1200000</v>
      </c>
      <c r="H71" s="4">
        <v>88211</v>
      </c>
      <c r="I71" s="4"/>
      <c r="J71" s="4"/>
      <c r="K71" s="4"/>
      <c r="L71" s="4">
        <f>+E71-G71</f>
        <v>0</v>
      </c>
      <c r="M71" s="4">
        <f t="shared" si="18"/>
        <v>1288211</v>
      </c>
      <c r="N71" s="4">
        <f>+E71*4%</f>
        <v>48000</v>
      </c>
      <c r="O71" s="4">
        <f>+E71*4%</f>
        <v>48000</v>
      </c>
      <c r="P71" s="4"/>
      <c r="Q71" s="4"/>
      <c r="R71" s="4"/>
      <c r="S71" s="4"/>
      <c r="T71" s="4"/>
      <c r="U71" s="4"/>
      <c r="V71" s="4">
        <f t="shared" si="13"/>
        <v>96000</v>
      </c>
      <c r="W71" s="5">
        <f t="shared" si="16"/>
        <v>1192211</v>
      </c>
      <c r="X71" s="5"/>
      <c r="Y71" s="62"/>
      <c r="Z71" s="5">
        <f t="shared" si="17"/>
        <v>1192211</v>
      </c>
    </row>
    <row r="72" spans="1:28" ht="24.95" customHeight="1" x14ac:dyDescent="0.25">
      <c r="A72" s="63"/>
      <c r="B72" s="2">
        <v>21</v>
      </c>
      <c r="C72" s="1" t="s">
        <v>104</v>
      </c>
      <c r="D72" s="2" t="s">
        <v>30</v>
      </c>
      <c r="E72" s="4">
        <v>2500000</v>
      </c>
      <c r="F72" s="3">
        <v>30</v>
      </c>
      <c r="G72" s="4">
        <f>E72/30*F72</f>
        <v>2500000</v>
      </c>
      <c r="H72" s="4"/>
      <c r="I72" s="4"/>
      <c r="J72" s="4"/>
      <c r="K72" s="4"/>
      <c r="L72" s="4"/>
      <c r="M72" s="4">
        <f t="shared" si="18"/>
        <v>2500000</v>
      </c>
      <c r="N72" s="4">
        <f>+E72*4%</f>
        <v>100000</v>
      </c>
      <c r="O72" s="4">
        <f>+E72*4%</f>
        <v>100000</v>
      </c>
      <c r="P72" s="4"/>
      <c r="Q72" s="4"/>
      <c r="R72" s="4">
        <v>0</v>
      </c>
      <c r="S72" s="4"/>
      <c r="T72" s="4"/>
      <c r="U72" s="4"/>
      <c r="V72" s="4">
        <f t="shared" si="13"/>
        <v>200000</v>
      </c>
      <c r="W72" s="5">
        <f t="shared" si="16"/>
        <v>2300000</v>
      </c>
      <c r="X72" s="5"/>
      <c r="Y72" s="62"/>
      <c r="Z72" s="5">
        <f t="shared" si="17"/>
        <v>2300000</v>
      </c>
    </row>
    <row r="73" spans="1:28" ht="24.95" customHeight="1" x14ac:dyDescent="0.25">
      <c r="A73" s="63"/>
      <c r="B73" s="2">
        <v>22</v>
      </c>
      <c r="C73" s="1" t="s">
        <v>105</v>
      </c>
      <c r="D73" s="2"/>
      <c r="E73" s="4">
        <f>781242/2</f>
        <v>390621</v>
      </c>
      <c r="F73" s="3">
        <v>30</v>
      </c>
      <c r="G73" s="4">
        <f>E73/30*F73</f>
        <v>390621</v>
      </c>
      <c r="H73" s="4"/>
      <c r="I73" s="4"/>
      <c r="J73" s="4"/>
      <c r="K73" s="4"/>
      <c r="L73" s="4"/>
      <c r="M73" s="4">
        <f t="shared" si="18"/>
        <v>390621</v>
      </c>
      <c r="N73" s="4"/>
      <c r="O73" s="4"/>
      <c r="P73" s="4"/>
      <c r="Q73" s="4"/>
      <c r="R73" s="4"/>
      <c r="S73" s="4"/>
      <c r="T73" s="4"/>
      <c r="U73" s="4"/>
      <c r="V73" s="4">
        <f t="shared" si="13"/>
        <v>0</v>
      </c>
      <c r="W73" s="5">
        <f t="shared" si="16"/>
        <v>390621</v>
      </c>
      <c r="X73" s="5"/>
      <c r="Y73" s="62"/>
      <c r="Z73" s="5">
        <f t="shared" si="17"/>
        <v>390621</v>
      </c>
    </row>
    <row r="74" spans="1:28" ht="24.95" customHeight="1" x14ac:dyDescent="0.25">
      <c r="A74" s="63"/>
      <c r="B74" s="2">
        <v>23</v>
      </c>
      <c r="C74" s="9" t="s">
        <v>106</v>
      </c>
      <c r="D74" s="8" t="s">
        <v>30</v>
      </c>
      <c r="E74" s="4">
        <v>800000</v>
      </c>
      <c r="F74" s="3">
        <v>30</v>
      </c>
      <c r="G74" s="4">
        <f>+E74-L74</f>
        <v>613333</v>
      </c>
      <c r="H74" s="4">
        <v>88211</v>
      </c>
      <c r="I74" s="4"/>
      <c r="J74" s="4"/>
      <c r="K74" s="4"/>
      <c r="L74" s="4">
        <v>186667</v>
      </c>
      <c r="M74" s="4">
        <f t="shared" si="18"/>
        <v>888211</v>
      </c>
      <c r="N74" s="4">
        <f t="shared" ref="N74:N84" si="19">+E74*4%</f>
        <v>32000</v>
      </c>
      <c r="O74" s="4">
        <f>+E74*4%</f>
        <v>32000</v>
      </c>
      <c r="P74" s="4"/>
      <c r="Q74" s="4"/>
      <c r="R74" s="4"/>
      <c r="S74" s="4"/>
      <c r="T74" s="4"/>
      <c r="U74" s="4"/>
      <c r="V74" s="4">
        <f t="shared" si="13"/>
        <v>64000</v>
      </c>
      <c r="W74" s="5">
        <f t="shared" si="16"/>
        <v>824211</v>
      </c>
      <c r="X74" s="5"/>
      <c r="Y74" s="62"/>
      <c r="Z74" s="5">
        <f t="shared" si="17"/>
        <v>824211</v>
      </c>
    </row>
    <row r="75" spans="1:28" ht="24.95" customHeight="1" x14ac:dyDescent="0.25">
      <c r="A75" s="63"/>
      <c r="B75" s="2">
        <v>24</v>
      </c>
      <c r="C75" s="9" t="s">
        <v>107</v>
      </c>
      <c r="D75" s="8" t="s">
        <v>30</v>
      </c>
      <c r="E75" s="4">
        <v>1000000</v>
      </c>
      <c r="F75" s="3">
        <v>30</v>
      </c>
      <c r="G75" s="4">
        <f>E75/30*F75</f>
        <v>1000000.0000000001</v>
      </c>
      <c r="H75" s="4">
        <v>88211</v>
      </c>
      <c r="I75" s="4"/>
      <c r="J75" s="4"/>
      <c r="K75" s="4"/>
      <c r="L75" s="4"/>
      <c r="M75" s="4">
        <f t="shared" si="18"/>
        <v>1088211</v>
      </c>
      <c r="N75" s="4">
        <f t="shared" si="19"/>
        <v>40000</v>
      </c>
      <c r="O75" s="4">
        <f>+E75*4%</f>
        <v>40000</v>
      </c>
      <c r="P75" s="4"/>
      <c r="Q75" s="4"/>
      <c r="R75" s="4"/>
      <c r="S75" s="4"/>
      <c r="T75" s="4"/>
      <c r="U75" s="4"/>
      <c r="V75" s="4">
        <f t="shared" si="13"/>
        <v>80000</v>
      </c>
      <c r="W75" s="5">
        <f t="shared" si="16"/>
        <v>1008211</v>
      </c>
      <c r="X75" s="5"/>
      <c r="Y75" s="62"/>
      <c r="Z75" s="5">
        <f t="shared" si="17"/>
        <v>1008211</v>
      </c>
    </row>
    <row r="76" spans="1:28" ht="24.95" customHeight="1" x14ac:dyDescent="0.25">
      <c r="A76" s="63"/>
      <c r="B76" s="2">
        <v>25</v>
      </c>
      <c r="C76" s="9" t="s">
        <v>108</v>
      </c>
      <c r="D76" s="8"/>
      <c r="E76" s="4">
        <v>2400000</v>
      </c>
      <c r="F76" s="3">
        <v>30</v>
      </c>
      <c r="G76" s="4">
        <f>E76/30*F76</f>
        <v>2400000</v>
      </c>
      <c r="H76" s="4"/>
      <c r="I76" s="4"/>
      <c r="J76" s="4"/>
      <c r="K76" s="4"/>
      <c r="L76" s="4">
        <f>+E76-G76</f>
        <v>0</v>
      </c>
      <c r="M76" s="4">
        <f t="shared" si="18"/>
        <v>2400000</v>
      </c>
      <c r="N76" s="4">
        <f t="shared" si="19"/>
        <v>96000</v>
      </c>
      <c r="O76" s="4">
        <f>+E76*4%</f>
        <v>96000</v>
      </c>
      <c r="P76" s="4"/>
      <c r="Q76" s="4"/>
      <c r="R76" s="4"/>
      <c r="S76" s="4"/>
      <c r="T76" s="4"/>
      <c r="U76" s="4"/>
      <c r="V76" s="4">
        <f t="shared" si="13"/>
        <v>192000</v>
      </c>
      <c r="W76" s="5">
        <f t="shared" si="16"/>
        <v>2208000</v>
      </c>
      <c r="X76" s="5"/>
      <c r="Y76" s="62"/>
      <c r="Z76" s="5">
        <f t="shared" si="17"/>
        <v>2208000</v>
      </c>
    </row>
    <row r="77" spans="1:28" ht="24.95" customHeight="1" x14ac:dyDescent="0.25">
      <c r="A77" s="63"/>
      <c r="B77" s="2">
        <v>26</v>
      </c>
      <c r="C77" s="1" t="s">
        <v>109</v>
      </c>
      <c r="D77" s="2" t="s">
        <v>30</v>
      </c>
      <c r="E77" s="4">
        <v>2200000</v>
      </c>
      <c r="F77" s="3">
        <v>30</v>
      </c>
      <c r="G77" s="4">
        <f>+E77-L77</f>
        <v>1686667</v>
      </c>
      <c r="H77" s="4"/>
      <c r="I77" s="4"/>
      <c r="J77" s="4"/>
      <c r="K77" s="4"/>
      <c r="L77" s="4">
        <v>513333</v>
      </c>
      <c r="M77" s="4">
        <f t="shared" si="18"/>
        <v>2200000</v>
      </c>
      <c r="N77" s="4">
        <f t="shared" si="19"/>
        <v>88000</v>
      </c>
      <c r="O77" s="4">
        <f>+E77*4%</f>
        <v>88000</v>
      </c>
      <c r="P77" s="4"/>
      <c r="Q77" s="4"/>
      <c r="R77" s="4">
        <v>0</v>
      </c>
      <c r="S77" s="4"/>
      <c r="T77" s="4"/>
      <c r="U77" s="4"/>
      <c r="V77" s="4">
        <f t="shared" si="13"/>
        <v>176000</v>
      </c>
      <c r="W77" s="5">
        <f>+M77-V77</f>
        <v>2024000</v>
      </c>
      <c r="X77" s="5"/>
      <c r="Y77" s="62"/>
      <c r="Z77" s="5">
        <f t="shared" si="17"/>
        <v>2024000</v>
      </c>
    </row>
    <row r="78" spans="1:28" ht="24.95" customHeight="1" x14ac:dyDescent="0.25">
      <c r="A78" s="63"/>
      <c r="B78" s="2">
        <v>27</v>
      </c>
      <c r="C78" s="1" t="s">
        <v>110</v>
      </c>
      <c r="D78" s="2" t="s">
        <v>30</v>
      </c>
      <c r="E78" s="4">
        <v>3000000</v>
      </c>
      <c r="F78" s="3">
        <v>30</v>
      </c>
      <c r="G78" s="4">
        <f>E78/30*F78</f>
        <v>3000000</v>
      </c>
      <c r="H78" s="4"/>
      <c r="I78" s="4"/>
      <c r="J78" s="4"/>
      <c r="K78" s="4"/>
      <c r="L78" s="4">
        <f>+E78-G78</f>
        <v>0</v>
      </c>
      <c r="M78" s="4">
        <f t="shared" si="18"/>
        <v>3000000</v>
      </c>
      <c r="N78" s="4">
        <f t="shared" si="19"/>
        <v>120000</v>
      </c>
      <c r="O78" s="4">
        <f>+E78*4%</f>
        <v>120000</v>
      </c>
      <c r="P78" s="4"/>
      <c r="Q78" s="4"/>
      <c r="R78" s="7">
        <v>0</v>
      </c>
      <c r="S78" s="4"/>
      <c r="T78" s="4">
        <v>0</v>
      </c>
      <c r="U78" s="4"/>
      <c r="V78" s="4">
        <f t="shared" si="13"/>
        <v>240000</v>
      </c>
      <c r="W78" s="5">
        <f>+M78-V78</f>
        <v>2760000</v>
      </c>
      <c r="X78" s="5"/>
      <c r="Y78" s="62"/>
      <c r="Z78" s="5">
        <f t="shared" si="17"/>
        <v>2760000</v>
      </c>
      <c r="AA78" s="64">
        <v>4886979</v>
      </c>
      <c r="AB78" s="65">
        <f>+Z78-AA78</f>
        <v>-2126979</v>
      </c>
    </row>
    <row r="79" spans="1:28" ht="24.95" customHeight="1" x14ac:dyDescent="0.25">
      <c r="A79" s="63"/>
      <c r="B79" s="2">
        <v>28</v>
      </c>
      <c r="C79" s="1" t="s">
        <v>111</v>
      </c>
      <c r="D79" s="2"/>
      <c r="E79" s="4">
        <v>4500000</v>
      </c>
      <c r="F79" s="3">
        <v>30</v>
      </c>
      <c r="G79" s="4">
        <f>E79/30*F79</f>
        <v>4500000</v>
      </c>
      <c r="H79" s="4"/>
      <c r="I79" s="4"/>
      <c r="J79" s="4"/>
      <c r="K79" s="4"/>
      <c r="L79" s="4">
        <f>+E79-G79</f>
        <v>0</v>
      </c>
      <c r="M79" s="4">
        <f t="shared" si="18"/>
        <v>4500000</v>
      </c>
      <c r="N79" s="4">
        <f t="shared" si="19"/>
        <v>180000</v>
      </c>
      <c r="O79" s="4">
        <f>+E79*5%</f>
        <v>225000</v>
      </c>
      <c r="P79" s="4"/>
      <c r="Q79" s="4"/>
      <c r="R79" s="7">
        <v>0</v>
      </c>
      <c r="S79" s="4"/>
      <c r="T79" s="4"/>
      <c r="U79" s="4"/>
      <c r="V79" s="4">
        <f t="shared" si="13"/>
        <v>405000</v>
      </c>
      <c r="W79" s="5">
        <f t="shared" ref="W79:W87" si="20">+M79-V79</f>
        <v>4095000</v>
      </c>
      <c r="X79" s="5"/>
      <c r="Y79" s="62"/>
      <c r="Z79" s="5"/>
    </row>
    <row r="80" spans="1:28" ht="24.95" customHeight="1" x14ac:dyDescent="0.25">
      <c r="A80" s="63"/>
      <c r="B80" s="2">
        <v>29</v>
      </c>
      <c r="C80" s="1" t="s">
        <v>112</v>
      </c>
      <c r="D80" s="2"/>
      <c r="E80" s="4">
        <v>5500000</v>
      </c>
      <c r="F80" s="3">
        <v>30</v>
      </c>
      <c r="G80" s="4">
        <f>E80/30*F80</f>
        <v>5500000</v>
      </c>
      <c r="H80" s="4"/>
      <c r="I80" s="4"/>
      <c r="J80" s="4">
        <v>500000</v>
      </c>
      <c r="K80" s="4"/>
      <c r="L80" s="4">
        <f>+E80-G80</f>
        <v>0</v>
      </c>
      <c r="M80" s="4">
        <f t="shared" si="18"/>
        <v>6000000</v>
      </c>
      <c r="N80" s="4">
        <f t="shared" si="19"/>
        <v>220000</v>
      </c>
      <c r="O80" s="4">
        <f>+E80*5%</f>
        <v>275000</v>
      </c>
      <c r="P80" s="4"/>
      <c r="Q80" s="4"/>
      <c r="R80" s="7">
        <v>69147</v>
      </c>
      <c r="S80" s="4"/>
      <c r="T80" s="4"/>
      <c r="U80" s="4"/>
      <c r="V80" s="4">
        <f t="shared" si="13"/>
        <v>564147</v>
      </c>
      <c r="W80" s="5">
        <f t="shared" si="20"/>
        <v>5435853</v>
      </c>
      <c r="X80" s="5"/>
      <c r="Y80" s="62"/>
      <c r="Z80" s="5">
        <f t="shared" ref="Z80:Z86" si="21">W80+X80-Y80</f>
        <v>5435853</v>
      </c>
    </row>
    <row r="81" spans="1:27" ht="24.95" customHeight="1" x14ac:dyDescent="0.25">
      <c r="A81" s="63"/>
      <c r="B81" s="2">
        <v>30</v>
      </c>
      <c r="C81" s="1" t="s">
        <v>113</v>
      </c>
      <c r="D81" s="2"/>
      <c r="E81" s="4">
        <v>2000000</v>
      </c>
      <c r="F81" s="3">
        <v>30</v>
      </c>
      <c r="G81" s="4">
        <f>E81/30*F81</f>
        <v>2000000.0000000002</v>
      </c>
      <c r="H81" s="4"/>
      <c r="I81" s="4"/>
      <c r="J81" s="4"/>
      <c r="K81" s="4"/>
      <c r="L81" s="4">
        <f>+E81-G81</f>
        <v>0</v>
      </c>
      <c r="M81" s="4">
        <f t="shared" si="18"/>
        <v>2000000.0000000002</v>
      </c>
      <c r="N81" s="4">
        <f t="shared" si="19"/>
        <v>80000</v>
      </c>
      <c r="O81" s="4">
        <f>+E81*4%</f>
        <v>80000</v>
      </c>
      <c r="P81" s="4"/>
      <c r="Q81" s="4"/>
      <c r="R81" s="7"/>
      <c r="S81" s="4"/>
      <c r="T81" s="4"/>
      <c r="U81" s="4"/>
      <c r="V81" s="4">
        <f t="shared" si="13"/>
        <v>160000</v>
      </c>
      <c r="W81" s="5">
        <f t="shared" si="20"/>
        <v>1840000.0000000002</v>
      </c>
      <c r="X81" s="5"/>
      <c r="Y81" s="62"/>
      <c r="Z81" s="5">
        <f t="shared" si="21"/>
        <v>1840000.0000000002</v>
      </c>
    </row>
    <row r="82" spans="1:27" ht="24.95" customHeight="1" x14ac:dyDescent="0.25">
      <c r="A82" s="63"/>
      <c r="B82" s="2">
        <v>31</v>
      </c>
      <c r="C82" s="1" t="s">
        <v>114</v>
      </c>
      <c r="D82" s="2"/>
      <c r="E82" s="4">
        <v>781242</v>
      </c>
      <c r="F82" s="3">
        <v>30</v>
      </c>
      <c r="G82" s="4">
        <f>+E82-L82</f>
        <v>442704</v>
      </c>
      <c r="H82" s="4">
        <v>88211</v>
      </c>
      <c r="I82" s="4"/>
      <c r="J82" s="4"/>
      <c r="K82" s="4"/>
      <c r="L82" s="4">
        <v>338538</v>
      </c>
      <c r="M82" s="4">
        <f t="shared" si="18"/>
        <v>869453</v>
      </c>
      <c r="N82" s="4">
        <f t="shared" si="19"/>
        <v>31249.68</v>
      </c>
      <c r="O82" s="4">
        <f>+E82*4%</f>
        <v>31249.68</v>
      </c>
      <c r="P82" s="4"/>
      <c r="Q82" s="4"/>
      <c r="R82" s="7"/>
      <c r="S82" s="4"/>
      <c r="T82" s="4"/>
      <c r="U82" s="4"/>
      <c r="V82" s="4">
        <f t="shared" si="13"/>
        <v>62499.360000000001</v>
      </c>
      <c r="W82" s="5">
        <f t="shared" si="20"/>
        <v>806953.64</v>
      </c>
      <c r="X82" s="5"/>
      <c r="Y82" s="62"/>
      <c r="Z82" s="5">
        <f t="shared" si="21"/>
        <v>806953.64</v>
      </c>
    </row>
    <row r="83" spans="1:27" ht="24.95" customHeight="1" x14ac:dyDescent="0.25">
      <c r="A83" s="63"/>
      <c r="B83" s="2">
        <v>32</v>
      </c>
      <c r="C83" s="1" t="s">
        <v>115</v>
      </c>
      <c r="D83" s="2"/>
      <c r="E83" s="4">
        <v>2500000</v>
      </c>
      <c r="F83" s="3">
        <v>30</v>
      </c>
      <c r="G83" s="4">
        <f>+E83-L83</f>
        <v>1916667</v>
      </c>
      <c r="H83" s="4"/>
      <c r="I83" s="4"/>
      <c r="J83" s="4">
        <v>350000</v>
      </c>
      <c r="K83" s="4"/>
      <c r="L83" s="4">
        <v>583333</v>
      </c>
      <c r="M83" s="4">
        <f t="shared" si="18"/>
        <v>2850000</v>
      </c>
      <c r="N83" s="4">
        <f t="shared" si="19"/>
        <v>100000</v>
      </c>
      <c r="O83" s="4">
        <f>+E83*4%</f>
        <v>100000</v>
      </c>
      <c r="P83" s="4"/>
      <c r="Q83" s="4"/>
      <c r="R83" s="7"/>
      <c r="S83" s="4"/>
      <c r="T83" s="4"/>
      <c r="U83" s="4"/>
      <c r="V83" s="4">
        <f t="shared" si="13"/>
        <v>200000</v>
      </c>
      <c r="W83" s="5">
        <f t="shared" si="20"/>
        <v>2650000</v>
      </c>
      <c r="X83" s="5"/>
      <c r="Y83" s="62"/>
      <c r="Z83" s="5">
        <f t="shared" si="21"/>
        <v>2650000</v>
      </c>
    </row>
    <row r="84" spans="1:27" ht="24.95" customHeight="1" x14ac:dyDescent="0.25">
      <c r="A84" s="63"/>
      <c r="B84" s="2">
        <v>33</v>
      </c>
      <c r="C84" s="1" t="s">
        <v>116</v>
      </c>
      <c r="D84" s="2" t="s">
        <v>30</v>
      </c>
      <c r="E84" s="4">
        <v>2200000</v>
      </c>
      <c r="F84" s="3">
        <v>30</v>
      </c>
      <c r="G84" s="4">
        <f>+E84-L84</f>
        <v>1686667</v>
      </c>
      <c r="H84" s="4"/>
      <c r="I84" s="4"/>
      <c r="J84" s="4"/>
      <c r="K84" s="4"/>
      <c r="L84" s="4">
        <v>513333</v>
      </c>
      <c r="M84" s="4">
        <f t="shared" si="18"/>
        <v>2200000</v>
      </c>
      <c r="N84" s="4">
        <f t="shared" si="19"/>
        <v>88000</v>
      </c>
      <c r="O84" s="4">
        <f>+E84*4%</f>
        <v>88000</v>
      </c>
      <c r="P84" s="4"/>
      <c r="Q84" s="4"/>
      <c r="R84" s="7">
        <v>0</v>
      </c>
      <c r="S84" s="4"/>
      <c r="T84" s="4"/>
      <c r="U84" s="4"/>
      <c r="V84" s="4">
        <f t="shared" si="13"/>
        <v>176000</v>
      </c>
      <c r="W84" s="5">
        <f t="shared" si="20"/>
        <v>2024000</v>
      </c>
      <c r="X84" s="5"/>
      <c r="Y84" s="62"/>
      <c r="Z84" s="5">
        <f t="shared" si="21"/>
        <v>2024000</v>
      </c>
    </row>
    <row r="85" spans="1:27" ht="24.95" customHeight="1" x14ac:dyDescent="0.25">
      <c r="A85" s="63"/>
      <c r="B85" s="2">
        <v>34</v>
      </c>
      <c r="C85" s="1" t="s">
        <v>117</v>
      </c>
      <c r="D85" s="2"/>
      <c r="E85" s="4">
        <v>2500000</v>
      </c>
      <c r="F85" s="3">
        <v>30</v>
      </c>
      <c r="G85" s="4">
        <f>+E85-L85</f>
        <v>1916667</v>
      </c>
      <c r="H85" s="4"/>
      <c r="I85" s="4"/>
      <c r="J85" s="4"/>
      <c r="K85" s="4"/>
      <c r="L85" s="4">
        <v>583333</v>
      </c>
      <c r="M85" s="4">
        <f t="shared" si="18"/>
        <v>2500000</v>
      </c>
      <c r="N85" s="4">
        <f>+E85*0.04</f>
        <v>100000</v>
      </c>
      <c r="O85" s="4">
        <f>+E85*0.04</f>
        <v>100000</v>
      </c>
      <c r="P85" s="4"/>
      <c r="Q85" s="4"/>
      <c r="R85" s="4">
        <v>0</v>
      </c>
      <c r="S85" s="4"/>
      <c r="T85" s="4"/>
      <c r="U85" s="4"/>
      <c r="V85" s="4">
        <f t="shared" si="13"/>
        <v>200000</v>
      </c>
      <c r="W85" s="5">
        <f t="shared" si="20"/>
        <v>2300000</v>
      </c>
      <c r="X85" s="5"/>
      <c r="Y85" s="62"/>
      <c r="Z85" s="5">
        <f t="shared" si="21"/>
        <v>2300000</v>
      </c>
    </row>
    <row r="86" spans="1:27" ht="24.95" customHeight="1" x14ac:dyDescent="0.25">
      <c r="A86" s="63"/>
      <c r="B86" s="2">
        <v>35</v>
      </c>
      <c r="C86" s="1" t="s">
        <v>118</v>
      </c>
      <c r="D86" s="2" t="s">
        <v>30</v>
      </c>
      <c r="E86" s="4">
        <v>5500000</v>
      </c>
      <c r="F86" s="3">
        <v>30</v>
      </c>
      <c r="G86" s="4">
        <f>+E86-L86</f>
        <v>5375000</v>
      </c>
      <c r="H86" s="4"/>
      <c r="I86" s="4"/>
      <c r="J86" s="4"/>
      <c r="K86" s="4"/>
      <c r="L86" s="4">
        <v>125000</v>
      </c>
      <c r="M86" s="4">
        <f t="shared" si="18"/>
        <v>5500000</v>
      </c>
      <c r="N86" s="4">
        <f>+E86*4%</f>
        <v>220000</v>
      </c>
      <c r="O86" s="4">
        <f>+E86*5%</f>
        <v>275000</v>
      </c>
      <c r="P86" s="4"/>
      <c r="Q86" s="4"/>
      <c r="R86" s="4">
        <v>102000</v>
      </c>
      <c r="S86" s="4"/>
      <c r="T86" s="4"/>
      <c r="U86" s="4">
        <v>610699</v>
      </c>
      <c r="V86" s="4">
        <f t="shared" si="13"/>
        <v>1207699</v>
      </c>
      <c r="W86" s="5">
        <f t="shared" si="20"/>
        <v>4292301</v>
      </c>
      <c r="X86" s="5"/>
      <c r="Y86" s="62"/>
      <c r="Z86" s="5">
        <f t="shared" si="21"/>
        <v>4292301</v>
      </c>
    </row>
    <row r="87" spans="1:27" ht="24.95" customHeight="1" x14ac:dyDescent="0.25">
      <c r="A87" s="63"/>
      <c r="B87" s="2">
        <v>36</v>
      </c>
      <c r="C87" s="1" t="s">
        <v>119</v>
      </c>
      <c r="D87" s="2"/>
      <c r="E87" s="4">
        <v>5400000</v>
      </c>
      <c r="F87" s="3">
        <v>17</v>
      </c>
      <c r="G87" s="4">
        <f>3060000-L87</f>
        <v>360000</v>
      </c>
      <c r="H87" s="4"/>
      <c r="I87" s="4"/>
      <c r="J87" s="4"/>
      <c r="K87" s="4"/>
      <c r="L87" s="4">
        <f>1440000+1260000</f>
        <v>2700000</v>
      </c>
      <c r="M87" s="4">
        <f t="shared" si="18"/>
        <v>3060000</v>
      </c>
      <c r="N87" s="4">
        <f>+E87*4%</f>
        <v>216000</v>
      </c>
      <c r="O87" s="4">
        <f>+E87*4%</f>
        <v>216000</v>
      </c>
      <c r="P87" s="4"/>
      <c r="Q87" s="4"/>
      <c r="R87" s="4">
        <v>0</v>
      </c>
      <c r="S87" s="4"/>
      <c r="T87" s="4"/>
      <c r="U87" s="4"/>
      <c r="V87" s="4">
        <f t="shared" si="13"/>
        <v>432000</v>
      </c>
      <c r="W87" s="5">
        <f t="shared" si="20"/>
        <v>2628000</v>
      </c>
      <c r="X87" s="5">
        <f>+M87-W87</f>
        <v>432000</v>
      </c>
      <c r="Y87" s="5"/>
      <c r="Z87" s="62"/>
      <c r="AA87" s="5">
        <f t="shared" ref="AA87" si="22">X87+Y87-Z87</f>
        <v>432000</v>
      </c>
    </row>
    <row r="88" spans="1:27" ht="24.95" customHeight="1" x14ac:dyDescent="0.25">
      <c r="A88" s="63"/>
      <c r="B88" s="2">
        <v>37</v>
      </c>
      <c r="C88" s="1" t="s">
        <v>120</v>
      </c>
      <c r="D88" s="2" t="s">
        <v>30</v>
      </c>
      <c r="E88" s="4">
        <v>3500000</v>
      </c>
      <c r="F88" s="3">
        <v>30</v>
      </c>
      <c r="G88" s="4">
        <f>+E88-L88</f>
        <v>3254222</v>
      </c>
      <c r="H88" s="4"/>
      <c r="I88" s="4"/>
      <c r="J88" s="4"/>
      <c r="K88" s="4"/>
      <c r="L88" s="4">
        <v>245778</v>
      </c>
      <c r="M88" s="4">
        <f t="shared" si="18"/>
        <v>3500000</v>
      </c>
      <c r="N88" s="4">
        <f>+E88*4%</f>
        <v>140000</v>
      </c>
      <c r="O88" s="4">
        <f>+E88*5%</f>
        <v>175000</v>
      </c>
      <c r="P88" s="4">
        <v>0</v>
      </c>
      <c r="Q88" s="4"/>
      <c r="R88" s="4">
        <v>0</v>
      </c>
      <c r="S88" s="4"/>
      <c r="T88" s="4"/>
      <c r="U88" s="4"/>
      <c r="V88" s="4">
        <f t="shared" si="13"/>
        <v>315000</v>
      </c>
      <c r="W88" s="5">
        <f t="shared" ref="W88:W93" si="23">M88-V88</f>
        <v>3185000</v>
      </c>
      <c r="X88" s="5"/>
      <c r="Y88" s="62"/>
      <c r="Z88" s="5">
        <f t="shared" ref="Z88:Z110" si="24">W88+X88-Y88</f>
        <v>3185000</v>
      </c>
    </row>
    <row r="89" spans="1:27" ht="24.95" customHeight="1" x14ac:dyDescent="0.25">
      <c r="A89" s="63"/>
      <c r="B89" s="2">
        <v>38</v>
      </c>
      <c r="C89" s="1" t="s">
        <v>121</v>
      </c>
      <c r="D89" s="2" t="s">
        <v>30</v>
      </c>
      <c r="E89" s="4">
        <v>2200000</v>
      </c>
      <c r="F89" s="3">
        <v>30</v>
      </c>
      <c r="G89" s="4">
        <f>+E89-L89</f>
        <v>1686667</v>
      </c>
      <c r="H89" s="4"/>
      <c r="I89" s="4"/>
      <c r="J89" s="4"/>
      <c r="K89" s="4"/>
      <c r="L89" s="4">
        <v>513333</v>
      </c>
      <c r="M89" s="4">
        <f t="shared" si="18"/>
        <v>2200000</v>
      </c>
      <c r="N89" s="4">
        <f>+E89*4%</f>
        <v>88000</v>
      </c>
      <c r="O89" s="4">
        <f>+E89*4%</f>
        <v>88000</v>
      </c>
      <c r="P89" s="4"/>
      <c r="Q89" s="4"/>
      <c r="R89" s="4"/>
      <c r="S89" s="4"/>
      <c r="T89" s="4"/>
      <c r="U89" s="4"/>
      <c r="V89" s="4">
        <f t="shared" si="13"/>
        <v>176000</v>
      </c>
      <c r="W89" s="5">
        <f t="shared" si="23"/>
        <v>2024000</v>
      </c>
      <c r="X89" s="5"/>
      <c r="Y89" s="62"/>
      <c r="Z89" s="5">
        <f t="shared" si="24"/>
        <v>2024000</v>
      </c>
    </row>
    <row r="90" spans="1:27" ht="24.95" customHeight="1" x14ac:dyDescent="0.25">
      <c r="A90" s="63"/>
      <c r="B90" s="2">
        <v>39</v>
      </c>
      <c r="C90" s="9" t="s">
        <v>122</v>
      </c>
      <c r="D90" s="8" t="s">
        <v>30</v>
      </c>
      <c r="E90" s="4">
        <v>781242</v>
      </c>
      <c r="F90" s="3">
        <v>30</v>
      </c>
      <c r="G90" s="4">
        <f>+E90-L90</f>
        <v>598952</v>
      </c>
      <c r="H90" s="4">
        <v>88211</v>
      </c>
      <c r="I90" s="4">
        <v>28482</v>
      </c>
      <c r="J90" s="4"/>
      <c r="K90" s="4"/>
      <c r="L90" s="4">
        <v>182290</v>
      </c>
      <c r="M90" s="4">
        <f t="shared" si="18"/>
        <v>897935</v>
      </c>
      <c r="N90" s="4">
        <f>+E90*0.04</f>
        <v>31249.68</v>
      </c>
      <c r="O90" s="4">
        <f>+E90*0.04</f>
        <v>31249.68</v>
      </c>
      <c r="P90" s="4"/>
      <c r="Q90" s="4"/>
      <c r="R90" s="4">
        <v>0</v>
      </c>
      <c r="S90" s="4"/>
      <c r="T90" s="4"/>
      <c r="U90" s="4"/>
      <c r="V90" s="4">
        <f t="shared" si="13"/>
        <v>62499.360000000001</v>
      </c>
      <c r="W90" s="5">
        <f t="shared" si="23"/>
        <v>835435.64</v>
      </c>
      <c r="X90" s="5"/>
      <c r="Y90" s="62"/>
      <c r="Z90" s="5">
        <f t="shared" si="24"/>
        <v>835435.64</v>
      </c>
    </row>
    <row r="91" spans="1:27" ht="24.95" customHeight="1" x14ac:dyDescent="0.25">
      <c r="A91" s="63"/>
      <c r="B91" s="2">
        <v>40</v>
      </c>
      <c r="C91" s="9" t="s">
        <v>123</v>
      </c>
      <c r="D91" s="8"/>
      <c r="E91" s="4">
        <v>2100000</v>
      </c>
      <c r="F91" s="3">
        <v>20</v>
      </c>
      <c r="G91" s="4">
        <f>E91/30*F91</f>
        <v>1400000</v>
      </c>
      <c r="H91" s="4"/>
      <c r="I91" s="4"/>
      <c r="J91" s="4"/>
      <c r="K91" s="4"/>
      <c r="L91" s="4"/>
      <c r="M91" s="4">
        <f t="shared" si="18"/>
        <v>1400000</v>
      </c>
      <c r="N91" s="4">
        <f>+M91*0.04</f>
        <v>56000</v>
      </c>
      <c r="O91" s="4">
        <f>+M91*0.04</f>
        <v>56000</v>
      </c>
      <c r="P91" s="4"/>
      <c r="Q91" s="4"/>
      <c r="R91" s="4">
        <v>0</v>
      </c>
      <c r="S91" s="4"/>
      <c r="T91" s="4"/>
      <c r="U91" s="4"/>
      <c r="V91" s="4">
        <f t="shared" si="13"/>
        <v>112000</v>
      </c>
      <c r="W91" s="5">
        <f t="shared" si="23"/>
        <v>1288000</v>
      </c>
      <c r="X91" s="5"/>
      <c r="Y91" s="62"/>
      <c r="Z91" s="5">
        <f t="shared" si="24"/>
        <v>1288000</v>
      </c>
    </row>
    <row r="92" spans="1:27" ht="24.95" customHeight="1" x14ac:dyDescent="0.25">
      <c r="A92" s="63"/>
      <c r="B92" s="2">
        <v>41</v>
      </c>
      <c r="C92" s="9" t="s">
        <v>124</v>
      </c>
      <c r="D92" s="8"/>
      <c r="E92" s="4">
        <v>781242</v>
      </c>
      <c r="F92" s="3">
        <v>30</v>
      </c>
      <c r="G92" s="4">
        <f>E92/30*F92</f>
        <v>781242</v>
      </c>
      <c r="H92" s="4">
        <v>88211</v>
      </c>
      <c r="I92" s="4">
        <f>264532</f>
        <v>264532</v>
      </c>
      <c r="J92" s="4">
        <v>0</v>
      </c>
      <c r="K92" s="4"/>
      <c r="L92" s="4">
        <f>+E92-G92</f>
        <v>0</v>
      </c>
      <c r="M92" s="4">
        <f t="shared" si="18"/>
        <v>1133985</v>
      </c>
      <c r="N92" s="4">
        <f>+E92*0.04</f>
        <v>31249.68</v>
      </c>
      <c r="O92" s="4">
        <f>+E92*4%</f>
        <v>31249.68</v>
      </c>
      <c r="P92" s="4"/>
      <c r="Q92" s="4"/>
      <c r="R92" s="4"/>
      <c r="S92" s="4"/>
      <c r="T92" s="4"/>
      <c r="U92" s="4"/>
      <c r="V92" s="4">
        <f t="shared" si="13"/>
        <v>62499.360000000001</v>
      </c>
      <c r="W92" s="5">
        <f t="shared" si="23"/>
        <v>1071485.6399999999</v>
      </c>
      <c r="X92" s="5"/>
      <c r="Y92" s="62"/>
      <c r="Z92" s="5">
        <f t="shared" si="24"/>
        <v>1071485.6399999999</v>
      </c>
    </row>
    <row r="93" spans="1:27" ht="24.95" customHeight="1" x14ac:dyDescent="0.25">
      <c r="A93" s="63"/>
      <c r="B93" s="2">
        <v>42</v>
      </c>
      <c r="C93" s="9" t="s">
        <v>125</v>
      </c>
      <c r="D93" s="8"/>
      <c r="E93" s="4">
        <v>400000</v>
      </c>
      <c r="F93" s="3">
        <v>30</v>
      </c>
      <c r="G93" s="4">
        <f>+E93</f>
        <v>400000</v>
      </c>
      <c r="H93" s="4">
        <f>88211/2</f>
        <v>44105.5</v>
      </c>
      <c r="I93" s="4"/>
      <c r="J93" s="4"/>
      <c r="K93" s="4"/>
      <c r="L93" s="4">
        <f>+E93-G93</f>
        <v>0</v>
      </c>
      <c r="M93" s="4">
        <f t="shared" si="18"/>
        <v>444105.5</v>
      </c>
      <c r="N93" s="4">
        <f>+E93*4%</f>
        <v>16000</v>
      </c>
      <c r="O93" s="4">
        <f>+E93*4%</f>
        <v>16000</v>
      </c>
      <c r="P93" s="4"/>
      <c r="Q93" s="4"/>
      <c r="R93" s="4"/>
      <c r="S93" s="4"/>
      <c r="T93" s="4"/>
      <c r="U93" s="4"/>
      <c r="V93" s="4">
        <f t="shared" si="13"/>
        <v>32000</v>
      </c>
      <c r="W93" s="5">
        <f t="shared" si="23"/>
        <v>412105.5</v>
      </c>
      <c r="X93" s="5"/>
      <c r="Y93" s="62"/>
      <c r="Z93" s="5">
        <f t="shared" si="24"/>
        <v>412105.5</v>
      </c>
    </row>
    <row r="94" spans="1:27" ht="24.95" customHeight="1" x14ac:dyDescent="0.25">
      <c r="A94" s="63"/>
      <c r="B94" s="2">
        <v>43</v>
      </c>
      <c r="C94" s="1" t="s">
        <v>126</v>
      </c>
      <c r="D94" s="2" t="s">
        <v>30</v>
      </c>
      <c r="E94" s="4">
        <v>15400000</v>
      </c>
      <c r="F94" s="3">
        <v>30</v>
      </c>
      <c r="G94" s="4">
        <f>E94/30*F94</f>
        <v>15400000</v>
      </c>
      <c r="H94" s="4"/>
      <c r="I94" s="4"/>
      <c r="J94" s="4">
        <v>600000</v>
      </c>
      <c r="K94" s="4"/>
      <c r="L94" s="4">
        <f>+E94-G94</f>
        <v>0</v>
      </c>
      <c r="M94" s="4">
        <f t="shared" si="18"/>
        <v>16000000</v>
      </c>
      <c r="N94" s="4">
        <v>616000</v>
      </c>
      <c r="O94" s="4">
        <f>616000+308000</f>
        <v>924000</v>
      </c>
      <c r="P94" s="4">
        <v>102400</v>
      </c>
      <c r="Q94" s="4"/>
      <c r="R94" s="4">
        <v>916000</v>
      </c>
      <c r="S94" s="4">
        <v>5000000</v>
      </c>
      <c r="T94" s="4"/>
      <c r="U94" s="4">
        <v>2314715</v>
      </c>
      <c r="V94" s="4">
        <f t="shared" si="13"/>
        <v>9873115</v>
      </c>
      <c r="W94" s="5">
        <f>+M94-V94</f>
        <v>6126885</v>
      </c>
      <c r="X94" s="5"/>
      <c r="Y94" s="62"/>
      <c r="Z94" s="5">
        <f t="shared" si="24"/>
        <v>6126885</v>
      </c>
    </row>
    <row r="95" spans="1:27" ht="24.95" customHeight="1" x14ac:dyDescent="0.25">
      <c r="A95" s="63"/>
      <c r="B95" s="2">
        <v>44</v>
      </c>
      <c r="C95" s="1" t="s">
        <v>127</v>
      </c>
      <c r="D95" s="2" t="s">
        <v>30</v>
      </c>
      <c r="E95" s="4">
        <v>5500000</v>
      </c>
      <c r="F95" s="3">
        <v>30</v>
      </c>
      <c r="G95" s="4">
        <f>E95/30*F95</f>
        <v>5500000</v>
      </c>
      <c r="H95" s="4"/>
      <c r="I95" s="4"/>
      <c r="J95" s="4">
        <v>500000</v>
      </c>
      <c r="K95" s="4"/>
      <c r="L95" s="4">
        <f>+E95-G95</f>
        <v>0</v>
      </c>
      <c r="M95" s="4">
        <f t="shared" si="18"/>
        <v>6000000</v>
      </c>
      <c r="N95" s="4">
        <f>+E95*0.04</f>
        <v>220000</v>
      </c>
      <c r="O95" s="4">
        <f>+E95*0.05</f>
        <v>275000</v>
      </c>
      <c r="P95" s="4"/>
      <c r="Q95" s="4"/>
      <c r="R95" s="4">
        <v>120000</v>
      </c>
      <c r="S95" s="4"/>
      <c r="T95" s="4"/>
      <c r="U95" s="4">
        <v>1138458</v>
      </c>
      <c r="V95" s="4">
        <f t="shared" si="13"/>
        <v>1753458</v>
      </c>
      <c r="W95" s="5">
        <f>+M95-V95</f>
        <v>4246542</v>
      </c>
      <c r="X95" s="5"/>
      <c r="Y95" s="62"/>
      <c r="Z95" s="5">
        <f t="shared" si="24"/>
        <v>4246542</v>
      </c>
      <c r="AA95" s="8"/>
    </row>
    <row r="96" spans="1:27" ht="24.95" customHeight="1" x14ac:dyDescent="0.25">
      <c r="A96" s="63"/>
      <c r="B96" s="2">
        <v>45</v>
      </c>
      <c r="C96" s="1" t="s">
        <v>128</v>
      </c>
      <c r="D96" s="2"/>
      <c r="E96" s="4">
        <v>1600000</v>
      </c>
      <c r="F96" s="3">
        <v>30</v>
      </c>
      <c r="G96" s="4">
        <f>E96/30*F96</f>
        <v>1600000</v>
      </c>
      <c r="H96" s="4"/>
      <c r="I96" s="4"/>
      <c r="J96" s="4"/>
      <c r="K96" s="4"/>
      <c r="L96" s="4">
        <f>+E96-G96</f>
        <v>0</v>
      </c>
      <c r="M96" s="4">
        <f t="shared" si="18"/>
        <v>1600000</v>
      </c>
      <c r="N96" s="4">
        <f>+E96*4%</f>
        <v>64000</v>
      </c>
      <c r="O96" s="4">
        <f>+E96*4%</f>
        <v>64000</v>
      </c>
      <c r="P96" s="4"/>
      <c r="Q96" s="4"/>
      <c r="R96" s="4"/>
      <c r="S96" s="4"/>
      <c r="T96" s="4"/>
      <c r="U96" s="4"/>
      <c r="V96" s="4">
        <f t="shared" si="13"/>
        <v>128000</v>
      </c>
      <c r="W96" s="5">
        <f>+M96-V96</f>
        <v>1472000</v>
      </c>
      <c r="X96" s="5"/>
      <c r="Y96" s="62"/>
      <c r="Z96" s="5">
        <f t="shared" si="24"/>
        <v>1472000</v>
      </c>
    </row>
    <row r="97" spans="1:27" ht="24.95" customHeight="1" x14ac:dyDescent="0.25">
      <c r="A97" s="63"/>
      <c r="B97" s="2">
        <v>46</v>
      </c>
      <c r="C97" s="1" t="s">
        <v>129</v>
      </c>
      <c r="D97" s="2" t="s">
        <v>30</v>
      </c>
      <c r="E97" s="4">
        <v>2500000</v>
      </c>
      <c r="F97" s="3">
        <v>30</v>
      </c>
      <c r="G97" s="4">
        <f>+E97-L97</f>
        <v>1916667</v>
      </c>
      <c r="H97" s="4"/>
      <c r="I97" s="4"/>
      <c r="J97" s="4"/>
      <c r="K97" s="4"/>
      <c r="L97" s="4">
        <v>583333</v>
      </c>
      <c r="M97" s="4">
        <f t="shared" si="18"/>
        <v>2500000</v>
      </c>
      <c r="N97" s="4">
        <f>+E97*0.04</f>
        <v>100000</v>
      </c>
      <c r="O97" s="4">
        <f>+E97*0.04</f>
        <v>100000</v>
      </c>
      <c r="P97" s="4"/>
      <c r="Q97" s="4"/>
      <c r="R97" s="4">
        <v>0</v>
      </c>
      <c r="S97" s="4"/>
      <c r="T97" s="4"/>
      <c r="U97" s="4"/>
      <c r="V97" s="4">
        <f t="shared" si="13"/>
        <v>200000</v>
      </c>
      <c r="W97" s="5">
        <f>+M97-V97</f>
        <v>2300000</v>
      </c>
      <c r="X97" s="5"/>
      <c r="Y97" s="62"/>
      <c r="Z97" s="5">
        <f t="shared" si="24"/>
        <v>2300000</v>
      </c>
    </row>
    <row r="98" spans="1:27" ht="24.95" customHeight="1" x14ac:dyDescent="0.25">
      <c r="A98" s="63"/>
      <c r="B98" s="2">
        <v>47</v>
      </c>
      <c r="C98" s="9" t="s">
        <v>130</v>
      </c>
      <c r="D98" s="8" t="s">
        <v>30</v>
      </c>
      <c r="E98" s="4">
        <v>3000000</v>
      </c>
      <c r="F98" s="3">
        <v>30</v>
      </c>
      <c r="G98" s="4">
        <f>+E98-L98</f>
        <v>3000000</v>
      </c>
      <c r="H98" s="4"/>
      <c r="I98" s="4"/>
      <c r="J98" s="4">
        <v>270000</v>
      </c>
      <c r="K98" s="4"/>
      <c r="L98" s="4"/>
      <c r="M98" s="4">
        <f t="shared" si="18"/>
        <v>3270000</v>
      </c>
      <c r="N98" s="4">
        <f>+E98*0.04</f>
        <v>120000</v>
      </c>
      <c r="O98" s="4">
        <f>+E98*0.04</f>
        <v>120000</v>
      </c>
      <c r="P98" s="4"/>
      <c r="Q98" s="4"/>
      <c r="R98" s="4">
        <v>0</v>
      </c>
      <c r="S98" s="4"/>
      <c r="T98" s="4"/>
      <c r="U98" s="4">
        <v>514771</v>
      </c>
      <c r="V98" s="4">
        <f t="shared" si="13"/>
        <v>754771</v>
      </c>
      <c r="W98" s="5">
        <f>M98-V98</f>
        <v>2515229</v>
      </c>
      <c r="X98" s="5"/>
      <c r="Y98" s="62"/>
      <c r="Z98" s="5">
        <f t="shared" si="24"/>
        <v>2515229</v>
      </c>
    </row>
    <row r="99" spans="1:27" ht="24.95" customHeight="1" x14ac:dyDescent="0.25">
      <c r="A99" s="63"/>
      <c r="B99" s="2">
        <v>48</v>
      </c>
      <c r="C99" s="9" t="s">
        <v>131</v>
      </c>
      <c r="D99" s="8"/>
      <c r="E99" s="4">
        <v>2200000</v>
      </c>
      <c r="F99" s="3">
        <v>29</v>
      </c>
      <c r="G99" s="4">
        <f>+E99/30*F99</f>
        <v>2126666.6666666665</v>
      </c>
      <c r="H99" s="4"/>
      <c r="I99" s="4"/>
      <c r="J99" s="4"/>
      <c r="K99" s="4"/>
      <c r="L99" s="4"/>
      <c r="M99" s="4">
        <f t="shared" si="18"/>
        <v>2126666.6666666665</v>
      </c>
      <c r="N99" s="4">
        <f>+M99*0.04</f>
        <v>85066.666666666657</v>
      </c>
      <c r="O99" s="4">
        <f>+M99*0.04</f>
        <v>85066.666666666657</v>
      </c>
      <c r="P99" s="4"/>
      <c r="Q99" s="4"/>
      <c r="R99" s="4">
        <v>0</v>
      </c>
      <c r="S99" s="4"/>
      <c r="T99" s="4"/>
      <c r="U99" s="4"/>
      <c r="V99" s="4">
        <f t="shared" si="13"/>
        <v>170133.33333333331</v>
      </c>
      <c r="W99" s="5">
        <f>M99-V99</f>
        <v>1956533.3333333333</v>
      </c>
      <c r="X99" s="5"/>
      <c r="Y99" s="62"/>
      <c r="Z99" s="5">
        <f t="shared" si="24"/>
        <v>1956533.3333333333</v>
      </c>
      <c r="AA99" s="60" t="s">
        <v>66</v>
      </c>
    </row>
    <row r="100" spans="1:27" ht="24.95" customHeight="1" x14ac:dyDescent="0.25">
      <c r="A100" s="63"/>
      <c r="B100" s="2">
        <v>49</v>
      </c>
      <c r="C100" s="1" t="s">
        <v>132</v>
      </c>
      <c r="D100" s="2" t="s">
        <v>30</v>
      </c>
      <c r="E100" s="4">
        <v>3750000</v>
      </c>
      <c r="F100" s="3">
        <v>24</v>
      </c>
      <c r="G100" s="4">
        <f>+E100/30*F100</f>
        <v>3000000</v>
      </c>
      <c r="H100" s="4"/>
      <c r="I100" s="4">
        <v>500022</v>
      </c>
      <c r="J100" s="4"/>
      <c r="K100" s="4"/>
      <c r="L100" s="4"/>
      <c r="M100" s="4">
        <f t="shared" si="18"/>
        <v>3500022</v>
      </c>
      <c r="N100" s="4">
        <f t="shared" ref="N100:N105" si="25">+E100*4%</f>
        <v>150000</v>
      </c>
      <c r="O100" s="4">
        <f>+E100*5%</f>
        <v>187500</v>
      </c>
      <c r="P100" s="4"/>
      <c r="Q100" s="4"/>
      <c r="R100" s="4"/>
      <c r="S100" s="4"/>
      <c r="T100" s="4"/>
      <c r="U100" s="4"/>
      <c r="V100" s="4">
        <f t="shared" si="13"/>
        <v>337500</v>
      </c>
      <c r="W100" s="5">
        <f>+M100-V100</f>
        <v>3162522</v>
      </c>
      <c r="X100" s="5"/>
      <c r="Y100" s="62"/>
      <c r="Z100" s="5">
        <f t="shared" si="24"/>
        <v>3162522</v>
      </c>
    </row>
    <row r="101" spans="1:27" ht="24.95" customHeight="1" x14ac:dyDescent="0.25">
      <c r="A101" s="63"/>
      <c r="B101" s="2">
        <v>50</v>
      </c>
      <c r="C101" s="1" t="s">
        <v>133</v>
      </c>
      <c r="D101" s="2" t="s">
        <v>30</v>
      </c>
      <c r="E101" s="4">
        <v>3700000</v>
      </c>
      <c r="F101" s="3">
        <v>30</v>
      </c>
      <c r="G101" s="4">
        <f>E101/30*F101</f>
        <v>3700000</v>
      </c>
      <c r="H101" s="4"/>
      <c r="I101" s="4"/>
      <c r="J101" s="4">
        <v>650000</v>
      </c>
      <c r="K101" s="4"/>
      <c r="L101" s="4">
        <f>+E101-G101</f>
        <v>0</v>
      </c>
      <c r="M101" s="4">
        <f t="shared" si="18"/>
        <v>4350000</v>
      </c>
      <c r="N101" s="4">
        <f t="shared" si="25"/>
        <v>148000</v>
      </c>
      <c r="O101" s="4">
        <f>+E101*5%</f>
        <v>185000</v>
      </c>
      <c r="P101" s="4"/>
      <c r="Q101" s="4"/>
      <c r="R101" s="4"/>
      <c r="S101" s="4"/>
      <c r="T101" s="4"/>
      <c r="U101" s="4"/>
      <c r="V101" s="4">
        <f t="shared" si="13"/>
        <v>333000</v>
      </c>
      <c r="W101" s="5">
        <f>+M101-V101</f>
        <v>4017000</v>
      </c>
      <c r="X101" s="5"/>
      <c r="Y101" s="62"/>
      <c r="Z101" s="5">
        <f t="shared" si="24"/>
        <v>4017000</v>
      </c>
    </row>
    <row r="102" spans="1:27" ht="24.95" customHeight="1" x14ac:dyDescent="0.25">
      <c r="A102" s="63"/>
      <c r="B102" s="2">
        <v>51</v>
      </c>
      <c r="C102" s="1" t="s">
        <v>134</v>
      </c>
      <c r="D102" s="2" t="s">
        <v>30</v>
      </c>
      <c r="E102" s="4">
        <v>3500000</v>
      </c>
      <c r="F102" s="3">
        <v>30</v>
      </c>
      <c r="G102" s="4">
        <f>+E102-L102</f>
        <v>2683333</v>
      </c>
      <c r="H102" s="4"/>
      <c r="I102" s="4"/>
      <c r="J102" s="4" t="s">
        <v>1</v>
      </c>
      <c r="K102" s="4"/>
      <c r="L102" s="4">
        <v>816667</v>
      </c>
      <c r="M102" s="4">
        <f t="shared" si="18"/>
        <v>3500000</v>
      </c>
      <c r="N102" s="4">
        <f t="shared" si="25"/>
        <v>140000</v>
      </c>
      <c r="O102" s="4">
        <f>+E102*5%</f>
        <v>175000</v>
      </c>
      <c r="P102" s="4"/>
      <c r="Q102" s="4"/>
      <c r="R102" s="4"/>
      <c r="S102" s="4"/>
      <c r="T102" s="4"/>
      <c r="U102" s="4"/>
      <c r="V102" s="4">
        <f t="shared" si="13"/>
        <v>315000</v>
      </c>
      <c r="W102" s="5">
        <f>+M102-V102</f>
        <v>3185000</v>
      </c>
      <c r="X102" s="5"/>
      <c r="Y102" s="62"/>
      <c r="Z102" s="5">
        <f t="shared" si="24"/>
        <v>3185000</v>
      </c>
    </row>
    <row r="103" spans="1:27" ht="24.95" customHeight="1" x14ac:dyDescent="0.25">
      <c r="A103" s="63"/>
      <c r="B103" s="2">
        <v>52</v>
      </c>
      <c r="C103" s="1" t="s">
        <v>135</v>
      </c>
      <c r="D103" s="2" t="s">
        <v>43</v>
      </c>
      <c r="E103" s="4">
        <v>2000000</v>
      </c>
      <c r="F103" s="3">
        <v>30</v>
      </c>
      <c r="G103" s="4">
        <f>+E103-L103</f>
        <v>1533333</v>
      </c>
      <c r="H103" s="4"/>
      <c r="I103" s="4"/>
      <c r="J103" s="4"/>
      <c r="K103" s="4"/>
      <c r="L103" s="4">
        <v>466667</v>
      </c>
      <c r="M103" s="4">
        <f t="shared" si="18"/>
        <v>2000000</v>
      </c>
      <c r="N103" s="4">
        <f t="shared" si="25"/>
        <v>80000</v>
      </c>
      <c r="O103" s="4">
        <f>+E103*4%</f>
        <v>80000</v>
      </c>
      <c r="P103" s="4"/>
      <c r="Q103" s="4"/>
      <c r="R103" s="7"/>
      <c r="S103" s="4"/>
      <c r="T103" s="4"/>
      <c r="U103" s="4"/>
      <c r="V103" s="4">
        <f t="shared" si="13"/>
        <v>160000</v>
      </c>
      <c r="W103" s="5">
        <f>+M103-V103</f>
        <v>1840000</v>
      </c>
      <c r="X103" s="5"/>
      <c r="Y103" s="62"/>
      <c r="Z103" s="5">
        <f t="shared" si="24"/>
        <v>1840000</v>
      </c>
    </row>
    <row r="104" spans="1:27" ht="24.95" customHeight="1" x14ac:dyDescent="0.25">
      <c r="A104" s="63"/>
      <c r="B104" s="2">
        <v>53</v>
      </c>
      <c r="C104" s="9" t="s">
        <v>136</v>
      </c>
      <c r="D104" s="8" t="s">
        <v>30</v>
      </c>
      <c r="E104" s="4">
        <v>1600000</v>
      </c>
      <c r="F104" s="3">
        <v>30</v>
      </c>
      <c r="G104" s="4">
        <f>+E104-L104</f>
        <v>1226667</v>
      </c>
      <c r="H104" s="4"/>
      <c r="I104" s="4"/>
      <c r="J104" s="4"/>
      <c r="K104" s="4"/>
      <c r="L104" s="4">
        <v>373333</v>
      </c>
      <c r="M104" s="4">
        <f t="shared" si="18"/>
        <v>1600000</v>
      </c>
      <c r="N104" s="4">
        <f t="shared" si="25"/>
        <v>64000</v>
      </c>
      <c r="O104" s="4">
        <v>64000</v>
      </c>
      <c r="P104" s="4"/>
      <c r="Q104" s="4"/>
      <c r="R104" s="4">
        <v>0</v>
      </c>
      <c r="S104" s="4"/>
      <c r="T104" s="4">
        <v>175000</v>
      </c>
      <c r="U104" s="4"/>
      <c r="V104" s="4">
        <f t="shared" si="13"/>
        <v>303000</v>
      </c>
      <c r="W104" s="5">
        <f>M104-V104</f>
        <v>1297000</v>
      </c>
      <c r="X104" s="5"/>
      <c r="Y104" s="62"/>
      <c r="Z104" s="5">
        <f t="shared" si="24"/>
        <v>1297000</v>
      </c>
    </row>
    <row r="105" spans="1:27" ht="24.95" customHeight="1" x14ac:dyDescent="0.25">
      <c r="A105" s="63"/>
      <c r="B105" s="2">
        <v>54</v>
      </c>
      <c r="C105" s="1" t="s">
        <v>137</v>
      </c>
      <c r="D105" s="2" t="s">
        <v>30</v>
      </c>
      <c r="E105" s="4">
        <v>2300000</v>
      </c>
      <c r="F105" s="3">
        <v>30</v>
      </c>
      <c r="G105" s="4">
        <f>+E105-L105</f>
        <v>1763333</v>
      </c>
      <c r="H105" s="4"/>
      <c r="I105" s="4"/>
      <c r="J105" s="4"/>
      <c r="K105" s="4"/>
      <c r="L105" s="4">
        <v>536667</v>
      </c>
      <c r="M105" s="4">
        <f t="shared" si="18"/>
        <v>2300000</v>
      </c>
      <c r="N105" s="4">
        <f t="shared" si="25"/>
        <v>92000</v>
      </c>
      <c r="O105" s="4">
        <f>+E105*4%</f>
        <v>92000</v>
      </c>
      <c r="P105" s="4"/>
      <c r="Q105" s="4"/>
      <c r="R105" s="4">
        <v>0</v>
      </c>
      <c r="S105" s="4"/>
      <c r="T105" s="4"/>
      <c r="U105" s="4"/>
      <c r="V105" s="4">
        <f t="shared" si="13"/>
        <v>184000</v>
      </c>
      <c r="W105" s="5">
        <f t="shared" ref="W105:W110" si="26">+M105-V105</f>
        <v>2116000</v>
      </c>
      <c r="X105" s="5"/>
      <c r="Y105" s="62"/>
      <c r="Z105" s="5">
        <f t="shared" si="24"/>
        <v>2116000</v>
      </c>
    </row>
    <row r="106" spans="1:27" ht="24.95" customHeight="1" x14ac:dyDescent="0.25">
      <c r="A106" s="63"/>
      <c r="B106" s="2">
        <v>55</v>
      </c>
      <c r="C106" s="1" t="s">
        <v>138</v>
      </c>
      <c r="D106" s="2"/>
      <c r="E106" s="4">
        <v>781242</v>
      </c>
      <c r="F106" s="3">
        <v>30</v>
      </c>
      <c r="G106" s="4">
        <f>E106/30*F106</f>
        <v>781242</v>
      </c>
      <c r="H106" s="4"/>
      <c r="I106" s="4"/>
      <c r="J106" s="4"/>
      <c r="K106" s="4"/>
      <c r="L106" s="4"/>
      <c r="M106" s="4">
        <f t="shared" si="18"/>
        <v>781242</v>
      </c>
      <c r="N106" s="4"/>
      <c r="O106" s="4"/>
      <c r="P106" s="4"/>
      <c r="Q106" s="4"/>
      <c r="R106" s="4"/>
      <c r="S106" s="4"/>
      <c r="T106" s="4"/>
      <c r="U106" s="4"/>
      <c r="V106" s="4">
        <f t="shared" si="13"/>
        <v>0</v>
      </c>
      <c r="W106" s="5">
        <f t="shared" si="26"/>
        <v>781242</v>
      </c>
      <c r="X106" s="5"/>
      <c r="Y106" s="62"/>
      <c r="Z106" s="5">
        <f t="shared" si="24"/>
        <v>781242</v>
      </c>
    </row>
    <row r="107" spans="1:27" ht="24.95" customHeight="1" x14ac:dyDescent="0.25">
      <c r="A107" s="63"/>
      <c r="B107" s="2">
        <v>56</v>
      </c>
      <c r="C107" s="1" t="s">
        <v>139</v>
      </c>
      <c r="D107" s="2" t="s">
        <v>30</v>
      </c>
      <c r="E107" s="4">
        <v>2700000</v>
      </c>
      <c r="F107" s="3">
        <v>30</v>
      </c>
      <c r="G107" s="4">
        <f>+E107-L107</f>
        <v>2070000</v>
      </c>
      <c r="H107" s="4"/>
      <c r="I107" s="4"/>
      <c r="J107" s="4"/>
      <c r="K107" s="4"/>
      <c r="L107" s="4">
        <v>630000</v>
      </c>
      <c r="M107" s="4">
        <f t="shared" si="18"/>
        <v>2700000</v>
      </c>
      <c r="N107" s="4">
        <f>+E107*0.04</f>
        <v>108000</v>
      </c>
      <c r="O107" s="4">
        <v>108000</v>
      </c>
      <c r="P107" s="4"/>
      <c r="Q107" s="4"/>
      <c r="R107" s="4"/>
      <c r="S107" s="4"/>
      <c r="T107" s="4"/>
      <c r="U107" s="4"/>
      <c r="V107" s="4">
        <f t="shared" si="13"/>
        <v>216000</v>
      </c>
      <c r="W107" s="5">
        <f t="shared" si="26"/>
        <v>2484000</v>
      </c>
      <c r="X107" s="5"/>
      <c r="Y107" s="62"/>
      <c r="Z107" s="5">
        <f t="shared" si="24"/>
        <v>2484000</v>
      </c>
    </row>
    <row r="108" spans="1:27" ht="24.95" customHeight="1" x14ac:dyDescent="0.25">
      <c r="A108" s="63"/>
      <c r="B108" s="2">
        <v>57</v>
      </c>
      <c r="C108" s="1" t="s">
        <v>140</v>
      </c>
      <c r="D108" s="2"/>
      <c r="E108" s="4">
        <v>2000000</v>
      </c>
      <c r="F108" s="3">
        <v>30</v>
      </c>
      <c r="G108" s="4">
        <f>E108/30*F108</f>
        <v>2000000.0000000002</v>
      </c>
      <c r="H108" s="4"/>
      <c r="I108" s="4"/>
      <c r="J108" s="4"/>
      <c r="K108" s="4"/>
      <c r="L108" s="4"/>
      <c r="M108" s="4">
        <f t="shared" si="18"/>
        <v>2000000.0000000002</v>
      </c>
      <c r="N108" s="4">
        <f>+E108*4%</f>
        <v>80000</v>
      </c>
      <c r="O108" s="4">
        <f>+E108*4%</f>
        <v>80000</v>
      </c>
      <c r="P108" s="4"/>
      <c r="Q108" s="4"/>
      <c r="R108" s="4">
        <v>0</v>
      </c>
      <c r="S108" s="4"/>
      <c r="T108" s="4"/>
      <c r="U108" s="4"/>
      <c r="V108" s="4">
        <f t="shared" si="13"/>
        <v>160000</v>
      </c>
      <c r="W108" s="5">
        <f t="shared" si="26"/>
        <v>1840000.0000000002</v>
      </c>
      <c r="X108" s="5"/>
      <c r="Y108" s="62"/>
      <c r="Z108" s="5">
        <f t="shared" si="24"/>
        <v>1840000.0000000002</v>
      </c>
    </row>
    <row r="109" spans="1:27" ht="24.95" customHeight="1" x14ac:dyDescent="0.25">
      <c r="A109" s="63"/>
      <c r="B109" s="2">
        <v>58</v>
      </c>
      <c r="C109" s="1" t="s">
        <v>141</v>
      </c>
      <c r="D109" s="2"/>
      <c r="E109" s="4">
        <v>781242</v>
      </c>
      <c r="F109" s="3">
        <v>30</v>
      </c>
      <c r="G109" s="4">
        <f>+E109</f>
        <v>781242</v>
      </c>
      <c r="H109" s="4"/>
      <c r="I109" s="4"/>
      <c r="J109" s="4"/>
      <c r="K109" s="11"/>
      <c r="L109" s="11"/>
      <c r="M109" s="4">
        <f t="shared" si="18"/>
        <v>781242</v>
      </c>
      <c r="N109" s="4"/>
      <c r="O109" s="4"/>
      <c r="P109" s="4"/>
      <c r="Q109" s="4"/>
      <c r="R109" s="4"/>
      <c r="S109" s="4"/>
      <c r="T109" s="4"/>
      <c r="U109" s="4"/>
      <c r="V109" s="4">
        <f t="shared" si="13"/>
        <v>0</v>
      </c>
      <c r="W109" s="5">
        <f t="shared" si="26"/>
        <v>781242</v>
      </c>
      <c r="X109" s="5"/>
      <c r="Y109" s="62"/>
      <c r="Z109" s="5">
        <f t="shared" si="24"/>
        <v>781242</v>
      </c>
    </row>
    <row r="110" spans="1:27" x14ac:dyDescent="0.25">
      <c r="A110" s="63"/>
      <c r="B110" s="2">
        <v>59</v>
      </c>
      <c r="C110" s="1" t="s">
        <v>142</v>
      </c>
      <c r="D110" s="2"/>
      <c r="E110" s="4">
        <v>1200000</v>
      </c>
      <c r="F110" s="3">
        <v>30</v>
      </c>
      <c r="G110" s="4">
        <f>+E110-L110</f>
        <v>920000</v>
      </c>
      <c r="H110" s="4">
        <v>88211</v>
      </c>
      <c r="I110" s="4"/>
      <c r="J110" s="4"/>
      <c r="K110" s="4"/>
      <c r="L110" s="4">
        <v>280000</v>
      </c>
      <c r="M110" s="4">
        <f t="shared" si="18"/>
        <v>1288211</v>
      </c>
      <c r="N110" s="4">
        <f>+E110*4%</f>
        <v>48000</v>
      </c>
      <c r="O110" s="4">
        <f>+E110*4%</f>
        <v>48000</v>
      </c>
      <c r="P110" s="4"/>
      <c r="Q110" s="4"/>
      <c r="R110" s="4">
        <v>0</v>
      </c>
      <c r="S110" s="4"/>
      <c r="T110" s="4"/>
      <c r="U110" s="4"/>
      <c r="V110" s="4">
        <f t="shared" si="13"/>
        <v>96000</v>
      </c>
      <c r="W110" s="5">
        <f t="shared" si="26"/>
        <v>1192211</v>
      </c>
      <c r="X110" s="5"/>
      <c r="Y110" s="62"/>
      <c r="Z110" s="5">
        <f t="shared" si="24"/>
        <v>1192211</v>
      </c>
    </row>
    <row r="111" spans="1:27" x14ac:dyDescent="0.25">
      <c r="E111" s="12">
        <f>SUM(E4:E110)</f>
        <v>403543634</v>
      </c>
      <c r="F111" s="12"/>
      <c r="G111" s="12">
        <f>SUM(G4:G110)</f>
        <v>354772941</v>
      </c>
      <c r="H111" s="12">
        <f t="shared" ref="H111:W111" si="27">SUM(H4:H110)</f>
        <v>940917.5</v>
      </c>
      <c r="I111" s="12">
        <f t="shared" si="27"/>
        <v>1677404.3333333335</v>
      </c>
      <c r="J111" s="12">
        <f t="shared" si="27"/>
        <v>14853987</v>
      </c>
      <c r="K111" s="12">
        <f t="shared" si="27"/>
        <v>0</v>
      </c>
      <c r="L111" s="12">
        <f t="shared" si="27"/>
        <v>35190693</v>
      </c>
      <c r="M111" s="12">
        <f t="shared" si="27"/>
        <v>407435942.83333331</v>
      </c>
      <c r="N111" s="12">
        <f t="shared" si="27"/>
        <v>15644021.159999996</v>
      </c>
      <c r="O111" s="12">
        <f t="shared" si="27"/>
        <v>18827677.683333334</v>
      </c>
      <c r="P111" s="12">
        <f t="shared" si="27"/>
        <v>102400</v>
      </c>
      <c r="Q111" s="12">
        <f t="shared" si="27"/>
        <v>0</v>
      </c>
      <c r="R111" s="12">
        <f t="shared" si="27"/>
        <v>4927970</v>
      </c>
      <c r="S111" s="12">
        <f t="shared" si="27"/>
        <v>9440000</v>
      </c>
      <c r="T111" s="12">
        <f t="shared" si="27"/>
        <v>519614</v>
      </c>
      <c r="U111" s="12">
        <f t="shared" si="27"/>
        <v>16070757.5</v>
      </c>
      <c r="V111" s="12">
        <f t="shared" si="27"/>
        <v>65532440.343333334</v>
      </c>
      <c r="W111" s="12">
        <f t="shared" si="27"/>
        <v>341903502.48999989</v>
      </c>
      <c r="X111" s="65"/>
      <c r="Z111" s="65"/>
    </row>
    <row r="112" spans="1:27" x14ac:dyDescent="0.25">
      <c r="D112" s="66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64"/>
      <c r="X112" s="66"/>
      <c r="Y112" s="68"/>
      <c r="Z112" s="64"/>
    </row>
    <row r="113" spans="2:30" x14ac:dyDescent="0.25">
      <c r="D113" s="66"/>
      <c r="E113" s="12"/>
      <c r="F113" s="12"/>
      <c r="G113" s="12"/>
      <c r="H113" s="12"/>
      <c r="I113" s="12"/>
      <c r="J113" s="12"/>
      <c r="K113" s="12">
        <f>14869565-180000</f>
        <v>14689565</v>
      </c>
      <c r="L113" s="12"/>
      <c r="M113" s="12"/>
      <c r="N113" s="12"/>
      <c r="O113" s="12"/>
      <c r="P113" s="12"/>
      <c r="Q113" s="12"/>
      <c r="R113" s="12"/>
      <c r="T113" s="12"/>
      <c r="U113" s="12"/>
      <c r="V113" s="12"/>
      <c r="W113" s="64"/>
      <c r="X113" s="66"/>
      <c r="Y113" s="68"/>
      <c r="Z113" s="64"/>
    </row>
    <row r="114" spans="2:30" x14ac:dyDescent="0.25">
      <c r="C114" s="70"/>
      <c r="D114" s="66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T114" s="12"/>
      <c r="U114" s="12"/>
      <c r="V114" s="12"/>
      <c r="W114" s="66"/>
      <c r="X114" s="66"/>
      <c r="Y114" s="68"/>
      <c r="Z114" s="64"/>
    </row>
    <row r="115" spans="2:30" x14ac:dyDescent="0.25">
      <c r="C115" s="70"/>
      <c r="D115" s="66"/>
      <c r="E115" s="12"/>
      <c r="F115" s="12"/>
      <c r="G115" s="12"/>
      <c r="H115" s="12"/>
      <c r="I115" s="12"/>
      <c r="J115" s="12">
        <v>13696400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66"/>
      <c r="X115" s="66"/>
      <c r="Y115" s="68"/>
      <c r="Z115" s="66"/>
      <c r="AA115" s="66"/>
      <c r="AB115" s="66"/>
      <c r="AC115" s="66"/>
      <c r="AD115" s="66"/>
    </row>
    <row r="116" spans="2:30" x14ac:dyDescent="0.25">
      <c r="B116" s="66"/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12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66"/>
      <c r="AB116" s="66"/>
      <c r="AC116" s="66"/>
      <c r="AD116" s="66"/>
    </row>
    <row r="117" spans="2:30" x14ac:dyDescent="0.25">
      <c r="B117" s="66"/>
      <c r="C117" s="70"/>
      <c r="D117" s="6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66"/>
      <c r="X117" s="66"/>
      <c r="Y117" s="68"/>
      <c r="Z117" s="66"/>
      <c r="AA117" s="66"/>
      <c r="AB117" s="66"/>
      <c r="AC117" s="66"/>
      <c r="AD117" s="66"/>
    </row>
    <row r="118" spans="2:30" x14ac:dyDescent="0.25">
      <c r="B118" s="66"/>
      <c r="C118" s="70"/>
      <c r="D118" s="66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66"/>
      <c r="X118" s="66"/>
      <c r="Y118" s="68"/>
      <c r="Z118" s="66"/>
      <c r="AA118" s="66"/>
      <c r="AB118" s="66"/>
      <c r="AC118" s="66"/>
      <c r="AD118" s="66"/>
    </row>
    <row r="119" spans="2:30" x14ac:dyDescent="0.25">
      <c r="B119" s="66"/>
      <c r="C119" s="70"/>
      <c r="D119" s="66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66"/>
      <c r="X119" s="66"/>
      <c r="Y119" s="68"/>
      <c r="Z119" s="66"/>
      <c r="AA119" s="66"/>
      <c r="AB119" s="66"/>
      <c r="AC119" s="66"/>
      <c r="AD119" s="66"/>
    </row>
    <row r="120" spans="2:30" x14ac:dyDescent="0.25">
      <c r="B120" s="66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3"/>
      <c r="Y120" s="74"/>
      <c r="Z120" s="73"/>
      <c r="AA120" s="66"/>
      <c r="AB120" s="66"/>
      <c r="AC120" s="66"/>
      <c r="AD120" s="66"/>
    </row>
    <row r="121" spans="2:30" x14ac:dyDescent="0.25">
      <c r="B121" s="75"/>
      <c r="C121" s="70"/>
      <c r="D121" s="73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3"/>
      <c r="X121" s="73"/>
      <c r="Y121" s="74"/>
      <c r="Z121" s="73"/>
      <c r="AA121" s="66"/>
      <c r="AB121" s="66"/>
      <c r="AC121" s="66"/>
      <c r="AD121" s="66"/>
    </row>
    <row r="122" spans="2:30" x14ac:dyDescent="0.25">
      <c r="B122" s="66"/>
      <c r="C122" s="70"/>
      <c r="D122" s="66"/>
      <c r="E122" s="12"/>
      <c r="F122" s="12"/>
      <c r="G122" s="77"/>
      <c r="H122" s="12"/>
      <c r="I122" s="12"/>
      <c r="J122" s="12"/>
      <c r="K122" s="12"/>
      <c r="L122" s="12"/>
      <c r="M122" s="12"/>
      <c r="N122" s="12"/>
      <c r="O122" s="12"/>
      <c r="P122" s="78"/>
      <c r="Q122" s="78"/>
      <c r="R122" s="78"/>
      <c r="S122" s="78"/>
      <c r="T122" s="78"/>
      <c r="U122" s="12"/>
      <c r="V122" s="12"/>
      <c r="W122" s="66"/>
      <c r="X122" s="66"/>
      <c r="Y122" s="68"/>
      <c r="Z122" s="66"/>
      <c r="AA122" s="66"/>
      <c r="AB122" s="66"/>
      <c r="AC122" s="66"/>
      <c r="AD122" s="66"/>
    </row>
    <row r="123" spans="2:30" x14ac:dyDescent="0.25">
      <c r="B123" s="66"/>
      <c r="C123" s="79"/>
      <c r="D123" s="73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3"/>
      <c r="X123" s="73"/>
      <c r="Y123" s="74"/>
      <c r="Z123" s="73"/>
      <c r="AA123" s="66"/>
      <c r="AB123" s="66"/>
      <c r="AC123" s="66"/>
      <c r="AD123" s="66"/>
    </row>
    <row r="124" spans="2:30" x14ac:dyDescent="0.25">
      <c r="B124" s="73"/>
      <c r="C124" s="79"/>
      <c r="D124" s="73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3"/>
      <c r="X124" s="73"/>
      <c r="Y124" s="74"/>
      <c r="Z124" s="73"/>
      <c r="AA124" s="66"/>
      <c r="AB124" s="66"/>
      <c r="AC124" s="66"/>
      <c r="AD124" s="66"/>
    </row>
    <row r="125" spans="2:30" x14ac:dyDescent="0.25">
      <c r="B125" s="66"/>
      <c r="C125" s="79"/>
      <c r="D125" s="7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64"/>
      <c r="X125" s="64"/>
      <c r="Y125" s="68"/>
      <c r="Z125" s="64"/>
      <c r="AA125" s="66"/>
      <c r="AB125" s="66"/>
      <c r="AC125" s="66"/>
      <c r="AD125" s="66"/>
    </row>
    <row r="126" spans="2:30" x14ac:dyDescent="0.25">
      <c r="C126" s="79"/>
      <c r="D126" s="7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64"/>
      <c r="X126" s="64"/>
      <c r="Y126" s="68"/>
      <c r="Z126" s="64"/>
      <c r="AA126" s="66"/>
      <c r="AB126" s="66"/>
      <c r="AC126" s="66"/>
      <c r="AD126" s="66"/>
    </row>
    <row r="127" spans="2:30" x14ac:dyDescent="0.25">
      <c r="C127" s="79"/>
      <c r="D127" s="7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64"/>
      <c r="X127" s="64"/>
      <c r="Y127" s="68"/>
      <c r="Z127" s="64"/>
      <c r="AA127" s="66"/>
      <c r="AB127" s="66"/>
      <c r="AC127" s="66"/>
      <c r="AD127" s="66"/>
    </row>
    <row r="128" spans="2:30" x14ac:dyDescent="0.25">
      <c r="C128" s="79"/>
      <c r="D128" s="7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64"/>
      <c r="X128" s="64"/>
      <c r="Y128" s="68"/>
      <c r="Z128" s="64"/>
      <c r="AA128" s="66"/>
      <c r="AB128" s="66"/>
      <c r="AC128" s="66"/>
      <c r="AD128" s="66"/>
    </row>
    <row r="129" spans="3:30" x14ac:dyDescent="0.25">
      <c r="C129" s="79"/>
      <c r="D129" s="7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64"/>
      <c r="X129" s="64"/>
      <c r="Y129" s="68"/>
      <c r="Z129" s="64"/>
      <c r="AA129" s="66"/>
      <c r="AB129" s="66"/>
      <c r="AC129" s="66"/>
      <c r="AD129" s="66"/>
    </row>
    <row r="130" spans="3:30" x14ac:dyDescent="0.25">
      <c r="C130" s="79"/>
      <c r="D130" s="7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64"/>
      <c r="X130" s="64"/>
      <c r="Y130" s="68"/>
      <c r="Z130" s="64"/>
      <c r="AA130" s="66"/>
      <c r="AB130" s="66"/>
      <c r="AC130" s="66"/>
      <c r="AD130" s="66"/>
    </row>
    <row r="131" spans="3:30" x14ac:dyDescent="0.25">
      <c r="C131" s="70"/>
      <c r="D131" s="6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64"/>
      <c r="X131" s="64"/>
      <c r="Y131" s="68"/>
      <c r="Z131" s="64"/>
      <c r="AA131" s="66"/>
      <c r="AB131" s="66"/>
      <c r="AC131" s="66"/>
      <c r="AD131" s="66"/>
    </row>
    <row r="132" spans="3:30" x14ac:dyDescent="0.25">
      <c r="C132" s="79"/>
      <c r="D132" s="66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64"/>
      <c r="X132" s="64"/>
      <c r="Y132" s="68"/>
      <c r="Z132" s="64"/>
      <c r="AA132" s="66"/>
      <c r="AB132" s="66"/>
      <c r="AC132" s="66"/>
      <c r="AD132" s="66"/>
    </row>
    <row r="133" spans="3:30" x14ac:dyDescent="0.25">
      <c r="C133" s="79"/>
      <c r="D133" s="66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64"/>
      <c r="X133" s="64"/>
      <c r="Y133" s="68"/>
      <c r="Z133" s="64"/>
      <c r="AA133" s="66"/>
      <c r="AB133" s="66"/>
      <c r="AC133" s="66"/>
      <c r="AD133" s="66"/>
    </row>
    <row r="134" spans="3:30" x14ac:dyDescent="0.25">
      <c r="C134" s="79"/>
      <c r="D134" s="66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64"/>
      <c r="X134" s="64"/>
      <c r="Y134" s="68"/>
      <c r="Z134" s="64"/>
      <c r="AA134" s="66"/>
      <c r="AB134" s="66"/>
      <c r="AC134" s="66"/>
      <c r="AD134" s="66"/>
    </row>
    <row r="135" spans="3:30" x14ac:dyDescent="0.25">
      <c r="C135" s="79"/>
      <c r="D135" s="66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64"/>
      <c r="X135" s="64"/>
      <c r="Y135" s="68"/>
      <c r="Z135" s="64"/>
      <c r="AA135" s="66"/>
      <c r="AB135" s="66"/>
      <c r="AC135" s="66"/>
      <c r="AD135" s="66"/>
    </row>
    <row r="136" spans="3:30" x14ac:dyDescent="0.25">
      <c r="C136" s="79"/>
      <c r="D136" s="66"/>
      <c r="E136" s="12"/>
      <c r="F136" s="12"/>
      <c r="G136" s="12"/>
      <c r="H136" s="12"/>
      <c r="I136" s="12"/>
      <c r="J136" s="12"/>
      <c r="K136" s="12"/>
      <c r="L136" s="12"/>
      <c r="M136" s="12">
        <f>737717*4</f>
        <v>2950868</v>
      </c>
      <c r="N136" s="12">
        <f>737717*2</f>
        <v>1475434</v>
      </c>
      <c r="O136" s="12"/>
      <c r="P136" s="12"/>
      <c r="Q136" s="12"/>
      <c r="R136" s="12"/>
      <c r="S136" s="12"/>
      <c r="T136" s="12"/>
      <c r="U136" s="12"/>
      <c r="V136" s="12"/>
      <c r="W136" s="64"/>
      <c r="X136" s="64"/>
      <c r="Y136" s="68"/>
      <c r="Z136" s="64"/>
      <c r="AA136" s="66"/>
      <c r="AB136" s="66"/>
      <c r="AC136" s="66"/>
      <c r="AD136" s="66"/>
    </row>
    <row r="137" spans="3:30" x14ac:dyDescent="0.25">
      <c r="C137" s="79"/>
      <c r="D137" s="6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64"/>
      <c r="X137" s="64"/>
      <c r="Y137" s="68"/>
      <c r="Z137" s="64"/>
      <c r="AA137" s="66"/>
      <c r="AB137" s="66"/>
      <c r="AC137" s="66"/>
      <c r="AD137" s="66"/>
    </row>
    <row r="138" spans="3:30" x14ac:dyDescent="0.25">
      <c r="C138" s="79"/>
      <c r="D138" s="6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64"/>
      <c r="X138" s="64"/>
      <c r="Y138" s="68"/>
      <c r="Z138" s="64"/>
      <c r="AA138" s="66"/>
      <c r="AB138" s="66"/>
      <c r="AC138" s="66"/>
      <c r="AD138" s="66"/>
    </row>
    <row r="139" spans="3:30" x14ac:dyDescent="0.25">
      <c r="C139" s="79"/>
      <c r="D139" s="6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64"/>
      <c r="X139" s="64"/>
      <c r="Y139" s="68"/>
      <c r="Z139" s="64"/>
      <c r="AA139" s="66"/>
      <c r="AB139" s="66"/>
      <c r="AC139" s="66"/>
      <c r="AD139" s="66"/>
    </row>
    <row r="140" spans="3:30" x14ac:dyDescent="0.25">
      <c r="C140" s="79"/>
      <c r="D140" s="6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64"/>
      <c r="X140" s="64"/>
      <c r="Y140" s="68"/>
      <c r="Z140" s="64"/>
      <c r="AA140" s="66"/>
      <c r="AB140" s="66"/>
      <c r="AC140" s="66"/>
      <c r="AD140" s="66"/>
    </row>
    <row r="141" spans="3:30" x14ac:dyDescent="0.25">
      <c r="C141" s="79"/>
      <c r="D141" s="66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64"/>
      <c r="X141" s="64"/>
      <c r="Y141" s="68"/>
      <c r="Z141" s="64"/>
      <c r="AA141" s="66"/>
      <c r="AB141" s="66"/>
      <c r="AC141" s="66"/>
      <c r="AD141" s="66"/>
    </row>
    <row r="142" spans="3:30" x14ac:dyDescent="0.25">
      <c r="C142" s="79"/>
      <c r="D142" s="6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64"/>
      <c r="X142" s="64"/>
      <c r="Y142" s="68"/>
      <c r="Z142" s="64"/>
      <c r="AA142" s="66"/>
      <c r="AB142" s="66"/>
      <c r="AC142" s="66"/>
      <c r="AD142" s="66"/>
    </row>
    <row r="143" spans="3:30" x14ac:dyDescent="0.25">
      <c r="C143" s="70"/>
      <c r="D143" s="66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66"/>
      <c r="X143" s="66"/>
      <c r="Y143" s="68"/>
      <c r="Z143" s="66"/>
      <c r="AA143" s="66"/>
      <c r="AB143" s="66"/>
      <c r="AC143" s="66"/>
      <c r="AD143" s="66"/>
    </row>
    <row r="144" spans="3:30" x14ac:dyDescent="0.25">
      <c r="C144" s="70"/>
      <c r="D144" s="66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66"/>
      <c r="U144" s="12"/>
      <c r="V144" s="12"/>
      <c r="W144" s="66"/>
      <c r="X144" s="66"/>
      <c r="Y144" s="68"/>
      <c r="Z144" s="66"/>
      <c r="AA144" s="66"/>
      <c r="AB144" s="66"/>
      <c r="AC144" s="66"/>
      <c r="AD144" s="66"/>
    </row>
    <row r="145" spans="2:30" x14ac:dyDescent="0.25">
      <c r="B145" s="66"/>
      <c r="C145" s="70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66"/>
      <c r="AB145" s="66"/>
      <c r="AC145" s="66"/>
      <c r="AD145" s="66"/>
    </row>
    <row r="146" spans="2:30" x14ac:dyDescent="0.25">
      <c r="B146" s="66"/>
      <c r="C146" s="70"/>
      <c r="D146" s="6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3"/>
      <c r="X146" s="73"/>
      <c r="Y146" s="74"/>
      <c r="Z146" s="73"/>
      <c r="AA146" s="66"/>
      <c r="AB146" s="66"/>
      <c r="AC146" s="66"/>
      <c r="AD146" s="66"/>
    </row>
    <row r="147" spans="2:30" x14ac:dyDescent="0.25">
      <c r="B147" s="66"/>
      <c r="C147" s="79"/>
      <c r="D147" s="73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3"/>
      <c r="X147" s="73"/>
      <c r="Y147" s="74"/>
      <c r="Z147" s="73"/>
    </row>
    <row r="148" spans="2:30" x14ac:dyDescent="0.25">
      <c r="B148" s="82"/>
      <c r="C148" s="79"/>
      <c r="D148" s="73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3"/>
      <c r="X148" s="73"/>
      <c r="Y148" s="74"/>
      <c r="Z148" s="73"/>
    </row>
    <row r="149" spans="2:30" x14ac:dyDescent="0.25">
      <c r="C149" s="79"/>
      <c r="D149" s="7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64"/>
      <c r="X149" s="64"/>
      <c r="Y149" s="68"/>
      <c r="Z149" s="64"/>
    </row>
    <row r="150" spans="2:30" x14ac:dyDescent="0.25">
      <c r="C150" s="79"/>
      <c r="D150" s="7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64"/>
      <c r="X150" s="64"/>
      <c r="Y150" s="68"/>
      <c r="Z150" s="64"/>
    </row>
    <row r="151" spans="2:30" x14ac:dyDescent="0.25">
      <c r="C151" s="79"/>
      <c r="D151" s="7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64"/>
      <c r="X151" s="64"/>
      <c r="Y151" s="68"/>
      <c r="Z151" s="64"/>
    </row>
    <row r="152" spans="2:30" x14ac:dyDescent="0.25">
      <c r="C152" s="70"/>
      <c r="D152" s="6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64"/>
      <c r="X152" s="64"/>
      <c r="Y152" s="68"/>
      <c r="Z152" s="64"/>
    </row>
    <row r="153" spans="2:30" x14ac:dyDescent="0.25">
      <c r="C153" s="79"/>
      <c r="D153" s="66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64"/>
      <c r="X153" s="64"/>
      <c r="Y153" s="68"/>
      <c r="Z153" s="64"/>
    </row>
    <row r="154" spans="2:30" x14ac:dyDescent="0.25">
      <c r="C154" s="70"/>
      <c r="D154" s="66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66"/>
      <c r="X154" s="66"/>
      <c r="Y154" s="68"/>
      <c r="Z154" s="66"/>
    </row>
    <row r="155" spans="2:30" x14ac:dyDescent="0.25">
      <c r="C155" s="70"/>
      <c r="D155" s="6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64"/>
      <c r="X155" s="64"/>
      <c r="Y155" s="68"/>
      <c r="Z155" s="64"/>
    </row>
    <row r="156" spans="2:30" x14ac:dyDescent="0.25">
      <c r="B156" s="66"/>
      <c r="C156" s="70"/>
      <c r="D156" s="6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66"/>
      <c r="X156" s="66"/>
      <c r="Y156" s="68"/>
      <c r="Z156" s="66"/>
    </row>
    <row r="157" spans="2:30" x14ac:dyDescent="0.25">
      <c r="B157" s="66"/>
      <c r="C157" s="70"/>
      <c r="D157" s="6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66"/>
      <c r="X157" s="66"/>
      <c r="Y157" s="68"/>
      <c r="Z157" s="66"/>
    </row>
    <row r="158" spans="2:30" x14ac:dyDescent="0.25">
      <c r="B158" s="66"/>
      <c r="C158" s="70"/>
      <c r="D158" s="6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83"/>
      <c r="X158" s="83"/>
      <c r="Y158" s="68"/>
      <c r="Z158" s="83"/>
    </row>
    <row r="159" spans="2:30" x14ac:dyDescent="0.25">
      <c r="B159" s="66"/>
      <c r="C159" s="70"/>
      <c r="D159" s="6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84"/>
      <c r="X159" s="84"/>
      <c r="Y159" s="68"/>
      <c r="Z159" s="84"/>
    </row>
    <row r="160" spans="2:30" x14ac:dyDescent="0.25">
      <c r="C160" s="70"/>
      <c r="D160" s="6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66"/>
      <c r="X160" s="66"/>
      <c r="Y160" s="68"/>
      <c r="Z160" s="66"/>
    </row>
    <row r="161" spans="3:26" x14ac:dyDescent="0.25">
      <c r="C161" s="70"/>
      <c r="D161" s="6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66"/>
      <c r="X161" s="66"/>
      <c r="Y161" s="68"/>
      <c r="Z161" s="66"/>
    </row>
    <row r="162" spans="3:26" x14ac:dyDescent="0.25">
      <c r="C162" s="70"/>
      <c r="D162" s="6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66"/>
      <c r="X162" s="66"/>
      <c r="Y162" s="68"/>
      <c r="Z162" s="66"/>
    </row>
    <row r="163" spans="3:26" x14ac:dyDescent="0.25">
      <c r="C163" s="70"/>
      <c r="D163" s="6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66"/>
      <c r="X163" s="66"/>
      <c r="Y163" s="68"/>
      <c r="Z163" s="66"/>
    </row>
    <row r="164" spans="3:26" x14ac:dyDescent="0.25">
      <c r="C164" s="70"/>
      <c r="D164" s="6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66"/>
      <c r="X164" s="66"/>
      <c r="Y164" s="68"/>
      <c r="Z164" s="66"/>
    </row>
    <row r="165" spans="3:26" x14ac:dyDescent="0.25">
      <c r="C165" s="70"/>
      <c r="D165" s="6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66"/>
      <c r="X165" s="66"/>
      <c r="Y165" s="68"/>
      <c r="Z165" s="66"/>
    </row>
    <row r="166" spans="3:26" x14ac:dyDescent="0.25">
      <c r="C166" s="70"/>
      <c r="D166" s="6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66"/>
      <c r="X166" s="66"/>
      <c r="Y166" s="68"/>
      <c r="Z166" s="66"/>
    </row>
    <row r="167" spans="3:26" x14ac:dyDescent="0.25">
      <c r="C167" s="70"/>
      <c r="D167" s="66"/>
      <c r="E167" s="12"/>
      <c r="F167" s="12"/>
      <c r="G167" s="12"/>
      <c r="H167" s="12"/>
      <c r="I167" s="12"/>
      <c r="J167" s="12"/>
      <c r="K167" s="12"/>
      <c r="L167" s="12"/>
      <c r="M167" s="12"/>
      <c r="N167" s="12">
        <v>3003000</v>
      </c>
      <c r="O167" s="12"/>
      <c r="P167" s="12"/>
      <c r="Q167" s="12"/>
      <c r="R167" s="12"/>
      <c r="S167" s="12"/>
      <c r="T167" s="12"/>
      <c r="U167" s="12"/>
      <c r="V167" s="12"/>
      <c r="W167" s="66"/>
      <c r="X167" s="66"/>
      <c r="Y167" s="68"/>
      <c r="Z167" s="66"/>
    </row>
    <row r="168" spans="3:26" x14ac:dyDescent="0.25">
      <c r="C168" s="79"/>
      <c r="D168" s="6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66"/>
      <c r="X168" s="66"/>
      <c r="Y168" s="68"/>
      <c r="Z168" s="66"/>
    </row>
    <row r="169" spans="3:26" x14ac:dyDescent="0.25">
      <c r="C169" s="79"/>
      <c r="D169" s="6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66"/>
      <c r="X169" s="66"/>
      <c r="Y169" s="68"/>
      <c r="Z169" s="66"/>
    </row>
    <row r="170" spans="3:26" x14ac:dyDescent="0.25">
      <c r="C170" s="79"/>
      <c r="D170" s="6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66"/>
      <c r="X170" s="66"/>
      <c r="Y170" s="68"/>
      <c r="Z170" s="66"/>
    </row>
    <row r="171" spans="3:26" x14ac:dyDescent="0.25">
      <c r="C171" s="79"/>
      <c r="D171" s="6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66"/>
      <c r="X171" s="66"/>
      <c r="Y171" s="68"/>
      <c r="Z171" s="66"/>
    </row>
    <row r="172" spans="3:26" x14ac:dyDescent="0.25">
      <c r="C172" s="70">
        <v>42614840</v>
      </c>
      <c r="D172" s="6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v>412608</v>
      </c>
      <c r="W172" s="66"/>
      <c r="X172" s="66"/>
      <c r="Y172" s="68"/>
      <c r="Z172" s="66"/>
    </row>
    <row r="173" spans="3:26" x14ac:dyDescent="0.25">
      <c r="C173" s="70">
        <v>9675182</v>
      </c>
      <c r="D173" s="6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>
        <v>1880000</v>
      </c>
      <c r="W173" s="66"/>
      <c r="X173" s="66"/>
      <c r="Y173" s="68"/>
      <c r="Z173" s="66"/>
    </row>
    <row r="174" spans="3:26" x14ac:dyDescent="0.25">
      <c r="C174" s="70">
        <v>17903600</v>
      </c>
      <c r="D174" s="6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66"/>
      <c r="X174" s="66"/>
      <c r="Y174" s="68"/>
      <c r="Z174" s="66"/>
    </row>
    <row r="175" spans="3:26" x14ac:dyDescent="0.25">
      <c r="C175" s="70">
        <f>SUM(C172:C174)</f>
        <v>70193622</v>
      </c>
      <c r="D175" s="6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66"/>
      <c r="X175" s="66"/>
      <c r="Y175" s="68"/>
      <c r="Z175" s="66"/>
    </row>
    <row r="176" spans="3:26" x14ac:dyDescent="0.25">
      <c r="C176" s="70">
        <v>400000</v>
      </c>
      <c r="D176" s="6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66"/>
      <c r="X176" s="66"/>
      <c r="Y176" s="68"/>
      <c r="Z176" s="66"/>
    </row>
    <row r="177" spans="3:26" x14ac:dyDescent="0.25">
      <c r="C177" s="70">
        <f>+C175+C176</f>
        <v>70593622</v>
      </c>
      <c r="D177" s="6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66"/>
      <c r="X177" s="66"/>
      <c r="Y177" s="68"/>
      <c r="Z177" s="66"/>
    </row>
    <row r="181" spans="3:26" x14ac:dyDescent="0.25">
      <c r="C181" s="13">
        <v>11000000</v>
      </c>
    </row>
    <row r="182" spans="3:26" x14ac:dyDescent="0.25">
      <c r="C182" s="13">
        <f>+C180+C181</f>
        <v>11000000</v>
      </c>
    </row>
    <row r="187" spans="3:26" x14ac:dyDescent="0.25">
      <c r="C187" s="13">
        <v>3185000</v>
      </c>
    </row>
    <row r="188" spans="3:26" x14ac:dyDescent="0.25">
      <c r="C188" s="13">
        <v>1080000</v>
      </c>
    </row>
    <row r="189" spans="3:26" x14ac:dyDescent="0.25">
      <c r="C189" s="13">
        <v>4850100</v>
      </c>
    </row>
    <row r="190" spans="3:26" x14ac:dyDescent="0.25">
      <c r="C190" s="13">
        <v>5027500</v>
      </c>
    </row>
    <row r="191" spans="3:26" x14ac:dyDescent="0.25">
      <c r="C191" s="13">
        <v>4566000</v>
      </c>
    </row>
    <row r="192" spans="3:26" x14ac:dyDescent="0.25">
      <c r="C192" s="13">
        <v>1050000</v>
      </c>
    </row>
    <row r="193" spans="3:3" x14ac:dyDescent="0.25">
      <c r="C193" s="13">
        <v>3877333</v>
      </c>
    </row>
    <row r="194" spans="3:3" x14ac:dyDescent="0.25">
      <c r="C194" s="13">
        <v>6732440</v>
      </c>
    </row>
    <row r="195" spans="3:3" x14ac:dyDescent="0.25">
      <c r="C195" s="13">
        <v>3460000</v>
      </c>
    </row>
    <row r="196" spans="3:3" x14ac:dyDescent="0.25">
      <c r="C196" s="13">
        <v>588800</v>
      </c>
    </row>
    <row r="197" spans="3:3" x14ac:dyDescent="0.25">
      <c r="C197" s="13">
        <v>1868000</v>
      </c>
    </row>
    <row r="198" spans="3:3" x14ac:dyDescent="0.25">
      <c r="C198" s="13">
        <v>10313000</v>
      </c>
    </row>
    <row r="199" spans="3:3" x14ac:dyDescent="0.25">
      <c r="C199" s="13">
        <v>3443800</v>
      </c>
    </row>
    <row r="200" spans="3:3" x14ac:dyDescent="0.25">
      <c r="C200" s="13">
        <v>8136400</v>
      </c>
    </row>
    <row r="201" spans="3:3" x14ac:dyDescent="0.25">
      <c r="C201" s="13">
        <v>9675183</v>
      </c>
    </row>
    <row r="202" spans="3:3" x14ac:dyDescent="0.25">
      <c r="C202" s="13">
        <f>SUM(C186:C201)</f>
        <v>67853556</v>
      </c>
    </row>
  </sheetData>
  <mergeCells count="7">
    <mergeCell ref="D145:Z145"/>
    <mergeCell ref="C1:W1"/>
    <mergeCell ref="E2:M2"/>
    <mergeCell ref="N2:V2"/>
    <mergeCell ref="A4:A51"/>
    <mergeCell ref="A52:A110"/>
    <mergeCell ref="E144:S144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F411-D987-4F2D-86D7-C19B753F8C69}">
  <dimension ref="A1"/>
  <sheetViews>
    <sheetView workbookViewId="0">
      <selection activeCell="I17" sqref="I17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202E-BD38-424C-AB81-BC5522CF2A97}">
  <dimension ref="A1"/>
  <sheetViews>
    <sheetView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EBC9-D940-4457-9384-CE775F213D48}">
  <dimension ref="A1"/>
  <sheetViews>
    <sheetView workbookViewId="0">
      <selection activeCell="H18" sqref="H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8EE3-31D4-434B-8960-DB133DE52721}">
  <dimension ref="A1:AD199"/>
  <sheetViews>
    <sheetView workbookViewId="0">
      <selection activeCell="L10" sqref="L10"/>
    </sheetView>
  </sheetViews>
  <sheetFormatPr baseColWidth="10" defaultRowHeight="12" x14ac:dyDescent="0.25"/>
  <cols>
    <col min="1" max="1" width="6.7109375" style="60" customWidth="1"/>
    <col min="2" max="2" width="4.85546875" style="60" customWidth="1"/>
    <col min="3" max="3" width="32.28515625" style="13" customWidth="1"/>
    <col min="4" max="4" width="8.5703125" style="60" customWidth="1"/>
    <col min="5" max="5" width="14" style="69" bestFit="1" customWidth="1"/>
    <col min="6" max="6" width="4.42578125" style="69" customWidth="1"/>
    <col min="7" max="7" width="14.42578125" style="69" bestFit="1" customWidth="1"/>
    <col min="8" max="8" width="11.42578125" style="69" bestFit="1" customWidth="1"/>
    <col min="9" max="10" width="11.28515625" style="69" customWidth="1"/>
    <col min="11" max="11" width="12.42578125" style="69" bestFit="1" customWidth="1"/>
    <col min="12" max="12" width="17.85546875" style="69" bestFit="1" customWidth="1"/>
    <col min="13" max="13" width="13.42578125" style="69" bestFit="1" customWidth="1"/>
    <col min="14" max="15" width="12.42578125" style="69" bestFit="1" customWidth="1"/>
    <col min="16" max="16" width="11.42578125" style="69" bestFit="1" customWidth="1"/>
    <col min="17" max="17" width="11.28515625" style="69" hidden="1" customWidth="1"/>
    <col min="18" max="18" width="11.42578125" style="69" bestFit="1" customWidth="1"/>
    <col min="19" max="19" width="12.42578125" style="69" bestFit="1" customWidth="1"/>
    <col min="20" max="20" width="11.42578125" style="69" bestFit="1" customWidth="1"/>
    <col min="21" max="21" width="15.85546875" style="69" bestFit="1" customWidth="1"/>
    <col min="22" max="22" width="12.42578125" style="69" bestFit="1" customWidth="1"/>
    <col min="23" max="23" width="18" style="60" bestFit="1" customWidth="1"/>
    <col min="24" max="24" width="1.7109375" style="60" customWidth="1"/>
    <col min="25" max="25" width="1.85546875" style="67" customWidth="1"/>
    <col min="26" max="26" width="27.28515625" style="60" customWidth="1"/>
    <col min="27" max="27" width="11.5703125" style="60" bestFit="1" customWidth="1"/>
    <col min="28" max="28" width="11.85546875" style="60" bestFit="1" customWidth="1"/>
    <col min="29" max="29" width="11.5703125" style="60" bestFit="1" customWidth="1"/>
    <col min="30" max="248" width="11.42578125" style="60"/>
    <col min="249" max="249" width="10.5703125" style="60" customWidth="1"/>
    <col min="250" max="250" width="4.85546875" style="60" customWidth="1"/>
    <col min="251" max="251" width="32.42578125" style="60" customWidth="1"/>
    <col min="252" max="252" width="9.85546875" style="60" customWidth="1"/>
    <col min="253" max="253" width="10.140625" style="60" customWidth="1"/>
    <col min="254" max="254" width="12.28515625" style="60" customWidth="1"/>
    <col min="255" max="255" width="15.42578125" style="60" customWidth="1"/>
    <col min="256" max="256" width="11.85546875" style="60" customWidth="1"/>
    <col min="257" max="257" width="13.28515625" style="60" customWidth="1"/>
    <col min="258" max="258" width="15.28515625" style="60" customWidth="1"/>
    <col min="259" max="259" width="11.85546875" style="60" customWidth="1"/>
    <col min="260" max="260" width="6.140625" style="60" customWidth="1"/>
    <col min="261" max="261" width="11.85546875" style="60" customWidth="1"/>
    <col min="262" max="262" width="9.42578125" style="60" customWidth="1"/>
    <col min="263" max="263" width="14.7109375" style="60" customWidth="1"/>
    <col min="264" max="264" width="11.5703125" style="60" customWidth="1"/>
    <col min="265" max="265" width="0.42578125" style="60" customWidth="1"/>
    <col min="266" max="266" width="10.5703125" style="60" bestFit="1" customWidth="1"/>
    <col min="267" max="267" width="12.28515625" style="60" customWidth="1"/>
    <col min="268" max="268" width="12.5703125" style="60" customWidth="1"/>
    <col min="269" max="269" width="10.5703125" style="60" customWidth="1"/>
    <col min="270" max="270" width="10.140625" style="60" customWidth="1"/>
    <col min="271" max="271" width="8.42578125" style="60" customWidth="1"/>
    <col min="272" max="272" width="18.85546875" style="60" customWidth="1"/>
    <col min="273" max="273" width="10.28515625" style="60" customWidth="1"/>
    <col min="274" max="274" width="11.42578125" style="60"/>
    <col min="275" max="275" width="12.140625" style="60" customWidth="1"/>
    <col min="276" max="276" width="10.5703125" style="60" customWidth="1"/>
    <col min="277" max="277" width="12.42578125" style="60" customWidth="1"/>
    <col min="278" max="278" width="15.140625" style="60" customWidth="1"/>
    <col min="279" max="279" width="13.5703125" style="60" customWidth="1"/>
    <col min="280" max="280" width="13.140625" style="60" customWidth="1"/>
    <col min="281" max="281" width="15.7109375" style="60" customWidth="1"/>
    <col min="282" max="282" width="37.5703125" style="60" customWidth="1"/>
    <col min="283" max="504" width="11.42578125" style="60"/>
    <col min="505" max="505" width="10.5703125" style="60" customWidth="1"/>
    <col min="506" max="506" width="4.85546875" style="60" customWidth="1"/>
    <col min="507" max="507" width="32.42578125" style="60" customWidth="1"/>
    <col min="508" max="508" width="9.85546875" style="60" customWidth="1"/>
    <col min="509" max="509" width="10.140625" style="60" customWidth="1"/>
    <col min="510" max="510" width="12.28515625" style="60" customWidth="1"/>
    <col min="511" max="511" width="15.42578125" style="60" customWidth="1"/>
    <col min="512" max="512" width="11.85546875" style="60" customWidth="1"/>
    <col min="513" max="513" width="13.28515625" style="60" customWidth="1"/>
    <col min="514" max="514" width="15.28515625" style="60" customWidth="1"/>
    <col min="515" max="515" width="11.85546875" style="60" customWidth="1"/>
    <col min="516" max="516" width="6.140625" style="60" customWidth="1"/>
    <col min="517" max="517" width="11.85546875" style="60" customWidth="1"/>
    <col min="518" max="518" width="9.42578125" style="60" customWidth="1"/>
    <col min="519" max="519" width="14.7109375" style="60" customWidth="1"/>
    <col min="520" max="520" width="11.5703125" style="60" customWidth="1"/>
    <col min="521" max="521" width="0.42578125" style="60" customWidth="1"/>
    <col min="522" max="522" width="10.5703125" style="60" bestFit="1" customWidth="1"/>
    <col min="523" max="523" width="12.28515625" style="60" customWidth="1"/>
    <col min="524" max="524" width="12.5703125" style="60" customWidth="1"/>
    <col min="525" max="525" width="10.5703125" style="60" customWidth="1"/>
    <col min="526" max="526" width="10.140625" style="60" customWidth="1"/>
    <col min="527" max="527" width="8.42578125" style="60" customWidth="1"/>
    <col min="528" max="528" width="18.85546875" style="60" customWidth="1"/>
    <col min="529" max="529" width="10.28515625" style="60" customWidth="1"/>
    <col min="530" max="530" width="11.42578125" style="60"/>
    <col min="531" max="531" width="12.140625" style="60" customWidth="1"/>
    <col min="532" max="532" width="10.5703125" style="60" customWidth="1"/>
    <col min="533" max="533" width="12.42578125" style="60" customWidth="1"/>
    <col min="534" max="534" width="15.140625" style="60" customWidth="1"/>
    <col min="535" max="535" width="13.5703125" style="60" customWidth="1"/>
    <col min="536" max="536" width="13.140625" style="60" customWidth="1"/>
    <col min="537" max="537" width="15.7109375" style="60" customWidth="1"/>
    <col min="538" max="538" width="37.5703125" style="60" customWidth="1"/>
    <col min="539" max="760" width="11.42578125" style="60"/>
    <col min="761" max="761" width="10.5703125" style="60" customWidth="1"/>
    <col min="762" max="762" width="4.85546875" style="60" customWidth="1"/>
    <col min="763" max="763" width="32.42578125" style="60" customWidth="1"/>
    <col min="764" max="764" width="9.85546875" style="60" customWidth="1"/>
    <col min="765" max="765" width="10.140625" style="60" customWidth="1"/>
    <col min="766" max="766" width="12.28515625" style="60" customWidth="1"/>
    <col min="767" max="767" width="15.42578125" style="60" customWidth="1"/>
    <col min="768" max="768" width="11.85546875" style="60" customWidth="1"/>
    <col min="769" max="769" width="13.28515625" style="60" customWidth="1"/>
    <col min="770" max="770" width="15.28515625" style="60" customWidth="1"/>
    <col min="771" max="771" width="11.85546875" style="60" customWidth="1"/>
    <col min="772" max="772" width="6.140625" style="60" customWidth="1"/>
    <col min="773" max="773" width="11.85546875" style="60" customWidth="1"/>
    <col min="774" max="774" width="9.42578125" style="60" customWidth="1"/>
    <col min="775" max="775" width="14.7109375" style="60" customWidth="1"/>
    <col min="776" max="776" width="11.5703125" style="60" customWidth="1"/>
    <col min="777" max="777" width="0.42578125" style="60" customWidth="1"/>
    <col min="778" max="778" width="10.5703125" style="60" bestFit="1" customWidth="1"/>
    <col min="779" max="779" width="12.28515625" style="60" customWidth="1"/>
    <col min="780" max="780" width="12.5703125" style="60" customWidth="1"/>
    <col min="781" max="781" width="10.5703125" style="60" customWidth="1"/>
    <col min="782" max="782" width="10.140625" style="60" customWidth="1"/>
    <col min="783" max="783" width="8.42578125" style="60" customWidth="1"/>
    <col min="784" max="784" width="18.85546875" style="60" customWidth="1"/>
    <col min="785" max="785" width="10.28515625" style="60" customWidth="1"/>
    <col min="786" max="786" width="11.42578125" style="60"/>
    <col min="787" max="787" width="12.140625" style="60" customWidth="1"/>
    <col min="788" max="788" width="10.5703125" style="60" customWidth="1"/>
    <col min="789" max="789" width="12.42578125" style="60" customWidth="1"/>
    <col min="790" max="790" width="15.140625" style="60" customWidth="1"/>
    <col min="791" max="791" width="13.5703125" style="60" customWidth="1"/>
    <col min="792" max="792" width="13.140625" style="60" customWidth="1"/>
    <col min="793" max="793" width="15.7109375" style="60" customWidth="1"/>
    <col min="794" max="794" width="37.5703125" style="60" customWidth="1"/>
    <col min="795" max="1016" width="11.42578125" style="60"/>
    <col min="1017" max="1017" width="10.5703125" style="60" customWidth="1"/>
    <col min="1018" max="1018" width="4.85546875" style="60" customWidth="1"/>
    <col min="1019" max="1019" width="32.42578125" style="60" customWidth="1"/>
    <col min="1020" max="1020" width="9.85546875" style="60" customWidth="1"/>
    <col min="1021" max="1021" width="10.140625" style="60" customWidth="1"/>
    <col min="1022" max="1022" width="12.28515625" style="60" customWidth="1"/>
    <col min="1023" max="1023" width="15.42578125" style="60" customWidth="1"/>
    <col min="1024" max="1024" width="11.85546875" style="60" customWidth="1"/>
    <col min="1025" max="1025" width="13.28515625" style="60" customWidth="1"/>
    <col min="1026" max="1026" width="15.28515625" style="60" customWidth="1"/>
    <col min="1027" max="1027" width="11.85546875" style="60" customWidth="1"/>
    <col min="1028" max="1028" width="6.140625" style="60" customWidth="1"/>
    <col min="1029" max="1029" width="11.85546875" style="60" customWidth="1"/>
    <col min="1030" max="1030" width="9.42578125" style="60" customWidth="1"/>
    <col min="1031" max="1031" width="14.7109375" style="60" customWidth="1"/>
    <col min="1032" max="1032" width="11.5703125" style="60" customWidth="1"/>
    <col min="1033" max="1033" width="0.42578125" style="60" customWidth="1"/>
    <col min="1034" max="1034" width="10.5703125" style="60" bestFit="1" customWidth="1"/>
    <col min="1035" max="1035" width="12.28515625" style="60" customWidth="1"/>
    <col min="1036" max="1036" width="12.5703125" style="60" customWidth="1"/>
    <col min="1037" max="1037" width="10.5703125" style="60" customWidth="1"/>
    <col min="1038" max="1038" width="10.140625" style="60" customWidth="1"/>
    <col min="1039" max="1039" width="8.42578125" style="60" customWidth="1"/>
    <col min="1040" max="1040" width="18.85546875" style="60" customWidth="1"/>
    <col min="1041" max="1041" width="10.28515625" style="60" customWidth="1"/>
    <col min="1042" max="1042" width="11.42578125" style="60"/>
    <col min="1043" max="1043" width="12.140625" style="60" customWidth="1"/>
    <col min="1044" max="1044" width="10.5703125" style="60" customWidth="1"/>
    <col min="1045" max="1045" width="12.42578125" style="60" customWidth="1"/>
    <col min="1046" max="1046" width="15.140625" style="60" customWidth="1"/>
    <col min="1047" max="1047" width="13.5703125" style="60" customWidth="1"/>
    <col min="1048" max="1048" width="13.140625" style="60" customWidth="1"/>
    <col min="1049" max="1049" width="15.7109375" style="60" customWidth="1"/>
    <col min="1050" max="1050" width="37.5703125" style="60" customWidth="1"/>
    <col min="1051" max="1272" width="11.42578125" style="60"/>
    <col min="1273" max="1273" width="10.5703125" style="60" customWidth="1"/>
    <col min="1274" max="1274" width="4.85546875" style="60" customWidth="1"/>
    <col min="1275" max="1275" width="32.42578125" style="60" customWidth="1"/>
    <col min="1276" max="1276" width="9.85546875" style="60" customWidth="1"/>
    <col min="1277" max="1277" width="10.140625" style="60" customWidth="1"/>
    <col min="1278" max="1278" width="12.28515625" style="60" customWidth="1"/>
    <col min="1279" max="1279" width="15.42578125" style="60" customWidth="1"/>
    <col min="1280" max="1280" width="11.85546875" style="60" customWidth="1"/>
    <col min="1281" max="1281" width="13.28515625" style="60" customWidth="1"/>
    <col min="1282" max="1282" width="15.28515625" style="60" customWidth="1"/>
    <col min="1283" max="1283" width="11.85546875" style="60" customWidth="1"/>
    <col min="1284" max="1284" width="6.140625" style="60" customWidth="1"/>
    <col min="1285" max="1285" width="11.85546875" style="60" customWidth="1"/>
    <col min="1286" max="1286" width="9.42578125" style="60" customWidth="1"/>
    <col min="1287" max="1287" width="14.7109375" style="60" customWidth="1"/>
    <col min="1288" max="1288" width="11.5703125" style="60" customWidth="1"/>
    <col min="1289" max="1289" width="0.42578125" style="60" customWidth="1"/>
    <col min="1290" max="1290" width="10.5703125" style="60" bestFit="1" customWidth="1"/>
    <col min="1291" max="1291" width="12.28515625" style="60" customWidth="1"/>
    <col min="1292" max="1292" width="12.5703125" style="60" customWidth="1"/>
    <col min="1293" max="1293" width="10.5703125" style="60" customWidth="1"/>
    <col min="1294" max="1294" width="10.140625" style="60" customWidth="1"/>
    <col min="1295" max="1295" width="8.42578125" style="60" customWidth="1"/>
    <col min="1296" max="1296" width="18.85546875" style="60" customWidth="1"/>
    <col min="1297" max="1297" width="10.28515625" style="60" customWidth="1"/>
    <col min="1298" max="1298" width="11.42578125" style="60"/>
    <col min="1299" max="1299" width="12.140625" style="60" customWidth="1"/>
    <col min="1300" max="1300" width="10.5703125" style="60" customWidth="1"/>
    <col min="1301" max="1301" width="12.42578125" style="60" customWidth="1"/>
    <col min="1302" max="1302" width="15.140625" style="60" customWidth="1"/>
    <col min="1303" max="1303" width="13.5703125" style="60" customWidth="1"/>
    <col min="1304" max="1304" width="13.140625" style="60" customWidth="1"/>
    <col min="1305" max="1305" width="15.7109375" style="60" customWidth="1"/>
    <col min="1306" max="1306" width="37.5703125" style="60" customWidth="1"/>
    <col min="1307" max="1528" width="11.42578125" style="60"/>
    <col min="1529" max="1529" width="10.5703125" style="60" customWidth="1"/>
    <col min="1530" max="1530" width="4.85546875" style="60" customWidth="1"/>
    <col min="1531" max="1531" width="32.42578125" style="60" customWidth="1"/>
    <col min="1532" max="1532" width="9.85546875" style="60" customWidth="1"/>
    <col min="1533" max="1533" width="10.140625" style="60" customWidth="1"/>
    <col min="1534" max="1534" width="12.28515625" style="60" customWidth="1"/>
    <col min="1535" max="1535" width="15.42578125" style="60" customWidth="1"/>
    <col min="1536" max="1536" width="11.85546875" style="60" customWidth="1"/>
    <col min="1537" max="1537" width="13.28515625" style="60" customWidth="1"/>
    <col min="1538" max="1538" width="15.28515625" style="60" customWidth="1"/>
    <col min="1539" max="1539" width="11.85546875" style="60" customWidth="1"/>
    <col min="1540" max="1540" width="6.140625" style="60" customWidth="1"/>
    <col min="1541" max="1541" width="11.85546875" style="60" customWidth="1"/>
    <col min="1542" max="1542" width="9.42578125" style="60" customWidth="1"/>
    <col min="1543" max="1543" width="14.7109375" style="60" customWidth="1"/>
    <col min="1544" max="1544" width="11.5703125" style="60" customWidth="1"/>
    <col min="1545" max="1545" width="0.42578125" style="60" customWidth="1"/>
    <col min="1546" max="1546" width="10.5703125" style="60" bestFit="1" customWidth="1"/>
    <col min="1547" max="1547" width="12.28515625" style="60" customWidth="1"/>
    <col min="1548" max="1548" width="12.5703125" style="60" customWidth="1"/>
    <col min="1549" max="1549" width="10.5703125" style="60" customWidth="1"/>
    <col min="1550" max="1550" width="10.140625" style="60" customWidth="1"/>
    <col min="1551" max="1551" width="8.42578125" style="60" customWidth="1"/>
    <col min="1552" max="1552" width="18.85546875" style="60" customWidth="1"/>
    <col min="1553" max="1553" width="10.28515625" style="60" customWidth="1"/>
    <col min="1554" max="1554" width="11.42578125" style="60"/>
    <col min="1555" max="1555" width="12.140625" style="60" customWidth="1"/>
    <col min="1556" max="1556" width="10.5703125" style="60" customWidth="1"/>
    <col min="1557" max="1557" width="12.42578125" style="60" customWidth="1"/>
    <col min="1558" max="1558" width="15.140625" style="60" customWidth="1"/>
    <col min="1559" max="1559" width="13.5703125" style="60" customWidth="1"/>
    <col min="1560" max="1560" width="13.140625" style="60" customWidth="1"/>
    <col min="1561" max="1561" width="15.7109375" style="60" customWidth="1"/>
    <col min="1562" max="1562" width="37.5703125" style="60" customWidth="1"/>
    <col min="1563" max="1784" width="11.42578125" style="60"/>
    <col min="1785" max="1785" width="10.5703125" style="60" customWidth="1"/>
    <col min="1786" max="1786" width="4.85546875" style="60" customWidth="1"/>
    <col min="1787" max="1787" width="32.42578125" style="60" customWidth="1"/>
    <col min="1788" max="1788" width="9.85546875" style="60" customWidth="1"/>
    <col min="1789" max="1789" width="10.140625" style="60" customWidth="1"/>
    <col min="1790" max="1790" width="12.28515625" style="60" customWidth="1"/>
    <col min="1791" max="1791" width="15.42578125" style="60" customWidth="1"/>
    <col min="1792" max="1792" width="11.85546875" style="60" customWidth="1"/>
    <col min="1793" max="1793" width="13.28515625" style="60" customWidth="1"/>
    <col min="1794" max="1794" width="15.28515625" style="60" customWidth="1"/>
    <col min="1795" max="1795" width="11.85546875" style="60" customWidth="1"/>
    <col min="1796" max="1796" width="6.140625" style="60" customWidth="1"/>
    <col min="1797" max="1797" width="11.85546875" style="60" customWidth="1"/>
    <col min="1798" max="1798" width="9.42578125" style="60" customWidth="1"/>
    <col min="1799" max="1799" width="14.7109375" style="60" customWidth="1"/>
    <col min="1800" max="1800" width="11.5703125" style="60" customWidth="1"/>
    <col min="1801" max="1801" width="0.42578125" style="60" customWidth="1"/>
    <col min="1802" max="1802" width="10.5703125" style="60" bestFit="1" customWidth="1"/>
    <col min="1803" max="1803" width="12.28515625" style="60" customWidth="1"/>
    <col min="1804" max="1804" width="12.5703125" style="60" customWidth="1"/>
    <col min="1805" max="1805" width="10.5703125" style="60" customWidth="1"/>
    <col min="1806" max="1806" width="10.140625" style="60" customWidth="1"/>
    <col min="1807" max="1807" width="8.42578125" style="60" customWidth="1"/>
    <col min="1808" max="1808" width="18.85546875" style="60" customWidth="1"/>
    <col min="1809" max="1809" width="10.28515625" style="60" customWidth="1"/>
    <col min="1810" max="1810" width="11.42578125" style="60"/>
    <col min="1811" max="1811" width="12.140625" style="60" customWidth="1"/>
    <col min="1812" max="1812" width="10.5703125" style="60" customWidth="1"/>
    <col min="1813" max="1813" width="12.42578125" style="60" customWidth="1"/>
    <col min="1814" max="1814" width="15.140625" style="60" customWidth="1"/>
    <col min="1815" max="1815" width="13.5703125" style="60" customWidth="1"/>
    <col min="1816" max="1816" width="13.140625" style="60" customWidth="1"/>
    <col min="1817" max="1817" width="15.7109375" style="60" customWidth="1"/>
    <col min="1818" max="1818" width="37.5703125" style="60" customWidth="1"/>
    <col min="1819" max="2040" width="11.42578125" style="60"/>
    <col min="2041" max="2041" width="10.5703125" style="60" customWidth="1"/>
    <col min="2042" max="2042" width="4.85546875" style="60" customWidth="1"/>
    <col min="2043" max="2043" width="32.42578125" style="60" customWidth="1"/>
    <col min="2044" max="2044" width="9.85546875" style="60" customWidth="1"/>
    <col min="2045" max="2045" width="10.140625" style="60" customWidth="1"/>
    <col min="2046" max="2046" width="12.28515625" style="60" customWidth="1"/>
    <col min="2047" max="2047" width="15.42578125" style="60" customWidth="1"/>
    <col min="2048" max="2048" width="11.85546875" style="60" customWidth="1"/>
    <col min="2049" max="2049" width="13.28515625" style="60" customWidth="1"/>
    <col min="2050" max="2050" width="15.28515625" style="60" customWidth="1"/>
    <col min="2051" max="2051" width="11.85546875" style="60" customWidth="1"/>
    <col min="2052" max="2052" width="6.140625" style="60" customWidth="1"/>
    <col min="2053" max="2053" width="11.85546875" style="60" customWidth="1"/>
    <col min="2054" max="2054" width="9.42578125" style="60" customWidth="1"/>
    <col min="2055" max="2055" width="14.7109375" style="60" customWidth="1"/>
    <col min="2056" max="2056" width="11.5703125" style="60" customWidth="1"/>
    <col min="2057" max="2057" width="0.42578125" style="60" customWidth="1"/>
    <col min="2058" max="2058" width="10.5703125" style="60" bestFit="1" customWidth="1"/>
    <col min="2059" max="2059" width="12.28515625" style="60" customWidth="1"/>
    <col min="2060" max="2060" width="12.5703125" style="60" customWidth="1"/>
    <col min="2061" max="2061" width="10.5703125" style="60" customWidth="1"/>
    <col min="2062" max="2062" width="10.140625" style="60" customWidth="1"/>
    <col min="2063" max="2063" width="8.42578125" style="60" customWidth="1"/>
    <col min="2064" max="2064" width="18.85546875" style="60" customWidth="1"/>
    <col min="2065" max="2065" width="10.28515625" style="60" customWidth="1"/>
    <col min="2066" max="2066" width="11.42578125" style="60"/>
    <col min="2067" max="2067" width="12.140625" style="60" customWidth="1"/>
    <col min="2068" max="2068" width="10.5703125" style="60" customWidth="1"/>
    <col min="2069" max="2069" width="12.42578125" style="60" customWidth="1"/>
    <col min="2070" max="2070" width="15.140625" style="60" customWidth="1"/>
    <col min="2071" max="2071" width="13.5703125" style="60" customWidth="1"/>
    <col min="2072" max="2072" width="13.140625" style="60" customWidth="1"/>
    <col min="2073" max="2073" width="15.7109375" style="60" customWidth="1"/>
    <col min="2074" max="2074" width="37.5703125" style="60" customWidth="1"/>
    <col min="2075" max="2296" width="11.42578125" style="60"/>
    <col min="2297" max="2297" width="10.5703125" style="60" customWidth="1"/>
    <col min="2298" max="2298" width="4.85546875" style="60" customWidth="1"/>
    <col min="2299" max="2299" width="32.42578125" style="60" customWidth="1"/>
    <col min="2300" max="2300" width="9.85546875" style="60" customWidth="1"/>
    <col min="2301" max="2301" width="10.140625" style="60" customWidth="1"/>
    <col min="2302" max="2302" width="12.28515625" style="60" customWidth="1"/>
    <col min="2303" max="2303" width="15.42578125" style="60" customWidth="1"/>
    <col min="2304" max="2304" width="11.85546875" style="60" customWidth="1"/>
    <col min="2305" max="2305" width="13.28515625" style="60" customWidth="1"/>
    <col min="2306" max="2306" width="15.28515625" style="60" customWidth="1"/>
    <col min="2307" max="2307" width="11.85546875" style="60" customWidth="1"/>
    <col min="2308" max="2308" width="6.140625" style="60" customWidth="1"/>
    <col min="2309" max="2309" width="11.85546875" style="60" customWidth="1"/>
    <col min="2310" max="2310" width="9.42578125" style="60" customWidth="1"/>
    <col min="2311" max="2311" width="14.7109375" style="60" customWidth="1"/>
    <col min="2312" max="2312" width="11.5703125" style="60" customWidth="1"/>
    <col min="2313" max="2313" width="0.42578125" style="60" customWidth="1"/>
    <col min="2314" max="2314" width="10.5703125" style="60" bestFit="1" customWidth="1"/>
    <col min="2315" max="2315" width="12.28515625" style="60" customWidth="1"/>
    <col min="2316" max="2316" width="12.5703125" style="60" customWidth="1"/>
    <col min="2317" max="2317" width="10.5703125" style="60" customWidth="1"/>
    <col min="2318" max="2318" width="10.140625" style="60" customWidth="1"/>
    <col min="2319" max="2319" width="8.42578125" style="60" customWidth="1"/>
    <col min="2320" max="2320" width="18.85546875" style="60" customWidth="1"/>
    <col min="2321" max="2321" width="10.28515625" style="60" customWidth="1"/>
    <col min="2322" max="2322" width="11.42578125" style="60"/>
    <col min="2323" max="2323" width="12.140625" style="60" customWidth="1"/>
    <col min="2324" max="2324" width="10.5703125" style="60" customWidth="1"/>
    <col min="2325" max="2325" width="12.42578125" style="60" customWidth="1"/>
    <col min="2326" max="2326" width="15.140625" style="60" customWidth="1"/>
    <col min="2327" max="2327" width="13.5703125" style="60" customWidth="1"/>
    <col min="2328" max="2328" width="13.140625" style="60" customWidth="1"/>
    <col min="2329" max="2329" width="15.7109375" style="60" customWidth="1"/>
    <col min="2330" max="2330" width="37.5703125" style="60" customWidth="1"/>
    <col min="2331" max="2552" width="11.42578125" style="60"/>
    <col min="2553" max="2553" width="10.5703125" style="60" customWidth="1"/>
    <col min="2554" max="2554" width="4.85546875" style="60" customWidth="1"/>
    <col min="2555" max="2555" width="32.42578125" style="60" customWidth="1"/>
    <col min="2556" max="2556" width="9.85546875" style="60" customWidth="1"/>
    <col min="2557" max="2557" width="10.140625" style="60" customWidth="1"/>
    <col min="2558" max="2558" width="12.28515625" style="60" customWidth="1"/>
    <col min="2559" max="2559" width="15.42578125" style="60" customWidth="1"/>
    <col min="2560" max="2560" width="11.85546875" style="60" customWidth="1"/>
    <col min="2561" max="2561" width="13.28515625" style="60" customWidth="1"/>
    <col min="2562" max="2562" width="15.28515625" style="60" customWidth="1"/>
    <col min="2563" max="2563" width="11.85546875" style="60" customWidth="1"/>
    <col min="2564" max="2564" width="6.140625" style="60" customWidth="1"/>
    <col min="2565" max="2565" width="11.85546875" style="60" customWidth="1"/>
    <col min="2566" max="2566" width="9.42578125" style="60" customWidth="1"/>
    <col min="2567" max="2567" width="14.7109375" style="60" customWidth="1"/>
    <col min="2568" max="2568" width="11.5703125" style="60" customWidth="1"/>
    <col min="2569" max="2569" width="0.42578125" style="60" customWidth="1"/>
    <col min="2570" max="2570" width="10.5703125" style="60" bestFit="1" customWidth="1"/>
    <col min="2571" max="2571" width="12.28515625" style="60" customWidth="1"/>
    <col min="2572" max="2572" width="12.5703125" style="60" customWidth="1"/>
    <col min="2573" max="2573" width="10.5703125" style="60" customWidth="1"/>
    <col min="2574" max="2574" width="10.140625" style="60" customWidth="1"/>
    <col min="2575" max="2575" width="8.42578125" style="60" customWidth="1"/>
    <col min="2576" max="2576" width="18.85546875" style="60" customWidth="1"/>
    <col min="2577" max="2577" width="10.28515625" style="60" customWidth="1"/>
    <col min="2578" max="2578" width="11.42578125" style="60"/>
    <col min="2579" max="2579" width="12.140625" style="60" customWidth="1"/>
    <col min="2580" max="2580" width="10.5703125" style="60" customWidth="1"/>
    <col min="2581" max="2581" width="12.42578125" style="60" customWidth="1"/>
    <col min="2582" max="2582" width="15.140625" style="60" customWidth="1"/>
    <col min="2583" max="2583" width="13.5703125" style="60" customWidth="1"/>
    <col min="2584" max="2584" width="13.140625" style="60" customWidth="1"/>
    <col min="2585" max="2585" width="15.7109375" style="60" customWidth="1"/>
    <col min="2586" max="2586" width="37.5703125" style="60" customWidth="1"/>
    <col min="2587" max="2808" width="11.42578125" style="60"/>
    <col min="2809" max="2809" width="10.5703125" style="60" customWidth="1"/>
    <col min="2810" max="2810" width="4.85546875" style="60" customWidth="1"/>
    <col min="2811" max="2811" width="32.42578125" style="60" customWidth="1"/>
    <col min="2812" max="2812" width="9.85546875" style="60" customWidth="1"/>
    <col min="2813" max="2813" width="10.140625" style="60" customWidth="1"/>
    <col min="2814" max="2814" width="12.28515625" style="60" customWidth="1"/>
    <col min="2815" max="2815" width="15.42578125" style="60" customWidth="1"/>
    <col min="2816" max="2816" width="11.85546875" style="60" customWidth="1"/>
    <col min="2817" max="2817" width="13.28515625" style="60" customWidth="1"/>
    <col min="2818" max="2818" width="15.28515625" style="60" customWidth="1"/>
    <col min="2819" max="2819" width="11.85546875" style="60" customWidth="1"/>
    <col min="2820" max="2820" width="6.140625" style="60" customWidth="1"/>
    <col min="2821" max="2821" width="11.85546875" style="60" customWidth="1"/>
    <col min="2822" max="2822" width="9.42578125" style="60" customWidth="1"/>
    <col min="2823" max="2823" width="14.7109375" style="60" customWidth="1"/>
    <col min="2824" max="2824" width="11.5703125" style="60" customWidth="1"/>
    <col min="2825" max="2825" width="0.42578125" style="60" customWidth="1"/>
    <col min="2826" max="2826" width="10.5703125" style="60" bestFit="1" customWidth="1"/>
    <col min="2827" max="2827" width="12.28515625" style="60" customWidth="1"/>
    <col min="2828" max="2828" width="12.5703125" style="60" customWidth="1"/>
    <col min="2829" max="2829" width="10.5703125" style="60" customWidth="1"/>
    <col min="2830" max="2830" width="10.140625" style="60" customWidth="1"/>
    <col min="2831" max="2831" width="8.42578125" style="60" customWidth="1"/>
    <col min="2832" max="2832" width="18.85546875" style="60" customWidth="1"/>
    <col min="2833" max="2833" width="10.28515625" style="60" customWidth="1"/>
    <col min="2834" max="2834" width="11.42578125" style="60"/>
    <col min="2835" max="2835" width="12.140625" style="60" customWidth="1"/>
    <col min="2836" max="2836" width="10.5703125" style="60" customWidth="1"/>
    <col min="2837" max="2837" width="12.42578125" style="60" customWidth="1"/>
    <col min="2838" max="2838" width="15.140625" style="60" customWidth="1"/>
    <col min="2839" max="2839" width="13.5703125" style="60" customWidth="1"/>
    <col min="2840" max="2840" width="13.140625" style="60" customWidth="1"/>
    <col min="2841" max="2841" width="15.7109375" style="60" customWidth="1"/>
    <col min="2842" max="2842" width="37.5703125" style="60" customWidth="1"/>
    <col min="2843" max="3064" width="11.42578125" style="60"/>
    <col min="3065" max="3065" width="10.5703125" style="60" customWidth="1"/>
    <col min="3066" max="3066" width="4.85546875" style="60" customWidth="1"/>
    <col min="3067" max="3067" width="32.42578125" style="60" customWidth="1"/>
    <col min="3068" max="3068" width="9.85546875" style="60" customWidth="1"/>
    <col min="3069" max="3069" width="10.140625" style="60" customWidth="1"/>
    <col min="3070" max="3070" width="12.28515625" style="60" customWidth="1"/>
    <col min="3071" max="3071" width="15.42578125" style="60" customWidth="1"/>
    <col min="3072" max="3072" width="11.85546875" style="60" customWidth="1"/>
    <col min="3073" max="3073" width="13.28515625" style="60" customWidth="1"/>
    <col min="3074" max="3074" width="15.28515625" style="60" customWidth="1"/>
    <col min="3075" max="3075" width="11.85546875" style="60" customWidth="1"/>
    <col min="3076" max="3076" width="6.140625" style="60" customWidth="1"/>
    <col min="3077" max="3077" width="11.85546875" style="60" customWidth="1"/>
    <col min="3078" max="3078" width="9.42578125" style="60" customWidth="1"/>
    <col min="3079" max="3079" width="14.7109375" style="60" customWidth="1"/>
    <col min="3080" max="3080" width="11.5703125" style="60" customWidth="1"/>
    <col min="3081" max="3081" width="0.42578125" style="60" customWidth="1"/>
    <col min="3082" max="3082" width="10.5703125" style="60" bestFit="1" customWidth="1"/>
    <col min="3083" max="3083" width="12.28515625" style="60" customWidth="1"/>
    <col min="3084" max="3084" width="12.5703125" style="60" customWidth="1"/>
    <col min="3085" max="3085" width="10.5703125" style="60" customWidth="1"/>
    <col min="3086" max="3086" width="10.140625" style="60" customWidth="1"/>
    <col min="3087" max="3087" width="8.42578125" style="60" customWidth="1"/>
    <col min="3088" max="3088" width="18.85546875" style="60" customWidth="1"/>
    <col min="3089" max="3089" width="10.28515625" style="60" customWidth="1"/>
    <col min="3090" max="3090" width="11.42578125" style="60"/>
    <col min="3091" max="3091" width="12.140625" style="60" customWidth="1"/>
    <col min="3092" max="3092" width="10.5703125" style="60" customWidth="1"/>
    <col min="3093" max="3093" width="12.42578125" style="60" customWidth="1"/>
    <col min="3094" max="3094" width="15.140625" style="60" customWidth="1"/>
    <col min="3095" max="3095" width="13.5703125" style="60" customWidth="1"/>
    <col min="3096" max="3096" width="13.140625" style="60" customWidth="1"/>
    <col min="3097" max="3097" width="15.7109375" style="60" customWidth="1"/>
    <col min="3098" max="3098" width="37.5703125" style="60" customWidth="1"/>
    <col min="3099" max="3320" width="11.42578125" style="60"/>
    <col min="3321" max="3321" width="10.5703125" style="60" customWidth="1"/>
    <col min="3322" max="3322" width="4.85546875" style="60" customWidth="1"/>
    <col min="3323" max="3323" width="32.42578125" style="60" customWidth="1"/>
    <col min="3324" max="3324" width="9.85546875" style="60" customWidth="1"/>
    <col min="3325" max="3325" width="10.140625" style="60" customWidth="1"/>
    <col min="3326" max="3326" width="12.28515625" style="60" customWidth="1"/>
    <col min="3327" max="3327" width="15.42578125" style="60" customWidth="1"/>
    <col min="3328" max="3328" width="11.85546875" style="60" customWidth="1"/>
    <col min="3329" max="3329" width="13.28515625" style="60" customWidth="1"/>
    <col min="3330" max="3330" width="15.28515625" style="60" customWidth="1"/>
    <col min="3331" max="3331" width="11.85546875" style="60" customWidth="1"/>
    <col min="3332" max="3332" width="6.140625" style="60" customWidth="1"/>
    <col min="3333" max="3333" width="11.85546875" style="60" customWidth="1"/>
    <col min="3334" max="3334" width="9.42578125" style="60" customWidth="1"/>
    <col min="3335" max="3335" width="14.7109375" style="60" customWidth="1"/>
    <col min="3336" max="3336" width="11.5703125" style="60" customWidth="1"/>
    <col min="3337" max="3337" width="0.42578125" style="60" customWidth="1"/>
    <col min="3338" max="3338" width="10.5703125" style="60" bestFit="1" customWidth="1"/>
    <col min="3339" max="3339" width="12.28515625" style="60" customWidth="1"/>
    <col min="3340" max="3340" width="12.5703125" style="60" customWidth="1"/>
    <col min="3341" max="3341" width="10.5703125" style="60" customWidth="1"/>
    <col min="3342" max="3342" width="10.140625" style="60" customWidth="1"/>
    <col min="3343" max="3343" width="8.42578125" style="60" customWidth="1"/>
    <col min="3344" max="3344" width="18.85546875" style="60" customWidth="1"/>
    <col min="3345" max="3345" width="10.28515625" style="60" customWidth="1"/>
    <col min="3346" max="3346" width="11.42578125" style="60"/>
    <col min="3347" max="3347" width="12.140625" style="60" customWidth="1"/>
    <col min="3348" max="3348" width="10.5703125" style="60" customWidth="1"/>
    <col min="3349" max="3349" width="12.42578125" style="60" customWidth="1"/>
    <col min="3350" max="3350" width="15.140625" style="60" customWidth="1"/>
    <col min="3351" max="3351" width="13.5703125" style="60" customWidth="1"/>
    <col min="3352" max="3352" width="13.140625" style="60" customWidth="1"/>
    <col min="3353" max="3353" width="15.7109375" style="60" customWidth="1"/>
    <col min="3354" max="3354" width="37.5703125" style="60" customWidth="1"/>
    <col min="3355" max="3576" width="11.42578125" style="60"/>
    <col min="3577" max="3577" width="10.5703125" style="60" customWidth="1"/>
    <col min="3578" max="3578" width="4.85546875" style="60" customWidth="1"/>
    <col min="3579" max="3579" width="32.42578125" style="60" customWidth="1"/>
    <col min="3580" max="3580" width="9.85546875" style="60" customWidth="1"/>
    <col min="3581" max="3581" width="10.140625" style="60" customWidth="1"/>
    <col min="3582" max="3582" width="12.28515625" style="60" customWidth="1"/>
    <col min="3583" max="3583" width="15.42578125" style="60" customWidth="1"/>
    <col min="3584" max="3584" width="11.85546875" style="60" customWidth="1"/>
    <col min="3585" max="3585" width="13.28515625" style="60" customWidth="1"/>
    <col min="3586" max="3586" width="15.28515625" style="60" customWidth="1"/>
    <col min="3587" max="3587" width="11.85546875" style="60" customWidth="1"/>
    <col min="3588" max="3588" width="6.140625" style="60" customWidth="1"/>
    <col min="3589" max="3589" width="11.85546875" style="60" customWidth="1"/>
    <col min="3590" max="3590" width="9.42578125" style="60" customWidth="1"/>
    <col min="3591" max="3591" width="14.7109375" style="60" customWidth="1"/>
    <col min="3592" max="3592" width="11.5703125" style="60" customWidth="1"/>
    <col min="3593" max="3593" width="0.42578125" style="60" customWidth="1"/>
    <col min="3594" max="3594" width="10.5703125" style="60" bestFit="1" customWidth="1"/>
    <col min="3595" max="3595" width="12.28515625" style="60" customWidth="1"/>
    <col min="3596" max="3596" width="12.5703125" style="60" customWidth="1"/>
    <col min="3597" max="3597" width="10.5703125" style="60" customWidth="1"/>
    <col min="3598" max="3598" width="10.140625" style="60" customWidth="1"/>
    <col min="3599" max="3599" width="8.42578125" style="60" customWidth="1"/>
    <col min="3600" max="3600" width="18.85546875" style="60" customWidth="1"/>
    <col min="3601" max="3601" width="10.28515625" style="60" customWidth="1"/>
    <col min="3602" max="3602" width="11.42578125" style="60"/>
    <col min="3603" max="3603" width="12.140625" style="60" customWidth="1"/>
    <col min="3604" max="3604" width="10.5703125" style="60" customWidth="1"/>
    <col min="3605" max="3605" width="12.42578125" style="60" customWidth="1"/>
    <col min="3606" max="3606" width="15.140625" style="60" customWidth="1"/>
    <col min="3607" max="3607" width="13.5703125" style="60" customWidth="1"/>
    <col min="3608" max="3608" width="13.140625" style="60" customWidth="1"/>
    <col min="3609" max="3609" width="15.7109375" style="60" customWidth="1"/>
    <col min="3610" max="3610" width="37.5703125" style="60" customWidth="1"/>
    <col min="3611" max="3832" width="11.42578125" style="60"/>
    <col min="3833" max="3833" width="10.5703125" style="60" customWidth="1"/>
    <col min="3834" max="3834" width="4.85546875" style="60" customWidth="1"/>
    <col min="3835" max="3835" width="32.42578125" style="60" customWidth="1"/>
    <col min="3836" max="3836" width="9.85546875" style="60" customWidth="1"/>
    <col min="3837" max="3837" width="10.140625" style="60" customWidth="1"/>
    <col min="3838" max="3838" width="12.28515625" style="60" customWidth="1"/>
    <col min="3839" max="3839" width="15.42578125" style="60" customWidth="1"/>
    <col min="3840" max="3840" width="11.85546875" style="60" customWidth="1"/>
    <col min="3841" max="3841" width="13.28515625" style="60" customWidth="1"/>
    <col min="3842" max="3842" width="15.28515625" style="60" customWidth="1"/>
    <col min="3843" max="3843" width="11.85546875" style="60" customWidth="1"/>
    <col min="3844" max="3844" width="6.140625" style="60" customWidth="1"/>
    <col min="3845" max="3845" width="11.85546875" style="60" customWidth="1"/>
    <col min="3846" max="3846" width="9.42578125" style="60" customWidth="1"/>
    <col min="3847" max="3847" width="14.7109375" style="60" customWidth="1"/>
    <col min="3848" max="3848" width="11.5703125" style="60" customWidth="1"/>
    <col min="3849" max="3849" width="0.42578125" style="60" customWidth="1"/>
    <col min="3850" max="3850" width="10.5703125" style="60" bestFit="1" customWidth="1"/>
    <col min="3851" max="3851" width="12.28515625" style="60" customWidth="1"/>
    <col min="3852" max="3852" width="12.5703125" style="60" customWidth="1"/>
    <col min="3853" max="3853" width="10.5703125" style="60" customWidth="1"/>
    <col min="3854" max="3854" width="10.140625" style="60" customWidth="1"/>
    <col min="3855" max="3855" width="8.42578125" style="60" customWidth="1"/>
    <col min="3856" max="3856" width="18.85546875" style="60" customWidth="1"/>
    <col min="3857" max="3857" width="10.28515625" style="60" customWidth="1"/>
    <col min="3858" max="3858" width="11.42578125" style="60"/>
    <col min="3859" max="3859" width="12.140625" style="60" customWidth="1"/>
    <col min="3860" max="3860" width="10.5703125" style="60" customWidth="1"/>
    <col min="3861" max="3861" width="12.42578125" style="60" customWidth="1"/>
    <col min="3862" max="3862" width="15.140625" style="60" customWidth="1"/>
    <col min="3863" max="3863" width="13.5703125" style="60" customWidth="1"/>
    <col min="3864" max="3864" width="13.140625" style="60" customWidth="1"/>
    <col min="3865" max="3865" width="15.7109375" style="60" customWidth="1"/>
    <col min="3866" max="3866" width="37.5703125" style="60" customWidth="1"/>
    <col min="3867" max="4088" width="11.42578125" style="60"/>
    <col min="4089" max="4089" width="10.5703125" style="60" customWidth="1"/>
    <col min="4090" max="4090" width="4.85546875" style="60" customWidth="1"/>
    <col min="4091" max="4091" width="32.42578125" style="60" customWidth="1"/>
    <col min="4092" max="4092" width="9.85546875" style="60" customWidth="1"/>
    <col min="4093" max="4093" width="10.140625" style="60" customWidth="1"/>
    <col min="4094" max="4094" width="12.28515625" style="60" customWidth="1"/>
    <col min="4095" max="4095" width="15.42578125" style="60" customWidth="1"/>
    <col min="4096" max="4096" width="11.85546875" style="60" customWidth="1"/>
    <col min="4097" max="4097" width="13.28515625" style="60" customWidth="1"/>
    <col min="4098" max="4098" width="15.28515625" style="60" customWidth="1"/>
    <col min="4099" max="4099" width="11.85546875" style="60" customWidth="1"/>
    <col min="4100" max="4100" width="6.140625" style="60" customWidth="1"/>
    <col min="4101" max="4101" width="11.85546875" style="60" customWidth="1"/>
    <col min="4102" max="4102" width="9.42578125" style="60" customWidth="1"/>
    <col min="4103" max="4103" width="14.7109375" style="60" customWidth="1"/>
    <col min="4104" max="4104" width="11.5703125" style="60" customWidth="1"/>
    <col min="4105" max="4105" width="0.42578125" style="60" customWidth="1"/>
    <col min="4106" max="4106" width="10.5703125" style="60" bestFit="1" customWidth="1"/>
    <col min="4107" max="4107" width="12.28515625" style="60" customWidth="1"/>
    <col min="4108" max="4108" width="12.5703125" style="60" customWidth="1"/>
    <col min="4109" max="4109" width="10.5703125" style="60" customWidth="1"/>
    <col min="4110" max="4110" width="10.140625" style="60" customWidth="1"/>
    <col min="4111" max="4111" width="8.42578125" style="60" customWidth="1"/>
    <col min="4112" max="4112" width="18.85546875" style="60" customWidth="1"/>
    <col min="4113" max="4113" width="10.28515625" style="60" customWidth="1"/>
    <col min="4114" max="4114" width="11.42578125" style="60"/>
    <col min="4115" max="4115" width="12.140625" style="60" customWidth="1"/>
    <col min="4116" max="4116" width="10.5703125" style="60" customWidth="1"/>
    <col min="4117" max="4117" width="12.42578125" style="60" customWidth="1"/>
    <col min="4118" max="4118" width="15.140625" style="60" customWidth="1"/>
    <col min="4119" max="4119" width="13.5703125" style="60" customWidth="1"/>
    <col min="4120" max="4120" width="13.140625" style="60" customWidth="1"/>
    <col min="4121" max="4121" width="15.7109375" style="60" customWidth="1"/>
    <col min="4122" max="4122" width="37.5703125" style="60" customWidth="1"/>
    <col min="4123" max="4344" width="11.42578125" style="60"/>
    <col min="4345" max="4345" width="10.5703125" style="60" customWidth="1"/>
    <col min="4346" max="4346" width="4.85546875" style="60" customWidth="1"/>
    <col min="4347" max="4347" width="32.42578125" style="60" customWidth="1"/>
    <col min="4348" max="4348" width="9.85546875" style="60" customWidth="1"/>
    <col min="4349" max="4349" width="10.140625" style="60" customWidth="1"/>
    <col min="4350" max="4350" width="12.28515625" style="60" customWidth="1"/>
    <col min="4351" max="4351" width="15.42578125" style="60" customWidth="1"/>
    <col min="4352" max="4352" width="11.85546875" style="60" customWidth="1"/>
    <col min="4353" max="4353" width="13.28515625" style="60" customWidth="1"/>
    <col min="4354" max="4354" width="15.28515625" style="60" customWidth="1"/>
    <col min="4355" max="4355" width="11.85546875" style="60" customWidth="1"/>
    <col min="4356" max="4356" width="6.140625" style="60" customWidth="1"/>
    <col min="4357" max="4357" width="11.85546875" style="60" customWidth="1"/>
    <col min="4358" max="4358" width="9.42578125" style="60" customWidth="1"/>
    <col min="4359" max="4359" width="14.7109375" style="60" customWidth="1"/>
    <col min="4360" max="4360" width="11.5703125" style="60" customWidth="1"/>
    <col min="4361" max="4361" width="0.42578125" style="60" customWidth="1"/>
    <col min="4362" max="4362" width="10.5703125" style="60" bestFit="1" customWidth="1"/>
    <col min="4363" max="4363" width="12.28515625" style="60" customWidth="1"/>
    <col min="4364" max="4364" width="12.5703125" style="60" customWidth="1"/>
    <col min="4365" max="4365" width="10.5703125" style="60" customWidth="1"/>
    <col min="4366" max="4366" width="10.140625" style="60" customWidth="1"/>
    <col min="4367" max="4367" width="8.42578125" style="60" customWidth="1"/>
    <col min="4368" max="4368" width="18.85546875" style="60" customWidth="1"/>
    <col min="4369" max="4369" width="10.28515625" style="60" customWidth="1"/>
    <col min="4370" max="4370" width="11.42578125" style="60"/>
    <col min="4371" max="4371" width="12.140625" style="60" customWidth="1"/>
    <col min="4372" max="4372" width="10.5703125" style="60" customWidth="1"/>
    <col min="4373" max="4373" width="12.42578125" style="60" customWidth="1"/>
    <col min="4374" max="4374" width="15.140625" style="60" customWidth="1"/>
    <col min="4375" max="4375" width="13.5703125" style="60" customWidth="1"/>
    <col min="4376" max="4376" width="13.140625" style="60" customWidth="1"/>
    <col min="4377" max="4377" width="15.7109375" style="60" customWidth="1"/>
    <col min="4378" max="4378" width="37.5703125" style="60" customWidth="1"/>
    <col min="4379" max="4600" width="11.42578125" style="60"/>
    <col min="4601" max="4601" width="10.5703125" style="60" customWidth="1"/>
    <col min="4602" max="4602" width="4.85546875" style="60" customWidth="1"/>
    <col min="4603" max="4603" width="32.42578125" style="60" customWidth="1"/>
    <col min="4604" max="4604" width="9.85546875" style="60" customWidth="1"/>
    <col min="4605" max="4605" width="10.140625" style="60" customWidth="1"/>
    <col min="4606" max="4606" width="12.28515625" style="60" customWidth="1"/>
    <col min="4607" max="4607" width="15.42578125" style="60" customWidth="1"/>
    <col min="4608" max="4608" width="11.85546875" style="60" customWidth="1"/>
    <col min="4609" max="4609" width="13.28515625" style="60" customWidth="1"/>
    <col min="4610" max="4610" width="15.28515625" style="60" customWidth="1"/>
    <col min="4611" max="4611" width="11.85546875" style="60" customWidth="1"/>
    <col min="4612" max="4612" width="6.140625" style="60" customWidth="1"/>
    <col min="4613" max="4613" width="11.85546875" style="60" customWidth="1"/>
    <col min="4614" max="4614" width="9.42578125" style="60" customWidth="1"/>
    <col min="4615" max="4615" width="14.7109375" style="60" customWidth="1"/>
    <col min="4616" max="4616" width="11.5703125" style="60" customWidth="1"/>
    <col min="4617" max="4617" width="0.42578125" style="60" customWidth="1"/>
    <col min="4618" max="4618" width="10.5703125" style="60" bestFit="1" customWidth="1"/>
    <col min="4619" max="4619" width="12.28515625" style="60" customWidth="1"/>
    <col min="4620" max="4620" width="12.5703125" style="60" customWidth="1"/>
    <col min="4621" max="4621" width="10.5703125" style="60" customWidth="1"/>
    <col min="4622" max="4622" width="10.140625" style="60" customWidth="1"/>
    <col min="4623" max="4623" width="8.42578125" style="60" customWidth="1"/>
    <col min="4624" max="4624" width="18.85546875" style="60" customWidth="1"/>
    <col min="4625" max="4625" width="10.28515625" style="60" customWidth="1"/>
    <col min="4626" max="4626" width="11.42578125" style="60"/>
    <col min="4627" max="4627" width="12.140625" style="60" customWidth="1"/>
    <col min="4628" max="4628" width="10.5703125" style="60" customWidth="1"/>
    <col min="4629" max="4629" width="12.42578125" style="60" customWidth="1"/>
    <col min="4630" max="4630" width="15.140625" style="60" customWidth="1"/>
    <col min="4631" max="4631" width="13.5703125" style="60" customWidth="1"/>
    <col min="4632" max="4632" width="13.140625" style="60" customWidth="1"/>
    <col min="4633" max="4633" width="15.7109375" style="60" customWidth="1"/>
    <col min="4634" max="4634" width="37.5703125" style="60" customWidth="1"/>
    <col min="4635" max="4856" width="11.42578125" style="60"/>
    <col min="4857" max="4857" width="10.5703125" style="60" customWidth="1"/>
    <col min="4858" max="4858" width="4.85546875" style="60" customWidth="1"/>
    <col min="4859" max="4859" width="32.42578125" style="60" customWidth="1"/>
    <col min="4860" max="4860" width="9.85546875" style="60" customWidth="1"/>
    <col min="4861" max="4861" width="10.140625" style="60" customWidth="1"/>
    <col min="4862" max="4862" width="12.28515625" style="60" customWidth="1"/>
    <col min="4863" max="4863" width="15.42578125" style="60" customWidth="1"/>
    <col min="4864" max="4864" width="11.85546875" style="60" customWidth="1"/>
    <col min="4865" max="4865" width="13.28515625" style="60" customWidth="1"/>
    <col min="4866" max="4866" width="15.28515625" style="60" customWidth="1"/>
    <col min="4867" max="4867" width="11.85546875" style="60" customWidth="1"/>
    <col min="4868" max="4868" width="6.140625" style="60" customWidth="1"/>
    <col min="4869" max="4869" width="11.85546875" style="60" customWidth="1"/>
    <col min="4870" max="4870" width="9.42578125" style="60" customWidth="1"/>
    <col min="4871" max="4871" width="14.7109375" style="60" customWidth="1"/>
    <col min="4872" max="4872" width="11.5703125" style="60" customWidth="1"/>
    <col min="4873" max="4873" width="0.42578125" style="60" customWidth="1"/>
    <col min="4874" max="4874" width="10.5703125" style="60" bestFit="1" customWidth="1"/>
    <col min="4875" max="4875" width="12.28515625" style="60" customWidth="1"/>
    <col min="4876" max="4876" width="12.5703125" style="60" customWidth="1"/>
    <col min="4877" max="4877" width="10.5703125" style="60" customWidth="1"/>
    <col min="4878" max="4878" width="10.140625" style="60" customWidth="1"/>
    <col min="4879" max="4879" width="8.42578125" style="60" customWidth="1"/>
    <col min="4880" max="4880" width="18.85546875" style="60" customWidth="1"/>
    <col min="4881" max="4881" width="10.28515625" style="60" customWidth="1"/>
    <col min="4882" max="4882" width="11.42578125" style="60"/>
    <col min="4883" max="4883" width="12.140625" style="60" customWidth="1"/>
    <col min="4884" max="4884" width="10.5703125" style="60" customWidth="1"/>
    <col min="4885" max="4885" width="12.42578125" style="60" customWidth="1"/>
    <col min="4886" max="4886" width="15.140625" style="60" customWidth="1"/>
    <col min="4887" max="4887" width="13.5703125" style="60" customWidth="1"/>
    <col min="4888" max="4888" width="13.140625" style="60" customWidth="1"/>
    <col min="4889" max="4889" width="15.7109375" style="60" customWidth="1"/>
    <col min="4890" max="4890" width="37.5703125" style="60" customWidth="1"/>
    <col min="4891" max="5112" width="11.42578125" style="60"/>
    <col min="5113" max="5113" width="10.5703125" style="60" customWidth="1"/>
    <col min="5114" max="5114" width="4.85546875" style="60" customWidth="1"/>
    <col min="5115" max="5115" width="32.42578125" style="60" customWidth="1"/>
    <col min="5116" max="5116" width="9.85546875" style="60" customWidth="1"/>
    <col min="5117" max="5117" width="10.140625" style="60" customWidth="1"/>
    <col min="5118" max="5118" width="12.28515625" style="60" customWidth="1"/>
    <col min="5119" max="5119" width="15.42578125" style="60" customWidth="1"/>
    <col min="5120" max="5120" width="11.85546875" style="60" customWidth="1"/>
    <col min="5121" max="5121" width="13.28515625" style="60" customWidth="1"/>
    <col min="5122" max="5122" width="15.28515625" style="60" customWidth="1"/>
    <col min="5123" max="5123" width="11.85546875" style="60" customWidth="1"/>
    <col min="5124" max="5124" width="6.140625" style="60" customWidth="1"/>
    <col min="5125" max="5125" width="11.85546875" style="60" customWidth="1"/>
    <col min="5126" max="5126" width="9.42578125" style="60" customWidth="1"/>
    <col min="5127" max="5127" width="14.7109375" style="60" customWidth="1"/>
    <col min="5128" max="5128" width="11.5703125" style="60" customWidth="1"/>
    <col min="5129" max="5129" width="0.42578125" style="60" customWidth="1"/>
    <col min="5130" max="5130" width="10.5703125" style="60" bestFit="1" customWidth="1"/>
    <col min="5131" max="5131" width="12.28515625" style="60" customWidth="1"/>
    <col min="5132" max="5132" width="12.5703125" style="60" customWidth="1"/>
    <col min="5133" max="5133" width="10.5703125" style="60" customWidth="1"/>
    <col min="5134" max="5134" width="10.140625" style="60" customWidth="1"/>
    <col min="5135" max="5135" width="8.42578125" style="60" customWidth="1"/>
    <col min="5136" max="5136" width="18.85546875" style="60" customWidth="1"/>
    <col min="5137" max="5137" width="10.28515625" style="60" customWidth="1"/>
    <col min="5138" max="5138" width="11.42578125" style="60"/>
    <col min="5139" max="5139" width="12.140625" style="60" customWidth="1"/>
    <col min="5140" max="5140" width="10.5703125" style="60" customWidth="1"/>
    <col min="5141" max="5141" width="12.42578125" style="60" customWidth="1"/>
    <col min="5142" max="5142" width="15.140625" style="60" customWidth="1"/>
    <col min="5143" max="5143" width="13.5703125" style="60" customWidth="1"/>
    <col min="5144" max="5144" width="13.140625" style="60" customWidth="1"/>
    <col min="5145" max="5145" width="15.7109375" style="60" customWidth="1"/>
    <col min="5146" max="5146" width="37.5703125" style="60" customWidth="1"/>
    <col min="5147" max="5368" width="11.42578125" style="60"/>
    <col min="5369" max="5369" width="10.5703125" style="60" customWidth="1"/>
    <col min="5370" max="5370" width="4.85546875" style="60" customWidth="1"/>
    <col min="5371" max="5371" width="32.42578125" style="60" customWidth="1"/>
    <col min="5372" max="5372" width="9.85546875" style="60" customWidth="1"/>
    <col min="5373" max="5373" width="10.140625" style="60" customWidth="1"/>
    <col min="5374" max="5374" width="12.28515625" style="60" customWidth="1"/>
    <col min="5375" max="5375" width="15.42578125" style="60" customWidth="1"/>
    <col min="5376" max="5376" width="11.85546875" style="60" customWidth="1"/>
    <col min="5377" max="5377" width="13.28515625" style="60" customWidth="1"/>
    <col min="5378" max="5378" width="15.28515625" style="60" customWidth="1"/>
    <col min="5379" max="5379" width="11.85546875" style="60" customWidth="1"/>
    <col min="5380" max="5380" width="6.140625" style="60" customWidth="1"/>
    <col min="5381" max="5381" width="11.85546875" style="60" customWidth="1"/>
    <col min="5382" max="5382" width="9.42578125" style="60" customWidth="1"/>
    <col min="5383" max="5383" width="14.7109375" style="60" customWidth="1"/>
    <col min="5384" max="5384" width="11.5703125" style="60" customWidth="1"/>
    <col min="5385" max="5385" width="0.42578125" style="60" customWidth="1"/>
    <col min="5386" max="5386" width="10.5703125" style="60" bestFit="1" customWidth="1"/>
    <col min="5387" max="5387" width="12.28515625" style="60" customWidth="1"/>
    <col min="5388" max="5388" width="12.5703125" style="60" customWidth="1"/>
    <col min="5389" max="5389" width="10.5703125" style="60" customWidth="1"/>
    <col min="5390" max="5390" width="10.140625" style="60" customWidth="1"/>
    <col min="5391" max="5391" width="8.42578125" style="60" customWidth="1"/>
    <col min="5392" max="5392" width="18.85546875" style="60" customWidth="1"/>
    <col min="5393" max="5393" width="10.28515625" style="60" customWidth="1"/>
    <col min="5394" max="5394" width="11.42578125" style="60"/>
    <col min="5395" max="5395" width="12.140625" style="60" customWidth="1"/>
    <col min="5396" max="5396" width="10.5703125" style="60" customWidth="1"/>
    <col min="5397" max="5397" width="12.42578125" style="60" customWidth="1"/>
    <col min="5398" max="5398" width="15.140625" style="60" customWidth="1"/>
    <col min="5399" max="5399" width="13.5703125" style="60" customWidth="1"/>
    <col min="5400" max="5400" width="13.140625" style="60" customWidth="1"/>
    <col min="5401" max="5401" width="15.7109375" style="60" customWidth="1"/>
    <col min="5402" max="5402" width="37.5703125" style="60" customWidth="1"/>
    <col min="5403" max="5624" width="11.42578125" style="60"/>
    <col min="5625" max="5625" width="10.5703125" style="60" customWidth="1"/>
    <col min="5626" max="5626" width="4.85546875" style="60" customWidth="1"/>
    <col min="5627" max="5627" width="32.42578125" style="60" customWidth="1"/>
    <col min="5628" max="5628" width="9.85546875" style="60" customWidth="1"/>
    <col min="5629" max="5629" width="10.140625" style="60" customWidth="1"/>
    <col min="5630" max="5630" width="12.28515625" style="60" customWidth="1"/>
    <col min="5631" max="5631" width="15.42578125" style="60" customWidth="1"/>
    <col min="5632" max="5632" width="11.85546875" style="60" customWidth="1"/>
    <col min="5633" max="5633" width="13.28515625" style="60" customWidth="1"/>
    <col min="5634" max="5634" width="15.28515625" style="60" customWidth="1"/>
    <col min="5635" max="5635" width="11.85546875" style="60" customWidth="1"/>
    <col min="5636" max="5636" width="6.140625" style="60" customWidth="1"/>
    <col min="5637" max="5637" width="11.85546875" style="60" customWidth="1"/>
    <col min="5638" max="5638" width="9.42578125" style="60" customWidth="1"/>
    <col min="5639" max="5639" width="14.7109375" style="60" customWidth="1"/>
    <col min="5640" max="5640" width="11.5703125" style="60" customWidth="1"/>
    <col min="5641" max="5641" width="0.42578125" style="60" customWidth="1"/>
    <col min="5642" max="5642" width="10.5703125" style="60" bestFit="1" customWidth="1"/>
    <col min="5643" max="5643" width="12.28515625" style="60" customWidth="1"/>
    <col min="5644" max="5644" width="12.5703125" style="60" customWidth="1"/>
    <col min="5645" max="5645" width="10.5703125" style="60" customWidth="1"/>
    <col min="5646" max="5646" width="10.140625" style="60" customWidth="1"/>
    <col min="5647" max="5647" width="8.42578125" style="60" customWidth="1"/>
    <col min="5648" max="5648" width="18.85546875" style="60" customWidth="1"/>
    <col min="5649" max="5649" width="10.28515625" style="60" customWidth="1"/>
    <col min="5650" max="5650" width="11.42578125" style="60"/>
    <col min="5651" max="5651" width="12.140625" style="60" customWidth="1"/>
    <col min="5652" max="5652" width="10.5703125" style="60" customWidth="1"/>
    <col min="5653" max="5653" width="12.42578125" style="60" customWidth="1"/>
    <col min="5654" max="5654" width="15.140625" style="60" customWidth="1"/>
    <col min="5655" max="5655" width="13.5703125" style="60" customWidth="1"/>
    <col min="5656" max="5656" width="13.140625" style="60" customWidth="1"/>
    <col min="5657" max="5657" width="15.7109375" style="60" customWidth="1"/>
    <col min="5658" max="5658" width="37.5703125" style="60" customWidth="1"/>
    <col min="5659" max="5880" width="11.42578125" style="60"/>
    <col min="5881" max="5881" width="10.5703125" style="60" customWidth="1"/>
    <col min="5882" max="5882" width="4.85546875" style="60" customWidth="1"/>
    <col min="5883" max="5883" width="32.42578125" style="60" customWidth="1"/>
    <col min="5884" max="5884" width="9.85546875" style="60" customWidth="1"/>
    <col min="5885" max="5885" width="10.140625" style="60" customWidth="1"/>
    <col min="5886" max="5886" width="12.28515625" style="60" customWidth="1"/>
    <col min="5887" max="5887" width="15.42578125" style="60" customWidth="1"/>
    <col min="5888" max="5888" width="11.85546875" style="60" customWidth="1"/>
    <col min="5889" max="5889" width="13.28515625" style="60" customWidth="1"/>
    <col min="5890" max="5890" width="15.28515625" style="60" customWidth="1"/>
    <col min="5891" max="5891" width="11.85546875" style="60" customWidth="1"/>
    <col min="5892" max="5892" width="6.140625" style="60" customWidth="1"/>
    <col min="5893" max="5893" width="11.85546875" style="60" customWidth="1"/>
    <col min="5894" max="5894" width="9.42578125" style="60" customWidth="1"/>
    <col min="5895" max="5895" width="14.7109375" style="60" customWidth="1"/>
    <col min="5896" max="5896" width="11.5703125" style="60" customWidth="1"/>
    <col min="5897" max="5897" width="0.42578125" style="60" customWidth="1"/>
    <col min="5898" max="5898" width="10.5703125" style="60" bestFit="1" customWidth="1"/>
    <col min="5899" max="5899" width="12.28515625" style="60" customWidth="1"/>
    <col min="5900" max="5900" width="12.5703125" style="60" customWidth="1"/>
    <col min="5901" max="5901" width="10.5703125" style="60" customWidth="1"/>
    <col min="5902" max="5902" width="10.140625" style="60" customWidth="1"/>
    <col min="5903" max="5903" width="8.42578125" style="60" customWidth="1"/>
    <col min="5904" max="5904" width="18.85546875" style="60" customWidth="1"/>
    <col min="5905" max="5905" width="10.28515625" style="60" customWidth="1"/>
    <col min="5906" max="5906" width="11.42578125" style="60"/>
    <col min="5907" max="5907" width="12.140625" style="60" customWidth="1"/>
    <col min="5908" max="5908" width="10.5703125" style="60" customWidth="1"/>
    <col min="5909" max="5909" width="12.42578125" style="60" customWidth="1"/>
    <col min="5910" max="5910" width="15.140625" style="60" customWidth="1"/>
    <col min="5911" max="5911" width="13.5703125" style="60" customWidth="1"/>
    <col min="5912" max="5912" width="13.140625" style="60" customWidth="1"/>
    <col min="5913" max="5913" width="15.7109375" style="60" customWidth="1"/>
    <col min="5914" max="5914" width="37.5703125" style="60" customWidth="1"/>
    <col min="5915" max="6136" width="11.42578125" style="60"/>
    <col min="6137" max="6137" width="10.5703125" style="60" customWidth="1"/>
    <col min="6138" max="6138" width="4.85546875" style="60" customWidth="1"/>
    <col min="6139" max="6139" width="32.42578125" style="60" customWidth="1"/>
    <col min="6140" max="6140" width="9.85546875" style="60" customWidth="1"/>
    <col min="6141" max="6141" width="10.140625" style="60" customWidth="1"/>
    <col min="6142" max="6142" width="12.28515625" style="60" customWidth="1"/>
    <col min="6143" max="6143" width="15.42578125" style="60" customWidth="1"/>
    <col min="6144" max="6144" width="11.85546875" style="60" customWidth="1"/>
    <col min="6145" max="6145" width="13.28515625" style="60" customWidth="1"/>
    <col min="6146" max="6146" width="15.28515625" style="60" customWidth="1"/>
    <col min="6147" max="6147" width="11.85546875" style="60" customWidth="1"/>
    <col min="6148" max="6148" width="6.140625" style="60" customWidth="1"/>
    <col min="6149" max="6149" width="11.85546875" style="60" customWidth="1"/>
    <col min="6150" max="6150" width="9.42578125" style="60" customWidth="1"/>
    <col min="6151" max="6151" width="14.7109375" style="60" customWidth="1"/>
    <col min="6152" max="6152" width="11.5703125" style="60" customWidth="1"/>
    <col min="6153" max="6153" width="0.42578125" style="60" customWidth="1"/>
    <col min="6154" max="6154" width="10.5703125" style="60" bestFit="1" customWidth="1"/>
    <col min="6155" max="6155" width="12.28515625" style="60" customWidth="1"/>
    <col min="6156" max="6156" width="12.5703125" style="60" customWidth="1"/>
    <col min="6157" max="6157" width="10.5703125" style="60" customWidth="1"/>
    <col min="6158" max="6158" width="10.140625" style="60" customWidth="1"/>
    <col min="6159" max="6159" width="8.42578125" style="60" customWidth="1"/>
    <col min="6160" max="6160" width="18.85546875" style="60" customWidth="1"/>
    <col min="6161" max="6161" width="10.28515625" style="60" customWidth="1"/>
    <col min="6162" max="6162" width="11.42578125" style="60"/>
    <col min="6163" max="6163" width="12.140625" style="60" customWidth="1"/>
    <col min="6164" max="6164" width="10.5703125" style="60" customWidth="1"/>
    <col min="6165" max="6165" width="12.42578125" style="60" customWidth="1"/>
    <col min="6166" max="6166" width="15.140625" style="60" customWidth="1"/>
    <col min="6167" max="6167" width="13.5703125" style="60" customWidth="1"/>
    <col min="6168" max="6168" width="13.140625" style="60" customWidth="1"/>
    <col min="6169" max="6169" width="15.7109375" style="60" customWidth="1"/>
    <col min="6170" max="6170" width="37.5703125" style="60" customWidth="1"/>
    <col min="6171" max="6392" width="11.42578125" style="60"/>
    <col min="6393" max="6393" width="10.5703125" style="60" customWidth="1"/>
    <col min="6394" max="6394" width="4.85546875" style="60" customWidth="1"/>
    <col min="6395" max="6395" width="32.42578125" style="60" customWidth="1"/>
    <col min="6396" max="6396" width="9.85546875" style="60" customWidth="1"/>
    <col min="6397" max="6397" width="10.140625" style="60" customWidth="1"/>
    <col min="6398" max="6398" width="12.28515625" style="60" customWidth="1"/>
    <col min="6399" max="6399" width="15.42578125" style="60" customWidth="1"/>
    <col min="6400" max="6400" width="11.85546875" style="60" customWidth="1"/>
    <col min="6401" max="6401" width="13.28515625" style="60" customWidth="1"/>
    <col min="6402" max="6402" width="15.28515625" style="60" customWidth="1"/>
    <col min="6403" max="6403" width="11.85546875" style="60" customWidth="1"/>
    <col min="6404" max="6404" width="6.140625" style="60" customWidth="1"/>
    <col min="6405" max="6405" width="11.85546875" style="60" customWidth="1"/>
    <col min="6406" max="6406" width="9.42578125" style="60" customWidth="1"/>
    <col min="6407" max="6407" width="14.7109375" style="60" customWidth="1"/>
    <col min="6408" max="6408" width="11.5703125" style="60" customWidth="1"/>
    <col min="6409" max="6409" width="0.42578125" style="60" customWidth="1"/>
    <col min="6410" max="6410" width="10.5703125" style="60" bestFit="1" customWidth="1"/>
    <col min="6411" max="6411" width="12.28515625" style="60" customWidth="1"/>
    <col min="6412" max="6412" width="12.5703125" style="60" customWidth="1"/>
    <col min="6413" max="6413" width="10.5703125" style="60" customWidth="1"/>
    <col min="6414" max="6414" width="10.140625" style="60" customWidth="1"/>
    <col min="6415" max="6415" width="8.42578125" style="60" customWidth="1"/>
    <col min="6416" max="6416" width="18.85546875" style="60" customWidth="1"/>
    <col min="6417" max="6417" width="10.28515625" style="60" customWidth="1"/>
    <col min="6418" max="6418" width="11.42578125" style="60"/>
    <col min="6419" max="6419" width="12.140625" style="60" customWidth="1"/>
    <col min="6420" max="6420" width="10.5703125" style="60" customWidth="1"/>
    <col min="6421" max="6421" width="12.42578125" style="60" customWidth="1"/>
    <col min="6422" max="6422" width="15.140625" style="60" customWidth="1"/>
    <col min="6423" max="6423" width="13.5703125" style="60" customWidth="1"/>
    <col min="6424" max="6424" width="13.140625" style="60" customWidth="1"/>
    <col min="6425" max="6425" width="15.7109375" style="60" customWidth="1"/>
    <col min="6426" max="6426" width="37.5703125" style="60" customWidth="1"/>
    <col min="6427" max="6648" width="11.42578125" style="60"/>
    <col min="6649" max="6649" width="10.5703125" style="60" customWidth="1"/>
    <col min="6650" max="6650" width="4.85546875" style="60" customWidth="1"/>
    <col min="6651" max="6651" width="32.42578125" style="60" customWidth="1"/>
    <col min="6652" max="6652" width="9.85546875" style="60" customWidth="1"/>
    <col min="6653" max="6653" width="10.140625" style="60" customWidth="1"/>
    <col min="6654" max="6654" width="12.28515625" style="60" customWidth="1"/>
    <col min="6655" max="6655" width="15.42578125" style="60" customWidth="1"/>
    <col min="6656" max="6656" width="11.85546875" style="60" customWidth="1"/>
    <col min="6657" max="6657" width="13.28515625" style="60" customWidth="1"/>
    <col min="6658" max="6658" width="15.28515625" style="60" customWidth="1"/>
    <col min="6659" max="6659" width="11.85546875" style="60" customWidth="1"/>
    <col min="6660" max="6660" width="6.140625" style="60" customWidth="1"/>
    <col min="6661" max="6661" width="11.85546875" style="60" customWidth="1"/>
    <col min="6662" max="6662" width="9.42578125" style="60" customWidth="1"/>
    <col min="6663" max="6663" width="14.7109375" style="60" customWidth="1"/>
    <col min="6664" max="6664" width="11.5703125" style="60" customWidth="1"/>
    <col min="6665" max="6665" width="0.42578125" style="60" customWidth="1"/>
    <col min="6666" max="6666" width="10.5703125" style="60" bestFit="1" customWidth="1"/>
    <col min="6667" max="6667" width="12.28515625" style="60" customWidth="1"/>
    <col min="6668" max="6668" width="12.5703125" style="60" customWidth="1"/>
    <col min="6669" max="6669" width="10.5703125" style="60" customWidth="1"/>
    <col min="6670" max="6670" width="10.140625" style="60" customWidth="1"/>
    <col min="6671" max="6671" width="8.42578125" style="60" customWidth="1"/>
    <col min="6672" max="6672" width="18.85546875" style="60" customWidth="1"/>
    <col min="6673" max="6673" width="10.28515625" style="60" customWidth="1"/>
    <col min="6674" max="6674" width="11.42578125" style="60"/>
    <col min="6675" max="6675" width="12.140625" style="60" customWidth="1"/>
    <col min="6676" max="6676" width="10.5703125" style="60" customWidth="1"/>
    <col min="6677" max="6677" width="12.42578125" style="60" customWidth="1"/>
    <col min="6678" max="6678" width="15.140625" style="60" customWidth="1"/>
    <col min="6679" max="6679" width="13.5703125" style="60" customWidth="1"/>
    <col min="6680" max="6680" width="13.140625" style="60" customWidth="1"/>
    <col min="6681" max="6681" width="15.7109375" style="60" customWidth="1"/>
    <col min="6682" max="6682" width="37.5703125" style="60" customWidth="1"/>
    <col min="6683" max="6904" width="11.42578125" style="60"/>
    <col min="6905" max="6905" width="10.5703125" style="60" customWidth="1"/>
    <col min="6906" max="6906" width="4.85546875" style="60" customWidth="1"/>
    <col min="6907" max="6907" width="32.42578125" style="60" customWidth="1"/>
    <col min="6908" max="6908" width="9.85546875" style="60" customWidth="1"/>
    <col min="6909" max="6909" width="10.140625" style="60" customWidth="1"/>
    <col min="6910" max="6910" width="12.28515625" style="60" customWidth="1"/>
    <col min="6911" max="6911" width="15.42578125" style="60" customWidth="1"/>
    <col min="6912" max="6912" width="11.85546875" style="60" customWidth="1"/>
    <col min="6913" max="6913" width="13.28515625" style="60" customWidth="1"/>
    <col min="6914" max="6914" width="15.28515625" style="60" customWidth="1"/>
    <col min="6915" max="6915" width="11.85546875" style="60" customWidth="1"/>
    <col min="6916" max="6916" width="6.140625" style="60" customWidth="1"/>
    <col min="6917" max="6917" width="11.85546875" style="60" customWidth="1"/>
    <col min="6918" max="6918" width="9.42578125" style="60" customWidth="1"/>
    <col min="6919" max="6919" width="14.7109375" style="60" customWidth="1"/>
    <col min="6920" max="6920" width="11.5703125" style="60" customWidth="1"/>
    <col min="6921" max="6921" width="0.42578125" style="60" customWidth="1"/>
    <col min="6922" max="6922" width="10.5703125" style="60" bestFit="1" customWidth="1"/>
    <col min="6923" max="6923" width="12.28515625" style="60" customWidth="1"/>
    <col min="6924" max="6924" width="12.5703125" style="60" customWidth="1"/>
    <col min="6925" max="6925" width="10.5703125" style="60" customWidth="1"/>
    <col min="6926" max="6926" width="10.140625" style="60" customWidth="1"/>
    <col min="6927" max="6927" width="8.42578125" style="60" customWidth="1"/>
    <col min="6928" max="6928" width="18.85546875" style="60" customWidth="1"/>
    <col min="6929" max="6929" width="10.28515625" style="60" customWidth="1"/>
    <col min="6930" max="6930" width="11.42578125" style="60"/>
    <col min="6931" max="6931" width="12.140625" style="60" customWidth="1"/>
    <col min="6932" max="6932" width="10.5703125" style="60" customWidth="1"/>
    <col min="6933" max="6933" width="12.42578125" style="60" customWidth="1"/>
    <col min="6934" max="6934" width="15.140625" style="60" customWidth="1"/>
    <col min="6935" max="6935" width="13.5703125" style="60" customWidth="1"/>
    <col min="6936" max="6936" width="13.140625" style="60" customWidth="1"/>
    <col min="6937" max="6937" width="15.7109375" style="60" customWidth="1"/>
    <col min="6938" max="6938" width="37.5703125" style="60" customWidth="1"/>
    <col min="6939" max="7160" width="11.42578125" style="60"/>
    <col min="7161" max="7161" width="10.5703125" style="60" customWidth="1"/>
    <col min="7162" max="7162" width="4.85546875" style="60" customWidth="1"/>
    <col min="7163" max="7163" width="32.42578125" style="60" customWidth="1"/>
    <col min="7164" max="7164" width="9.85546875" style="60" customWidth="1"/>
    <col min="7165" max="7165" width="10.140625" style="60" customWidth="1"/>
    <col min="7166" max="7166" width="12.28515625" style="60" customWidth="1"/>
    <col min="7167" max="7167" width="15.42578125" style="60" customWidth="1"/>
    <col min="7168" max="7168" width="11.85546875" style="60" customWidth="1"/>
    <col min="7169" max="7169" width="13.28515625" style="60" customWidth="1"/>
    <col min="7170" max="7170" width="15.28515625" style="60" customWidth="1"/>
    <col min="7171" max="7171" width="11.85546875" style="60" customWidth="1"/>
    <col min="7172" max="7172" width="6.140625" style="60" customWidth="1"/>
    <col min="7173" max="7173" width="11.85546875" style="60" customWidth="1"/>
    <col min="7174" max="7174" width="9.42578125" style="60" customWidth="1"/>
    <col min="7175" max="7175" width="14.7109375" style="60" customWidth="1"/>
    <col min="7176" max="7176" width="11.5703125" style="60" customWidth="1"/>
    <col min="7177" max="7177" width="0.42578125" style="60" customWidth="1"/>
    <col min="7178" max="7178" width="10.5703125" style="60" bestFit="1" customWidth="1"/>
    <col min="7179" max="7179" width="12.28515625" style="60" customWidth="1"/>
    <col min="7180" max="7180" width="12.5703125" style="60" customWidth="1"/>
    <col min="7181" max="7181" width="10.5703125" style="60" customWidth="1"/>
    <col min="7182" max="7182" width="10.140625" style="60" customWidth="1"/>
    <col min="7183" max="7183" width="8.42578125" style="60" customWidth="1"/>
    <col min="7184" max="7184" width="18.85546875" style="60" customWidth="1"/>
    <col min="7185" max="7185" width="10.28515625" style="60" customWidth="1"/>
    <col min="7186" max="7186" width="11.42578125" style="60"/>
    <col min="7187" max="7187" width="12.140625" style="60" customWidth="1"/>
    <col min="7188" max="7188" width="10.5703125" style="60" customWidth="1"/>
    <col min="7189" max="7189" width="12.42578125" style="60" customWidth="1"/>
    <col min="7190" max="7190" width="15.140625" style="60" customWidth="1"/>
    <col min="7191" max="7191" width="13.5703125" style="60" customWidth="1"/>
    <col min="7192" max="7192" width="13.140625" style="60" customWidth="1"/>
    <col min="7193" max="7193" width="15.7109375" style="60" customWidth="1"/>
    <col min="7194" max="7194" width="37.5703125" style="60" customWidth="1"/>
    <col min="7195" max="7416" width="11.42578125" style="60"/>
    <col min="7417" max="7417" width="10.5703125" style="60" customWidth="1"/>
    <col min="7418" max="7418" width="4.85546875" style="60" customWidth="1"/>
    <col min="7419" max="7419" width="32.42578125" style="60" customWidth="1"/>
    <col min="7420" max="7420" width="9.85546875" style="60" customWidth="1"/>
    <col min="7421" max="7421" width="10.140625" style="60" customWidth="1"/>
    <col min="7422" max="7422" width="12.28515625" style="60" customWidth="1"/>
    <col min="7423" max="7423" width="15.42578125" style="60" customWidth="1"/>
    <col min="7424" max="7424" width="11.85546875" style="60" customWidth="1"/>
    <col min="7425" max="7425" width="13.28515625" style="60" customWidth="1"/>
    <col min="7426" max="7426" width="15.28515625" style="60" customWidth="1"/>
    <col min="7427" max="7427" width="11.85546875" style="60" customWidth="1"/>
    <col min="7428" max="7428" width="6.140625" style="60" customWidth="1"/>
    <col min="7429" max="7429" width="11.85546875" style="60" customWidth="1"/>
    <col min="7430" max="7430" width="9.42578125" style="60" customWidth="1"/>
    <col min="7431" max="7431" width="14.7109375" style="60" customWidth="1"/>
    <col min="7432" max="7432" width="11.5703125" style="60" customWidth="1"/>
    <col min="7433" max="7433" width="0.42578125" style="60" customWidth="1"/>
    <col min="7434" max="7434" width="10.5703125" style="60" bestFit="1" customWidth="1"/>
    <col min="7435" max="7435" width="12.28515625" style="60" customWidth="1"/>
    <col min="7436" max="7436" width="12.5703125" style="60" customWidth="1"/>
    <col min="7437" max="7437" width="10.5703125" style="60" customWidth="1"/>
    <col min="7438" max="7438" width="10.140625" style="60" customWidth="1"/>
    <col min="7439" max="7439" width="8.42578125" style="60" customWidth="1"/>
    <col min="7440" max="7440" width="18.85546875" style="60" customWidth="1"/>
    <col min="7441" max="7441" width="10.28515625" style="60" customWidth="1"/>
    <col min="7442" max="7442" width="11.42578125" style="60"/>
    <col min="7443" max="7443" width="12.140625" style="60" customWidth="1"/>
    <col min="7444" max="7444" width="10.5703125" style="60" customWidth="1"/>
    <col min="7445" max="7445" width="12.42578125" style="60" customWidth="1"/>
    <col min="7446" max="7446" width="15.140625" style="60" customWidth="1"/>
    <col min="7447" max="7447" width="13.5703125" style="60" customWidth="1"/>
    <col min="7448" max="7448" width="13.140625" style="60" customWidth="1"/>
    <col min="7449" max="7449" width="15.7109375" style="60" customWidth="1"/>
    <col min="7450" max="7450" width="37.5703125" style="60" customWidth="1"/>
    <col min="7451" max="7672" width="11.42578125" style="60"/>
    <col min="7673" max="7673" width="10.5703125" style="60" customWidth="1"/>
    <col min="7674" max="7674" width="4.85546875" style="60" customWidth="1"/>
    <col min="7675" max="7675" width="32.42578125" style="60" customWidth="1"/>
    <col min="7676" max="7676" width="9.85546875" style="60" customWidth="1"/>
    <col min="7677" max="7677" width="10.140625" style="60" customWidth="1"/>
    <col min="7678" max="7678" width="12.28515625" style="60" customWidth="1"/>
    <col min="7679" max="7679" width="15.42578125" style="60" customWidth="1"/>
    <col min="7680" max="7680" width="11.85546875" style="60" customWidth="1"/>
    <col min="7681" max="7681" width="13.28515625" style="60" customWidth="1"/>
    <col min="7682" max="7682" width="15.28515625" style="60" customWidth="1"/>
    <col min="7683" max="7683" width="11.85546875" style="60" customWidth="1"/>
    <col min="7684" max="7684" width="6.140625" style="60" customWidth="1"/>
    <col min="7685" max="7685" width="11.85546875" style="60" customWidth="1"/>
    <col min="7686" max="7686" width="9.42578125" style="60" customWidth="1"/>
    <col min="7687" max="7687" width="14.7109375" style="60" customWidth="1"/>
    <col min="7688" max="7688" width="11.5703125" style="60" customWidth="1"/>
    <col min="7689" max="7689" width="0.42578125" style="60" customWidth="1"/>
    <col min="7690" max="7690" width="10.5703125" style="60" bestFit="1" customWidth="1"/>
    <col min="7691" max="7691" width="12.28515625" style="60" customWidth="1"/>
    <col min="7692" max="7692" width="12.5703125" style="60" customWidth="1"/>
    <col min="7693" max="7693" width="10.5703125" style="60" customWidth="1"/>
    <col min="7694" max="7694" width="10.140625" style="60" customWidth="1"/>
    <col min="7695" max="7695" width="8.42578125" style="60" customWidth="1"/>
    <col min="7696" max="7696" width="18.85546875" style="60" customWidth="1"/>
    <col min="7697" max="7697" width="10.28515625" style="60" customWidth="1"/>
    <col min="7698" max="7698" width="11.42578125" style="60"/>
    <col min="7699" max="7699" width="12.140625" style="60" customWidth="1"/>
    <col min="7700" max="7700" width="10.5703125" style="60" customWidth="1"/>
    <col min="7701" max="7701" width="12.42578125" style="60" customWidth="1"/>
    <col min="7702" max="7702" width="15.140625" style="60" customWidth="1"/>
    <col min="7703" max="7703" width="13.5703125" style="60" customWidth="1"/>
    <col min="7704" max="7704" width="13.140625" style="60" customWidth="1"/>
    <col min="7705" max="7705" width="15.7109375" style="60" customWidth="1"/>
    <col min="7706" max="7706" width="37.5703125" style="60" customWidth="1"/>
    <col min="7707" max="7928" width="11.42578125" style="60"/>
    <col min="7929" max="7929" width="10.5703125" style="60" customWidth="1"/>
    <col min="7930" max="7930" width="4.85546875" style="60" customWidth="1"/>
    <col min="7931" max="7931" width="32.42578125" style="60" customWidth="1"/>
    <col min="7932" max="7932" width="9.85546875" style="60" customWidth="1"/>
    <col min="7933" max="7933" width="10.140625" style="60" customWidth="1"/>
    <col min="7934" max="7934" width="12.28515625" style="60" customWidth="1"/>
    <col min="7935" max="7935" width="15.42578125" style="60" customWidth="1"/>
    <col min="7936" max="7936" width="11.85546875" style="60" customWidth="1"/>
    <col min="7937" max="7937" width="13.28515625" style="60" customWidth="1"/>
    <col min="7938" max="7938" width="15.28515625" style="60" customWidth="1"/>
    <col min="7939" max="7939" width="11.85546875" style="60" customWidth="1"/>
    <col min="7940" max="7940" width="6.140625" style="60" customWidth="1"/>
    <col min="7941" max="7941" width="11.85546875" style="60" customWidth="1"/>
    <col min="7942" max="7942" width="9.42578125" style="60" customWidth="1"/>
    <col min="7943" max="7943" width="14.7109375" style="60" customWidth="1"/>
    <col min="7944" max="7944" width="11.5703125" style="60" customWidth="1"/>
    <col min="7945" max="7945" width="0.42578125" style="60" customWidth="1"/>
    <col min="7946" max="7946" width="10.5703125" style="60" bestFit="1" customWidth="1"/>
    <col min="7947" max="7947" width="12.28515625" style="60" customWidth="1"/>
    <col min="7948" max="7948" width="12.5703125" style="60" customWidth="1"/>
    <col min="7949" max="7949" width="10.5703125" style="60" customWidth="1"/>
    <col min="7950" max="7950" width="10.140625" style="60" customWidth="1"/>
    <col min="7951" max="7951" width="8.42578125" style="60" customWidth="1"/>
    <col min="7952" max="7952" width="18.85546875" style="60" customWidth="1"/>
    <col min="7953" max="7953" width="10.28515625" style="60" customWidth="1"/>
    <col min="7954" max="7954" width="11.42578125" style="60"/>
    <col min="7955" max="7955" width="12.140625" style="60" customWidth="1"/>
    <col min="7956" max="7956" width="10.5703125" style="60" customWidth="1"/>
    <col min="7957" max="7957" width="12.42578125" style="60" customWidth="1"/>
    <col min="7958" max="7958" width="15.140625" style="60" customWidth="1"/>
    <col min="7959" max="7959" width="13.5703125" style="60" customWidth="1"/>
    <col min="7960" max="7960" width="13.140625" style="60" customWidth="1"/>
    <col min="7961" max="7961" width="15.7109375" style="60" customWidth="1"/>
    <col min="7962" max="7962" width="37.5703125" style="60" customWidth="1"/>
    <col min="7963" max="8184" width="11.42578125" style="60"/>
    <col min="8185" max="8185" width="10.5703125" style="60" customWidth="1"/>
    <col min="8186" max="8186" width="4.85546875" style="60" customWidth="1"/>
    <col min="8187" max="8187" width="32.42578125" style="60" customWidth="1"/>
    <col min="8188" max="8188" width="9.85546875" style="60" customWidth="1"/>
    <col min="8189" max="8189" width="10.140625" style="60" customWidth="1"/>
    <col min="8190" max="8190" width="12.28515625" style="60" customWidth="1"/>
    <col min="8191" max="8191" width="15.42578125" style="60" customWidth="1"/>
    <col min="8192" max="8192" width="11.85546875" style="60" customWidth="1"/>
    <col min="8193" max="8193" width="13.28515625" style="60" customWidth="1"/>
    <col min="8194" max="8194" width="15.28515625" style="60" customWidth="1"/>
    <col min="8195" max="8195" width="11.85546875" style="60" customWidth="1"/>
    <col min="8196" max="8196" width="6.140625" style="60" customWidth="1"/>
    <col min="8197" max="8197" width="11.85546875" style="60" customWidth="1"/>
    <col min="8198" max="8198" width="9.42578125" style="60" customWidth="1"/>
    <col min="8199" max="8199" width="14.7109375" style="60" customWidth="1"/>
    <col min="8200" max="8200" width="11.5703125" style="60" customWidth="1"/>
    <col min="8201" max="8201" width="0.42578125" style="60" customWidth="1"/>
    <col min="8202" max="8202" width="10.5703125" style="60" bestFit="1" customWidth="1"/>
    <col min="8203" max="8203" width="12.28515625" style="60" customWidth="1"/>
    <col min="8204" max="8204" width="12.5703125" style="60" customWidth="1"/>
    <col min="8205" max="8205" width="10.5703125" style="60" customWidth="1"/>
    <col min="8206" max="8206" width="10.140625" style="60" customWidth="1"/>
    <col min="8207" max="8207" width="8.42578125" style="60" customWidth="1"/>
    <col min="8208" max="8208" width="18.85546875" style="60" customWidth="1"/>
    <col min="8209" max="8209" width="10.28515625" style="60" customWidth="1"/>
    <col min="8210" max="8210" width="11.42578125" style="60"/>
    <col min="8211" max="8211" width="12.140625" style="60" customWidth="1"/>
    <col min="8212" max="8212" width="10.5703125" style="60" customWidth="1"/>
    <col min="8213" max="8213" width="12.42578125" style="60" customWidth="1"/>
    <col min="8214" max="8214" width="15.140625" style="60" customWidth="1"/>
    <col min="8215" max="8215" width="13.5703125" style="60" customWidth="1"/>
    <col min="8216" max="8216" width="13.140625" style="60" customWidth="1"/>
    <col min="8217" max="8217" width="15.7109375" style="60" customWidth="1"/>
    <col min="8218" max="8218" width="37.5703125" style="60" customWidth="1"/>
    <col min="8219" max="8440" width="11.42578125" style="60"/>
    <col min="8441" max="8441" width="10.5703125" style="60" customWidth="1"/>
    <col min="8442" max="8442" width="4.85546875" style="60" customWidth="1"/>
    <col min="8443" max="8443" width="32.42578125" style="60" customWidth="1"/>
    <col min="8444" max="8444" width="9.85546875" style="60" customWidth="1"/>
    <col min="8445" max="8445" width="10.140625" style="60" customWidth="1"/>
    <col min="8446" max="8446" width="12.28515625" style="60" customWidth="1"/>
    <col min="8447" max="8447" width="15.42578125" style="60" customWidth="1"/>
    <col min="8448" max="8448" width="11.85546875" style="60" customWidth="1"/>
    <col min="8449" max="8449" width="13.28515625" style="60" customWidth="1"/>
    <col min="8450" max="8450" width="15.28515625" style="60" customWidth="1"/>
    <col min="8451" max="8451" width="11.85546875" style="60" customWidth="1"/>
    <col min="8452" max="8452" width="6.140625" style="60" customWidth="1"/>
    <col min="8453" max="8453" width="11.85546875" style="60" customWidth="1"/>
    <col min="8454" max="8454" width="9.42578125" style="60" customWidth="1"/>
    <col min="8455" max="8455" width="14.7109375" style="60" customWidth="1"/>
    <col min="8456" max="8456" width="11.5703125" style="60" customWidth="1"/>
    <col min="8457" max="8457" width="0.42578125" style="60" customWidth="1"/>
    <col min="8458" max="8458" width="10.5703125" style="60" bestFit="1" customWidth="1"/>
    <col min="8459" max="8459" width="12.28515625" style="60" customWidth="1"/>
    <col min="8460" max="8460" width="12.5703125" style="60" customWidth="1"/>
    <col min="8461" max="8461" width="10.5703125" style="60" customWidth="1"/>
    <col min="8462" max="8462" width="10.140625" style="60" customWidth="1"/>
    <col min="8463" max="8463" width="8.42578125" style="60" customWidth="1"/>
    <col min="8464" max="8464" width="18.85546875" style="60" customWidth="1"/>
    <col min="8465" max="8465" width="10.28515625" style="60" customWidth="1"/>
    <col min="8466" max="8466" width="11.42578125" style="60"/>
    <col min="8467" max="8467" width="12.140625" style="60" customWidth="1"/>
    <col min="8468" max="8468" width="10.5703125" style="60" customWidth="1"/>
    <col min="8469" max="8469" width="12.42578125" style="60" customWidth="1"/>
    <col min="8470" max="8470" width="15.140625" style="60" customWidth="1"/>
    <col min="8471" max="8471" width="13.5703125" style="60" customWidth="1"/>
    <col min="8472" max="8472" width="13.140625" style="60" customWidth="1"/>
    <col min="8473" max="8473" width="15.7109375" style="60" customWidth="1"/>
    <col min="8474" max="8474" width="37.5703125" style="60" customWidth="1"/>
    <col min="8475" max="8696" width="11.42578125" style="60"/>
    <col min="8697" max="8697" width="10.5703125" style="60" customWidth="1"/>
    <col min="8698" max="8698" width="4.85546875" style="60" customWidth="1"/>
    <col min="8699" max="8699" width="32.42578125" style="60" customWidth="1"/>
    <col min="8700" max="8700" width="9.85546875" style="60" customWidth="1"/>
    <col min="8701" max="8701" width="10.140625" style="60" customWidth="1"/>
    <col min="8702" max="8702" width="12.28515625" style="60" customWidth="1"/>
    <col min="8703" max="8703" width="15.42578125" style="60" customWidth="1"/>
    <col min="8704" max="8704" width="11.85546875" style="60" customWidth="1"/>
    <col min="8705" max="8705" width="13.28515625" style="60" customWidth="1"/>
    <col min="8706" max="8706" width="15.28515625" style="60" customWidth="1"/>
    <col min="8707" max="8707" width="11.85546875" style="60" customWidth="1"/>
    <col min="8708" max="8708" width="6.140625" style="60" customWidth="1"/>
    <col min="8709" max="8709" width="11.85546875" style="60" customWidth="1"/>
    <col min="8710" max="8710" width="9.42578125" style="60" customWidth="1"/>
    <col min="8711" max="8711" width="14.7109375" style="60" customWidth="1"/>
    <col min="8712" max="8712" width="11.5703125" style="60" customWidth="1"/>
    <col min="8713" max="8713" width="0.42578125" style="60" customWidth="1"/>
    <col min="8714" max="8714" width="10.5703125" style="60" bestFit="1" customWidth="1"/>
    <col min="8715" max="8715" width="12.28515625" style="60" customWidth="1"/>
    <col min="8716" max="8716" width="12.5703125" style="60" customWidth="1"/>
    <col min="8717" max="8717" width="10.5703125" style="60" customWidth="1"/>
    <col min="8718" max="8718" width="10.140625" style="60" customWidth="1"/>
    <col min="8719" max="8719" width="8.42578125" style="60" customWidth="1"/>
    <col min="8720" max="8720" width="18.85546875" style="60" customWidth="1"/>
    <col min="8721" max="8721" width="10.28515625" style="60" customWidth="1"/>
    <col min="8722" max="8722" width="11.42578125" style="60"/>
    <col min="8723" max="8723" width="12.140625" style="60" customWidth="1"/>
    <col min="8724" max="8724" width="10.5703125" style="60" customWidth="1"/>
    <col min="8725" max="8725" width="12.42578125" style="60" customWidth="1"/>
    <col min="8726" max="8726" width="15.140625" style="60" customWidth="1"/>
    <col min="8727" max="8727" width="13.5703125" style="60" customWidth="1"/>
    <col min="8728" max="8728" width="13.140625" style="60" customWidth="1"/>
    <col min="8729" max="8729" width="15.7109375" style="60" customWidth="1"/>
    <col min="8730" max="8730" width="37.5703125" style="60" customWidth="1"/>
    <col min="8731" max="8952" width="11.42578125" style="60"/>
    <col min="8953" max="8953" width="10.5703125" style="60" customWidth="1"/>
    <col min="8954" max="8954" width="4.85546875" style="60" customWidth="1"/>
    <col min="8955" max="8955" width="32.42578125" style="60" customWidth="1"/>
    <col min="8956" max="8956" width="9.85546875" style="60" customWidth="1"/>
    <col min="8957" max="8957" width="10.140625" style="60" customWidth="1"/>
    <col min="8958" max="8958" width="12.28515625" style="60" customWidth="1"/>
    <col min="8959" max="8959" width="15.42578125" style="60" customWidth="1"/>
    <col min="8960" max="8960" width="11.85546875" style="60" customWidth="1"/>
    <col min="8961" max="8961" width="13.28515625" style="60" customWidth="1"/>
    <col min="8962" max="8962" width="15.28515625" style="60" customWidth="1"/>
    <col min="8963" max="8963" width="11.85546875" style="60" customWidth="1"/>
    <col min="8964" max="8964" width="6.140625" style="60" customWidth="1"/>
    <col min="8965" max="8965" width="11.85546875" style="60" customWidth="1"/>
    <col min="8966" max="8966" width="9.42578125" style="60" customWidth="1"/>
    <col min="8967" max="8967" width="14.7109375" style="60" customWidth="1"/>
    <col min="8968" max="8968" width="11.5703125" style="60" customWidth="1"/>
    <col min="8969" max="8969" width="0.42578125" style="60" customWidth="1"/>
    <col min="8970" max="8970" width="10.5703125" style="60" bestFit="1" customWidth="1"/>
    <col min="8971" max="8971" width="12.28515625" style="60" customWidth="1"/>
    <col min="8972" max="8972" width="12.5703125" style="60" customWidth="1"/>
    <col min="8973" max="8973" width="10.5703125" style="60" customWidth="1"/>
    <col min="8974" max="8974" width="10.140625" style="60" customWidth="1"/>
    <col min="8975" max="8975" width="8.42578125" style="60" customWidth="1"/>
    <col min="8976" max="8976" width="18.85546875" style="60" customWidth="1"/>
    <col min="8977" max="8977" width="10.28515625" style="60" customWidth="1"/>
    <col min="8978" max="8978" width="11.42578125" style="60"/>
    <col min="8979" max="8979" width="12.140625" style="60" customWidth="1"/>
    <col min="8980" max="8980" width="10.5703125" style="60" customWidth="1"/>
    <col min="8981" max="8981" width="12.42578125" style="60" customWidth="1"/>
    <col min="8982" max="8982" width="15.140625" style="60" customWidth="1"/>
    <col min="8983" max="8983" width="13.5703125" style="60" customWidth="1"/>
    <col min="8984" max="8984" width="13.140625" style="60" customWidth="1"/>
    <col min="8985" max="8985" width="15.7109375" style="60" customWidth="1"/>
    <col min="8986" max="8986" width="37.5703125" style="60" customWidth="1"/>
    <col min="8987" max="9208" width="11.42578125" style="60"/>
    <col min="9209" max="9209" width="10.5703125" style="60" customWidth="1"/>
    <col min="9210" max="9210" width="4.85546875" style="60" customWidth="1"/>
    <col min="9211" max="9211" width="32.42578125" style="60" customWidth="1"/>
    <col min="9212" max="9212" width="9.85546875" style="60" customWidth="1"/>
    <col min="9213" max="9213" width="10.140625" style="60" customWidth="1"/>
    <col min="9214" max="9214" width="12.28515625" style="60" customWidth="1"/>
    <col min="9215" max="9215" width="15.42578125" style="60" customWidth="1"/>
    <col min="9216" max="9216" width="11.85546875" style="60" customWidth="1"/>
    <col min="9217" max="9217" width="13.28515625" style="60" customWidth="1"/>
    <col min="9218" max="9218" width="15.28515625" style="60" customWidth="1"/>
    <col min="9219" max="9219" width="11.85546875" style="60" customWidth="1"/>
    <col min="9220" max="9220" width="6.140625" style="60" customWidth="1"/>
    <col min="9221" max="9221" width="11.85546875" style="60" customWidth="1"/>
    <col min="9222" max="9222" width="9.42578125" style="60" customWidth="1"/>
    <col min="9223" max="9223" width="14.7109375" style="60" customWidth="1"/>
    <col min="9224" max="9224" width="11.5703125" style="60" customWidth="1"/>
    <col min="9225" max="9225" width="0.42578125" style="60" customWidth="1"/>
    <col min="9226" max="9226" width="10.5703125" style="60" bestFit="1" customWidth="1"/>
    <col min="9227" max="9227" width="12.28515625" style="60" customWidth="1"/>
    <col min="9228" max="9228" width="12.5703125" style="60" customWidth="1"/>
    <col min="9229" max="9229" width="10.5703125" style="60" customWidth="1"/>
    <col min="9230" max="9230" width="10.140625" style="60" customWidth="1"/>
    <col min="9231" max="9231" width="8.42578125" style="60" customWidth="1"/>
    <col min="9232" max="9232" width="18.85546875" style="60" customWidth="1"/>
    <col min="9233" max="9233" width="10.28515625" style="60" customWidth="1"/>
    <col min="9234" max="9234" width="11.42578125" style="60"/>
    <col min="9235" max="9235" width="12.140625" style="60" customWidth="1"/>
    <col min="9236" max="9236" width="10.5703125" style="60" customWidth="1"/>
    <col min="9237" max="9237" width="12.42578125" style="60" customWidth="1"/>
    <col min="9238" max="9238" width="15.140625" style="60" customWidth="1"/>
    <col min="9239" max="9239" width="13.5703125" style="60" customWidth="1"/>
    <col min="9240" max="9240" width="13.140625" style="60" customWidth="1"/>
    <col min="9241" max="9241" width="15.7109375" style="60" customWidth="1"/>
    <col min="9242" max="9242" width="37.5703125" style="60" customWidth="1"/>
    <col min="9243" max="9464" width="11.42578125" style="60"/>
    <col min="9465" max="9465" width="10.5703125" style="60" customWidth="1"/>
    <col min="9466" max="9466" width="4.85546875" style="60" customWidth="1"/>
    <col min="9467" max="9467" width="32.42578125" style="60" customWidth="1"/>
    <col min="9468" max="9468" width="9.85546875" style="60" customWidth="1"/>
    <col min="9469" max="9469" width="10.140625" style="60" customWidth="1"/>
    <col min="9470" max="9470" width="12.28515625" style="60" customWidth="1"/>
    <col min="9471" max="9471" width="15.42578125" style="60" customWidth="1"/>
    <col min="9472" max="9472" width="11.85546875" style="60" customWidth="1"/>
    <col min="9473" max="9473" width="13.28515625" style="60" customWidth="1"/>
    <col min="9474" max="9474" width="15.28515625" style="60" customWidth="1"/>
    <col min="9475" max="9475" width="11.85546875" style="60" customWidth="1"/>
    <col min="9476" max="9476" width="6.140625" style="60" customWidth="1"/>
    <col min="9477" max="9477" width="11.85546875" style="60" customWidth="1"/>
    <col min="9478" max="9478" width="9.42578125" style="60" customWidth="1"/>
    <col min="9479" max="9479" width="14.7109375" style="60" customWidth="1"/>
    <col min="9480" max="9480" width="11.5703125" style="60" customWidth="1"/>
    <col min="9481" max="9481" width="0.42578125" style="60" customWidth="1"/>
    <col min="9482" max="9482" width="10.5703125" style="60" bestFit="1" customWidth="1"/>
    <col min="9483" max="9483" width="12.28515625" style="60" customWidth="1"/>
    <col min="9484" max="9484" width="12.5703125" style="60" customWidth="1"/>
    <col min="9485" max="9485" width="10.5703125" style="60" customWidth="1"/>
    <col min="9486" max="9486" width="10.140625" style="60" customWidth="1"/>
    <col min="9487" max="9487" width="8.42578125" style="60" customWidth="1"/>
    <col min="9488" max="9488" width="18.85546875" style="60" customWidth="1"/>
    <col min="9489" max="9489" width="10.28515625" style="60" customWidth="1"/>
    <col min="9490" max="9490" width="11.42578125" style="60"/>
    <col min="9491" max="9491" width="12.140625" style="60" customWidth="1"/>
    <col min="9492" max="9492" width="10.5703125" style="60" customWidth="1"/>
    <col min="9493" max="9493" width="12.42578125" style="60" customWidth="1"/>
    <col min="9494" max="9494" width="15.140625" style="60" customWidth="1"/>
    <col min="9495" max="9495" width="13.5703125" style="60" customWidth="1"/>
    <col min="9496" max="9496" width="13.140625" style="60" customWidth="1"/>
    <col min="9497" max="9497" width="15.7109375" style="60" customWidth="1"/>
    <col min="9498" max="9498" width="37.5703125" style="60" customWidth="1"/>
    <col min="9499" max="9720" width="11.42578125" style="60"/>
    <col min="9721" max="9721" width="10.5703125" style="60" customWidth="1"/>
    <col min="9722" max="9722" width="4.85546875" style="60" customWidth="1"/>
    <col min="9723" max="9723" width="32.42578125" style="60" customWidth="1"/>
    <col min="9724" max="9724" width="9.85546875" style="60" customWidth="1"/>
    <col min="9725" max="9725" width="10.140625" style="60" customWidth="1"/>
    <col min="9726" max="9726" width="12.28515625" style="60" customWidth="1"/>
    <col min="9727" max="9727" width="15.42578125" style="60" customWidth="1"/>
    <col min="9728" max="9728" width="11.85546875" style="60" customWidth="1"/>
    <col min="9729" max="9729" width="13.28515625" style="60" customWidth="1"/>
    <col min="9730" max="9730" width="15.28515625" style="60" customWidth="1"/>
    <col min="9731" max="9731" width="11.85546875" style="60" customWidth="1"/>
    <col min="9732" max="9732" width="6.140625" style="60" customWidth="1"/>
    <col min="9733" max="9733" width="11.85546875" style="60" customWidth="1"/>
    <col min="9734" max="9734" width="9.42578125" style="60" customWidth="1"/>
    <col min="9735" max="9735" width="14.7109375" style="60" customWidth="1"/>
    <col min="9736" max="9736" width="11.5703125" style="60" customWidth="1"/>
    <col min="9737" max="9737" width="0.42578125" style="60" customWidth="1"/>
    <col min="9738" max="9738" width="10.5703125" style="60" bestFit="1" customWidth="1"/>
    <col min="9739" max="9739" width="12.28515625" style="60" customWidth="1"/>
    <col min="9740" max="9740" width="12.5703125" style="60" customWidth="1"/>
    <col min="9741" max="9741" width="10.5703125" style="60" customWidth="1"/>
    <col min="9742" max="9742" width="10.140625" style="60" customWidth="1"/>
    <col min="9743" max="9743" width="8.42578125" style="60" customWidth="1"/>
    <col min="9744" max="9744" width="18.85546875" style="60" customWidth="1"/>
    <col min="9745" max="9745" width="10.28515625" style="60" customWidth="1"/>
    <col min="9746" max="9746" width="11.42578125" style="60"/>
    <col min="9747" max="9747" width="12.140625" style="60" customWidth="1"/>
    <col min="9748" max="9748" width="10.5703125" style="60" customWidth="1"/>
    <col min="9749" max="9749" width="12.42578125" style="60" customWidth="1"/>
    <col min="9750" max="9750" width="15.140625" style="60" customWidth="1"/>
    <col min="9751" max="9751" width="13.5703125" style="60" customWidth="1"/>
    <col min="9752" max="9752" width="13.140625" style="60" customWidth="1"/>
    <col min="9753" max="9753" width="15.7109375" style="60" customWidth="1"/>
    <col min="9754" max="9754" width="37.5703125" style="60" customWidth="1"/>
    <col min="9755" max="9976" width="11.42578125" style="60"/>
    <col min="9977" max="9977" width="10.5703125" style="60" customWidth="1"/>
    <col min="9978" max="9978" width="4.85546875" style="60" customWidth="1"/>
    <col min="9979" max="9979" width="32.42578125" style="60" customWidth="1"/>
    <col min="9980" max="9980" width="9.85546875" style="60" customWidth="1"/>
    <col min="9981" max="9981" width="10.140625" style="60" customWidth="1"/>
    <col min="9982" max="9982" width="12.28515625" style="60" customWidth="1"/>
    <col min="9983" max="9983" width="15.42578125" style="60" customWidth="1"/>
    <col min="9984" max="9984" width="11.85546875" style="60" customWidth="1"/>
    <col min="9985" max="9985" width="13.28515625" style="60" customWidth="1"/>
    <col min="9986" max="9986" width="15.28515625" style="60" customWidth="1"/>
    <col min="9987" max="9987" width="11.85546875" style="60" customWidth="1"/>
    <col min="9988" max="9988" width="6.140625" style="60" customWidth="1"/>
    <col min="9989" max="9989" width="11.85546875" style="60" customWidth="1"/>
    <col min="9990" max="9990" width="9.42578125" style="60" customWidth="1"/>
    <col min="9991" max="9991" width="14.7109375" style="60" customWidth="1"/>
    <col min="9992" max="9992" width="11.5703125" style="60" customWidth="1"/>
    <col min="9993" max="9993" width="0.42578125" style="60" customWidth="1"/>
    <col min="9994" max="9994" width="10.5703125" style="60" bestFit="1" customWidth="1"/>
    <col min="9995" max="9995" width="12.28515625" style="60" customWidth="1"/>
    <col min="9996" max="9996" width="12.5703125" style="60" customWidth="1"/>
    <col min="9997" max="9997" width="10.5703125" style="60" customWidth="1"/>
    <col min="9998" max="9998" width="10.140625" style="60" customWidth="1"/>
    <col min="9999" max="9999" width="8.42578125" style="60" customWidth="1"/>
    <col min="10000" max="10000" width="18.85546875" style="60" customWidth="1"/>
    <col min="10001" max="10001" width="10.28515625" style="60" customWidth="1"/>
    <col min="10002" max="10002" width="11.42578125" style="60"/>
    <col min="10003" max="10003" width="12.140625" style="60" customWidth="1"/>
    <col min="10004" max="10004" width="10.5703125" style="60" customWidth="1"/>
    <col min="10005" max="10005" width="12.42578125" style="60" customWidth="1"/>
    <col min="10006" max="10006" width="15.140625" style="60" customWidth="1"/>
    <col min="10007" max="10007" width="13.5703125" style="60" customWidth="1"/>
    <col min="10008" max="10008" width="13.140625" style="60" customWidth="1"/>
    <col min="10009" max="10009" width="15.7109375" style="60" customWidth="1"/>
    <col min="10010" max="10010" width="37.5703125" style="60" customWidth="1"/>
    <col min="10011" max="10232" width="11.42578125" style="60"/>
    <col min="10233" max="10233" width="10.5703125" style="60" customWidth="1"/>
    <col min="10234" max="10234" width="4.85546875" style="60" customWidth="1"/>
    <col min="10235" max="10235" width="32.42578125" style="60" customWidth="1"/>
    <col min="10236" max="10236" width="9.85546875" style="60" customWidth="1"/>
    <col min="10237" max="10237" width="10.140625" style="60" customWidth="1"/>
    <col min="10238" max="10238" width="12.28515625" style="60" customWidth="1"/>
    <col min="10239" max="10239" width="15.42578125" style="60" customWidth="1"/>
    <col min="10240" max="10240" width="11.85546875" style="60" customWidth="1"/>
    <col min="10241" max="10241" width="13.28515625" style="60" customWidth="1"/>
    <col min="10242" max="10242" width="15.28515625" style="60" customWidth="1"/>
    <col min="10243" max="10243" width="11.85546875" style="60" customWidth="1"/>
    <col min="10244" max="10244" width="6.140625" style="60" customWidth="1"/>
    <col min="10245" max="10245" width="11.85546875" style="60" customWidth="1"/>
    <col min="10246" max="10246" width="9.42578125" style="60" customWidth="1"/>
    <col min="10247" max="10247" width="14.7109375" style="60" customWidth="1"/>
    <col min="10248" max="10248" width="11.5703125" style="60" customWidth="1"/>
    <col min="10249" max="10249" width="0.42578125" style="60" customWidth="1"/>
    <col min="10250" max="10250" width="10.5703125" style="60" bestFit="1" customWidth="1"/>
    <col min="10251" max="10251" width="12.28515625" style="60" customWidth="1"/>
    <col min="10252" max="10252" width="12.5703125" style="60" customWidth="1"/>
    <col min="10253" max="10253" width="10.5703125" style="60" customWidth="1"/>
    <col min="10254" max="10254" width="10.140625" style="60" customWidth="1"/>
    <col min="10255" max="10255" width="8.42578125" style="60" customWidth="1"/>
    <col min="10256" max="10256" width="18.85546875" style="60" customWidth="1"/>
    <col min="10257" max="10257" width="10.28515625" style="60" customWidth="1"/>
    <col min="10258" max="10258" width="11.42578125" style="60"/>
    <col min="10259" max="10259" width="12.140625" style="60" customWidth="1"/>
    <col min="10260" max="10260" width="10.5703125" style="60" customWidth="1"/>
    <col min="10261" max="10261" width="12.42578125" style="60" customWidth="1"/>
    <col min="10262" max="10262" width="15.140625" style="60" customWidth="1"/>
    <col min="10263" max="10263" width="13.5703125" style="60" customWidth="1"/>
    <col min="10264" max="10264" width="13.140625" style="60" customWidth="1"/>
    <col min="10265" max="10265" width="15.7109375" style="60" customWidth="1"/>
    <col min="10266" max="10266" width="37.5703125" style="60" customWidth="1"/>
    <col min="10267" max="10488" width="11.42578125" style="60"/>
    <col min="10489" max="10489" width="10.5703125" style="60" customWidth="1"/>
    <col min="10490" max="10490" width="4.85546875" style="60" customWidth="1"/>
    <col min="10491" max="10491" width="32.42578125" style="60" customWidth="1"/>
    <col min="10492" max="10492" width="9.85546875" style="60" customWidth="1"/>
    <col min="10493" max="10493" width="10.140625" style="60" customWidth="1"/>
    <col min="10494" max="10494" width="12.28515625" style="60" customWidth="1"/>
    <col min="10495" max="10495" width="15.42578125" style="60" customWidth="1"/>
    <col min="10496" max="10496" width="11.85546875" style="60" customWidth="1"/>
    <col min="10497" max="10497" width="13.28515625" style="60" customWidth="1"/>
    <col min="10498" max="10498" width="15.28515625" style="60" customWidth="1"/>
    <col min="10499" max="10499" width="11.85546875" style="60" customWidth="1"/>
    <col min="10500" max="10500" width="6.140625" style="60" customWidth="1"/>
    <col min="10501" max="10501" width="11.85546875" style="60" customWidth="1"/>
    <col min="10502" max="10502" width="9.42578125" style="60" customWidth="1"/>
    <col min="10503" max="10503" width="14.7109375" style="60" customWidth="1"/>
    <col min="10504" max="10504" width="11.5703125" style="60" customWidth="1"/>
    <col min="10505" max="10505" width="0.42578125" style="60" customWidth="1"/>
    <col min="10506" max="10506" width="10.5703125" style="60" bestFit="1" customWidth="1"/>
    <col min="10507" max="10507" width="12.28515625" style="60" customWidth="1"/>
    <col min="10508" max="10508" width="12.5703125" style="60" customWidth="1"/>
    <col min="10509" max="10509" width="10.5703125" style="60" customWidth="1"/>
    <col min="10510" max="10510" width="10.140625" style="60" customWidth="1"/>
    <col min="10511" max="10511" width="8.42578125" style="60" customWidth="1"/>
    <col min="10512" max="10512" width="18.85546875" style="60" customWidth="1"/>
    <col min="10513" max="10513" width="10.28515625" style="60" customWidth="1"/>
    <col min="10514" max="10514" width="11.42578125" style="60"/>
    <col min="10515" max="10515" width="12.140625" style="60" customWidth="1"/>
    <col min="10516" max="10516" width="10.5703125" style="60" customWidth="1"/>
    <col min="10517" max="10517" width="12.42578125" style="60" customWidth="1"/>
    <col min="10518" max="10518" width="15.140625" style="60" customWidth="1"/>
    <col min="10519" max="10519" width="13.5703125" style="60" customWidth="1"/>
    <col min="10520" max="10520" width="13.140625" style="60" customWidth="1"/>
    <col min="10521" max="10521" width="15.7109375" style="60" customWidth="1"/>
    <col min="10522" max="10522" width="37.5703125" style="60" customWidth="1"/>
    <col min="10523" max="10744" width="11.42578125" style="60"/>
    <col min="10745" max="10745" width="10.5703125" style="60" customWidth="1"/>
    <col min="10746" max="10746" width="4.85546875" style="60" customWidth="1"/>
    <col min="10747" max="10747" width="32.42578125" style="60" customWidth="1"/>
    <col min="10748" max="10748" width="9.85546875" style="60" customWidth="1"/>
    <col min="10749" max="10749" width="10.140625" style="60" customWidth="1"/>
    <col min="10750" max="10750" width="12.28515625" style="60" customWidth="1"/>
    <col min="10751" max="10751" width="15.42578125" style="60" customWidth="1"/>
    <col min="10752" max="10752" width="11.85546875" style="60" customWidth="1"/>
    <col min="10753" max="10753" width="13.28515625" style="60" customWidth="1"/>
    <col min="10754" max="10754" width="15.28515625" style="60" customWidth="1"/>
    <col min="10755" max="10755" width="11.85546875" style="60" customWidth="1"/>
    <col min="10756" max="10756" width="6.140625" style="60" customWidth="1"/>
    <col min="10757" max="10757" width="11.85546875" style="60" customWidth="1"/>
    <col min="10758" max="10758" width="9.42578125" style="60" customWidth="1"/>
    <col min="10759" max="10759" width="14.7109375" style="60" customWidth="1"/>
    <col min="10760" max="10760" width="11.5703125" style="60" customWidth="1"/>
    <col min="10761" max="10761" width="0.42578125" style="60" customWidth="1"/>
    <col min="10762" max="10762" width="10.5703125" style="60" bestFit="1" customWidth="1"/>
    <col min="10763" max="10763" width="12.28515625" style="60" customWidth="1"/>
    <col min="10764" max="10764" width="12.5703125" style="60" customWidth="1"/>
    <col min="10765" max="10765" width="10.5703125" style="60" customWidth="1"/>
    <col min="10766" max="10766" width="10.140625" style="60" customWidth="1"/>
    <col min="10767" max="10767" width="8.42578125" style="60" customWidth="1"/>
    <col min="10768" max="10768" width="18.85546875" style="60" customWidth="1"/>
    <col min="10769" max="10769" width="10.28515625" style="60" customWidth="1"/>
    <col min="10770" max="10770" width="11.42578125" style="60"/>
    <col min="10771" max="10771" width="12.140625" style="60" customWidth="1"/>
    <col min="10772" max="10772" width="10.5703125" style="60" customWidth="1"/>
    <col min="10773" max="10773" width="12.42578125" style="60" customWidth="1"/>
    <col min="10774" max="10774" width="15.140625" style="60" customWidth="1"/>
    <col min="10775" max="10775" width="13.5703125" style="60" customWidth="1"/>
    <col min="10776" max="10776" width="13.140625" style="60" customWidth="1"/>
    <col min="10777" max="10777" width="15.7109375" style="60" customWidth="1"/>
    <col min="10778" max="10778" width="37.5703125" style="60" customWidth="1"/>
    <col min="10779" max="11000" width="11.42578125" style="60"/>
    <col min="11001" max="11001" width="10.5703125" style="60" customWidth="1"/>
    <col min="11002" max="11002" width="4.85546875" style="60" customWidth="1"/>
    <col min="11003" max="11003" width="32.42578125" style="60" customWidth="1"/>
    <col min="11004" max="11004" width="9.85546875" style="60" customWidth="1"/>
    <col min="11005" max="11005" width="10.140625" style="60" customWidth="1"/>
    <col min="11006" max="11006" width="12.28515625" style="60" customWidth="1"/>
    <col min="11007" max="11007" width="15.42578125" style="60" customWidth="1"/>
    <col min="11008" max="11008" width="11.85546875" style="60" customWidth="1"/>
    <col min="11009" max="11009" width="13.28515625" style="60" customWidth="1"/>
    <col min="11010" max="11010" width="15.28515625" style="60" customWidth="1"/>
    <col min="11011" max="11011" width="11.85546875" style="60" customWidth="1"/>
    <col min="11012" max="11012" width="6.140625" style="60" customWidth="1"/>
    <col min="11013" max="11013" width="11.85546875" style="60" customWidth="1"/>
    <col min="11014" max="11014" width="9.42578125" style="60" customWidth="1"/>
    <col min="11015" max="11015" width="14.7109375" style="60" customWidth="1"/>
    <col min="11016" max="11016" width="11.5703125" style="60" customWidth="1"/>
    <col min="11017" max="11017" width="0.42578125" style="60" customWidth="1"/>
    <col min="11018" max="11018" width="10.5703125" style="60" bestFit="1" customWidth="1"/>
    <col min="11019" max="11019" width="12.28515625" style="60" customWidth="1"/>
    <col min="11020" max="11020" width="12.5703125" style="60" customWidth="1"/>
    <col min="11021" max="11021" width="10.5703125" style="60" customWidth="1"/>
    <col min="11022" max="11022" width="10.140625" style="60" customWidth="1"/>
    <col min="11023" max="11023" width="8.42578125" style="60" customWidth="1"/>
    <col min="11024" max="11024" width="18.85546875" style="60" customWidth="1"/>
    <col min="11025" max="11025" width="10.28515625" style="60" customWidth="1"/>
    <col min="11026" max="11026" width="11.42578125" style="60"/>
    <col min="11027" max="11027" width="12.140625" style="60" customWidth="1"/>
    <col min="11028" max="11028" width="10.5703125" style="60" customWidth="1"/>
    <col min="11029" max="11029" width="12.42578125" style="60" customWidth="1"/>
    <col min="11030" max="11030" width="15.140625" style="60" customWidth="1"/>
    <col min="11031" max="11031" width="13.5703125" style="60" customWidth="1"/>
    <col min="11032" max="11032" width="13.140625" style="60" customWidth="1"/>
    <col min="11033" max="11033" width="15.7109375" style="60" customWidth="1"/>
    <col min="11034" max="11034" width="37.5703125" style="60" customWidth="1"/>
    <col min="11035" max="11256" width="11.42578125" style="60"/>
    <col min="11257" max="11257" width="10.5703125" style="60" customWidth="1"/>
    <col min="11258" max="11258" width="4.85546875" style="60" customWidth="1"/>
    <col min="11259" max="11259" width="32.42578125" style="60" customWidth="1"/>
    <col min="11260" max="11260" width="9.85546875" style="60" customWidth="1"/>
    <col min="11261" max="11261" width="10.140625" style="60" customWidth="1"/>
    <col min="11262" max="11262" width="12.28515625" style="60" customWidth="1"/>
    <col min="11263" max="11263" width="15.42578125" style="60" customWidth="1"/>
    <col min="11264" max="11264" width="11.85546875" style="60" customWidth="1"/>
    <col min="11265" max="11265" width="13.28515625" style="60" customWidth="1"/>
    <col min="11266" max="11266" width="15.28515625" style="60" customWidth="1"/>
    <col min="11267" max="11267" width="11.85546875" style="60" customWidth="1"/>
    <col min="11268" max="11268" width="6.140625" style="60" customWidth="1"/>
    <col min="11269" max="11269" width="11.85546875" style="60" customWidth="1"/>
    <col min="11270" max="11270" width="9.42578125" style="60" customWidth="1"/>
    <col min="11271" max="11271" width="14.7109375" style="60" customWidth="1"/>
    <col min="11272" max="11272" width="11.5703125" style="60" customWidth="1"/>
    <col min="11273" max="11273" width="0.42578125" style="60" customWidth="1"/>
    <col min="11274" max="11274" width="10.5703125" style="60" bestFit="1" customWidth="1"/>
    <col min="11275" max="11275" width="12.28515625" style="60" customWidth="1"/>
    <col min="11276" max="11276" width="12.5703125" style="60" customWidth="1"/>
    <col min="11277" max="11277" width="10.5703125" style="60" customWidth="1"/>
    <col min="11278" max="11278" width="10.140625" style="60" customWidth="1"/>
    <col min="11279" max="11279" width="8.42578125" style="60" customWidth="1"/>
    <col min="11280" max="11280" width="18.85546875" style="60" customWidth="1"/>
    <col min="11281" max="11281" width="10.28515625" style="60" customWidth="1"/>
    <col min="11282" max="11282" width="11.42578125" style="60"/>
    <col min="11283" max="11283" width="12.140625" style="60" customWidth="1"/>
    <col min="11284" max="11284" width="10.5703125" style="60" customWidth="1"/>
    <col min="11285" max="11285" width="12.42578125" style="60" customWidth="1"/>
    <col min="11286" max="11286" width="15.140625" style="60" customWidth="1"/>
    <col min="11287" max="11287" width="13.5703125" style="60" customWidth="1"/>
    <col min="11288" max="11288" width="13.140625" style="60" customWidth="1"/>
    <col min="11289" max="11289" width="15.7109375" style="60" customWidth="1"/>
    <col min="11290" max="11290" width="37.5703125" style="60" customWidth="1"/>
    <col min="11291" max="11512" width="11.42578125" style="60"/>
    <col min="11513" max="11513" width="10.5703125" style="60" customWidth="1"/>
    <col min="11514" max="11514" width="4.85546875" style="60" customWidth="1"/>
    <col min="11515" max="11515" width="32.42578125" style="60" customWidth="1"/>
    <col min="11516" max="11516" width="9.85546875" style="60" customWidth="1"/>
    <col min="11517" max="11517" width="10.140625" style="60" customWidth="1"/>
    <col min="11518" max="11518" width="12.28515625" style="60" customWidth="1"/>
    <col min="11519" max="11519" width="15.42578125" style="60" customWidth="1"/>
    <col min="11520" max="11520" width="11.85546875" style="60" customWidth="1"/>
    <col min="11521" max="11521" width="13.28515625" style="60" customWidth="1"/>
    <col min="11522" max="11522" width="15.28515625" style="60" customWidth="1"/>
    <col min="11523" max="11523" width="11.85546875" style="60" customWidth="1"/>
    <col min="11524" max="11524" width="6.140625" style="60" customWidth="1"/>
    <col min="11525" max="11525" width="11.85546875" style="60" customWidth="1"/>
    <col min="11526" max="11526" width="9.42578125" style="60" customWidth="1"/>
    <col min="11527" max="11527" width="14.7109375" style="60" customWidth="1"/>
    <col min="11528" max="11528" width="11.5703125" style="60" customWidth="1"/>
    <col min="11529" max="11529" width="0.42578125" style="60" customWidth="1"/>
    <col min="11530" max="11530" width="10.5703125" style="60" bestFit="1" customWidth="1"/>
    <col min="11531" max="11531" width="12.28515625" style="60" customWidth="1"/>
    <col min="11532" max="11532" width="12.5703125" style="60" customWidth="1"/>
    <col min="11533" max="11533" width="10.5703125" style="60" customWidth="1"/>
    <col min="11534" max="11534" width="10.140625" style="60" customWidth="1"/>
    <col min="11535" max="11535" width="8.42578125" style="60" customWidth="1"/>
    <col min="11536" max="11536" width="18.85546875" style="60" customWidth="1"/>
    <col min="11537" max="11537" width="10.28515625" style="60" customWidth="1"/>
    <col min="11538" max="11538" width="11.42578125" style="60"/>
    <col min="11539" max="11539" width="12.140625" style="60" customWidth="1"/>
    <col min="11540" max="11540" width="10.5703125" style="60" customWidth="1"/>
    <col min="11541" max="11541" width="12.42578125" style="60" customWidth="1"/>
    <col min="11542" max="11542" width="15.140625" style="60" customWidth="1"/>
    <col min="11543" max="11543" width="13.5703125" style="60" customWidth="1"/>
    <col min="11544" max="11544" width="13.140625" style="60" customWidth="1"/>
    <col min="11545" max="11545" width="15.7109375" style="60" customWidth="1"/>
    <col min="11546" max="11546" width="37.5703125" style="60" customWidth="1"/>
    <col min="11547" max="11768" width="11.42578125" style="60"/>
    <col min="11769" max="11769" width="10.5703125" style="60" customWidth="1"/>
    <col min="11770" max="11770" width="4.85546875" style="60" customWidth="1"/>
    <col min="11771" max="11771" width="32.42578125" style="60" customWidth="1"/>
    <col min="11772" max="11772" width="9.85546875" style="60" customWidth="1"/>
    <col min="11773" max="11773" width="10.140625" style="60" customWidth="1"/>
    <col min="11774" max="11774" width="12.28515625" style="60" customWidth="1"/>
    <col min="11775" max="11775" width="15.42578125" style="60" customWidth="1"/>
    <col min="11776" max="11776" width="11.85546875" style="60" customWidth="1"/>
    <col min="11777" max="11777" width="13.28515625" style="60" customWidth="1"/>
    <col min="11778" max="11778" width="15.28515625" style="60" customWidth="1"/>
    <col min="11779" max="11779" width="11.85546875" style="60" customWidth="1"/>
    <col min="11780" max="11780" width="6.140625" style="60" customWidth="1"/>
    <col min="11781" max="11781" width="11.85546875" style="60" customWidth="1"/>
    <col min="11782" max="11782" width="9.42578125" style="60" customWidth="1"/>
    <col min="11783" max="11783" width="14.7109375" style="60" customWidth="1"/>
    <col min="11784" max="11784" width="11.5703125" style="60" customWidth="1"/>
    <col min="11785" max="11785" width="0.42578125" style="60" customWidth="1"/>
    <col min="11786" max="11786" width="10.5703125" style="60" bestFit="1" customWidth="1"/>
    <col min="11787" max="11787" width="12.28515625" style="60" customWidth="1"/>
    <col min="11788" max="11788" width="12.5703125" style="60" customWidth="1"/>
    <col min="11789" max="11789" width="10.5703125" style="60" customWidth="1"/>
    <col min="11790" max="11790" width="10.140625" style="60" customWidth="1"/>
    <col min="11791" max="11791" width="8.42578125" style="60" customWidth="1"/>
    <col min="11792" max="11792" width="18.85546875" style="60" customWidth="1"/>
    <col min="11793" max="11793" width="10.28515625" style="60" customWidth="1"/>
    <col min="11794" max="11794" width="11.42578125" style="60"/>
    <col min="11795" max="11795" width="12.140625" style="60" customWidth="1"/>
    <col min="11796" max="11796" width="10.5703125" style="60" customWidth="1"/>
    <col min="11797" max="11797" width="12.42578125" style="60" customWidth="1"/>
    <col min="11798" max="11798" width="15.140625" style="60" customWidth="1"/>
    <col min="11799" max="11799" width="13.5703125" style="60" customWidth="1"/>
    <col min="11800" max="11800" width="13.140625" style="60" customWidth="1"/>
    <col min="11801" max="11801" width="15.7109375" style="60" customWidth="1"/>
    <col min="11802" max="11802" width="37.5703125" style="60" customWidth="1"/>
    <col min="11803" max="12024" width="11.42578125" style="60"/>
    <col min="12025" max="12025" width="10.5703125" style="60" customWidth="1"/>
    <col min="12026" max="12026" width="4.85546875" style="60" customWidth="1"/>
    <col min="12027" max="12027" width="32.42578125" style="60" customWidth="1"/>
    <col min="12028" max="12028" width="9.85546875" style="60" customWidth="1"/>
    <col min="12029" max="12029" width="10.140625" style="60" customWidth="1"/>
    <col min="12030" max="12030" width="12.28515625" style="60" customWidth="1"/>
    <col min="12031" max="12031" width="15.42578125" style="60" customWidth="1"/>
    <col min="12032" max="12032" width="11.85546875" style="60" customWidth="1"/>
    <col min="12033" max="12033" width="13.28515625" style="60" customWidth="1"/>
    <col min="12034" max="12034" width="15.28515625" style="60" customWidth="1"/>
    <col min="12035" max="12035" width="11.85546875" style="60" customWidth="1"/>
    <col min="12036" max="12036" width="6.140625" style="60" customWidth="1"/>
    <col min="12037" max="12037" width="11.85546875" style="60" customWidth="1"/>
    <col min="12038" max="12038" width="9.42578125" style="60" customWidth="1"/>
    <col min="12039" max="12039" width="14.7109375" style="60" customWidth="1"/>
    <col min="12040" max="12040" width="11.5703125" style="60" customWidth="1"/>
    <col min="12041" max="12041" width="0.42578125" style="60" customWidth="1"/>
    <col min="12042" max="12042" width="10.5703125" style="60" bestFit="1" customWidth="1"/>
    <col min="12043" max="12043" width="12.28515625" style="60" customWidth="1"/>
    <col min="12044" max="12044" width="12.5703125" style="60" customWidth="1"/>
    <col min="12045" max="12045" width="10.5703125" style="60" customWidth="1"/>
    <col min="12046" max="12046" width="10.140625" style="60" customWidth="1"/>
    <col min="12047" max="12047" width="8.42578125" style="60" customWidth="1"/>
    <col min="12048" max="12048" width="18.85546875" style="60" customWidth="1"/>
    <col min="12049" max="12049" width="10.28515625" style="60" customWidth="1"/>
    <col min="12050" max="12050" width="11.42578125" style="60"/>
    <col min="12051" max="12051" width="12.140625" style="60" customWidth="1"/>
    <col min="12052" max="12052" width="10.5703125" style="60" customWidth="1"/>
    <col min="12053" max="12053" width="12.42578125" style="60" customWidth="1"/>
    <col min="12054" max="12054" width="15.140625" style="60" customWidth="1"/>
    <col min="12055" max="12055" width="13.5703125" style="60" customWidth="1"/>
    <col min="12056" max="12056" width="13.140625" style="60" customWidth="1"/>
    <col min="12057" max="12057" width="15.7109375" style="60" customWidth="1"/>
    <col min="12058" max="12058" width="37.5703125" style="60" customWidth="1"/>
    <col min="12059" max="12280" width="11.42578125" style="60"/>
    <col min="12281" max="12281" width="10.5703125" style="60" customWidth="1"/>
    <col min="12282" max="12282" width="4.85546875" style="60" customWidth="1"/>
    <col min="12283" max="12283" width="32.42578125" style="60" customWidth="1"/>
    <col min="12284" max="12284" width="9.85546875" style="60" customWidth="1"/>
    <col min="12285" max="12285" width="10.140625" style="60" customWidth="1"/>
    <col min="12286" max="12286" width="12.28515625" style="60" customWidth="1"/>
    <col min="12287" max="12287" width="15.42578125" style="60" customWidth="1"/>
    <col min="12288" max="12288" width="11.85546875" style="60" customWidth="1"/>
    <col min="12289" max="12289" width="13.28515625" style="60" customWidth="1"/>
    <col min="12290" max="12290" width="15.28515625" style="60" customWidth="1"/>
    <col min="12291" max="12291" width="11.85546875" style="60" customWidth="1"/>
    <col min="12292" max="12292" width="6.140625" style="60" customWidth="1"/>
    <col min="12293" max="12293" width="11.85546875" style="60" customWidth="1"/>
    <col min="12294" max="12294" width="9.42578125" style="60" customWidth="1"/>
    <col min="12295" max="12295" width="14.7109375" style="60" customWidth="1"/>
    <col min="12296" max="12296" width="11.5703125" style="60" customWidth="1"/>
    <col min="12297" max="12297" width="0.42578125" style="60" customWidth="1"/>
    <col min="12298" max="12298" width="10.5703125" style="60" bestFit="1" customWidth="1"/>
    <col min="12299" max="12299" width="12.28515625" style="60" customWidth="1"/>
    <col min="12300" max="12300" width="12.5703125" style="60" customWidth="1"/>
    <col min="12301" max="12301" width="10.5703125" style="60" customWidth="1"/>
    <col min="12302" max="12302" width="10.140625" style="60" customWidth="1"/>
    <col min="12303" max="12303" width="8.42578125" style="60" customWidth="1"/>
    <col min="12304" max="12304" width="18.85546875" style="60" customWidth="1"/>
    <col min="12305" max="12305" width="10.28515625" style="60" customWidth="1"/>
    <col min="12306" max="12306" width="11.42578125" style="60"/>
    <col min="12307" max="12307" width="12.140625" style="60" customWidth="1"/>
    <col min="12308" max="12308" width="10.5703125" style="60" customWidth="1"/>
    <col min="12309" max="12309" width="12.42578125" style="60" customWidth="1"/>
    <col min="12310" max="12310" width="15.140625" style="60" customWidth="1"/>
    <col min="12311" max="12311" width="13.5703125" style="60" customWidth="1"/>
    <col min="12312" max="12312" width="13.140625" style="60" customWidth="1"/>
    <col min="12313" max="12313" width="15.7109375" style="60" customWidth="1"/>
    <col min="12314" max="12314" width="37.5703125" style="60" customWidth="1"/>
    <col min="12315" max="12536" width="11.42578125" style="60"/>
    <col min="12537" max="12537" width="10.5703125" style="60" customWidth="1"/>
    <col min="12538" max="12538" width="4.85546875" style="60" customWidth="1"/>
    <col min="12539" max="12539" width="32.42578125" style="60" customWidth="1"/>
    <col min="12540" max="12540" width="9.85546875" style="60" customWidth="1"/>
    <col min="12541" max="12541" width="10.140625" style="60" customWidth="1"/>
    <col min="12542" max="12542" width="12.28515625" style="60" customWidth="1"/>
    <col min="12543" max="12543" width="15.42578125" style="60" customWidth="1"/>
    <col min="12544" max="12544" width="11.85546875" style="60" customWidth="1"/>
    <col min="12545" max="12545" width="13.28515625" style="60" customWidth="1"/>
    <col min="12546" max="12546" width="15.28515625" style="60" customWidth="1"/>
    <col min="12547" max="12547" width="11.85546875" style="60" customWidth="1"/>
    <col min="12548" max="12548" width="6.140625" style="60" customWidth="1"/>
    <col min="12549" max="12549" width="11.85546875" style="60" customWidth="1"/>
    <col min="12550" max="12550" width="9.42578125" style="60" customWidth="1"/>
    <col min="12551" max="12551" width="14.7109375" style="60" customWidth="1"/>
    <col min="12552" max="12552" width="11.5703125" style="60" customWidth="1"/>
    <col min="12553" max="12553" width="0.42578125" style="60" customWidth="1"/>
    <col min="12554" max="12554" width="10.5703125" style="60" bestFit="1" customWidth="1"/>
    <col min="12555" max="12555" width="12.28515625" style="60" customWidth="1"/>
    <col min="12556" max="12556" width="12.5703125" style="60" customWidth="1"/>
    <col min="12557" max="12557" width="10.5703125" style="60" customWidth="1"/>
    <col min="12558" max="12558" width="10.140625" style="60" customWidth="1"/>
    <col min="12559" max="12559" width="8.42578125" style="60" customWidth="1"/>
    <col min="12560" max="12560" width="18.85546875" style="60" customWidth="1"/>
    <col min="12561" max="12561" width="10.28515625" style="60" customWidth="1"/>
    <col min="12562" max="12562" width="11.42578125" style="60"/>
    <col min="12563" max="12563" width="12.140625" style="60" customWidth="1"/>
    <col min="12564" max="12564" width="10.5703125" style="60" customWidth="1"/>
    <col min="12565" max="12565" width="12.42578125" style="60" customWidth="1"/>
    <col min="12566" max="12566" width="15.140625" style="60" customWidth="1"/>
    <col min="12567" max="12567" width="13.5703125" style="60" customWidth="1"/>
    <col min="12568" max="12568" width="13.140625" style="60" customWidth="1"/>
    <col min="12569" max="12569" width="15.7109375" style="60" customWidth="1"/>
    <col min="12570" max="12570" width="37.5703125" style="60" customWidth="1"/>
    <col min="12571" max="12792" width="11.42578125" style="60"/>
    <col min="12793" max="12793" width="10.5703125" style="60" customWidth="1"/>
    <col min="12794" max="12794" width="4.85546875" style="60" customWidth="1"/>
    <col min="12795" max="12795" width="32.42578125" style="60" customWidth="1"/>
    <col min="12796" max="12796" width="9.85546875" style="60" customWidth="1"/>
    <col min="12797" max="12797" width="10.140625" style="60" customWidth="1"/>
    <col min="12798" max="12798" width="12.28515625" style="60" customWidth="1"/>
    <col min="12799" max="12799" width="15.42578125" style="60" customWidth="1"/>
    <col min="12800" max="12800" width="11.85546875" style="60" customWidth="1"/>
    <col min="12801" max="12801" width="13.28515625" style="60" customWidth="1"/>
    <col min="12802" max="12802" width="15.28515625" style="60" customWidth="1"/>
    <col min="12803" max="12803" width="11.85546875" style="60" customWidth="1"/>
    <col min="12804" max="12804" width="6.140625" style="60" customWidth="1"/>
    <col min="12805" max="12805" width="11.85546875" style="60" customWidth="1"/>
    <col min="12806" max="12806" width="9.42578125" style="60" customWidth="1"/>
    <col min="12807" max="12807" width="14.7109375" style="60" customWidth="1"/>
    <col min="12808" max="12808" width="11.5703125" style="60" customWidth="1"/>
    <col min="12809" max="12809" width="0.42578125" style="60" customWidth="1"/>
    <col min="12810" max="12810" width="10.5703125" style="60" bestFit="1" customWidth="1"/>
    <col min="12811" max="12811" width="12.28515625" style="60" customWidth="1"/>
    <col min="12812" max="12812" width="12.5703125" style="60" customWidth="1"/>
    <col min="12813" max="12813" width="10.5703125" style="60" customWidth="1"/>
    <col min="12814" max="12814" width="10.140625" style="60" customWidth="1"/>
    <col min="12815" max="12815" width="8.42578125" style="60" customWidth="1"/>
    <col min="12816" max="12816" width="18.85546875" style="60" customWidth="1"/>
    <col min="12817" max="12817" width="10.28515625" style="60" customWidth="1"/>
    <col min="12818" max="12818" width="11.42578125" style="60"/>
    <col min="12819" max="12819" width="12.140625" style="60" customWidth="1"/>
    <col min="12820" max="12820" width="10.5703125" style="60" customWidth="1"/>
    <col min="12821" max="12821" width="12.42578125" style="60" customWidth="1"/>
    <col min="12822" max="12822" width="15.140625" style="60" customWidth="1"/>
    <col min="12823" max="12823" width="13.5703125" style="60" customWidth="1"/>
    <col min="12824" max="12824" width="13.140625" style="60" customWidth="1"/>
    <col min="12825" max="12825" width="15.7109375" style="60" customWidth="1"/>
    <col min="12826" max="12826" width="37.5703125" style="60" customWidth="1"/>
    <col min="12827" max="13048" width="11.42578125" style="60"/>
    <col min="13049" max="13049" width="10.5703125" style="60" customWidth="1"/>
    <col min="13050" max="13050" width="4.85546875" style="60" customWidth="1"/>
    <col min="13051" max="13051" width="32.42578125" style="60" customWidth="1"/>
    <col min="13052" max="13052" width="9.85546875" style="60" customWidth="1"/>
    <col min="13053" max="13053" width="10.140625" style="60" customWidth="1"/>
    <col min="13054" max="13054" width="12.28515625" style="60" customWidth="1"/>
    <col min="13055" max="13055" width="15.42578125" style="60" customWidth="1"/>
    <col min="13056" max="13056" width="11.85546875" style="60" customWidth="1"/>
    <col min="13057" max="13057" width="13.28515625" style="60" customWidth="1"/>
    <col min="13058" max="13058" width="15.28515625" style="60" customWidth="1"/>
    <col min="13059" max="13059" width="11.85546875" style="60" customWidth="1"/>
    <col min="13060" max="13060" width="6.140625" style="60" customWidth="1"/>
    <col min="13061" max="13061" width="11.85546875" style="60" customWidth="1"/>
    <col min="13062" max="13062" width="9.42578125" style="60" customWidth="1"/>
    <col min="13063" max="13063" width="14.7109375" style="60" customWidth="1"/>
    <col min="13064" max="13064" width="11.5703125" style="60" customWidth="1"/>
    <col min="13065" max="13065" width="0.42578125" style="60" customWidth="1"/>
    <col min="13066" max="13066" width="10.5703125" style="60" bestFit="1" customWidth="1"/>
    <col min="13067" max="13067" width="12.28515625" style="60" customWidth="1"/>
    <col min="13068" max="13068" width="12.5703125" style="60" customWidth="1"/>
    <col min="13069" max="13069" width="10.5703125" style="60" customWidth="1"/>
    <col min="13070" max="13070" width="10.140625" style="60" customWidth="1"/>
    <col min="13071" max="13071" width="8.42578125" style="60" customWidth="1"/>
    <col min="13072" max="13072" width="18.85546875" style="60" customWidth="1"/>
    <col min="13073" max="13073" width="10.28515625" style="60" customWidth="1"/>
    <col min="13074" max="13074" width="11.42578125" style="60"/>
    <col min="13075" max="13075" width="12.140625" style="60" customWidth="1"/>
    <col min="13076" max="13076" width="10.5703125" style="60" customWidth="1"/>
    <col min="13077" max="13077" width="12.42578125" style="60" customWidth="1"/>
    <col min="13078" max="13078" width="15.140625" style="60" customWidth="1"/>
    <col min="13079" max="13079" width="13.5703125" style="60" customWidth="1"/>
    <col min="13080" max="13080" width="13.140625" style="60" customWidth="1"/>
    <col min="13081" max="13081" width="15.7109375" style="60" customWidth="1"/>
    <col min="13082" max="13082" width="37.5703125" style="60" customWidth="1"/>
    <col min="13083" max="13304" width="11.42578125" style="60"/>
    <col min="13305" max="13305" width="10.5703125" style="60" customWidth="1"/>
    <col min="13306" max="13306" width="4.85546875" style="60" customWidth="1"/>
    <col min="13307" max="13307" width="32.42578125" style="60" customWidth="1"/>
    <col min="13308" max="13308" width="9.85546875" style="60" customWidth="1"/>
    <col min="13309" max="13309" width="10.140625" style="60" customWidth="1"/>
    <col min="13310" max="13310" width="12.28515625" style="60" customWidth="1"/>
    <col min="13311" max="13311" width="15.42578125" style="60" customWidth="1"/>
    <col min="13312" max="13312" width="11.85546875" style="60" customWidth="1"/>
    <col min="13313" max="13313" width="13.28515625" style="60" customWidth="1"/>
    <col min="13314" max="13314" width="15.28515625" style="60" customWidth="1"/>
    <col min="13315" max="13315" width="11.85546875" style="60" customWidth="1"/>
    <col min="13316" max="13316" width="6.140625" style="60" customWidth="1"/>
    <col min="13317" max="13317" width="11.85546875" style="60" customWidth="1"/>
    <col min="13318" max="13318" width="9.42578125" style="60" customWidth="1"/>
    <col min="13319" max="13319" width="14.7109375" style="60" customWidth="1"/>
    <col min="13320" max="13320" width="11.5703125" style="60" customWidth="1"/>
    <col min="13321" max="13321" width="0.42578125" style="60" customWidth="1"/>
    <col min="13322" max="13322" width="10.5703125" style="60" bestFit="1" customWidth="1"/>
    <col min="13323" max="13323" width="12.28515625" style="60" customWidth="1"/>
    <col min="13324" max="13324" width="12.5703125" style="60" customWidth="1"/>
    <col min="13325" max="13325" width="10.5703125" style="60" customWidth="1"/>
    <col min="13326" max="13326" width="10.140625" style="60" customWidth="1"/>
    <col min="13327" max="13327" width="8.42578125" style="60" customWidth="1"/>
    <col min="13328" max="13328" width="18.85546875" style="60" customWidth="1"/>
    <col min="13329" max="13329" width="10.28515625" style="60" customWidth="1"/>
    <col min="13330" max="13330" width="11.42578125" style="60"/>
    <col min="13331" max="13331" width="12.140625" style="60" customWidth="1"/>
    <col min="13332" max="13332" width="10.5703125" style="60" customWidth="1"/>
    <col min="13333" max="13333" width="12.42578125" style="60" customWidth="1"/>
    <col min="13334" max="13334" width="15.140625" style="60" customWidth="1"/>
    <col min="13335" max="13335" width="13.5703125" style="60" customWidth="1"/>
    <col min="13336" max="13336" width="13.140625" style="60" customWidth="1"/>
    <col min="13337" max="13337" width="15.7109375" style="60" customWidth="1"/>
    <col min="13338" max="13338" width="37.5703125" style="60" customWidth="1"/>
    <col min="13339" max="13560" width="11.42578125" style="60"/>
    <col min="13561" max="13561" width="10.5703125" style="60" customWidth="1"/>
    <col min="13562" max="13562" width="4.85546875" style="60" customWidth="1"/>
    <col min="13563" max="13563" width="32.42578125" style="60" customWidth="1"/>
    <col min="13564" max="13564" width="9.85546875" style="60" customWidth="1"/>
    <col min="13565" max="13565" width="10.140625" style="60" customWidth="1"/>
    <col min="13566" max="13566" width="12.28515625" style="60" customWidth="1"/>
    <col min="13567" max="13567" width="15.42578125" style="60" customWidth="1"/>
    <col min="13568" max="13568" width="11.85546875" style="60" customWidth="1"/>
    <col min="13569" max="13569" width="13.28515625" style="60" customWidth="1"/>
    <col min="13570" max="13570" width="15.28515625" style="60" customWidth="1"/>
    <col min="13571" max="13571" width="11.85546875" style="60" customWidth="1"/>
    <col min="13572" max="13572" width="6.140625" style="60" customWidth="1"/>
    <col min="13573" max="13573" width="11.85546875" style="60" customWidth="1"/>
    <col min="13574" max="13574" width="9.42578125" style="60" customWidth="1"/>
    <col min="13575" max="13575" width="14.7109375" style="60" customWidth="1"/>
    <col min="13576" max="13576" width="11.5703125" style="60" customWidth="1"/>
    <col min="13577" max="13577" width="0.42578125" style="60" customWidth="1"/>
    <col min="13578" max="13578" width="10.5703125" style="60" bestFit="1" customWidth="1"/>
    <col min="13579" max="13579" width="12.28515625" style="60" customWidth="1"/>
    <col min="13580" max="13580" width="12.5703125" style="60" customWidth="1"/>
    <col min="13581" max="13581" width="10.5703125" style="60" customWidth="1"/>
    <col min="13582" max="13582" width="10.140625" style="60" customWidth="1"/>
    <col min="13583" max="13583" width="8.42578125" style="60" customWidth="1"/>
    <col min="13584" max="13584" width="18.85546875" style="60" customWidth="1"/>
    <col min="13585" max="13585" width="10.28515625" style="60" customWidth="1"/>
    <col min="13586" max="13586" width="11.42578125" style="60"/>
    <col min="13587" max="13587" width="12.140625" style="60" customWidth="1"/>
    <col min="13588" max="13588" width="10.5703125" style="60" customWidth="1"/>
    <col min="13589" max="13589" width="12.42578125" style="60" customWidth="1"/>
    <col min="13590" max="13590" width="15.140625" style="60" customWidth="1"/>
    <col min="13591" max="13591" width="13.5703125" style="60" customWidth="1"/>
    <col min="13592" max="13592" width="13.140625" style="60" customWidth="1"/>
    <col min="13593" max="13593" width="15.7109375" style="60" customWidth="1"/>
    <col min="13594" max="13594" width="37.5703125" style="60" customWidth="1"/>
    <col min="13595" max="13816" width="11.42578125" style="60"/>
    <col min="13817" max="13817" width="10.5703125" style="60" customWidth="1"/>
    <col min="13818" max="13818" width="4.85546875" style="60" customWidth="1"/>
    <col min="13819" max="13819" width="32.42578125" style="60" customWidth="1"/>
    <col min="13820" max="13820" width="9.85546875" style="60" customWidth="1"/>
    <col min="13821" max="13821" width="10.140625" style="60" customWidth="1"/>
    <col min="13822" max="13822" width="12.28515625" style="60" customWidth="1"/>
    <col min="13823" max="13823" width="15.42578125" style="60" customWidth="1"/>
    <col min="13824" max="13824" width="11.85546875" style="60" customWidth="1"/>
    <col min="13825" max="13825" width="13.28515625" style="60" customWidth="1"/>
    <col min="13826" max="13826" width="15.28515625" style="60" customWidth="1"/>
    <col min="13827" max="13827" width="11.85546875" style="60" customWidth="1"/>
    <col min="13828" max="13828" width="6.140625" style="60" customWidth="1"/>
    <col min="13829" max="13829" width="11.85546875" style="60" customWidth="1"/>
    <col min="13830" max="13830" width="9.42578125" style="60" customWidth="1"/>
    <col min="13831" max="13831" width="14.7109375" style="60" customWidth="1"/>
    <col min="13832" max="13832" width="11.5703125" style="60" customWidth="1"/>
    <col min="13833" max="13833" width="0.42578125" style="60" customWidth="1"/>
    <col min="13834" max="13834" width="10.5703125" style="60" bestFit="1" customWidth="1"/>
    <col min="13835" max="13835" width="12.28515625" style="60" customWidth="1"/>
    <col min="13836" max="13836" width="12.5703125" style="60" customWidth="1"/>
    <col min="13837" max="13837" width="10.5703125" style="60" customWidth="1"/>
    <col min="13838" max="13838" width="10.140625" style="60" customWidth="1"/>
    <col min="13839" max="13839" width="8.42578125" style="60" customWidth="1"/>
    <col min="13840" max="13840" width="18.85546875" style="60" customWidth="1"/>
    <col min="13841" max="13841" width="10.28515625" style="60" customWidth="1"/>
    <col min="13842" max="13842" width="11.42578125" style="60"/>
    <col min="13843" max="13843" width="12.140625" style="60" customWidth="1"/>
    <col min="13844" max="13844" width="10.5703125" style="60" customWidth="1"/>
    <col min="13845" max="13845" width="12.42578125" style="60" customWidth="1"/>
    <col min="13846" max="13846" width="15.140625" style="60" customWidth="1"/>
    <col min="13847" max="13847" width="13.5703125" style="60" customWidth="1"/>
    <col min="13848" max="13848" width="13.140625" style="60" customWidth="1"/>
    <col min="13849" max="13849" width="15.7109375" style="60" customWidth="1"/>
    <col min="13850" max="13850" width="37.5703125" style="60" customWidth="1"/>
    <col min="13851" max="14072" width="11.42578125" style="60"/>
    <col min="14073" max="14073" width="10.5703125" style="60" customWidth="1"/>
    <col min="14074" max="14074" width="4.85546875" style="60" customWidth="1"/>
    <col min="14075" max="14075" width="32.42578125" style="60" customWidth="1"/>
    <col min="14076" max="14076" width="9.85546875" style="60" customWidth="1"/>
    <col min="14077" max="14077" width="10.140625" style="60" customWidth="1"/>
    <col min="14078" max="14078" width="12.28515625" style="60" customWidth="1"/>
    <col min="14079" max="14079" width="15.42578125" style="60" customWidth="1"/>
    <col min="14080" max="14080" width="11.85546875" style="60" customWidth="1"/>
    <col min="14081" max="14081" width="13.28515625" style="60" customWidth="1"/>
    <col min="14082" max="14082" width="15.28515625" style="60" customWidth="1"/>
    <col min="14083" max="14083" width="11.85546875" style="60" customWidth="1"/>
    <col min="14084" max="14084" width="6.140625" style="60" customWidth="1"/>
    <col min="14085" max="14085" width="11.85546875" style="60" customWidth="1"/>
    <col min="14086" max="14086" width="9.42578125" style="60" customWidth="1"/>
    <col min="14087" max="14087" width="14.7109375" style="60" customWidth="1"/>
    <col min="14088" max="14088" width="11.5703125" style="60" customWidth="1"/>
    <col min="14089" max="14089" width="0.42578125" style="60" customWidth="1"/>
    <col min="14090" max="14090" width="10.5703125" style="60" bestFit="1" customWidth="1"/>
    <col min="14091" max="14091" width="12.28515625" style="60" customWidth="1"/>
    <col min="14092" max="14092" width="12.5703125" style="60" customWidth="1"/>
    <col min="14093" max="14093" width="10.5703125" style="60" customWidth="1"/>
    <col min="14094" max="14094" width="10.140625" style="60" customWidth="1"/>
    <col min="14095" max="14095" width="8.42578125" style="60" customWidth="1"/>
    <col min="14096" max="14096" width="18.85546875" style="60" customWidth="1"/>
    <col min="14097" max="14097" width="10.28515625" style="60" customWidth="1"/>
    <col min="14098" max="14098" width="11.42578125" style="60"/>
    <col min="14099" max="14099" width="12.140625" style="60" customWidth="1"/>
    <col min="14100" max="14100" width="10.5703125" style="60" customWidth="1"/>
    <col min="14101" max="14101" width="12.42578125" style="60" customWidth="1"/>
    <col min="14102" max="14102" width="15.140625" style="60" customWidth="1"/>
    <col min="14103" max="14103" width="13.5703125" style="60" customWidth="1"/>
    <col min="14104" max="14104" width="13.140625" style="60" customWidth="1"/>
    <col min="14105" max="14105" width="15.7109375" style="60" customWidth="1"/>
    <col min="14106" max="14106" width="37.5703125" style="60" customWidth="1"/>
    <col min="14107" max="14328" width="11.42578125" style="60"/>
    <col min="14329" max="14329" width="10.5703125" style="60" customWidth="1"/>
    <col min="14330" max="14330" width="4.85546875" style="60" customWidth="1"/>
    <col min="14331" max="14331" width="32.42578125" style="60" customWidth="1"/>
    <col min="14332" max="14332" width="9.85546875" style="60" customWidth="1"/>
    <col min="14333" max="14333" width="10.140625" style="60" customWidth="1"/>
    <col min="14334" max="14334" width="12.28515625" style="60" customWidth="1"/>
    <col min="14335" max="14335" width="15.42578125" style="60" customWidth="1"/>
    <col min="14336" max="14336" width="11.85546875" style="60" customWidth="1"/>
    <col min="14337" max="14337" width="13.28515625" style="60" customWidth="1"/>
    <col min="14338" max="14338" width="15.28515625" style="60" customWidth="1"/>
    <col min="14339" max="14339" width="11.85546875" style="60" customWidth="1"/>
    <col min="14340" max="14340" width="6.140625" style="60" customWidth="1"/>
    <col min="14341" max="14341" width="11.85546875" style="60" customWidth="1"/>
    <col min="14342" max="14342" width="9.42578125" style="60" customWidth="1"/>
    <col min="14343" max="14343" width="14.7109375" style="60" customWidth="1"/>
    <col min="14344" max="14344" width="11.5703125" style="60" customWidth="1"/>
    <col min="14345" max="14345" width="0.42578125" style="60" customWidth="1"/>
    <col min="14346" max="14346" width="10.5703125" style="60" bestFit="1" customWidth="1"/>
    <col min="14347" max="14347" width="12.28515625" style="60" customWidth="1"/>
    <col min="14348" max="14348" width="12.5703125" style="60" customWidth="1"/>
    <col min="14349" max="14349" width="10.5703125" style="60" customWidth="1"/>
    <col min="14350" max="14350" width="10.140625" style="60" customWidth="1"/>
    <col min="14351" max="14351" width="8.42578125" style="60" customWidth="1"/>
    <col min="14352" max="14352" width="18.85546875" style="60" customWidth="1"/>
    <col min="14353" max="14353" width="10.28515625" style="60" customWidth="1"/>
    <col min="14354" max="14354" width="11.42578125" style="60"/>
    <col min="14355" max="14355" width="12.140625" style="60" customWidth="1"/>
    <col min="14356" max="14356" width="10.5703125" style="60" customWidth="1"/>
    <col min="14357" max="14357" width="12.42578125" style="60" customWidth="1"/>
    <col min="14358" max="14358" width="15.140625" style="60" customWidth="1"/>
    <col min="14359" max="14359" width="13.5703125" style="60" customWidth="1"/>
    <col min="14360" max="14360" width="13.140625" style="60" customWidth="1"/>
    <col min="14361" max="14361" width="15.7109375" style="60" customWidth="1"/>
    <col min="14362" max="14362" width="37.5703125" style="60" customWidth="1"/>
    <col min="14363" max="14584" width="11.42578125" style="60"/>
    <col min="14585" max="14585" width="10.5703125" style="60" customWidth="1"/>
    <col min="14586" max="14586" width="4.85546875" style="60" customWidth="1"/>
    <col min="14587" max="14587" width="32.42578125" style="60" customWidth="1"/>
    <col min="14588" max="14588" width="9.85546875" style="60" customWidth="1"/>
    <col min="14589" max="14589" width="10.140625" style="60" customWidth="1"/>
    <col min="14590" max="14590" width="12.28515625" style="60" customWidth="1"/>
    <col min="14591" max="14591" width="15.42578125" style="60" customWidth="1"/>
    <col min="14592" max="14592" width="11.85546875" style="60" customWidth="1"/>
    <col min="14593" max="14593" width="13.28515625" style="60" customWidth="1"/>
    <col min="14594" max="14594" width="15.28515625" style="60" customWidth="1"/>
    <col min="14595" max="14595" width="11.85546875" style="60" customWidth="1"/>
    <col min="14596" max="14596" width="6.140625" style="60" customWidth="1"/>
    <col min="14597" max="14597" width="11.85546875" style="60" customWidth="1"/>
    <col min="14598" max="14598" width="9.42578125" style="60" customWidth="1"/>
    <col min="14599" max="14599" width="14.7109375" style="60" customWidth="1"/>
    <col min="14600" max="14600" width="11.5703125" style="60" customWidth="1"/>
    <col min="14601" max="14601" width="0.42578125" style="60" customWidth="1"/>
    <col min="14602" max="14602" width="10.5703125" style="60" bestFit="1" customWidth="1"/>
    <col min="14603" max="14603" width="12.28515625" style="60" customWidth="1"/>
    <col min="14604" max="14604" width="12.5703125" style="60" customWidth="1"/>
    <col min="14605" max="14605" width="10.5703125" style="60" customWidth="1"/>
    <col min="14606" max="14606" width="10.140625" style="60" customWidth="1"/>
    <col min="14607" max="14607" width="8.42578125" style="60" customWidth="1"/>
    <col min="14608" max="14608" width="18.85546875" style="60" customWidth="1"/>
    <col min="14609" max="14609" width="10.28515625" style="60" customWidth="1"/>
    <col min="14610" max="14610" width="11.42578125" style="60"/>
    <col min="14611" max="14611" width="12.140625" style="60" customWidth="1"/>
    <col min="14612" max="14612" width="10.5703125" style="60" customWidth="1"/>
    <col min="14613" max="14613" width="12.42578125" style="60" customWidth="1"/>
    <col min="14614" max="14614" width="15.140625" style="60" customWidth="1"/>
    <col min="14615" max="14615" width="13.5703125" style="60" customWidth="1"/>
    <col min="14616" max="14616" width="13.140625" style="60" customWidth="1"/>
    <col min="14617" max="14617" width="15.7109375" style="60" customWidth="1"/>
    <col min="14618" max="14618" width="37.5703125" style="60" customWidth="1"/>
    <col min="14619" max="14840" width="11.42578125" style="60"/>
    <col min="14841" max="14841" width="10.5703125" style="60" customWidth="1"/>
    <col min="14842" max="14842" width="4.85546875" style="60" customWidth="1"/>
    <col min="14843" max="14843" width="32.42578125" style="60" customWidth="1"/>
    <col min="14844" max="14844" width="9.85546875" style="60" customWidth="1"/>
    <col min="14845" max="14845" width="10.140625" style="60" customWidth="1"/>
    <col min="14846" max="14846" width="12.28515625" style="60" customWidth="1"/>
    <col min="14847" max="14847" width="15.42578125" style="60" customWidth="1"/>
    <col min="14848" max="14848" width="11.85546875" style="60" customWidth="1"/>
    <col min="14849" max="14849" width="13.28515625" style="60" customWidth="1"/>
    <col min="14850" max="14850" width="15.28515625" style="60" customWidth="1"/>
    <col min="14851" max="14851" width="11.85546875" style="60" customWidth="1"/>
    <col min="14852" max="14852" width="6.140625" style="60" customWidth="1"/>
    <col min="14853" max="14853" width="11.85546875" style="60" customWidth="1"/>
    <col min="14854" max="14854" width="9.42578125" style="60" customWidth="1"/>
    <col min="14855" max="14855" width="14.7109375" style="60" customWidth="1"/>
    <col min="14856" max="14856" width="11.5703125" style="60" customWidth="1"/>
    <col min="14857" max="14857" width="0.42578125" style="60" customWidth="1"/>
    <col min="14858" max="14858" width="10.5703125" style="60" bestFit="1" customWidth="1"/>
    <col min="14859" max="14859" width="12.28515625" style="60" customWidth="1"/>
    <col min="14860" max="14860" width="12.5703125" style="60" customWidth="1"/>
    <col min="14861" max="14861" width="10.5703125" style="60" customWidth="1"/>
    <col min="14862" max="14862" width="10.140625" style="60" customWidth="1"/>
    <col min="14863" max="14863" width="8.42578125" style="60" customWidth="1"/>
    <col min="14864" max="14864" width="18.85546875" style="60" customWidth="1"/>
    <col min="14865" max="14865" width="10.28515625" style="60" customWidth="1"/>
    <col min="14866" max="14866" width="11.42578125" style="60"/>
    <col min="14867" max="14867" width="12.140625" style="60" customWidth="1"/>
    <col min="14868" max="14868" width="10.5703125" style="60" customWidth="1"/>
    <col min="14869" max="14869" width="12.42578125" style="60" customWidth="1"/>
    <col min="14870" max="14870" width="15.140625" style="60" customWidth="1"/>
    <col min="14871" max="14871" width="13.5703125" style="60" customWidth="1"/>
    <col min="14872" max="14872" width="13.140625" style="60" customWidth="1"/>
    <col min="14873" max="14873" width="15.7109375" style="60" customWidth="1"/>
    <col min="14874" max="14874" width="37.5703125" style="60" customWidth="1"/>
    <col min="14875" max="15096" width="11.42578125" style="60"/>
    <col min="15097" max="15097" width="10.5703125" style="60" customWidth="1"/>
    <col min="15098" max="15098" width="4.85546875" style="60" customWidth="1"/>
    <col min="15099" max="15099" width="32.42578125" style="60" customWidth="1"/>
    <col min="15100" max="15100" width="9.85546875" style="60" customWidth="1"/>
    <col min="15101" max="15101" width="10.140625" style="60" customWidth="1"/>
    <col min="15102" max="15102" width="12.28515625" style="60" customWidth="1"/>
    <col min="15103" max="15103" width="15.42578125" style="60" customWidth="1"/>
    <col min="15104" max="15104" width="11.85546875" style="60" customWidth="1"/>
    <col min="15105" max="15105" width="13.28515625" style="60" customWidth="1"/>
    <col min="15106" max="15106" width="15.28515625" style="60" customWidth="1"/>
    <col min="15107" max="15107" width="11.85546875" style="60" customWidth="1"/>
    <col min="15108" max="15108" width="6.140625" style="60" customWidth="1"/>
    <col min="15109" max="15109" width="11.85546875" style="60" customWidth="1"/>
    <col min="15110" max="15110" width="9.42578125" style="60" customWidth="1"/>
    <col min="15111" max="15111" width="14.7109375" style="60" customWidth="1"/>
    <col min="15112" max="15112" width="11.5703125" style="60" customWidth="1"/>
    <col min="15113" max="15113" width="0.42578125" style="60" customWidth="1"/>
    <col min="15114" max="15114" width="10.5703125" style="60" bestFit="1" customWidth="1"/>
    <col min="15115" max="15115" width="12.28515625" style="60" customWidth="1"/>
    <col min="15116" max="15116" width="12.5703125" style="60" customWidth="1"/>
    <col min="15117" max="15117" width="10.5703125" style="60" customWidth="1"/>
    <col min="15118" max="15118" width="10.140625" style="60" customWidth="1"/>
    <col min="15119" max="15119" width="8.42578125" style="60" customWidth="1"/>
    <col min="15120" max="15120" width="18.85546875" style="60" customWidth="1"/>
    <col min="15121" max="15121" width="10.28515625" style="60" customWidth="1"/>
    <col min="15122" max="15122" width="11.42578125" style="60"/>
    <col min="15123" max="15123" width="12.140625" style="60" customWidth="1"/>
    <col min="15124" max="15124" width="10.5703125" style="60" customWidth="1"/>
    <col min="15125" max="15125" width="12.42578125" style="60" customWidth="1"/>
    <col min="15126" max="15126" width="15.140625" style="60" customWidth="1"/>
    <col min="15127" max="15127" width="13.5703125" style="60" customWidth="1"/>
    <col min="15128" max="15128" width="13.140625" style="60" customWidth="1"/>
    <col min="15129" max="15129" width="15.7109375" style="60" customWidth="1"/>
    <col min="15130" max="15130" width="37.5703125" style="60" customWidth="1"/>
    <col min="15131" max="15352" width="11.42578125" style="60"/>
    <col min="15353" max="15353" width="10.5703125" style="60" customWidth="1"/>
    <col min="15354" max="15354" width="4.85546875" style="60" customWidth="1"/>
    <col min="15355" max="15355" width="32.42578125" style="60" customWidth="1"/>
    <col min="15356" max="15356" width="9.85546875" style="60" customWidth="1"/>
    <col min="15357" max="15357" width="10.140625" style="60" customWidth="1"/>
    <col min="15358" max="15358" width="12.28515625" style="60" customWidth="1"/>
    <col min="15359" max="15359" width="15.42578125" style="60" customWidth="1"/>
    <col min="15360" max="15360" width="11.85546875" style="60" customWidth="1"/>
    <col min="15361" max="15361" width="13.28515625" style="60" customWidth="1"/>
    <col min="15362" max="15362" width="15.28515625" style="60" customWidth="1"/>
    <col min="15363" max="15363" width="11.85546875" style="60" customWidth="1"/>
    <col min="15364" max="15364" width="6.140625" style="60" customWidth="1"/>
    <col min="15365" max="15365" width="11.85546875" style="60" customWidth="1"/>
    <col min="15366" max="15366" width="9.42578125" style="60" customWidth="1"/>
    <col min="15367" max="15367" width="14.7109375" style="60" customWidth="1"/>
    <col min="15368" max="15368" width="11.5703125" style="60" customWidth="1"/>
    <col min="15369" max="15369" width="0.42578125" style="60" customWidth="1"/>
    <col min="15370" max="15370" width="10.5703125" style="60" bestFit="1" customWidth="1"/>
    <col min="15371" max="15371" width="12.28515625" style="60" customWidth="1"/>
    <col min="15372" max="15372" width="12.5703125" style="60" customWidth="1"/>
    <col min="15373" max="15373" width="10.5703125" style="60" customWidth="1"/>
    <col min="15374" max="15374" width="10.140625" style="60" customWidth="1"/>
    <col min="15375" max="15375" width="8.42578125" style="60" customWidth="1"/>
    <col min="15376" max="15376" width="18.85546875" style="60" customWidth="1"/>
    <col min="15377" max="15377" width="10.28515625" style="60" customWidth="1"/>
    <col min="15378" max="15378" width="11.42578125" style="60"/>
    <col min="15379" max="15379" width="12.140625" style="60" customWidth="1"/>
    <col min="15380" max="15380" width="10.5703125" style="60" customWidth="1"/>
    <col min="15381" max="15381" width="12.42578125" style="60" customWidth="1"/>
    <col min="15382" max="15382" width="15.140625" style="60" customWidth="1"/>
    <col min="15383" max="15383" width="13.5703125" style="60" customWidth="1"/>
    <col min="15384" max="15384" width="13.140625" style="60" customWidth="1"/>
    <col min="15385" max="15385" width="15.7109375" style="60" customWidth="1"/>
    <col min="15386" max="15386" width="37.5703125" style="60" customWidth="1"/>
    <col min="15387" max="15608" width="11.42578125" style="60"/>
    <col min="15609" max="15609" width="10.5703125" style="60" customWidth="1"/>
    <col min="15610" max="15610" width="4.85546875" style="60" customWidth="1"/>
    <col min="15611" max="15611" width="32.42578125" style="60" customWidth="1"/>
    <col min="15612" max="15612" width="9.85546875" style="60" customWidth="1"/>
    <col min="15613" max="15613" width="10.140625" style="60" customWidth="1"/>
    <col min="15614" max="15614" width="12.28515625" style="60" customWidth="1"/>
    <col min="15615" max="15615" width="15.42578125" style="60" customWidth="1"/>
    <col min="15616" max="15616" width="11.85546875" style="60" customWidth="1"/>
    <col min="15617" max="15617" width="13.28515625" style="60" customWidth="1"/>
    <col min="15618" max="15618" width="15.28515625" style="60" customWidth="1"/>
    <col min="15619" max="15619" width="11.85546875" style="60" customWidth="1"/>
    <col min="15620" max="15620" width="6.140625" style="60" customWidth="1"/>
    <col min="15621" max="15621" width="11.85546875" style="60" customWidth="1"/>
    <col min="15622" max="15622" width="9.42578125" style="60" customWidth="1"/>
    <col min="15623" max="15623" width="14.7109375" style="60" customWidth="1"/>
    <col min="15624" max="15624" width="11.5703125" style="60" customWidth="1"/>
    <col min="15625" max="15625" width="0.42578125" style="60" customWidth="1"/>
    <col min="15626" max="15626" width="10.5703125" style="60" bestFit="1" customWidth="1"/>
    <col min="15627" max="15627" width="12.28515625" style="60" customWidth="1"/>
    <col min="15628" max="15628" width="12.5703125" style="60" customWidth="1"/>
    <col min="15629" max="15629" width="10.5703125" style="60" customWidth="1"/>
    <col min="15630" max="15630" width="10.140625" style="60" customWidth="1"/>
    <col min="15631" max="15631" width="8.42578125" style="60" customWidth="1"/>
    <col min="15632" max="15632" width="18.85546875" style="60" customWidth="1"/>
    <col min="15633" max="15633" width="10.28515625" style="60" customWidth="1"/>
    <col min="15634" max="15634" width="11.42578125" style="60"/>
    <col min="15635" max="15635" width="12.140625" style="60" customWidth="1"/>
    <col min="15636" max="15636" width="10.5703125" style="60" customWidth="1"/>
    <col min="15637" max="15637" width="12.42578125" style="60" customWidth="1"/>
    <col min="15638" max="15638" width="15.140625" style="60" customWidth="1"/>
    <col min="15639" max="15639" width="13.5703125" style="60" customWidth="1"/>
    <col min="15640" max="15640" width="13.140625" style="60" customWidth="1"/>
    <col min="15641" max="15641" width="15.7109375" style="60" customWidth="1"/>
    <col min="15642" max="15642" width="37.5703125" style="60" customWidth="1"/>
    <col min="15643" max="15864" width="11.42578125" style="60"/>
    <col min="15865" max="15865" width="10.5703125" style="60" customWidth="1"/>
    <col min="15866" max="15866" width="4.85546875" style="60" customWidth="1"/>
    <col min="15867" max="15867" width="32.42578125" style="60" customWidth="1"/>
    <col min="15868" max="15868" width="9.85546875" style="60" customWidth="1"/>
    <col min="15869" max="15869" width="10.140625" style="60" customWidth="1"/>
    <col min="15870" max="15870" width="12.28515625" style="60" customWidth="1"/>
    <col min="15871" max="15871" width="15.42578125" style="60" customWidth="1"/>
    <col min="15872" max="15872" width="11.85546875" style="60" customWidth="1"/>
    <col min="15873" max="15873" width="13.28515625" style="60" customWidth="1"/>
    <col min="15874" max="15874" width="15.28515625" style="60" customWidth="1"/>
    <col min="15875" max="15875" width="11.85546875" style="60" customWidth="1"/>
    <col min="15876" max="15876" width="6.140625" style="60" customWidth="1"/>
    <col min="15877" max="15877" width="11.85546875" style="60" customWidth="1"/>
    <col min="15878" max="15878" width="9.42578125" style="60" customWidth="1"/>
    <col min="15879" max="15879" width="14.7109375" style="60" customWidth="1"/>
    <col min="15880" max="15880" width="11.5703125" style="60" customWidth="1"/>
    <col min="15881" max="15881" width="0.42578125" style="60" customWidth="1"/>
    <col min="15882" max="15882" width="10.5703125" style="60" bestFit="1" customWidth="1"/>
    <col min="15883" max="15883" width="12.28515625" style="60" customWidth="1"/>
    <col min="15884" max="15884" width="12.5703125" style="60" customWidth="1"/>
    <col min="15885" max="15885" width="10.5703125" style="60" customWidth="1"/>
    <col min="15886" max="15886" width="10.140625" style="60" customWidth="1"/>
    <col min="15887" max="15887" width="8.42578125" style="60" customWidth="1"/>
    <col min="15888" max="15888" width="18.85546875" style="60" customWidth="1"/>
    <col min="15889" max="15889" width="10.28515625" style="60" customWidth="1"/>
    <col min="15890" max="15890" width="11.42578125" style="60"/>
    <col min="15891" max="15891" width="12.140625" style="60" customWidth="1"/>
    <col min="15892" max="15892" width="10.5703125" style="60" customWidth="1"/>
    <col min="15893" max="15893" width="12.42578125" style="60" customWidth="1"/>
    <col min="15894" max="15894" width="15.140625" style="60" customWidth="1"/>
    <col min="15895" max="15895" width="13.5703125" style="60" customWidth="1"/>
    <col min="15896" max="15896" width="13.140625" style="60" customWidth="1"/>
    <col min="15897" max="15897" width="15.7109375" style="60" customWidth="1"/>
    <col min="15898" max="15898" width="37.5703125" style="60" customWidth="1"/>
    <col min="15899" max="16120" width="11.42578125" style="60"/>
    <col min="16121" max="16121" width="10.5703125" style="60" customWidth="1"/>
    <col min="16122" max="16122" width="4.85546875" style="60" customWidth="1"/>
    <col min="16123" max="16123" width="32.42578125" style="60" customWidth="1"/>
    <col min="16124" max="16124" width="9.85546875" style="60" customWidth="1"/>
    <col min="16125" max="16125" width="10.140625" style="60" customWidth="1"/>
    <col min="16126" max="16126" width="12.28515625" style="60" customWidth="1"/>
    <col min="16127" max="16127" width="15.42578125" style="60" customWidth="1"/>
    <col min="16128" max="16128" width="11.85546875" style="60" customWidth="1"/>
    <col min="16129" max="16129" width="13.28515625" style="60" customWidth="1"/>
    <col min="16130" max="16130" width="15.28515625" style="60" customWidth="1"/>
    <col min="16131" max="16131" width="11.85546875" style="60" customWidth="1"/>
    <col min="16132" max="16132" width="6.140625" style="60" customWidth="1"/>
    <col min="16133" max="16133" width="11.85546875" style="60" customWidth="1"/>
    <col min="16134" max="16134" width="9.42578125" style="60" customWidth="1"/>
    <col min="16135" max="16135" width="14.7109375" style="60" customWidth="1"/>
    <col min="16136" max="16136" width="11.5703125" style="60" customWidth="1"/>
    <col min="16137" max="16137" width="0.42578125" style="60" customWidth="1"/>
    <col min="16138" max="16138" width="10.5703125" style="60" bestFit="1" customWidth="1"/>
    <col min="16139" max="16139" width="12.28515625" style="60" customWidth="1"/>
    <col min="16140" max="16140" width="12.5703125" style="60" customWidth="1"/>
    <col min="16141" max="16141" width="10.5703125" style="60" customWidth="1"/>
    <col min="16142" max="16142" width="10.140625" style="60" customWidth="1"/>
    <col min="16143" max="16143" width="8.42578125" style="60" customWidth="1"/>
    <col min="16144" max="16144" width="18.85546875" style="60" customWidth="1"/>
    <col min="16145" max="16145" width="10.28515625" style="60" customWidth="1"/>
    <col min="16146" max="16146" width="11.42578125" style="60"/>
    <col min="16147" max="16147" width="12.140625" style="60" customWidth="1"/>
    <col min="16148" max="16148" width="10.5703125" style="60" customWidth="1"/>
    <col min="16149" max="16149" width="12.42578125" style="60" customWidth="1"/>
    <col min="16150" max="16150" width="15.140625" style="60" customWidth="1"/>
    <col min="16151" max="16151" width="13.5703125" style="60" customWidth="1"/>
    <col min="16152" max="16152" width="13.140625" style="60" customWidth="1"/>
    <col min="16153" max="16153" width="15.7109375" style="60" customWidth="1"/>
    <col min="16154" max="16154" width="37.5703125" style="60" customWidth="1"/>
    <col min="16155" max="16384" width="11.42578125" style="60"/>
  </cols>
  <sheetData>
    <row r="1" spans="1:26" x14ac:dyDescent="0.25">
      <c r="C1" s="61" t="s">
        <v>143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8"/>
      <c r="Y1" s="62"/>
      <c r="Z1" s="8"/>
    </row>
    <row r="2" spans="1:26" x14ac:dyDescent="0.25">
      <c r="C2" s="9" t="s">
        <v>1</v>
      </c>
      <c r="D2" s="8"/>
      <c r="E2" s="85" t="s">
        <v>2</v>
      </c>
      <c r="F2" s="85"/>
      <c r="G2" s="85"/>
      <c r="H2" s="85"/>
      <c r="I2" s="85"/>
      <c r="J2" s="85"/>
      <c r="K2" s="85"/>
      <c r="L2" s="85"/>
      <c r="M2" s="85"/>
      <c r="N2" s="85" t="s">
        <v>3</v>
      </c>
      <c r="O2" s="85"/>
      <c r="P2" s="85"/>
      <c r="Q2" s="85"/>
      <c r="R2" s="85"/>
      <c r="S2" s="85"/>
      <c r="T2" s="85"/>
      <c r="U2" s="85"/>
      <c r="V2" s="85"/>
      <c r="W2" s="8"/>
      <c r="X2" s="8"/>
      <c r="Y2" s="62"/>
      <c r="Z2" s="8"/>
    </row>
    <row r="3" spans="1:26" ht="24.95" customHeight="1" x14ac:dyDescent="0.25">
      <c r="B3" s="2" t="s">
        <v>4</v>
      </c>
      <c r="C3" s="2" t="s">
        <v>5</v>
      </c>
      <c r="D3" s="2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144</v>
      </c>
      <c r="J3" s="3" t="s">
        <v>12</v>
      </c>
      <c r="K3" s="3" t="s">
        <v>13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2" t="s">
        <v>26</v>
      </c>
      <c r="X3" s="2"/>
      <c r="Y3" s="86"/>
      <c r="Z3" s="2" t="s">
        <v>27</v>
      </c>
    </row>
    <row r="4" spans="1:26" s="13" customFormat="1" ht="24.95" customHeight="1" x14ac:dyDescent="0.25">
      <c r="A4" s="63" t="s">
        <v>28</v>
      </c>
      <c r="B4" s="2">
        <v>1</v>
      </c>
      <c r="C4" s="1" t="s">
        <v>145</v>
      </c>
      <c r="D4" s="1"/>
      <c r="E4" s="3">
        <v>4500000</v>
      </c>
      <c r="F4" s="3">
        <v>13</v>
      </c>
      <c r="G4" s="3">
        <f>+E4/30*F4</f>
        <v>1950000</v>
      </c>
      <c r="H4" s="3"/>
      <c r="I4" s="3"/>
      <c r="J4" s="3"/>
      <c r="K4" s="3"/>
      <c r="L4" s="3"/>
      <c r="M4" s="3">
        <f>+G4+L4+K4+J4+I4+H4</f>
        <v>1950000</v>
      </c>
      <c r="N4" s="3">
        <f>+G4*0.04</f>
        <v>78000</v>
      </c>
      <c r="O4" s="3">
        <f>+G4*0.04</f>
        <v>78000</v>
      </c>
      <c r="P4" s="3"/>
      <c r="Q4" s="3"/>
      <c r="R4" s="3"/>
      <c r="S4" s="3"/>
      <c r="T4" s="3"/>
      <c r="U4" s="3"/>
      <c r="V4" s="4">
        <f>SUM(N4:U4)</f>
        <v>156000</v>
      </c>
      <c r="W4" s="5">
        <f>+M4-V4</f>
        <v>1794000</v>
      </c>
      <c r="X4" s="5"/>
      <c r="Y4" s="62"/>
      <c r="Z4" s="5">
        <f t="shared" ref="Z4:Z67" si="0">W4+X4-Y4</f>
        <v>1794000</v>
      </c>
    </row>
    <row r="5" spans="1:26" ht="24.95" customHeight="1" x14ac:dyDescent="0.25">
      <c r="A5" s="63"/>
      <c r="B5" s="2">
        <f>+B4+1</f>
        <v>2</v>
      </c>
      <c r="C5" s="1" t="s">
        <v>29</v>
      </c>
      <c r="D5" s="2" t="s">
        <v>30</v>
      </c>
      <c r="E5" s="4">
        <v>4500000</v>
      </c>
      <c r="F5" s="3">
        <v>30</v>
      </c>
      <c r="G5" s="4">
        <f>+E5/30*F5</f>
        <v>4500000</v>
      </c>
      <c r="H5" s="4"/>
      <c r="I5" s="4"/>
      <c r="J5" s="4"/>
      <c r="K5" s="4">
        <v>500000</v>
      </c>
      <c r="L5" s="4">
        <v>6911719</v>
      </c>
      <c r="M5" s="4">
        <f>+G5+H5+J5+K5+L5+I5</f>
        <v>11911719</v>
      </c>
      <c r="N5" s="4">
        <f>+M5*4%</f>
        <v>476468.76</v>
      </c>
      <c r="O5" s="4">
        <f>+M5*5%</f>
        <v>595585.95000000007</v>
      </c>
      <c r="P5" s="4"/>
      <c r="Q5" s="4"/>
      <c r="R5" s="4">
        <v>130672</v>
      </c>
      <c r="S5" s="4"/>
      <c r="T5" s="4"/>
      <c r="U5" s="4"/>
      <c r="V5" s="4">
        <f t="shared" ref="V5:V10" si="1">SUM(N5:U5)</f>
        <v>1202726.71</v>
      </c>
      <c r="W5" s="5">
        <f>+M5-V5</f>
        <v>10708992.289999999</v>
      </c>
      <c r="X5" s="5"/>
      <c r="Y5" s="62"/>
      <c r="Z5" s="5">
        <f t="shared" si="0"/>
        <v>10708992.289999999</v>
      </c>
    </row>
    <row r="6" spans="1:26" ht="24.95" customHeight="1" x14ac:dyDescent="0.25">
      <c r="A6" s="63"/>
      <c r="B6" s="2">
        <f t="shared" ref="B6:B51" si="2">+B5+1</f>
        <v>3</v>
      </c>
      <c r="C6" s="1" t="s">
        <v>32</v>
      </c>
      <c r="D6" s="2" t="s">
        <v>30</v>
      </c>
      <c r="E6" s="4">
        <v>6000000</v>
      </c>
      <c r="F6" s="3">
        <v>30</v>
      </c>
      <c r="G6" s="4">
        <f>+E6-L6</f>
        <v>5200000</v>
      </c>
      <c r="H6" s="4"/>
      <c r="I6" s="4"/>
      <c r="J6" s="4"/>
      <c r="K6" s="4">
        <v>600000</v>
      </c>
      <c r="L6" s="4">
        <v>800000</v>
      </c>
      <c r="M6" s="4">
        <f>+G6+H6+J6+K6+L6+I6</f>
        <v>6600000</v>
      </c>
      <c r="N6" s="4">
        <f>E6*4%</f>
        <v>240000</v>
      </c>
      <c r="O6" s="4">
        <f>E6*5%</f>
        <v>300000</v>
      </c>
      <c r="P6" s="4"/>
      <c r="Q6" s="4"/>
      <c r="R6" s="4">
        <v>102000</v>
      </c>
      <c r="S6" s="4"/>
      <c r="T6" s="4"/>
      <c r="U6" s="4">
        <v>1212777</v>
      </c>
      <c r="V6" s="4">
        <f t="shared" si="1"/>
        <v>1854777</v>
      </c>
      <c r="W6" s="5">
        <f t="shared" ref="W6:W7" si="3">+M6-V6</f>
        <v>4745223</v>
      </c>
      <c r="X6" s="5"/>
      <c r="Y6" s="62"/>
      <c r="Z6" s="5">
        <f t="shared" si="0"/>
        <v>4745223</v>
      </c>
    </row>
    <row r="7" spans="1:26" ht="24.95" customHeight="1" x14ac:dyDescent="0.25">
      <c r="A7" s="63"/>
      <c r="B7" s="2">
        <f t="shared" si="2"/>
        <v>4</v>
      </c>
      <c r="C7" s="1" t="s">
        <v>33</v>
      </c>
      <c r="D7" s="2" t="s">
        <v>30</v>
      </c>
      <c r="E7" s="4">
        <v>5492319</v>
      </c>
      <c r="F7" s="3">
        <v>30</v>
      </c>
      <c r="G7" s="4">
        <f t="shared" ref="G7:G70" si="4">+E7/30*F7</f>
        <v>5492319</v>
      </c>
      <c r="H7" s="4"/>
      <c r="I7" s="4"/>
      <c r="J7" s="4"/>
      <c r="K7" s="4"/>
      <c r="L7" s="4"/>
      <c r="M7" s="4">
        <f>+G7+H7+J7+K7+L7+I7</f>
        <v>5492319</v>
      </c>
      <c r="N7" s="4">
        <f>+E7*4%</f>
        <v>219692.76</v>
      </c>
      <c r="O7" s="4">
        <f>+E7*5%</f>
        <v>274615.95</v>
      </c>
      <c r="P7" s="4"/>
      <c r="Q7" s="4"/>
      <c r="R7" s="7">
        <v>98000</v>
      </c>
      <c r="S7" s="4"/>
      <c r="T7" s="4"/>
      <c r="U7" s="4">
        <v>726520</v>
      </c>
      <c r="V7" s="4">
        <f t="shared" si="1"/>
        <v>1318828.71</v>
      </c>
      <c r="W7" s="5">
        <f t="shared" si="3"/>
        <v>4173490.29</v>
      </c>
      <c r="X7" s="5"/>
      <c r="Y7" s="62"/>
      <c r="Z7" s="5">
        <f t="shared" si="0"/>
        <v>4173490.29</v>
      </c>
    </row>
    <row r="8" spans="1:26" ht="24.95" customHeight="1" x14ac:dyDescent="0.25">
      <c r="A8" s="63"/>
      <c r="B8" s="2">
        <f t="shared" si="2"/>
        <v>5</v>
      </c>
      <c r="C8" s="2" t="s">
        <v>34</v>
      </c>
      <c r="D8" s="2" t="s">
        <v>30</v>
      </c>
      <c r="E8" s="4">
        <v>5000000</v>
      </c>
      <c r="F8" s="3">
        <v>30</v>
      </c>
      <c r="G8" s="4">
        <f t="shared" si="4"/>
        <v>5000000</v>
      </c>
      <c r="H8" s="4"/>
      <c r="I8" s="4">
        <v>45375</v>
      </c>
      <c r="J8" s="4"/>
      <c r="K8" s="4"/>
      <c r="L8" s="4"/>
      <c r="M8" s="4">
        <f>+G8+H8+J8+K8+L8+I8</f>
        <v>5045375</v>
      </c>
      <c r="N8" s="4">
        <f>+E8*4%</f>
        <v>200000</v>
      </c>
      <c r="O8" s="4">
        <f>+E8*5%</f>
        <v>250000</v>
      </c>
      <c r="P8" s="4"/>
      <c r="Q8" s="4"/>
      <c r="R8" s="7">
        <v>21409</v>
      </c>
      <c r="S8" s="4">
        <v>500000</v>
      </c>
      <c r="T8" s="4">
        <v>111000</v>
      </c>
      <c r="U8" s="4"/>
      <c r="V8" s="4">
        <f t="shared" si="1"/>
        <v>1082409</v>
      </c>
      <c r="W8" s="5">
        <f>+M8-V8</f>
        <v>3962966</v>
      </c>
      <c r="X8" s="5"/>
      <c r="Y8" s="62"/>
      <c r="Z8" s="5">
        <f t="shared" si="0"/>
        <v>3962966</v>
      </c>
    </row>
    <row r="9" spans="1:26" ht="24.95" customHeight="1" x14ac:dyDescent="0.25">
      <c r="A9" s="63"/>
      <c r="B9" s="2">
        <f t="shared" si="2"/>
        <v>6</v>
      </c>
      <c r="C9" s="1" t="s">
        <v>35</v>
      </c>
      <c r="D9" s="2" t="s">
        <v>30</v>
      </c>
      <c r="E9" s="4">
        <v>5300000</v>
      </c>
      <c r="F9" s="3">
        <v>30</v>
      </c>
      <c r="G9" s="4">
        <f>+E9-L9</f>
        <v>2826667</v>
      </c>
      <c r="H9" s="4"/>
      <c r="I9" s="4"/>
      <c r="J9" s="4"/>
      <c r="K9" s="4">
        <v>2012670</v>
      </c>
      <c r="L9" s="4">
        <v>2473333</v>
      </c>
      <c r="M9" s="4">
        <f>+G9+H9+J9+K9+L9+I9</f>
        <v>7312670</v>
      </c>
      <c r="N9" s="4">
        <f>+E9*4%</f>
        <v>212000</v>
      </c>
      <c r="O9" s="4">
        <f>+E9*5%</f>
        <v>265000</v>
      </c>
      <c r="P9" s="4"/>
      <c r="Q9" s="4"/>
      <c r="R9" s="4">
        <v>50000</v>
      </c>
      <c r="S9" s="4">
        <v>700000</v>
      </c>
      <c r="T9" s="4"/>
      <c r="U9" s="4"/>
      <c r="V9" s="4">
        <f t="shared" si="1"/>
        <v>1227000</v>
      </c>
      <c r="W9" s="5">
        <f>+M9-V9</f>
        <v>6085670</v>
      </c>
      <c r="X9" s="5"/>
      <c r="Y9" s="62"/>
      <c r="Z9" s="5">
        <f t="shared" si="0"/>
        <v>6085670</v>
      </c>
    </row>
    <row r="10" spans="1:26" ht="24.95" customHeight="1" x14ac:dyDescent="0.25">
      <c r="A10" s="63"/>
      <c r="B10" s="2">
        <f t="shared" si="2"/>
        <v>7</v>
      </c>
      <c r="C10" s="1" t="s">
        <v>36</v>
      </c>
      <c r="D10" s="2" t="s">
        <v>30</v>
      </c>
      <c r="E10" s="4">
        <v>4770000</v>
      </c>
      <c r="F10" s="3">
        <v>30</v>
      </c>
      <c r="G10" s="4">
        <f t="shared" si="4"/>
        <v>4770000</v>
      </c>
      <c r="H10" s="4"/>
      <c r="I10" s="4">
        <v>48600</v>
      </c>
      <c r="J10" s="4"/>
      <c r="K10" s="4"/>
      <c r="L10" s="4">
        <v>0</v>
      </c>
      <c r="M10" s="4">
        <f>+G10+H10+J10+K10+L10+I10</f>
        <v>4818600</v>
      </c>
      <c r="N10" s="4">
        <f>+E10*4%</f>
        <v>190800</v>
      </c>
      <c r="O10" s="4">
        <f>+E10*5%</f>
        <v>238500</v>
      </c>
      <c r="P10" s="4"/>
      <c r="Q10" s="4"/>
      <c r="R10" s="4">
        <v>0</v>
      </c>
      <c r="S10" s="4"/>
      <c r="T10" s="4"/>
      <c r="U10" s="4">
        <f>945750+420786</f>
        <v>1366536</v>
      </c>
      <c r="V10" s="4">
        <f t="shared" si="1"/>
        <v>1795836</v>
      </c>
      <c r="W10" s="5">
        <f>M10-V10</f>
        <v>3022764</v>
      </c>
      <c r="X10" s="5"/>
      <c r="Y10" s="62"/>
      <c r="Z10" s="5">
        <f t="shared" si="0"/>
        <v>3022764</v>
      </c>
    </row>
    <row r="11" spans="1:26" ht="24.95" customHeight="1" x14ac:dyDescent="0.25">
      <c r="A11" s="63"/>
      <c r="B11" s="2">
        <f t="shared" si="2"/>
        <v>8</v>
      </c>
      <c r="C11" s="1" t="s">
        <v>37</v>
      </c>
      <c r="D11" s="2" t="s">
        <v>30</v>
      </c>
      <c r="E11" s="4">
        <v>4500000</v>
      </c>
      <c r="F11" s="3">
        <v>30</v>
      </c>
      <c r="G11" s="4">
        <f t="shared" si="4"/>
        <v>4500000</v>
      </c>
      <c r="H11" s="4"/>
      <c r="I11" s="4"/>
      <c r="J11" s="4"/>
      <c r="K11" s="4"/>
      <c r="L11" s="4"/>
      <c r="M11" s="4">
        <f>+G11+H11+J11+K11+L11+I11</f>
        <v>4500000</v>
      </c>
      <c r="N11" s="4">
        <f>+E11*4%</f>
        <v>180000</v>
      </c>
      <c r="O11" s="4">
        <f>+E11*5%</f>
        <v>225000</v>
      </c>
      <c r="P11" s="4"/>
      <c r="Q11" s="4"/>
      <c r="R11" s="4">
        <v>0</v>
      </c>
      <c r="S11" s="4"/>
      <c r="T11" s="4"/>
      <c r="U11" s="4"/>
      <c r="V11" s="4">
        <f t="shared" ref="V11:V51" si="5">SUM(N11:U11)</f>
        <v>405000</v>
      </c>
      <c r="W11" s="5">
        <f>M11-V11</f>
        <v>4095000</v>
      </c>
      <c r="X11" s="5"/>
      <c r="Y11" s="62"/>
      <c r="Z11" s="5">
        <f t="shared" si="0"/>
        <v>4095000</v>
      </c>
    </row>
    <row r="12" spans="1:26" ht="24.95" customHeight="1" x14ac:dyDescent="0.25">
      <c r="A12" s="63"/>
      <c r="B12" s="2">
        <f t="shared" si="2"/>
        <v>9</v>
      </c>
      <c r="C12" s="1" t="s">
        <v>38</v>
      </c>
      <c r="D12" s="2" t="s">
        <v>30</v>
      </c>
      <c r="E12" s="4">
        <v>5725000</v>
      </c>
      <c r="F12" s="3">
        <v>30</v>
      </c>
      <c r="G12" s="4">
        <f t="shared" si="4"/>
        <v>5725000</v>
      </c>
      <c r="H12" s="4"/>
      <c r="I12" s="4"/>
      <c r="J12" s="4"/>
      <c r="K12" s="4"/>
      <c r="L12" s="4"/>
      <c r="M12" s="4">
        <f>+G12+H12+J12+K12+L12+I12</f>
        <v>5725000</v>
      </c>
      <c r="N12" s="4">
        <f>+E12*4%</f>
        <v>229000</v>
      </c>
      <c r="O12" s="4">
        <f>+E12*5%</f>
        <v>286250</v>
      </c>
      <c r="P12" s="4"/>
      <c r="Q12" s="4"/>
      <c r="R12" s="4">
        <v>0</v>
      </c>
      <c r="S12" s="4"/>
      <c r="T12" s="4"/>
      <c r="U12" s="4"/>
      <c r="V12" s="4">
        <f t="shared" si="5"/>
        <v>515250</v>
      </c>
      <c r="W12" s="5">
        <f t="shared" ref="W12:W19" si="6">+M12-V12</f>
        <v>5209750</v>
      </c>
      <c r="X12" s="5"/>
      <c r="Y12" s="62"/>
      <c r="Z12" s="5">
        <f t="shared" si="0"/>
        <v>5209750</v>
      </c>
    </row>
    <row r="13" spans="1:26" ht="24.95" customHeight="1" x14ac:dyDescent="0.25">
      <c r="A13" s="63"/>
      <c r="B13" s="2">
        <f t="shared" si="2"/>
        <v>10</v>
      </c>
      <c r="C13" s="1" t="s">
        <v>39</v>
      </c>
      <c r="D13" s="2" t="s">
        <v>30</v>
      </c>
      <c r="E13" s="4">
        <v>4500000</v>
      </c>
      <c r="F13" s="3">
        <v>30</v>
      </c>
      <c r="G13" s="4">
        <f t="shared" si="4"/>
        <v>4500000</v>
      </c>
      <c r="H13" s="4"/>
      <c r="I13" s="4"/>
      <c r="J13" s="4"/>
      <c r="K13" s="4"/>
      <c r="L13" s="4"/>
      <c r="M13" s="4">
        <f>+G13+H13+J13+K13+L13+I13</f>
        <v>4500000</v>
      </c>
      <c r="N13" s="4">
        <f>+E13*4%</f>
        <v>180000</v>
      </c>
      <c r="O13" s="4">
        <f>+G13*5%</f>
        <v>225000</v>
      </c>
      <c r="P13" s="4"/>
      <c r="Q13" s="4"/>
      <c r="R13" s="7">
        <v>0</v>
      </c>
      <c r="S13" s="4"/>
      <c r="T13" s="4"/>
      <c r="U13" s="4"/>
      <c r="V13" s="4">
        <f t="shared" si="5"/>
        <v>405000</v>
      </c>
      <c r="W13" s="5">
        <f t="shared" si="6"/>
        <v>4095000</v>
      </c>
      <c r="X13" s="5"/>
      <c r="Y13" s="62"/>
      <c r="Z13" s="5">
        <f t="shared" si="0"/>
        <v>4095000</v>
      </c>
    </row>
    <row r="14" spans="1:26" ht="24.95" customHeight="1" x14ac:dyDescent="0.25">
      <c r="A14" s="63"/>
      <c r="B14" s="2">
        <f t="shared" si="2"/>
        <v>11</v>
      </c>
      <c r="C14" s="9" t="s">
        <v>40</v>
      </c>
      <c r="D14" s="8" t="s">
        <v>30</v>
      </c>
      <c r="E14" s="4">
        <v>4500000</v>
      </c>
      <c r="F14" s="3">
        <v>30</v>
      </c>
      <c r="G14" s="4">
        <f t="shared" si="4"/>
        <v>4500000</v>
      </c>
      <c r="H14" s="4"/>
      <c r="I14" s="4"/>
      <c r="J14" s="4"/>
      <c r="K14" s="4"/>
      <c r="L14" s="4"/>
      <c r="M14" s="4">
        <f>+G14+H14+J14+K14+L14+I14</f>
        <v>4500000</v>
      </c>
      <c r="N14" s="4">
        <f>+E14*4%</f>
        <v>180000</v>
      </c>
      <c r="O14" s="4">
        <f>+E14*0.05</f>
        <v>225000</v>
      </c>
      <c r="P14" s="4"/>
      <c r="Q14" s="4"/>
      <c r="R14" s="4">
        <v>0</v>
      </c>
      <c r="S14" s="4"/>
      <c r="T14" s="4"/>
      <c r="U14" s="4"/>
      <c r="V14" s="4">
        <f t="shared" si="5"/>
        <v>405000</v>
      </c>
      <c r="W14" s="5">
        <f t="shared" si="6"/>
        <v>4095000</v>
      </c>
      <c r="X14" s="5"/>
      <c r="Y14" s="62"/>
      <c r="Z14" s="5">
        <f t="shared" si="0"/>
        <v>4095000</v>
      </c>
    </row>
    <row r="15" spans="1:26" ht="24.95" customHeight="1" x14ac:dyDescent="0.25">
      <c r="A15" s="63"/>
      <c r="B15" s="2">
        <f t="shared" si="2"/>
        <v>12</v>
      </c>
      <c r="C15" s="9" t="s">
        <v>41</v>
      </c>
      <c r="D15" s="8" t="s">
        <v>30</v>
      </c>
      <c r="E15" s="4">
        <v>4685000</v>
      </c>
      <c r="F15" s="3">
        <v>30</v>
      </c>
      <c r="G15" s="4"/>
      <c r="H15" s="4"/>
      <c r="I15" s="4"/>
      <c r="J15" s="4"/>
      <c r="K15" s="4">
        <v>838529</v>
      </c>
      <c r="L15" s="4"/>
      <c r="M15" s="4">
        <f>+G15+H15+J15+K15+L15+I15</f>
        <v>838529</v>
      </c>
      <c r="N15" s="4">
        <f>+E15*4%</f>
        <v>187400</v>
      </c>
      <c r="O15" s="4">
        <f>+E15*5%</f>
        <v>234250</v>
      </c>
      <c r="P15" s="4"/>
      <c r="Q15" s="4"/>
      <c r="R15" s="4">
        <v>11000</v>
      </c>
      <c r="S15" s="4"/>
      <c r="T15" s="4"/>
      <c r="U15" s="4">
        <v>0</v>
      </c>
      <c r="V15" s="4">
        <f t="shared" si="5"/>
        <v>432650</v>
      </c>
      <c r="W15" s="5">
        <f t="shared" si="6"/>
        <v>405879</v>
      </c>
      <c r="X15" s="5"/>
      <c r="Y15" s="62"/>
      <c r="Z15" s="5">
        <f t="shared" si="0"/>
        <v>405879</v>
      </c>
    </row>
    <row r="16" spans="1:26" ht="24.95" customHeight="1" x14ac:dyDescent="0.25">
      <c r="A16" s="63"/>
      <c r="B16" s="2">
        <f t="shared" si="2"/>
        <v>13</v>
      </c>
      <c r="C16" s="9" t="s">
        <v>42</v>
      </c>
      <c r="D16" s="8" t="s">
        <v>43</v>
      </c>
      <c r="E16" s="4">
        <v>4000000</v>
      </c>
      <c r="F16" s="3">
        <v>30</v>
      </c>
      <c r="G16" s="4">
        <f t="shared" si="4"/>
        <v>4000000.0000000005</v>
      </c>
      <c r="H16" s="4"/>
      <c r="I16" s="4"/>
      <c r="J16" s="4"/>
      <c r="K16" s="4"/>
      <c r="L16" s="4">
        <f>+E16-G16</f>
        <v>0</v>
      </c>
      <c r="M16" s="4">
        <f>+G16+H16+J16+K16+L16+I16</f>
        <v>4000000.0000000005</v>
      </c>
      <c r="N16" s="4">
        <f>+E16*0.04</f>
        <v>160000</v>
      </c>
      <c r="O16" s="4">
        <f>+E16*0.05</f>
        <v>200000</v>
      </c>
      <c r="P16" s="4"/>
      <c r="Q16" s="4"/>
      <c r="R16" s="4"/>
      <c r="S16" s="4"/>
      <c r="T16" s="4"/>
      <c r="U16" s="4"/>
      <c r="V16" s="4">
        <f t="shared" si="5"/>
        <v>360000</v>
      </c>
      <c r="W16" s="5">
        <f t="shared" si="6"/>
        <v>3640000.0000000005</v>
      </c>
      <c r="X16" s="5"/>
      <c r="Y16" s="62"/>
      <c r="Z16" s="5">
        <f t="shared" si="0"/>
        <v>3640000.0000000005</v>
      </c>
    </row>
    <row r="17" spans="1:26" ht="24.95" customHeight="1" x14ac:dyDescent="0.25">
      <c r="A17" s="63"/>
      <c r="B17" s="2">
        <f t="shared" si="2"/>
        <v>14</v>
      </c>
      <c r="C17" s="9" t="s">
        <v>44</v>
      </c>
      <c r="D17" s="8"/>
      <c r="E17" s="4">
        <v>5500000</v>
      </c>
      <c r="F17" s="3">
        <v>30</v>
      </c>
      <c r="G17" s="4">
        <f t="shared" si="4"/>
        <v>5500000</v>
      </c>
      <c r="H17" s="4"/>
      <c r="I17" s="4"/>
      <c r="J17" s="4"/>
      <c r="K17" s="4"/>
      <c r="L17" s="4"/>
      <c r="M17" s="4">
        <f>+G17+H17+J17+K17+L17+I17</f>
        <v>5500000</v>
      </c>
      <c r="N17" s="4">
        <f>+E17*0.04</f>
        <v>220000</v>
      </c>
      <c r="O17" s="4">
        <f>+E17*0.05</f>
        <v>275000</v>
      </c>
      <c r="P17" s="4"/>
      <c r="Q17" s="4"/>
      <c r="R17" s="4">
        <v>83397</v>
      </c>
      <c r="S17" s="4"/>
      <c r="T17" s="4"/>
      <c r="U17" s="4"/>
      <c r="V17" s="4">
        <f t="shared" si="5"/>
        <v>578397</v>
      </c>
      <c r="W17" s="5">
        <f t="shared" si="6"/>
        <v>4921603</v>
      </c>
      <c r="X17" s="5"/>
      <c r="Y17" s="62"/>
      <c r="Z17" s="5">
        <f t="shared" si="0"/>
        <v>4921603</v>
      </c>
    </row>
    <row r="18" spans="1:26" ht="24.95" customHeight="1" x14ac:dyDescent="0.25">
      <c r="A18" s="63"/>
      <c r="B18" s="2">
        <f t="shared" si="2"/>
        <v>15</v>
      </c>
      <c r="C18" s="9" t="s">
        <v>45</v>
      </c>
      <c r="D18" s="8" t="s">
        <v>43</v>
      </c>
      <c r="E18" s="4">
        <v>5200000</v>
      </c>
      <c r="F18" s="3">
        <v>30</v>
      </c>
      <c r="G18" s="4">
        <f t="shared" si="4"/>
        <v>5200000</v>
      </c>
      <c r="H18" s="4"/>
      <c r="I18" s="4"/>
      <c r="J18" s="4"/>
      <c r="K18" s="4"/>
      <c r="L18" s="4">
        <v>0</v>
      </c>
      <c r="M18" s="4">
        <f>+G18+H18+J18+K18+L18+I18</f>
        <v>5200000</v>
      </c>
      <c r="N18" s="4">
        <f>+E18*4%</f>
        <v>208000</v>
      </c>
      <c r="O18" s="4">
        <f>+E18*5%</f>
        <v>260000</v>
      </c>
      <c r="P18" s="4"/>
      <c r="Q18" s="4"/>
      <c r="R18" s="4">
        <v>46204</v>
      </c>
      <c r="S18" s="4"/>
      <c r="T18" s="4"/>
      <c r="U18" s="4"/>
      <c r="V18" s="4">
        <f t="shared" si="5"/>
        <v>514204</v>
      </c>
      <c r="W18" s="5">
        <f t="shared" si="6"/>
        <v>4685796</v>
      </c>
      <c r="X18" s="5"/>
      <c r="Y18" s="62"/>
      <c r="Z18" s="5">
        <f t="shared" si="0"/>
        <v>4685796</v>
      </c>
    </row>
    <row r="19" spans="1:26" ht="24.95" customHeight="1" x14ac:dyDescent="0.25">
      <c r="A19" s="63"/>
      <c r="B19" s="2">
        <f t="shared" si="2"/>
        <v>16</v>
      </c>
      <c r="C19" s="1" t="s">
        <v>46</v>
      </c>
      <c r="D19" s="2" t="s">
        <v>30</v>
      </c>
      <c r="E19" s="4">
        <v>5500000</v>
      </c>
      <c r="F19" s="3">
        <v>30</v>
      </c>
      <c r="G19" s="4">
        <f t="shared" si="4"/>
        <v>5500000</v>
      </c>
      <c r="H19" s="4"/>
      <c r="I19" s="4"/>
      <c r="J19" s="4"/>
      <c r="K19" s="4">
        <v>450000</v>
      </c>
      <c r="L19" s="4"/>
      <c r="M19" s="4">
        <f>+G19+H19+J19+K19+L19+I19</f>
        <v>5950000</v>
      </c>
      <c r="N19" s="4">
        <f>+E19*4%</f>
        <v>220000</v>
      </c>
      <c r="O19" s="4">
        <f>+E19*5%</f>
        <v>275000</v>
      </c>
      <c r="P19" s="4"/>
      <c r="Q19" s="4"/>
      <c r="R19" s="7">
        <v>150521</v>
      </c>
      <c r="S19" s="4">
        <v>1365000</v>
      </c>
      <c r="T19" s="4"/>
      <c r="U19" s="4"/>
      <c r="V19" s="4">
        <f t="shared" si="5"/>
        <v>2010521</v>
      </c>
      <c r="W19" s="5">
        <f t="shared" si="6"/>
        <v>3939479</v>
      </c>
      <c r="X19" s="5"/>
      <c r="Y19" s="62"/>
      <c r="Z19" s="5">
        <f t="shared" si="0"/>
        <v>3939479</v>
      </c>
    </row>
    <row r="20" spans="1:26" ht="24.95" customHeight="1" x14ac:dyDescent="0.25">
      <c r="A20" s="63"/>
      <c r="B20" s="2">
        <f t="shared" si="2"/>
        <v>17</v>
      </c>
      <c r="C20" s="1" t="s">
        <v>47</v>
      </c>
      <c r="D20" s="2" t="s">
        <v>30</v>
      </c>
      <c r="E20" s="4">
        <v>5350000</v>
      </c>
      <c r="F20" s="3">
        <v>30</v>
      </c>
      <c r="G20" s="4">
        <f t="shared" si="4"/>
        <v>5350000</v>
      </c>
      <c r="H20" s="4"/>
      <c r="I20" s="4"/>
      <c r="J20" s="4"/>
      <c r="K20" s="4">
        <v>1000000</v>
      </c>
      <c r="L20" s="4"/>
      <c r="M20" s="4">
        <f>+G20+H20+J20+K20+L20+I20</f>
        <v>6350000</v>
      </c>
      <c r="N20" s="4">
        <f>+E20*4%</f>
        <v>214000</v>
      </c>
      <c r="O20" s="4">
        <f>+E20*0.05</f>
        <v>267500</v>
      </c>
      <c r="P20" s="4"/>
      <c r="Q20" s="4"/>
      <c r="R20" s="7">
        <v>116813</v>
      </c>
      <c r="S20" s="4"/>
      <c r="T20" s="4"/>
      <c r="U20" s="4">
        <v>810005</v>
      </c>
      <c r="V20" s="4">
        <f t="shared" si="5"/>
        <v>1408318</v>
      </c>
      <c r="W20" s="5">
        <f>M20-V20</f>
        <v>4941682</v>
      </c>
      <c r="X20" s="5"/>
      <c r="Y20" s="62"/>
      <c r="Z20" s="5">
        <f t="shared" si="0"/>
        <v>4941682</v>
      </c>
    </row>
    <row r="21" spans="1:26" ht="24.95" customHeight="1" x14ac:dyDescent="0.25">
      <c r="A21" s="63"/>
      <c r="B21" s="2">
        <f t="shared" si="2"/>
        <v>18</v>
      </c>
      <c r="C21" s="1" t="s">
        <v>48</v>
      </c>
      <c r="D21" s="2" t="s">
        <v>30</v>
      </c>
      <c r="E21" s="4">
        <v>7000000</v>
      </c>
      <c r="F21" s="3">
        <v>30</v>
      </c>
      <c r="G21" s="4">
        <f t="shared" si="4"/>
        <v>7000000</v>
      </c>
      <c r="H21" s="4"/>
      <c r="I21" s="4"/>
      <c r="J21" s="4"/>
      <c r="K21" s="4"/>
      <c r="L21" s="4">
        <v>9504688</v>
      </c>
      <c r="M21" s="4">
        <f>+G21+H21+J21+K21+L21+I21</f>
        <v>16504688</v>
      </c>
      <c r="N21" s="4">
        <f>+M21*4%</f>
        <v>660187.52</v>
      </c>
      <c r="O21" s="4">
        <v>825235</v>
      </c>
      <c r="P21" s="4"/>
      <c r="Q21" s="4"/>
      <c r="R21" s="7">
        <v>469359</v>
      </c>
      <c r="S21" s="4"/>
      <c r="T21" s="4"/>
      <c r="U21" s="4"/>
      <c r="V21" s="4">
        <f t="shared" si="5"/>
        <v>1954781.52</v>
      </c>
      <c r="W21" s="5">
        <f>M21-V21</f>
        <v>14549906.48</v>
      </c>
      <c r="X21" s="5"/>
      <c r="Y21" s="62"/>
      <c r="Z21" s="5">
        <f t="shared" si="0"/>
        <v>14549906.48</v>
      </c>
    </row>
    <row r="22" spans="1:26" ht="24.95" customHeight="1" x14ac:dyDescent="0.25">
      <c r="A22" s="63"/>
      <c r="B22" s="2">
        <f t="shared" si="2"/>
        <v>19</v>
      </c>
      <c r="C22" s="1" t="s">
        <v>49</v>
      </c>
      <c r="D22" s="2" t="s">
        <v>30</v>
      </c>
      <c r="E22" s="4">
        <v>6900000</v>
      </c>
      <c r="F22" s="3">
        <v>30</v>
      </c>
      <c r="G22" s="4">
        <f t="shared" si="4"/>
        <v>6900000</v>
      </c>
      <c r="H22" s="4"/>
      <c r="I22" s="4"/>
      <c r="J22" s="4"/>
      <c r="K22" s="4">
        <v>1400000</v>
      </c>
      <c r="L22" s="10"/>
      <c r="M22" s="4">
        <f>+G22+H22+J22+K22+L22+I22</f>
        <v>8300000</v>
      </c>
      <c r="N22" s="4">
        <f>+E22*4%</f>
        <v>276000</v>
      </c>
      <c r="O22" s="4">
        <f>+E22*5%</f>
        <v>345000</v>
      </c>
      <c r="P22" s="4"/>
      <c r="Q22" s="4"/>
      <c r="R22" s="7">
        <v>113000</v>
      </c>
      <c r="S22" s="4">
        <v>1300000</v>
      </c>
      <c r="T22" s="4"/>
      <c r="U22" s="4"/>
      <c r="V22" s="4">
        <f t="shared" si="5"/>
        <v>2034000</v>
      </c>
      <c r="W22" s="5">
        <f>M22-V22</f>
        <v>6266000</v>
      </c>
      <c r="X22" s="5"/>
      <c r="Y22" s="62"/>
      <c r="Z22" s="5">
        <f t="shared" si="0"/>
        <v>6266000</v>
      </c>
    </row>
    <row r="23" spans="1:26" ht="24.95" customHeight="1" x14ac:dyDescent="0.25">
      <c r="A23" s="63"/>
      <c r="B23" s="2">
        <f t="shared" si="2"/>
        <v>20</v>
      </c>
      <c r="C23" s="1" t="s">
        <v>50</v>
      </c>
      <c r="D23" s="2"/>
      <c r="E23" s="4">
        <v>4000000</v>
      </c>
      <c r="F23" s="3">
        <v>30</v>
      </c>
      <c r="G23" s="4">
        <f t="shared" si="4"/>
        <v>4000000.0000000005</v>
      </c>
      <c r="H23" s="4"/>
      <c r="I23" s="4"/>
      <c r="J23" s="4"/>
      <c r="K23" s="4"/>
      <c r="L23" s="4"/>
      <c r="M23" s="4">
        <f>+G23+H23+J23+K23+L23+I23</f>
        <v>4000000.0000000005</v>
      </c>
      <c r="N23" s="4">
        <f>E23*4/100</f>
        <v>160000</v>
      </c>
      <c r="O23" s="4">
        <f>+E23*0.05</f>
        <v>200000</v>
      </c>
      <c r="P23" s="4"/>
      <c r="Q23" s="4"/>
      <c r="R23" s="4"/>
      <c r="S23" s="4"/>
      <c r="T23" s="4"/>
      <c r="U23" s="4"/>
      <c r="V23" s="4">
        <f t="shared" si="5"/>
        <v>360000</v>
      </c>
      <c r="W23" s="5">
        <f t="shared" ref="W23:W28" si="7">+M23-V23</f>
        <v>3640000.0000000005</v>
      </c>
      <c r="X23" s="5"/>
      <c r="Y23" s="62"/>
      <c r="Z23" s="5">
        <f t="shared" si="0"/>
        <v>3640000.0000000005</v>
      </c>
    </row>
    <row r="24" spans="1:26" ht="24.95" customHeight="1" x14ac:dyDescent="0.25">
      <c r="A24" s="63"/>
      <c r="B24" s="2">
        <f t="shared" si="2"/>
        <v>21</v>
      </c>
      <c r="C24" s="1" t="s">
        <v>51</v>
      </c>
      <c r="D24" s="2" t="s">
        <v>30</v>
      </c>
      <c r="E24" s="4">
        <v>5300000</v>
      </c>
      <c r="F24" s="3">
        <v>30</v>
      </c>
      <c r="G24" s="4">
        <f t="shared" si="4"/>
        <v>5300000</v>
      </c>
      <c r="H24" s="4"/>
      <c r="I24" s="4"/>
      <c r="J24" s="4"/>
      <c r="K24" s="4">
        <v>1621317</v>
      </c>
      <c r="L24" s="4"/>
      <c r="M24" s="4">
        <f>+G24+H24+J24+K24+L24+I24</f>
        <v>6921317</v>
      </c>
      <c r="N24" s="4">
        <f>E24*4/100</f>
        <v>212000</v>
      </c>
      <c r="O24" s="4">
        <f>+E24*0.05</f>
        <v>265000</v>
      </c>
      <c r="P24" s="4"/>
      <c r="Q24" s="4"/>
      <c r="R24" s="7">
        <v>100000</v>
      </c>
      <c r="S24" s="4"/>
      <c r="T24" s="4"/>
      <c r="U24" s="4">
        <f>884747</f>
        <v>884747</v>
      </c>
      <c r="V24" s="4">
        <f t="shared" si="5"/>
        <v>1461747</v>
      </c>
      <c r="W24" s="5">
        <f t="shared" si="7"/>
        <v>5459570</v>
      </c>
      <c r="X24" s="5"/>
      <c r="Y24" s="62"/>
      <c r="Z24" s="5">
        <f t="shared" si="0"/>
        <v>5459570</v>
      </c>
    </row>
    <row r="25" spans="1:26" ht="24.95" customHeight="1" x14ac:dyDescent="0.25">
      <c r="A25" s="63"/>
      <c r="B25" s="2">
        <f t="shared" si="2"/>
        <v>22</v>
      </c>
      <c r="C25" s="1" t="s">
        <v>52</v>
      </c>
      <c r="D25" s="2" t="s">
        <v>30</v>
      </c>
      <c r="E25" s="4">
        <v>4800000</v>
      </c>
      <c r="F25" s="3">
        <v>30</v>
      </c>
      <c r="G25" s="4">
        <f>+E25-L25</f>
        <v>4160000</v>
      </c>
      <c r="H25" s="4"/>
      <c r="I25" s="4"/>
      <c r="J25" s="4"/>
      <c r="K25" s="4">
        <v>92925</v>
      </c>
      <c r="L25" s="4">
        <v>640000</v>
      </c>
      <c r="M25" s="4">
        <f>+G25+H25+J25+K25+L25+I25</f>
        <v>4892925</v>
      </c>
      <c r="N25" s="4">
        <f>E25*4/100</f>
        <v>192000</v>
      </c>
      <c r="O25" s="4">
        <f>+E25*0.05</f>
        <v>240000</v>
      </c>
      <c r="P25" s="4"/>
      <c r="Q25" s="4"/>
      <c r="R25" s="7">
        <v>0</v>
      </c>
      <c r="S25" s="4"/>
      <c r="T25" s="4"/>
      <c r="U25" s="4"/>
      <c r="V25" s="4">
        <f t="shared" si="5"/>
        <v>432000</v>
      </c>
      <c r="W25" s="5">
        <f t="shared" si="7"/>
        <v>4460925</v>
      </c>
      <c r="X25" s="5"/>
      <c r="Y25" s="62"/>
      <c r="Z25" s="5">
        <f t="shared" si="0"/>
        <v>4460925</v>
      </c>
    </row>
    <row r="26" spans="1:26" ht="24.95" customHeight="1" x14ac:dyDescent="0.25">
      <c r="A26" s="63"/>
      <c r="B26" s="2">
        <f t="shared" si="2"/>
        <v>23</v>
      </c>
      <c r="C26" s="1" t="s">
        <v>53</v>
      </c>
      <c r="D26" s="2" t="s">
        <v>30</v>
      </c>
      <c r="E26" s="4">
        <v>5500000</v>
      </c>
      <c r="F26" s="3">
        <v>30</v>
      </c>
      <c r="G26" s="4">
        <f t="shared" si="4"/>
        <v>5500000</v>
      </c>
      <c r="H26" s="4"/>
      <c r="I26" s="4"/>
      <c r="J26" s="4"/>
      <c r="K26" s="4"/>
      <c r="L26" s="4"/>
      <c r="M26" s="4">
        <f>+G26+H26+J26+K26+L26+I26</f>
        <v>5500000</v>
      </c>
      <c r="N26" s="4">
        <f>E26*4/100</f>
        <v>220000</v>
      </c>
      <c r="O26" s="4">
        <f>+E26*0.05</f>
        <v>275000</v>
      </c>
      <c r="P26" s="4"/>
      <c r="Q26" s="4"/>
      <c r="R26" s="4">
        <v>5022</v>
      </c>
      <c r="S26" s="4"/>
      <c r="T26" s="4"/>
      <c r="U26" s="4"/>
      <c r="V26" s="4">
        <f t="shared" si="5"/>
        <v>500022</v>
      </c>
      <c r="W26" s="5">
        <f t="shared" si="7"/>
        <v>4999978</v>
      </c>
      <c r="X26" s="5"/>
      <c r="Y26" s="62"/>
      <c r="Z26" s="5">
        <f t="shared" si="0"/>
        <v>4999978</v>
      </c>
    </row>
    <row r="27" spans="1:26" ht="24.95" customHeight="1" x14ac:dyDescent="0.25">
      <c r="A27" s="63"/>
      <c r="B27" s="2">
        <f t="shared" si="2"/>
        <v>24</v>
      </c>
      <c r="C27" s="1" t="s">
        <v>54</v>
      </c>
      <c r="D27" s="2" t="s">
        <v>30</v>
      </c>
      <c r="E27" s="4">
        <v>5500000</v>
      </c>
      <c r="F27" s="3">
        <v>30</v>
      </c>
      <c r="G27" s="4">
        <f t="shared" si="4"/>
        <v>5500000</v>
      </c>
      <c r="H27" s="4"/>
      <c r="I27" s="4"/>
      <c r="J27" s="4"/>
      <c r="K27" s="4"/>
      <c r="L27" s="4"/>
      <c r="M27" s="4">
        <f>+G27+H27+J27+K27+L27+I27</f>
        <v>5500000</v>
      </c>
      <c r="N27" s="4">
        <f>E27*4/100</f>
        <v>220000</v>
      </c>
      <c r="O27" s="4">
        <f>+E27*0.05</f>
        <v>275000</v>
      </c>
      <c r="P27" s="4"/>
      <c r="Q27" s="4"/>
      <c r="R27" s="7">
        <v>141000</v>
      </c>
      <c r="S27" s="4"/>
      <c r="T27" s="4"/>
      <c r="U27" s="4"/>
      <c r="V27" s="4">
        <f t="shared" si="5"/>
        <v>636000</v>
      </c>
      <c r="W27" s="5">
        <f t="shared" si="7"/>
        <v>4864000</v>
      </c>
      <c r="X27" s="5"/>
      <c r="Y27" s="62"/>
      <c r="Z27" s="5">
        <f t="shared" si="0"/>
        <v>4864000</v>
      </c>
    </row>
    <row r="28" spans="1:26" ht="24.95" customHeight="1" x14ac:dyDescent="0.25">
      <c r="A28" s="63"/>
      <c r="B28" s="2">
        <f t="shared" si="2"/>
        <v>25</v>
      </c>
      <c r="C28" s="1" t="s">
        <v>55</v>
      </c>
      <c r="D28" s="2"/>
      <c r="E28" s="4">
        <v>6600000</v>
      </c>
      <c r="F28" s="3">
        <v>30</v>
      </c>
      <c r="G28" s="4">
        <f t="shared" si="4"/>
        <v>6600000</v>
      </c>
      <c r="H28" s="4"/>
      <c r="I28" s="4"/>
      <c r="J28" s="4"/>
      <c r="K28" s="4"/>
      <c r="L28" s="4"/>
      <c r="M28" s="4">
        <f>+G28+H28+J28+K28+L28+I28</f>
        <v>6600000</v>
      </c>
      <c r="N28" s="4">
        <f>E28*4/100</f>
        <v>264000</v>
      </c>
      <c r="O28" s="4">
        <f>+E28*0.05</f>
        <v>330000</v>
      </c>
      <c r="P28" s="4"/>
      <c r="Q28" s="4"/>
      <c r="R28" s="7">
        <v>86000</v>
      </c>
      <c r="S28" s="4"/>
      <c r="T28" s="4"/>
      <c r="U28" s="4"/>
      <c r="V28" s="4">
        <f t="shared" si="5"/>
        <v>680000</v>
      </c>
      <c r="W28" s="5">
        <f t="shared" si="7"/>
        <v>5920000</v>
      </c>
      <c r="X28" s="5"/>
      <c r="Y28" s="62"/>
      <c r="Z28" s="5">
        <f t="shared" si="0"/>
        <v>5920000</v>
      </c>
    </row>
    <row r="29" spans="1:26" ht="24.95" customHeight="1" x14ac:dyDescent="0.25">
      <c r="A29" s="63"/>
      <c r="B29" s="2">
        <f t="shared" si="2"/>
        <v>26</v>
      </c>
      <c r="C29" s="1" t="s">
        <v>57</v>
      </c>
      <c r="D29" s="2" t="s">
        <v>30</v>
      </c>
      <c r="E29" s="4">
        <v>6600000</v>
      </c>
      <c r="F29" s="3">
        <v>30</v>
      </c>
      <c r="G29" s="4">
        <f t="shared" si="4"/>
        <v>6600000</v>
      </c>
      <c r="H29" s="4"/>
      <c r="I29" s="4"/>
      <c r="J29" s="4"/>
      <c r="K29" s="4"/>
      <c r="L29" s="10"/>
      <c r="M29" s="4">
        <f>+G29+H29+J29+K29+L29+I29</f>
        <v>6600000</v>
      </c>
      <c r="N29" s="4">
        <f>E29*4/100</f>
        <v>264000</v>
      </c>
      <c r="O29" s="4">
        <f>+E29*0.05</f>
        <v>330000</v>
      </c>
      <c r="P29" s="4"/>
      <c r="Q29" s="4"/>
      <c r="R29" s="7">
        <v>86000</v>
      </c>
      <c r="S29" s="4"/>
      <c r="T29" s="4"/>
      <c r="U29" s="4"/>
      <c r="V29" s="4">
        <f t="shared" si="5"/>
        <v>680000</v>
      </c>
      <c r="W29" s="5">
        <f>M29-V29</f>
        <v>5920000</v>
      </c>
      <c r="X29" s="5"/>
      <c r="Y29" s="62"/>
      <c r="Z29" s="5">
        <f t="shared" si="0"/>
        <v>5920000</v>
      </c>
    </row>
    <row r="30" spans="1:26" ht="24.95" customHeight="1" x14ac:dyDescent="0.25">
      <c r="A30" s="63"/>
      <c r="B30" s="2">
        <f t="shared" si="2"/>
        <v>27</v>
      </c>
      <c r="C30" s="1" t="s">
        <v>58</v>
      </c>
      <c r="D30" s="2"/>
      <c r="E30" s="4">
        <v>7000000</v>
      </c>
      <c r="F30" s="3">
        <v>30</v>
      </c>
      <c r="G30" s="4">
        <f t="shared" si="4"/>
        <v>7000000</v>
      </c>
      <c r="H30" s="4"/>
      <c r="I30" s="4"/>
      <c r="J30" s="4"/>
      <c r="K30" s="4"/>
      <c r="L30" s="11"/>
      <c r="M30" s="4">
        <f>+G30+H30+J30+K30+L30+I30</f>
        <v>7000000</v>
      </c>
      <c r="N30" s="4">
        <f>E30*4/100</f>
        <v>280000</v>
      </c>
      <c r="O30" s="4">
        <f>+E30*0.05</f>
        <v>350000</v>
      </c>
      <c r="P30" s="4"/>
      <c r="Q30" s="4"/>
      <c r="R30" s="7">
        <v>86000</v>
      </c>
      <c r="S30" s="4"/>
      <c r="T30" s="4"/>
      <c r="U30" s="4"/>
      <c r="V30" s="4">
        <f t="shared" si="5"/>
        <v>716000</v>
      </c>
      <c r="W30" s="5">
        <f>M30-V30</f>
        <v>6284000</v>
      </c>
      <c r="X30" s="5"/>
      <c r="Y30" s="62"/>
      <c r="Z30" s="5">
        <f t="shared" si="0"/>
        <v>6284000</v>
      </c>
    </row>
    <row r="31" spans="1:26" ht="24.95" customHeight="1" x14ac:dyDescent="0.25">
      <c r="A31" s="63"/>
      <c r="B31" s="2">
        <f t="shared" si="2"/>
        <v>28</v>
      </c>
      <c r="C31" s="1" t="s">
        <v>59</v>
      </c>
      <c r="D31" s="2" t="s">
        <v>30</v>
      </c>
      <c r="E31" s="4">
        <v>3500000</v>
      </c>
      <c r="F31" s="3">
        <v>30</v>
      </c>
      <c r="G31" s="4">
        <f t="shared" si="4"/>
        <v>3500000</v>
      </c>
      <c r="H31" s="4"/>
      <c r="I31" s="4"/>
      <c r="J31" s="4"/>
      <c r="K31" s="4"/>
      <c r="L31" s="4"/>
      <c r="M31" s="4">
        <f>+G31+H31+J31+K31+L31+I31</f>
        <v>3500000</v>
      </c>
      <c r="N31" s="4">
        <f>E31*4/100</f>
        <v>140000</v>
      </c>
      <c r="O31" s="4">
        <f>+E31*0.05</f>
        <v>175000</v>
      </c>
      <c r="P31" s="4"/>
      <c r="Q31" s="4"/>
      <c r="R31" s="7">
        <v>0</v>
      </c>
      <c r="S31" s="4"/>
      <c r="T31" s="4">
        <v>111000</v>
      </c>
      <c r="U31" s="4"/>
      <c r="V31" s="4">
        <f t="shared" si="5"/>
        <v>426000</v>
      </c>
      <c r="W31" s="5">
        <f>M31-V31</f>
        <v>3074000</v>
      </c>
      <c r="X31" s="5"/>
      <c r="Y31" s="62"/>
      <c r="Z31" s="5">
        <f t="shared" si="0"/>
        <v>3074000</v>
      </c>
    </row>
    <row r="32" spans="1:26" ht="24.95" customHeight="1" x14ac:dyDescent="0.25">
      <c r="A32" s="63"/>
      <c r="B32" s="2">
        <f t="shared" si="2"/>
        <v>29</v>
      </c>
      <c r="C32" s="1" t="s">
        <v>60</v>
      </c>
      <c r="D32" s="2" t="s">
        <v>30</v>
      </c>
      <c r="E32" s="4">
        <v>5088000</v>
      </c>
      <c r="F32" s="3">
        <v>30</v>
      </c>
      <c r="G32" s="4">
        <f t="shared" si="4"/>
        <v>5088000</v>
      </c>
      <c r="H32" s="4"/>
      <c r="I32" s="4">
        <v>51839</v>
      </c>
      <c r="J32" s="4"/>
      <c r="K32" s="4"/>
      <c r="L32" s="4"/>
      <c r="M32" s="4">
        <f>+G32+H32+J32+K32+L32+I32</f>
        <v>5139839</v>
      </c>
      <c r="N32" s="4">
        <f>E32*4/100</f>
        <v>203520</v>
      </c>
      <c r="O32" s="4">
        <f>+E32*0.05</f>
        <v>254400</v>
      </c>
      <c r="P32" s="4"/>
      <c r="Q32" s="4"/>
      <c r="R32" s="4">
        <v>0</v>
      </c>
      <c r="S32" s="4">
        <f>1150000</f>
        <v>1150000</v>
      </c>
      <c r="T32" s="4"/>
      <c r="U32" s="4">
        <f>209579</f>
        <v>209579</v>
      </c>
      <c r="V32" s="4">
        <f t="shared" si="5"/>
        <v>1817499</v>
      </c>
      <c r="W32" s="5">
        <f>M32-V32</f>
        <v>3322340</v>
      </c>
      <c r="X32" s="5"/>
      <c r="Y32" s="62"/>
      <c r="Z32" s="5">
        <f t="shared" si="0"/>
        <v>3322340</v>
      </c>
    </row>
    <row r="33" spans="1:29" ht="24.95" customHeight="1" x14ac:dyDescent="0.25">
      <c r="A33" s="63"/>
      <c r="B33" s="2">
        <f t="shared" si="2"/>
        <v>30</v>
      </c>
      <c r="C33" s="1" t="s">
        <v>61</v>
      </c>
      <c r="D33" s="2" t="s">
        <v>30</v>
      </c>
      <c r="E33" s="4">
        <v>4540000</v>
      </c>
      <c r="F33" s="3">
        <v>30</v>
      </c>
      <c r="G33" s="4">
        <f t="shared" si="4"/>
        <v>4540000</v>
      </c>
      <c r="H33" s="4"/>
      <c r="I33" s="4"/>
      <c r="J33" s="4"/>
      <c r="K33" s="4"/>
      <c r="L33" s="4"/>
      <c r="M33" s="4">
        <f>+G33+H33+J33+K33+L33+I33</f>
        <v>4540000</v>
      </c>
      <c r="N33" s="4">
        <f>E33*4/100</f>
        <v>181600</v>
      </c>
      <c r="O33" s="4">
        <f>+E33*0.05</f>
        <v>227000</v>
      </c>
      <c r="P33" s="4"/>
      <c r="Q33" s="4"/>
      <c r="R33" s="7">
        <v>0</v>
      </c>
      <c r="S33" s="4"/>
      <c r="T33" s="4"/>
      <c r="U33" s="4" t="s">
        <v>1</v>
      </c>
      <c r="V33" s="4">
        <f t="shared" si="5"/>
        <v>408600</v>
      </c>
      <c r="W33" s="5">
        <f>M33-V33</f>
        <v>4131400</v>
      </c>
      <c r="X33" s="5"/>
      <c r="Y33" s="62"/>
      <c r="Z33" s="5">
        <f t="shared" si="0"/>
        <v>4131400</v>
      </c>
    </row>
    <row r="34" spans="1:29" ht="24.95" customHeight="1" x14ac:dyDescent="0.25">
      <c r="A34" s="63"/>
      <c r="B34" s="2">
        <f t="shared" si="2"/>
        <v>31</v>
      </c>
      <c r="C34" s="1" t="s">
        <v>62</v>
      </c>
      <c r="D34" s="2" t="s">
        <v>30</v>
      </c>
      <c r="E34" s="4">
        <v>3500000</v>
      </c>
      <c r="F34" s="3">
        <v>30</v>
      </c>
      <c r="G34" s="4">
        <f t="shared" si="4"/>
        <v>3500000</v>
      </c>
      <c r="H34" s="4"/>
      <c r="I34" s="4"/>
      <c r="J34" s="4"/>
      <c r="K34" s="4"/>
      <c r="L34" s="4"/>
      <c r="M34" s="4">
        <f>+G34+H34+J34+K34+L34+I34</f>
        <v>3500000</v>
      </c>
      <c r="N34" s="4">
        <f>E34*4/100</f>
        <v>140000</v>
      </c>
      <c r="O34" s="4">
        <f>+E34*0.05</f>
        <v>175000</v>
      </c>
      <c r="P34" s="4"/>
      <c r="Q34" s="4"/>
      <c r="R34" s="4">
        <v>0</v>
      </c>
      <c r="S34" s="4"/>
      <c r="T34" s="4"/>
      <c r="U34" s="4">
        <v>257196</v>
      </c>
      <c r="V34" s="4">
        <f t="shared" si="5"/>
        <v>572196</v>
      </c>
      <c r="W34" s="5">
        <f>+M34-V34</f>
        <v>2927804</v>
      </c>
      <c r="X34" s="5"/>
      <c r="Y34" s="62"/>
      <c r="Z34" s="5">
        <f t="shared" si="0"/>
        <v>2927804</v>
      </c>
    </row>
    <row r="35" spans="1:29" ht="24.95" customHeight="1" x14ac:dyDescent="0.25">
      <c r="A35" s="63"/>
      <c r="B35" s="2">
        <f>+B34+1</f>
        <v>32</v>
      </c>
      <c r="C35" s="1" t="s">
        <v>63</v>
      </c>
      <c r="D35" s="2"/>
      <c r="E35" s="4">
        <v>4500000</v>
      </c>
      <c r="F35" s="3">
        <v>30</v>
      </c>
      <c r="G35" s="4">
        <f t="shared" si="4"/>
        <v>4500000</v>
      </c>
      <c r="H35" s="4"/>
      <c r="I35" s="4"/>
      <c r="J35" s="4"/>
      <c r="K35" s="4"/>
      <c r="L35" s="4"/>
      <c r="M35" s="4">
        <f>+G35+H35+J35+K35+L35+I35</f>
        <v>4500000</v>
      </c>
      <c r="N35" s="4">
        <f>E35*4/100</f>
        <v>180000</v>
      </c>
      <c r="O35" s="4">
        <f>+E35*0.05</f>
        <v>225000</v>
      </c>
      <c r="P35" s="4"/>
      <c r="Q35" s="4"/>
      <c r="R35" s="4">
        <v>0</v>
      </c>
      <c r="S35" s="4"/>
      <c r="T35" s="4"/>
      <c r="U35" s="4"/>
      <c r="V35" s="4">
        <f t="shared" si="5"/>
        <v>405000</v>
      </c>
      <c r="W35" s="5">
        <f>+M35-V35</f>
        <v>4095000</v>
      </c>
      <c r="X35" s="5"/>
      <c r="Y35" s="62"/>
      <c r="Z35" s="5">
        <f t="shared" si="0"/>
        <v>4095000</v>
      </c>
    </row>
    <row r="36" spans="1:29" ht="24.95" customHeight="1" x14ac:dyDescent="0.25">
      <c r="A36" s="63"/>
      <c r="B36" s="2">
        <f t="shared" si="2"/>
        <v>33</v>
      </c>
      <c r="C36" s="1" t="s">
        <v>64</v>
      </c>
      <c r="D36" s="2" t="s">
        <v>30</v>
      </c>
      <c r="E36" s="4">
        <v>6360000</v>
      </c>
      <c r="F36" s="3">
        <v>30</v>
      </c>
      <c r="G36" s="4">
        <f t="shared" si="4"/>
        <v>6360000</v>
      </c>
      <c r="H36" s="4"/>
      <c r="I36" s="12"/>
      <c r="J36" s="12"/>
      <c r="K36" s="4"/>
      <c r="L36" s="4"/>
      <c r="M36" s="4">
        <f>+G36+H36+J36+K36+L36+I36</f>
        <v>6360000</v>
      </c>
      <c r="N36" s="4">
        <f>E36*4/100</f>
        <v>254400</v>
      </c>
      <c r="O36" s="4">
        <f>+E36*0.05</f>
        <v>318000</v>
      </c>
      <c r="P36" s="4"/>
      <c r="Q36" s="4"/>
      <c r="R36" s="4">
        <v>208000</v>
      </c>
      <c r="S36" s="4"/>
      <c r="T36" s="4">
        <v>122614</v>
      </c>
      <c r="U36" s="4"/>
      <c r="V36" s="4">
        <f t="shared" si="5"/>
        <v>903014</v>
      </c>
      <c r="W36" s="5">
        <f>+M36-V36</f>
        <v>5456986</v>
      </c>
      <c r="X36" s="5"/>
      <c r="Y36" s="62"/>
      <c r="Z36" s="5">
        <f t="shared" si="0"/>
        <v>5456986</v>
      </c>
    </row>
    <row r="37" spans="1:29" ht="24.95" customHeight="1" x14ac:dyDescent="0.25">
      <c r="A37" s="63"/>
      <c r="B37" s="2">
        <f t="shared" si="2"/>
        <v>34</v>
      </c>
      <c r="C37" s="1" t="s">
        <v>65</v>
      </c>
      <c r="D37" s="2" t="s">
        <v>30</v>
      </c>
      <c r="E37" s="4">
        <v>4770000</v>
      </c>
      <c r="F37" s="3">
        <v>30</v>
      </c>
      <c r="G37" s="4">
        <f t="shared" si="4"/>
        <v>4770000</v>
      </c>
      <c r="H37" s="4"/>
      <c r="I37" s="4"/>
      <c r="J37" s="4"/>
      <c r="K37" s="4">
        <v>500000</v>
      </c>
      <c r="L37" s="4"/>
      <c r="M37" s="4">
        <f>+G37+H37+J37+K37+L37+I37</f>
        <v>5270000</v>
      </c>
      <c r="N37" s="4">
        <f>E37*4/100</f>
        <v>190800</v>
      </c>
      <c r="O37" s="4">
        <f>+E37*0.05</f>
        <v>238500</v>
      </c>
      <c r="P37" s="4"/>
      <c r="Q37" s="4"/>
      <c r="R37" s="4">
        <v>0</v>
      </c>
      <c r="S37" s="4"/>
      <c r="T37" s="4"/>
      <c r="U37" s="4">
        <v>551399</v>
      </c>
      <c r="V37" s="4">
        <f t="shared" si="5"/>
        <v>980699</v>
      </c>
      <c r="W37" s="5">
        <f>+M37-V37</f>
        <v>4289301</v>
      </c>
      <c r="X37" s="5"/>
      <c r="Y37" s="62"/>
      <c r="Z37" s="5">
        <f t="shared" si="0"/>
        <v>4289301</v>
      </c>
      <c r="AA37" s="60" t="s">
        <v>66</v>
      </c>
    </row>
    <row r="38" spans="1:29" ht="24.95" customHeight="1" x14ac:dyDescent="0.25">
      <c r="A38" s="63"/>
      <c r="B38" s="2">
        <f t="shared" si="2"/>
        <v>35</v>
      </c>
      <c r="C38" s="1" t="s">
        <v>67</v>
      </c>
      <c r="D38" s="2" t="s">
        <v>30</v>
      </c>
      <c r="E38" s="4">
        <v>6000000</v>
      </c>
      <c r="F38" s="3">
        <v>30</v>
      </c>
      <c r="G38" s="4">
        <f t="shared" si="4"/>
        <v>6000000</v>
      </c>
      <c r="H38" s="4"/>
      <c r="I38" s="4"/>
      <c r="J38" s="4"/>
      <c r="K38" s="4"/>
      <c r="L38" s="4"/>
      <c r="M38" s="4">
        <f>+G38+H38+J38+K38+L38+I38</f>
        <v>6000000</v>
      </c>
      <c r="N38" s="4">
        <f>E38*4/100</f>
        <v>240000</v>
      </c>
      <c r="O38" s="4">
        <f>+E38*0.05</f>
        <v>300000</v>
      </c>
      <c r="P38" s="4">
        <v>0</v>
      </c>
      <c r="Q38" s="4"/>
      <c r="R38" s="4">
        <v>0</v>
      </c>
      <c r="S38" s="4"/>
      <c r="T38" s="4"/>
      <c r="U38" s="4"/>
      <c r="V38" s="4">
        <f t="shared" si="5"/>
        <v>540000</v>
      </c>
      <c r="W38" s="5">
        <f>M38-V38</f>
        <v>5460000</v>
      </c>
      <c r="X38" s="5"/>
      <c r="Y38" s="62"/>
      <c r="Z38" s="5">
        <f t="shared" si="0"/>
        <v>5460000</v>
      </c>
    </row>
    <row r="39" spans="1:29" ht="24.95" customHeight="1" x14ac:dyDescent="0.25">
      <c r="A39" s="63"/>
      <c r="B39" s="2">
        <f t="shared" si="2"/>
        <v>36</v>
      </c>
      <c r="C39" s="1" t="s">
        <v>68</v>
      </c>
      <c r="D39" s="2" t="s">
        <v>30</v>
      </c>
      <c r="E39" s="4">
        <v>6420000</v>
      </c>
      <c r="F39" s="3">
        <v>30</v>
      </c>
      <c r="G39" s="4">
        <f t="shared" si="4"/>
        <v>6420000</v>
      </c>
      <c r="H39" s="4"/>
      <c r="I39" s="4"/>
      <c r="J39" s="4"/>
      <c r="K39" s="4"/>
      <c r="L39" s="4"/>
      <c r="M39" s="4">
        <f>+G39+H39+J39+K39+L39+I39</f>
        <v>6420000</v>
      </c>
      <c r="N39" s="4">
        <f>E39*4/100</f>
        <v>256800</v>
      </c>
      <c r="O39" s="4">
        <f>+E39*0.05</f>
        <v>321000</v>
      </c>
      <c r="P39" s="4"/>
      <c r="Q39" s="4"/>
      <c r="R39" s="4">
        <v>231000</v>
      </c>
      <c r="S39" s="4"/>
      <c r="T39" s="4"/>
      <c r="U39" s="4"/>
      <c r="V39" s="4">
        <f t="shared" si="5"/>
        <v>808800</v>
      </c>
      <c r="W39" s="5">
        <f>+M39-V39</f>
        <v>5611200</v>
      </c>
      <c r="X39" s="5"/>
      <c r="Y39" s="62"/>
      <c r="Z39" s="5">
        <f t="shared" si="0"/>
        <v>5611200</v>
      </c>
    </row>
    <row r="40" spans="1:29" ht="24.95" customHeight="1" x14ac:dyDescent="0.25">
      <c r="A40" s="63"/>
      <c r="B40" s="2">
        <f t="shared" si="2"/>
        <v>37</v>
      </c>
      <c r="C40" s="9" t="s">
        <v>69</v>
      </c>
      <c r="D40" s="8" t="s">
        <v>30</v>
      </c>
      <c r="E40" s="4">
        <v>7590000</v>
      </c>
      <c r="F40" s="3">
        <v>30</v>
      </c>
      <c r="G40" s="4">
        <f>+E40-L40</f>
        <v>4554000</v>
      </c>
      <c r="H40" s="4"/>
      <c r="I40" s="4">
        <v>3795000</v>
      </c>
      <c r="J40" s="4"/>
      <c r="K40" s="4">
        <v>1500000</v>
      </c>
      <c r="L40" s="11">
        <v>3036000</v>
      </c>
      <c r="M40" s="4">
        <f>+G40+H40+J40+K40+L40+I40</f>
        <v>12885000</v>
      </c>
      <c r="N40" s="4">
        <f>E40*4/100</f>
        <v>303600</v>
      </c>
      <c r="O40" s="4">
        <f>+E40*0.05</f>
        <v>379500</v>
      </c>
      <c r="P40" s="4"/>
      <c r="Q40" s="4"/>
      <c r="R40" s="4">
        <v>449811</v>
      </c>
      <c r="S40" s="4"/>
      <c r="T40" s="4"/>
      <c r="U40" s="4"/>
      <c r="V40" s="4">
        <f t="shared" si="5"/>
        <v>1132911</v>
      </c>
      <c r="W40" s="5">
        <f>M40-V40</f>
        <v>11752089</v>
      </c>
      <c r="X40" s="5"/>
      <c r="Y40" s="62"/>
      <c r="Z40" s="5">
        <f t="shared" si="0"/>
        <v>11752089</v>
      </c>
    </row>
    <row r="41" spans="1:29" ht="24.95" customHeight="1" x14ac:dyDescent="0.25">
      <c r="A41" s="63"/>
      <c r="B41" s="2">
        <f t="shared" si="2"/>
        <v>38</v>
      </c>
      <c r="C41" s="9" t="s">
        <v>70</v>
      </c>
      <c r="D41" s="8" t="s">
        <v>30</v>
      </c>
      <c r="E41" s="4">
        <v>5500000</v>
      </c>
      <c r="F41" s="3">
        <v>30</v>
      </c>
      <c r="G41" s="4">
        <f>+E41-J41</f>
        <v>5133333.333333333</v>
      </c>
      <c r="H41" s="4"/>
      <c r="I41" s="4"/>
      <c r="J41" s="4">
        <f>+E41/30*2</f>
        <v>366666.66666666669</v>
      </c>
      <c r="K41" s="4">
        <v>500000</v>
      </c>
      <c r="L41" s="4"/>
      <c r="M41" s="4">
        <f>+G41+H41+J41+K41+L41+I41</f>
        <v>6000000</v>
      </c>
      <c r="N41" s="4">
        <f>E41*4/100</f>
        <v>220000</v>
      </c>
      <c r="O41" s="4">
        <f>+E41*0.05</f>
        <v>275000</v>
      </c>
      <c r="P41" s="4"/>
      <c r="Q41" s="4"/>
      <c r="R41" s="4">
        <v>144000</v>
      </c>
      <c r="S41" s="4"/>
      <c r="T41" s="4"/>
      <c r="U41" s="4"/>
      <c r="V41" s="4">
        <f t="shared" si="5"/>
        <v>639000</v>
      </c>
      <c r="W41" s="5">
        <f>M41-V41</f>
        <v>5361000</v>
      </c>
      <c r="X41" s="5"/>
      <c r="Y41" s="62"/>
      <c r="Z41" s="5">
        <f t="shared" si="0"/>
        <v>5361000</v>
      </c>
    </row>
    <row r="42" spans="1:29" ht="24.95" customHeight="1" x14ac:dyDescent="0.25">
      <c r="A42" s="63"/>
      <c r="B42" s="2">
        <f t="shared" si="2"/>
        <v>39</v>
      </c>
      <c r="C42" s="1" t="s">
        <v>71</v>
      </c>
      <c r="D42" s="2" t="s">
        <v>30</v>
      </c>
      <c r="E42" s="4">
        <v>5350000</v>
      </c>
      <c r="F42" s="3">
        <v>30</v>
      </c>
      <c r="G42" s="4">
        <f t="shared" si="4"/>
        <v>5350000</v>
      </c>
      <c r="H42" s="4"/>
      <c r="I42" s="4"/>
      <c r="J42" s="4"/>
      <c r="K42" s="4"/>
      <c r="L42" s="4"/>
      <c r="M42" s="4">
        <f>+G42+H42+J42+K42+L42+I42</f>
        <v>5350000</v>
      </c>
      <c r="N42" s="4">
        <f>E42*4/100</f>
        <v>214000</v>
      </c>
      <c r="O42" s="4">
        <f>+E42*0.05</f>
        <v>267500</v>
      </c>
      <c r="P42" s="4"/>
      <c r="Q42" s="4"/>
      <c r="R42" s="4">
        <v>121000</v>
      </c>
      <c r="S42" s="4"/>
      <c r="T42" s="4"/>
      <c r="U42" s="4"/>
      <c r="V42" s="4">
        <f t="shared" si="5"/>
        <v>602500</v>
      </c>
      <c r="W42" s="5">
        <f t="shared" ref="W42:W47" si="8">+M42-V42</f>
        <v>4747500</v>
      </c>
      <c r="X42" s="5"/>
      <c r="Y42" s="62"/>
      <c r="Z42" s="5">
        <f t="shared" si="0"/>
        <v>4747500</v>
      </c>
    </row>
    <row r="43" spans="1:29" ht="24.95" customHeight="1" x14ac:dyDescent="0.25">
      <c r="A43" s="63"/>
      <c r="B43" s="2">
        <f t="shared" si="2"/>
        <v>40</v>
      </c>
      <c r="C43" s="1" t="s">
        <v>72</v>
      </c>
      <c r="D43" s="2"/>
      <c r="E43" s="4">
        <v>4000000</v>
      </c>
      <c r="F43" s="3">
        <v>30</v>
      </c>
      <c r="G43" s="4">
        <f t="shared" si="4"/>
        <v>4000000.0000000005</v>
      </c>
      <c r="H43" s="4"/>
      <c r="I43" s="4"/>
      <c r="J43" s="4"/>
      <c r="K43" s="4"/>
      <c r="L43" s="4"/>
      <c r="M43" s="4">
        <f>+G43+H43+J43+K43+L43+I43</f>
        <v>4000000.0000000005</v>
      </c>
      <c r="N43" s="4">
        <f>E43*4/100</f>
        <v>160000</v>
      </c>
      <c r="O43" s="4">
        <f>+E43*0.05</f>
        <v>200000</v>
      </c>
      <c r="P43" s="4"/>
      <c r="Q43" s="4"/>
      <c r="R43" s="4">
        <v>0</v>
      </c>
      <c r="S43" s="4"/>
      <c r="T43" s="4"/>
      <c r="U43" s="4"/>
      <c r="V43" s="4">
        <f t="shared" si="5"/>
        <v>360000</v>
      </c>
      <c r="W43" s="5">
        <f t="shared" si="8"/>
        <v>3640000.0000000005</v>
      </c>
      <c r="X43" s="5"/>
      <c r="Y43" s="62"/>
      <c r="Z43" s="5">
        <f t="shared" si="0"/>
        <v>3640000.0000000005</v>
      </c>
    </row>
    <row r="44" spans="1:29" ht="24.95" customHeight="1" x14ac:dyDescent="0.25">
      <c r="A44" s="63"/>
      <c r="B44" s="2">
        <f t="shared" si="2"/>
        <v>41</v>
      </c>
      <c r="C44" s="1" t="s">
        <v>73</v>
      </c>
      <c r="D44" s="2" t="s">
        <v>30</v>
      </c>
      <c r="E44" s="4">
        <v>4770000</v>
      </c>
      <c r="F44" s="3">
        <v>30</v>
      </c>
      <c r="G44" s="4">
        <f t="shared" si="4"/>
        <v>4770000</v>
      </c>
      <c r="H44" s="4"/>
      <c r="I44" s="4"/>
      <c r="J44" s="4"/>
      <c r="K44" s="4"/>
      <c r="L44" s="4"/>
      <c r="M44" s="4">
        <f>+G44+H44+J44+K44+L44+I44</f>
        <v>4770000</v>
      </c>
      <c r="N44" s="4">
        <f>E44*4/100</f>
        <v>190800</v>
      </c>
      <c r="O44" s="4">
        <f>+E44*0.05</f>
        <v>238500</v>
      </c>
      <c r="P44" s="4"/>
      <c r="Q44" s="4"/>
      <c r="R44" s="4">
        <v>0</v>
      </c>
      <c r="S44" s="4"/>
      <c r="T44" s="4"/>
      <c r="U44" s="4">
        <v>317224</v>
      </c>
      <c r="V44" s="4">
        <f t="shared" si="5"/>
        <v>746524</v>
      </c>
      <c r="W44" s="5">
        <f t="shared" si="8"/>
        <v>4023476</v>
      </c>
      <c r="X44" s="5"/>
      <c r="Y44" s="62"/>
      <c r="Z44" s="5">
        <f t="shared" si="0"/>
        <v>4023476</v>
      </c>
      <c r="AC44" s="60">
        <f>1840000-1196000</f>
        <v>644000</v>
      </c>
    </row>
    <row r="45" spans="1:29" ht="24.95" customHeight="1" x14ac:dyDescent="0.25">
      <c r="A45" s="63"/>
      <c r="B45" s="2">
        <f t="shared" si="2"/>
        <v>42</v>
      </c>
      <c r="C45" s="1" t="s">
        <v>74</v>
      </c>
      <c r="D45" s="2" t="s">
        <v>30</v>
      </c>
      <c r="E45" s="4">
        <v>4800000</v>
      </c>
      <c r="F45" s="3">
        <v>30</v>
      </c>
      <c r="G45" s="4">
        <f t="shared" si="4"/>
        <v>4800000</v>
      </c>
      <c r="H45" s="4"/>
      <c r="I45" s="4"/>
      <c r="J45" s="4"/>
      <c r="K45" s="4"/>
      <c r="L45" s="4">
        <v>0</v>
      </c>
      <c r="M45" s="4">
        <f>+G45+H45+J45+K45+L45+I45</f>
        <v>4800000</v>
      </c>
      <c r="N45" s="4">
        <f>E45*4/100</f>
        <v>192000</v>
      </c>
      <c r="O45" s="4">
        <f>+E45*0.05</f>
        <v>240000</v>
      </c>
      <c r="P45" s="4"/>
      <c r="Q45" s="4"/>
      <c r="R45" s="4">
        <v>0</v>
      </c>
      <c r="S45" s="4"/>
      <c r="T45" s="4"/>
      <c r="U45" s="4">
        <v>1198791</v>
      </c>
      <c r="V45" s="4">
        <f t="shared" si="5"/>
        <v>1630791</v>
      </c>
      <c r="W45" s="5">
        <f t="shared" si="8"/>
        <v>3169209</v>
      </c>
      <c r="X45" s="5"/>
      <c r="Y45" s="62"/>
      <c r="Z45" s="5">
        <f t="shared" si="0"/>
        <v>3169209</v>
      </c>
    </row>
    <row r="46" spans="1:29" ht="24.95" customHeight="1" x14ac:dyDescent="0.25">
      <c r="A46" s="63"/>
      <c r="B46" s="2">
        <f t="shared" si="2"/>
        <v>43</v>
      </c>
      <c r="C46" s="1" t="s">
        <v>75</v>
      </c>
      <c r="D46" s="2"/>
      <c r="E46" s="4">
        <v>4000000</v>
      </c>
      <c r="F46" s="3">
        <v>30</v>
      </c>
      <c r="G46" s="4">
        <f>+E46-L46</f>
        <v>2666667</v>
      </c>
      <c r="H46" s="4"/>
      <c r="I46" s="4"/>
      <c r="J46" s="4"/>
      <c r="K46" s="4"/>
      <c r="L46" s="4">
        <v>1333333</v>
      </c>
      <c r="M46" s="4">
        <f>+G46+H46+J46+K46+L46+I46</f>
        <v>4000000</v>
      </c>
      <c r="N46" s="4">
        <f>E46*4/100</f>
        <v>160000</v>
      </c>
      <c r="O46" s="4">
        <f>+E46*0.05</f>
        <v>200000</v>
      </c>
      <c r="P46" s="4"/>
      <c r="Q46" s="4"/>
      <c r="R46" s="4">
        <v>0</v>
      </c>
      <c r="S46" s="4"/>
      <c r="T46" s="4"/>
      <c r="U46" s="4">
        <v>141077</v>
      </c>
      <c r="V46" s="4">
        <f t="shared" si="5"/>
        <v>501077</v>
      </c>
      <c r="W46" s="5">
        <f t="shared" si="8"/>
        <v>3498923</v>
      </c>
      <c r="X46" s="5"/>
      <c r="Y46" s="62"/>
      <c r="Z46" s="5">
        <f t="shared" si="0"/>
        <v>3498923</v>
      </c>
    </row>
    <row r="47" spans="1:29" ht="24.95" customHeight="1" x14ac:dyDescent="0.25">
      <c r="A47" s="63"/>
      <c r="B47" s="2">
        <f t="shared" si="2"/>
        <v>44</v>
      </c>
      <c r="C47" s="1" t="s">
        <v>76</v>
      </c>
      <c r="D47" s="2" t="s">
        <v>30</v>
      </c>
      <c r="E47" s="4">
        <v>6000000</v>
      </c>
      <c r="F47" s="3">
        <v>30</v>
      </c>
      <c r="G47" s="4">
        <f t="shared" si="4"/>
        <v>6000000</v>
      </c>
      <c r="H47" s="4"/>
      <c r="I47" s="4"/>
      <c r="J47" s="4"/>
      <c r="K47" s="4">
        <v>400000</v>
      </c>
      <c r="L47" s="4"/>
      <c r="M47" s="4">
        <f>+G47+H47+J47+K47+L47+I47</f>
        <v>6400000</v>
      </c>
      <c r="N47" s="4">
        <f>E47*4/100</f>
        <v>240000</v>
      </c>
      <c r="O47" s="4">
        <f>+E47*0.05</f>
        <v>300000</v>
      </c>
      <c r="P47" s="4"/>
      <c r="Q47" s="4"/>
      <c r="R47" s="4">
        <v>126000</v>
      </c>
      <c r="S47" s="4"/>
      <c r="T47" s="4"/>
      <c r="U47" s="4"/>
      <c r="V47" s="4">
        <f t="shared" si="5"/>
        <v>666000</v>
      </c>
      <c r="W47" s="5">
        <f t="shared" si="8"/>
        <v>5734000</v>
      </c>
      <c r="X47" s="5"/>
      <c r="Y47" s="62"/>
      <c r="Z47" s="5">
        <f t="shared" si="0"/>
        <v>5734000</v>
      </c>
    </row>
    <row r="48" spans="1:29" ht="24.95" customHeight="1" x14ac:dyDescent="0.25">
      <c r="A48" s="63"/>
      <c r="B48" s="2">
        <f t="shared" si="2"/>
        <v>45</v>
      </c>
      <c r="C48" s="1" t="s">
        <v>77</v>
      </c>
      <c r="D48" s="2" t="s">
        <v>30</v>
      </c>
      <c r="E48" s="4">
        <v>4500000</v>
      </c>
      <c r="F48" s="3">
        <v>30</v>
      </c>
      <c r="G48" s="4">
        <f t="shared" si="4"/>
        <v>4500000</v>
      </c>
      <c r="H48" s="4"/>
      <c r="I48" s="4"/>
      <c r="J48" s="4"/>
      <c r="K48" s="4"/>
      <c r="L48" s="4">
        <v>0</v>
      </c>
      <c r="M48" s="4">
        <f>+G48+H48+J48+K48+L48+I48</f>
        <v>4500000</v>
      </c>
      <c r="N48" s="4">
        <f>E48*4/100</f>
        <v>180000</v>
      </c>
      <c r="O48" s="4">
        <f>+E48*0.05</f>
        <v>225000</v>
      </c>
      <c r="P48" s="4"/>
      <c r="Q48" s="4"/>
      <c r="R48" s="4">
        <v>0</v>
      </c>
      <c r="S48" s="4"/>
      <c r="T48" s="4"/>
      <c r="U48" s="4"/>
      <c r="V48" s="4">
        <f t="shared" si="5"/>
        <v>405000</v>
      </c>
      <c r="W48" s="5">
        <f>M48-V48</f>
        <v>4095000</v>
      </c>
      <c r="X48" s="5"/>
      <c r="Y48" s="62"/>
      <c r="Z48" s="5">
        <f t="shared" si="0"/>
        <v>4095000</v>
      </c>
      <c r="AC48" s="60">
        <f>1840000-1196000</f>
        <v>644000</v>
      </c>
    </row>
    <row r="49" spans="1:27" ht="24.95" customHeight="1" x14ac:dyDescent="0.25">
      <c r="A49" s="63"/>
      <c r="B49" s="2">
        <f t="shared" si="2"/>
        <v>46</v>
      </c>
      <c r="C49" s="1" t="s">
        <v>78</v>
      </c>
      <c r="D49" s="2" t="s">
        <v>30</v>
      </c>
      <c r="E49" s="4">
        <v>6000000</v>
      </c>
      <c r="F49" s="3">
        <v>30</v>
      </c>
      <c r="G49" s="4">
        <f t="shared" si="4"/>
        <v>6000000</v>
      </c>
      <c r="H49" s="4"/>
      <c r="I49" s="4"/>
      <c r="J49" s="4"/>
      <c r="K49" s="4">
        <v>400000</v>
      </c>
      <c r="L49" s="4"/>
      <c r="M49" s="4">
        <f>+G49+H49+J49+K49+L49+I49</f>
        <v>6400000</v>
      </c>
      <c r="N49" s="4">
        <f>E49*4/100</f>
        <v>240000</v>
      </c>
      <c r="O49" s="4">
        <f>+E49*0.05</f>
        <v>300000</v>
      </c>
      <c r="P49" s="4"/>
      <c r="Q49" s="4"/>
      <c r="R49" s="4">
        <v>120000</v>
      </c>
      <c r="S49" s="4"/>
      <c r="T49" s="4"/>
      <c r="U49" s="4"/>
      <c r="V49" s="4">
        <f t="shared" si="5"/>
        <v>660000</v>
      </c>
      <c r="W49" s="5">
        <f>M49-V49</f>
        <v>5740000</v>
      </c>
      <c r="X49" s="5"/>
      <c r="Y49" s="62"/>
      <c r="Z49" s="5">
        <f t="shared" si="0"/>
        <v>5740000</v>
      </c>
    </row>
    <row r="50" spans="1:27" ht="24.95" customHeight="1" x14ac:dyDescent="0.25">
      <c r="A50" s="63"/>
      <c r="B50" s="2">
        <f t="shared" si="2"/>
        <v>47</v>
      </c>
      <c r="C50" s="1" t="s">
        <v>79</v>
      </c>
      <c r="D50" s="2"/>
      <c r="E50" s="4">
        <v>4800000</v>
      </c>
      <c r="F50" s="3">
        <v>30</v>
      </c>
      <c r="G50" s="4">
        <f>+E50-L50</f>
        <v>2560000</v>
      </c>
      <c r="H50" s="4"/>
      <c r="I50" s="4"/>
      <c r="J50" s="4"/>
      <c r="K50" s="4"/>
      <c r="L50" s="4">
        <v>2240000</v>
      </c>
      <c r="M50" s="4">
        <f>+G50+H50+J50+K50+L50+I50</f>
        <v>4800000</v>
      </c>
      <c r="N50" s="4">
        <f>+E50*4%</f>
        <v>192000</v>
      </c>
      <c r="O50" s="4">
        <f>+E50*5%</f>
        <v>240000</v>
      </c>
      <c r="P50" s="4"/>
      <c r="Q50" s="4"/>
      <c r="R50" s="4">
        <v>0</v>
      </c>
      <c r="S50" s="4"/>
      <c r="T50" s="4"/>
      <c r="U50" s="4"/>
      <c r="V50" s="4">
        <f t="shared" si="5"/>
        <v>432000</v>
      </c>
      <c r="W50" s="5">
        <f>+M50-V50</f>
        <v>4368000</v>
      </c>
      <c r="X50" s="5"/>
      <c r="Y50" s="62"/>
      <c r="Z50" s="5">
        <f t="shared" si="0"/>
        <v>4368000</v>
      </c>
    </row>
    <row r="51" spans="1:27" ht="24.95" customHeight="1" x14ac:dyDescent="0.25">
      <c r="A51" s="63"/>
      <c r="B51" s="2">
        <f t="shared" si="2"/>
        <v>48</v>
      </c>
      <c r="C51" s="1" t="s">
        <v>80</v>
      </c>
      <c r="D51" s="2"/>
      <c r="E51" s="4">
        <v>6500000</v>
      </c>
      <c r="F51" s="3">
        <v>30</v>
      </c>
      <c r="G51" s="4">
        <f t="shared" si="4"/>
        <v>6500000</v>
      </c>
      <c r="H51" s="4"/>
      <c r="I51" s="4"/>
      <c r="J51" s="4"/>
      <c r="K51" s="4"/>
      <c r="L51" s="4"/>
      <c r="M51" s="4">
        <f>+G51+H51+J51+K51+L51+I51</f>
        <v>6500000</v>
      </c>
      <c r="N51" s="4">
        <f>+E51*0.04</f>
        <v>260000</v>
      </c>
      <c r="O51" s="4">
        <f>+E51*0.05</f>
        <v>325000</v>
      </c>
      <c r="P51" s="4"/>
      <c r="Q51" s="4"/>
      <c r="R51" s="4">
        <v>207372</v>
      </c>
      <c r="S51" s="4"/>
      <c r="T51" s="4"/>
      <c r="U51" s="4"/>
      <c r="V51" s="4">
        <f t="shared" si="5"/>
        <v>792372</v>
      </c>
      <c r="W51" s="5">
        <f>M51-V51</f>
        <v>5707628</v>
      </c>
      <c r="X51" s="5"/>
      <c r="Y51" s="62"/>
      <c r="Z51" s="5">
        <f t="shared" si="0"/>
        <v>5707628</v>
      </c>
    </row>
    <row r="52" spans="1:27" ht="24.95" customHeight="1" x14ac:dyDescent="0.25">
      <c r="A52" s="63" t="s">
        <v>81</v>
      </c>
      <c r="B52" s="2">
        <v>1</v>
      </c>
      <c r="C52" s="1" t="s">
        <v>82</v>
      </c>
      <c r="D52" s="2"/>
      <c r="E52" s="4">
        <v>912000</v>
      </c>
      <c r="F52" s="3">
        <v>30</v>
      </c>
      <c r="G52" s="4">
        <f t="shared" si="4"/>
        <v>912000</v>
      </c>
      <c r="H52" s="4">
        <v>88211</v>
      </c>
      <c r="I52" s="4"/>
      <c r="J52" s="4"/>
      <c r="K52" s="4"/>
      <c r="L52" s="4"/>
      <c r="M52" s="4">
        <f>+G52+H52+J52+K52+L52+I52</f>
        <v>1000211</v>
      </c>
      <c r="N52" s="4">
        <f>+E52*0.04</f>
        <v>36480</v>
      </c>
      <c r="O52" s="4">
        <f>+E52*0.04</f>
        <v>36480</v>
      </c>
      <c r="P52" s="4"/>
      <c r="Q52" s="4"/>
      <c r="R52" s="4"/>
      <c r="S52" s="4"/>
      <c r="T52" s="4"/>
      <c r="U52" s="4"/>
      <c r="V52" s="4">
        <f>SUM(N52:U52)</f>
        <v>72960</v>
      </c>
      <c r="W52" s="5">
        <f>M52-V52</f>
        <v>927251</v>
      </c>
      <c r="X52" s="5"/>
      <c r="Y52" s="62"/>
      <c r="Z52" s="5">
        <f t="shared" si="0"/>
        <v>927251</v>
      </c>
    </row>
    <row r="53" spans="1:27" ht="24.95" customHeight="1" x14ac:dyDescent="0.25">
      <c r="A53" s="63"/>
      <c r="B53" s="2">
        <f>+B52+1</f>
        <v>2</v>
      </c>
      <c r="C53" s="1" t="s">
        <v>83</v>
      </c>
      <c r="D53" s="2" t="s">
        <v>30</v>
      </c>
      <c r="E53" s="4">
        <v>3000000</v>
      </c>
      <c r="F53" s="3">
        <v>30</v>
      </c>
      <c r="G53" s="4">
        <f t="shared" si="4"/>
        <v>3000000</v>
      </c>
      <c r="H53" s="4"/>
      <c r="I53" s="4"/>
      <c r="J53" s="4"/>
      <c r="K53" s="4"/>
      <c r="L53" s="4">
        <f>+E53-G53</f>
        <v>0</v>
      </c>
      <c r="M53" s="4">
        <f>+G53+H53+J53+K53+L53+I53</f>
        <v>3000000</v>
      </c>
      <c r="N53" s="4">
        <f>+E53*0.04</f>
        <v>120000</v>
      </c>
      <c r="O53" s="4">
        <f>+E53*0.04</f>
        <v>120000</v>
      </c>
      <c r="P53" s="4"/>
      <c r="Q53" s="4"/>
      <c r="R53" s="4"/>
      <c r="S53" s="4"/>
      <c r="T53" s="4"/>
      <c r="U53" s="4">
        <f>481778</f>
        <v>481778</v>
      </c>
      <c r="V53" s="4">
        <f t="shared" ref="V53:V107" si="9">SUM(N53:U53)</f>
        <v>721778</v>
      </c>
      <c r="W53" s="5">
        <f>M53-V53</f>
        <v>2278222</v>
      </c>
      <c r="X53" s="5"/>
      <c r="Y53" s="62"/>
      <c r="Z53" s="5">
        <f t="shared" si="0"/>
        <v>2278222</v>
      </c>
    </row>
    <row r="54" spans="1:27" ht="24.95" customHeight="1" x14ac:dyDescent="0.25">
      <c r="A54" s="63"/>
      <c r="B54" s="2">
        <f t="shared" ref="B54:B107" si="10">+B53+1</f>
        <v>3</v>
      </c>
      <c r="C54" s="9" t="s">
        <v>84</v>
      </c>
      <c r="D54" s="8" t="s">
        <v>30</v>
      </c>
      <c r="E54" s="4">
        <v>2500000</v>
      </c>
      <c r="F54" s="3">
        <v>30</v>
      </c>
      <c r="G54" s="4">
        <f t="shared" si="4"/>
        <v>2500000</v>
      </c>
      <c r="H54" s="4"/>
      <c r="I54" s="4"/>
      <c r="J54" s="4">
        <v>0</v>
      </c>
      <c r="K54" s="4"/>
      <c r="L54" s="4"/>
      <c r="M54" s="4">
        <f>+G54+H54+J54+K54+L54+I54</f>
        <v>2500000</v>
      </c>
      <c r="N54" s="4">
        <f>+E54*4%</f>
        <v>100000</v>
      </c>
      <c r="O54" s="4">
        <f>+E54*4%</f>
        <v>100000</v>
      </c>
      <c r="P54" s="4"/>
      <c r="Q54" s="4"/>
      <c r="R54" s="4"/>
      <c r="S54" s="4"/>
      <c r="T54" s="4"/>
      <c r="U54" s="4"/>
      <c r="V54" s="4">
        <f t="shared" si="9"/>
        <v>200000</v>
      </c>
      <c r="W54" s="5">
        <f>M54-V54</f>
        <v>2300000</v>
      </c>
      <c r="X54" s="5"/>
      <c r="Y54" s="62"/>
      <c r="Z54" s="5">
        <f t="shared" si="0"/>
        <v>2300000</v>
      </c>
    </row>
    <row r="55" spans="1:27" ht="24.95" customHeight="1" x14ac:dyDescent="0.25">
      <c r="A55" s="63"/>
      <c r="B55" s="2">
        <f t="shared" si="10"/>
        <v>4</v>
      </c>
      <c r="C55" s="1" t="s">
        <v>85</v>
      </c>
      <c r="D55" s="2" t="s">
        <v>30</v>
      </c>
      <c r="E55" s="4">
        <v>3000000</v>
      </c>
      <c r="F55" s="3">
        <v>30</v>
      </c>
      <c r="G55" s="4">
        <f t="shared" si="4"/>
        <v>3000000</v>
      </c>
      <c r="H55" s="4">
        <v>0</v>
      </c>
      <c r="I55" s="4"/>
      <c r="J55" s="4"/>
      <c r="K55" s="4"/>
      <c r="L55" s="4"/>
      <c r="M55" s="4">
        <f>+G55+H55+J55+K55+L55+I55</f>
        <v>3000000</v>
      </c>
      <c r="N55" s="4">
        <f>+E55*4%</f>
        <v>120000</v>
      </c>
      <c r="O55" s="4">
        <f>+E55*4%</f>
        <v>120000</v>
      </c>
      <c r="P55" s="4"/>
      <c r="Q55" s="4"/>
      <c r="R55" s="7"/>
      <c r="S55" s="4"/>
      <c r="T55" s="4"/>
      <c r="U55" s="4"/>
      <c r="V55" s="4">
        <f t="shared" si="9"/>
        <v>240000</v>
      </c>
      <c r="W55" s="5">
        <f t="shared" ref="W55:W65" si="11">+M55-V55</f>
        <v>2760000</v>
      </c>
      <c r="X55" s="5"/>
      <c r="Y55" s="62"/>
      <c r="Z55" s="5">
        <f t="shared" si="0"/>
        <v>2760000</v>
      </c>
      <c r="AA55" s="60">
        <v>1380000</v>
      </c>
    </row>
    <row r="56" spans="1:27" ht="24.95" customHeight="1" x14ac:dyDescent="0.25">
      <c r="A56" s="63"/>
      <c r="B56" s="2">
        <f t="shared" si="10"/>
        <v>5</v>
      </c>
      <c r="C56" s="1" t="s">
        <v>87</v>
      </c>
      <c r="D56" s="2" t="s">
        <v>30</v>
      </c>
      <c r="E56" s="4">
        <v>2200000</v>
      </c>
      <c r="F56" s="3">
        <v>30</v>
      </c>
      <c r="G56" s="4">
        <f t="shared" si="4"/>
        <v>2200000</v>
      </c>
      <c r="H56" s="4"/>
      <c r="I56" s="4"/>
      <c r="J56" s="4"/>
      <c r="K56" s="4"/>
      <c r="L56" s="4"/>
      <c r="M56" s="4">
        <f>+G56+H56+J56+K56+L56+I56</f>
        <v>2200000</v>
      </c>
      <c r="N56" s="4">
        <f>+E56*4%</f>
        <v>88000</v>
      </c>
      <c r="O56" s="4">
        <f>+E56*4%</f>
        <v>88000</v>
      </c>
      <c r="P56" s="4"/>
      <c r="Q56" s="4"/>
      <c r="R56" s="7"/>
      <c r="S56" s="4"/>
      <c r="T56" s="4"/>
      <c r="U56" s="4"/>
      <c r="V56" s="4">
        <f t="shared" si="9"/>
        <v>176000</v>
      </c>
      <c r="W56" s="5">
        <f t="shared" si="11"/>
        <v>2024000</v>
      </c>
      <c r="X56" s="5"/>
      <c r="Y56" s="62"/>
      <c r="Z56" s="5">
        <f t="shared" si="0"/>
        <v>2024000</v>
      </c>
      <c r="AA56" s="60">
        <v>1380000</v>
      </c>
    </row>
    <row r="57" spans="1:27" ht="24.95" customHeight="1" x14ac:dyDescent="0.25">
      <c r="A57" s="63"/>
      <c r="B57" s="2">
        <f t="shared" si="10"/>
        <v>6</v>
      </c>
      <c r="C57" s="1" t="s">
        <v>88</v>
      </c>
      <c r="D57" s="2" t="s">
        <v>30</v>
      </c>
      <c r="E57" s="4">
        <v>1800000</v>
      </c>
      <c r="F57" s="3">
        <v>30</v>
      </c>
      <c r="G57" s="4">
        <f t="shared" si="4"/>
        <v>1800000</v>
      </c>
      <c r="H57" s="4">
        <v>0</v>
      </c>
      <c r="I57" s="4"/>
      <c r="J57" s="4"/>
      <c r="K57" s="4"/>
      <c r="L57" s="4"/>
      <c r="M57" s="4">
        <f>+G57+H57+J57+K57+L57+I57</f>
        <v>1800000</v>
      </c>
      <c r="N57" s="4">
        <f>+E57*4%</f>
        <v>72000</v>
      </c>
      <c r="O57" s="4">
        <f>+E57*4%</f>
        <v>72000</v>
      </c>
      <c r="P57" s="4"/>
      <c r="Q57" s="4"/>
      <c r="R57" s="4">
        <v>0</v>
      </c>
      <c r="S57" s="4"/>
      <c r="T57" s="4"/>
      <c r="U57" s="4"/>
      <c r="V57" s="4">
        <f t="shared" si="9"/>
        <v>144000</v>
      </c>
      <c r="W57" s="5">
        <f t="shared" si="11"/>
        <v>1656000</v>
      </c>
      <c r="X57" s="5"/>
      <c r="Y57" s="62"/>
      <c r="Z57" s="5">
        <f t="shared" si="0"/>
        <v>1656000</v>
      </c>
    </row>
    <row r="58" spans="1:27" ht="24.95" customHeight="1" x14ac:dyDescent="0.25">
      <c r="A58" s="63"/>
      <c r="B58" s="2">
        <f t="shared" si="10"/>
        <v>7</v>
      </c>
      <c r="C58" s="1" t="s">
        <v>89</v>
      </c>
      <c r="D58" s="2" t="s">
        <v>30</v>
      </c>
      <c r="E58" s="4">
        <v>781242</v>
      </c>
      <c r="F58" s="3">
        <v>30</v>
      </c>
      <c r="G58" s="4">
        <f t="shared" si="4"/>
        <v>781242</v>
      </c>
      <c r="H58" s="4">
        <v>88211</v>
      </c>
      <c r="I58" s="4"/>
      <c r="J58" s="4"/>
      <c r="K58" s="4"/>
      <c r="L58" s="4"/>
      <c r="M58" s="4">
        <f>+G58+H58+J58+K58+L58+I58</f>
        <v>869453</v>
      </c>
      <c r="N58" s="4">
        <v>31250</v>
      </c>
      <c r="O58" s="4">
        <v>31250</v>
      </c>
      <c r="P58" s="4"/>
      <c r="Q58" s="4"/>
      <c r="R58" s="7"/>
      <c r="S58" s="4"/>
      <c r="T58" s="4"/>
      <c r="U58" s="4"/>
      <c r="V58" s="4">
        <f t="shared" si="9"/>
        <v>62500</v>
      </c>
      <c r="W58" s="5">
        <f t="shared" si="11"/>
        <v>806953</v>
      </c>
      <c r="X58" s="5"/>
      <c r="Y58" s="62"/>
      <c r="Z58" s="5">
        <f t="shared" si="0"/>
        <v>806953</v>
      </c>
    </row>
    <row r="59" spans="1:27" ht="24.95" customHeight="1" x14ac:dyDescent="0.25">
      <c r="A59" s="63"/>
      <c r="B59" s="2">
        <f t="shared" si="10"/>
        <v>8</v>
      </c>
      <c r="C59" s="1" t="s">
        <v>90</v>
      </c>
      <c r="D59" s="2"/>
      <c r="E59" s="4">
        <v>3000000</v>
      </c>
      <c r="F59" s="3">
        <v>30</v>
      </c>
      <c r="G59" s="4">
        <f t="shared" si="4"/>
        <v>3000000</v>
      </c>
      <c r="H59" s="4"/>
      <c r="I59" s="4"/>
      <c r="J59" s="4"/>
      <c r="K59" s="4"/>
      <c r="L59" s="4"/>
      <c r="M59" s="4">
        <f>+G59+H59+J59+K59+L59+I59</f>
        <v>3000000</v>
      </c>
      <c r="N59" s="4">
        <f>+E59*4%</f>
        <v>120000</v>
      </c>
      <c r="O59" s="4">
        <f>+E59*4%</f>
        <v>120000</v>
      </c>
      <c r="P59" s="4"/>
      <c r="Q59" s="4"/>
      <c r="R59" s="4"/>
      <c r="S59" s="4"/>
      <c r="T59" s="4"/>
      <c r="U59" s="4"/>
      <c r="V59" s="4">
        <f t="shared" si="9"/>
        <v>240000</v>
      </c>
      <c r="W59" s="5">
        <f t="shared" si="11"/>
        <v>2760000</v>
      </c>
      <c r="X59" s="5"/>
      <c r="Y59" s="62"/>
      <c r="Z59" s="5">
        <f t="shared" si="0"/>
        <v>2760000</v>
      </c>
    </row>
    <row r="60" spans="1:27" ht="24.95" customHeight="1" x14ac:dyDescent="0.25">
      <c r="A60" s="63"/>
      <c r="B60" s="2">
        <f t="shared" si="10"/>
        <v>9</v>
      </c>
      <c r="C60" s="1" t="s">
        <v>91</v>
      </c>
      <c r="D60" s="2" t="s">
        <v>30</v>
      </c>
      <c r="E60" s="4">
        <v>3500000</v>
      </c>
      <c r="F60" s="3">
        <v>30</v>
      </c>
      <c r="G60" s="4">
        <f>+E60-L60</f>
        <v>2566667</v>
      </c>
      <c r="H60" s="4"/>
      <c r="I60" s="4"/>
      <c r="J60" s="4"/>
      <c r="K60" s="4"/>
      <c r="L60" s="4">
        <v>933333</v>
      </c>
      <c r="M60" s="4">
        <f>+G60+H60+J60+K60+L60+I60</f>
        <v>3500000</v>
      </c>
      <c r="N60" s="4">
        <f>+E60*4%</f>
        <v>140000</v>
      </c>
      <c r="O60" s="4">
        <f>+E60*5%</f>
        <v>175000</v>
      </c>
      <c r="P60" s="4"/>
      <c r="Q60" s="4"/>
      <c r="R60" s="4">
        <v>0</v>
      </c>
      <c r="S60" s="4"/>
      <c r="T60" s="4"/>
      <c r="U60" s="4">
        <v>774624</v>
      </c>
      <c r="V60" s="4">
        <f t="shared" si="9"/>
        <v>1089624</v>
      </c>
      <c r="W60" s="5">
        <f t="shared" si="11"/>
        <v>2410376</v>
      </c>
      <c r="X60" s="5"/>
      <c r="Y60" s="62"/>
      <c r="Z60" s="5">
        <f t="shared" si="0"/>
        <v>2410376</v>
      </c>
    </row>
    <row r="61" spans="1:27" ht="24.95" customHeight="1" x14ac:dyDescent="0.25">
      <c r="A61" s="63"/>
      <c r="B61" s="2">
        <f t="shared" si="10"/>
        <v>10</v>
      </c>
      <c r="C61" s="1" t="s">
        <v>92</v>
      </c>
      <c r="D61" s="2" t="s">
        <v>30</v>
      </c>
      <c r="E61" s="4">
        <v>2500000</v>
      </c>
      <c r="F61" s="3">
        <v>30</v>
      </c>
      <c r="G61" s="4">
        <f t="shared" si="4"/>
        <v>2500000</v>
      </c>
      <c r="H61" s="4"/>
      <c r="I61" s="4"/>
      <c r="J61" s="4"/>
      <c r="K61" s="4">
        <v>700000</v>
      </c>
      <c r="L61" s="4"/>
      <c r="M61" s="4">
        <f>+G61+H61+J61+K61+L61+I61</f>
        <v>3200000</v>
      </c>
      <c r="N61" s="4">
        <f>+E61*4%</f>
        <v>100000</v>
      </c>
      <c r="O61" s="4">
        <f>+E61*4%</f>
        <v>100000</v>
      </c>
      <c r="P61" s="4"/>
      <c r="Q61" s="4"/>
      <c r="R61" s="4">
        <v>0</v>
      </c>
      <c r="S61" s="4"/>
      <c r="T61" s="4"/>
      <c r="U61" s="4">
        <v>200210</v>
      </c>
      <c r="V61" s="4">
        <f t="shared" si="9"/>
        <v>400210</v>
      </c>
      <c r="W61" s="5">
        <f t="shared" si="11"/>
        <v>2799790</v>
      </c>
      <c r="X61" s="5"/>
      <c r="Y61" s="62"/>
      <c r="Z61" s="5">
        <f t="shared" si="0"/>
        <v>2799790</v>
      </c>
    </row>
    <row r="62" spans="1:27" ht="24.95" customHeight="1" x14ac:dyDescent="0.25">
      <c r="A62" s="63"/>
      <c r="B62" s="2">
        <f t="shared" si="10"/>
        <v>11</v>
      </c>
      <c r="C62" s="1" t="s">
        <v>93</v>
      </c>
      <c r="D62" s="2" t="s">
        <v>30</v>
      </c>
      <c r="E62" s="4">
        <v>2500000</v>
      </c>
      <c r="F62" s="3">
        <v>30</v>
      </c>
      <c r="G62" s="4">
        <f t="shared" si="4"/>
        <v>2500000</v>
      </c>
      <c r="H62" s="4"/>
      <c r="I62" s="4"/>
      <c r="J62" s="4"/>
      <c r="K62" s="4"/>
      <c r="L62" s="4"/>
      <c r="M62" s="4">
        <f>+G62+H62+J62+K62+L62+I62</f>
        <v>2500000</v>
      </c>
      <c r="N62" s="4">
        <f>+E62*4%</f>
        <v>100000</v>
      </c>
      <c r="O62" s="4">
        <f>+E62*4%</f>
        <v>100000</v>
      </c>
      <c r="P62" s="4">
        <v>0</v>
      </c>
      <c r="Q62" s="4"/>
      <c r="R62" s="4">
        <v>0</v>
      </c>
      <c r="S62" s="4"/>
      <c r="T62" s="4"/>
      <c r="U62" s="4">
        <v>422966</v>
      </c>
      <c r="V62" s="4">
        <f t="shared" si="9"/>
        <v>622966</v>
      </c>
      <c r="W62" s="5">
        <f t="shared" si="11"/>
        <v>1877034</v>
      </c>
      <c r="X62" s="5"/>
      <c r="Y62" s="62"/>
      <c r="Z62" s="5">
        <f t="shared" si="0"/>
        <v>1877034</v>
      </c>
    </row>
    <row r="63" spans="1:27" ht="24.95" customHeight="1" x14ac:dyDescent="0.25">
      <c r="A63" s="63"/>
      <c r="B63" s="2">
        <f t="shared" si="10"/>
        <v>12</v>
      </c>
      <c r="C63" s="1" t="s">
        <v>94</v>
      </c>
      <c r="D63" s="2" t="s">
        <v>30</v>
      </c>
      <c r="E63" s="4">
        <v>781242</v>
      </c>
      <c r="F63" s="3">
        <v>30</v>
      </c>
      <c r="G63" s="4">
        <f t="shared" si="4"/>
        <v>781242</v>
      </c>
      <c r="H63" s="4">
        <v>88211</v>
      </c>
      <c r="I63" s="4"/>
      <c r="J63" s="4"/>
      <c r="K63" s="4"/>
      <c r="L63" s="4"/>
      <c r="M63" s="4">
        <f>+G63+H63+J63+K63+L63+I63</f>
        <v>869453</v>
      </c>
      <c r="N63" s="4">
        <f>+E63*4%</f>
        <v>31249.68</v>
      </c>
      <c r="O63" s="4">
        <f>+E63*4%</f>
        <v>31249.68</v>
      </c>
      <c r="P63" s="4"/>
      <c r="Q63" s="4"/>
      <c r="R63" s="4">
        <v>0</v>
      </c>
      <c r="S63" s="4"/>
      <c r="T63" s="4"/>
      <c r="U63" s="4"/>
      <c r="V63" s="4">
        <f t="shared" si="9"/>
        <v>62499.360000000001</v>
      </c>
      <c r="W63" s="5">
        <f t="shared" si="11"/>
        <v>806953.64</v>
      </c>
      <c r="X63" s="5"/>
      <c r="Y63" s="62"/>
      <c r="Z63" s="5">
        <f t="shared" si="0"/>
        <v>806953.64</v>
      </c>
    </row>
    <row r="64" spans="1:27" ht="24.95" customHeight="1" x14ac:dyDescent="0.25">
      <c r="A64" s="63"/>
      <c r="B64" s="2">
        <f t="shared" si="10"/>
        <v>13</v>
      </c>
      <c r="C64" s="1" t="s">
        <v>95</v>
      </c>
      <c r="D64" s="2" t="s">
        <v>30</v>
      </c>
      <c r="E64" s="4">
        <v>3000000</v>
      </c>
      <c r="F64" s="3">
        <v>30</v>
      </c>
      <c r="G64" s="4">
        <f t="shared" si="4"/>
        <v>3000000</v>
      </c>
      <c r="H64" s="4"/>
      <c r="I64" s="4"/>
      <c r="J64" s="4"/>
      <c r="K64" s="4">
        <v>200000</v>
      </c>
      <c r="L64" s="4"/>
      <c r="M64" s="4">
        <f>+G64+H64+J64+K64+L64+I64</f>
        <v>3200000</v>
      </c>
      <c r="N64" s="4">
        <f>+E64*4%</f>
        <v>120000</v>
      </c>
      <c r="O64" s="4">
        <f>+E64*0.04</f>
        <v>120000</v>
      </c>
      <c r="P64" s="4"/>
      <c r="Q64" s="4"/>
      <c r="R64" s="4">
        <v>0</v>
      </c>
      <c r="S64" s="4"/>
      <c r="T64" s="4"/>
      <c r="U64" s="4">
        <v>323803</v>
      </c>
      <c r="V64" s="4">
        <f t="shared" si="9"/>
        <v>563803</v>
      </c>
      <c r="W64" s="5">
        <f t="shared" si="11"/>
        <v>2636197</v>
      </c>
      <c r="X64" s="5"/>
      <c r="Y64" s="62"/>
      <c r="Z64" s="5">
        <f t="shared" si="0"/>
        <v>2636197</v>
      </c>
    </row>
    <row r="65" spans="1:28" ht="24.95" customHeight="1" x14ac:dyDescent="0.25">
      <c r="A65" s="63"/>
      <c r="B65" s="2">
        <f t="shared" si="10"/>
        <v>14</v>
      </c>
      <c r="C65" s="1" t="s">
        <v>96</v>
      </c>
      <c r="D65" s="2"/>
      <c r="E65" s="4">
        <v>2000000</v>
      </c>
      <c r="F65" s="3">
        <v>30</v>
      </c>
      <c r="G65" s="4">
        <f t="shared" si="4"/>
        <v>2000000.0000000002</v>
      </c>
      <c r="H65" s="4"/>
      <c r="I65" s="4"/>
      <c r="J65" s="4"/>
      <c r="K65" s="4"/>
      <c r="L65" s="4"/>
      <c r="M65" s="4">
        <f>+G65+H65+J65+K65+L65+I65</f>
        <v>2000000.0000000002</v>
      </c>
      <c r="N65" s="4">
        <f>+E65*4%</f>
        <v>80000</v>
      </c>
      <c r="O65" s="4">
        <f>+E65*4%</f>
        <v>80000</v>
      </c>
      <c r="P65" s="4"/>
      <c r="Q65" s="4"/>
      <c r="R65" s="4">
        <v>0</v>
      </c>
      <c r="S65" s="4"/>
      <c r="T65" s="4"/>
      <c r="U65" s="4"/>
      <c r="V65" s="4">
        <f t="shared" si="9"/>
        <v>160000</v>
      </c>
      <c r="W65" s="5">
        <f t="shared" si="11"/>
        <v>1840000.0000000002</v>
      </c>
      <c r="X65" s="5"/>
      <c r="Y65" s="62"/>
      <c r="Z65" s="5">
        <f t="shared" si="0"/>
        <v>1840000.0000000002</v>
      </c>
    </row>
    <row r="66" spans="1:28" ht="24.95" customHeight="1" x14ac:dyDescent="0.25">
      <c r="A66" s="63"/>
      <c r="B66" s="2">
        <f t="shared" si="10"/>
        <v>15</v>
      </c>
      <c r="C66" s="9" t="s">
        <v>97</v>
      </c>
      <c r="D66" s="8" t="s">
        <v>30</v>
      </c>
      <c r="E66" s="4">
        <v>4100000</v>
      </c>
      <c r="F66" s="3">
        <v>30</v>
      </c>
      <c r="G66" s="4">
        <f t="shared" si="4"/>
        <v>4099999.9999999995</v>
      </c>
      <c r="H66" s="4"/>
      <c r="I66" s="4"/>
      <c r="J66" s="4"/>
      <c r="K66" s="4"/>
      <c r="L66" s="4"/>
      <c r="M66" s="4">
        <f>+G66+H66+J66+K66+L66+I66</f>
        <v>4099999.9999999995</v>
      </c>
      <c r="N66" s="4">
        <f>+E66*4%</f>
        <v>164000</v>
      </c>
      <c r="O66" s="4">
        <f>+E66*5%</f>
        <v>205000</v>
      </c>
      <c r="P66" s="4"/>
      <c r="Q66" s="4"/>
      <c r="R66" s="4">
        <v>0</v>
      </c>
      <c r="S66" s="4"/>
      <c r="T66" s="4"/>
      <c r="U66" s="4"/>
      <c r="V66" s="4">
        <f t="shared" si="9"/>
        <v>369000</v>
      </c>
      <c r="W66" s="5">
        <f t="shared" ref="W66:W75" si="12">M66-V66</f>
        <v>3730999.9999999995</v>
      </c>
      <c r="X66" s="5"/>
      <c r="Y66" s="62"/>
      <c r="Z66" s="5">
        <f t="shared" si="0"/>
        <v>3730999.9999999995</v>
      </c>
    </row>
    <row r="67" spans="1:28" ht="24.95" customHeight="1" x14ac:dyDescent="0.25">
      <c r="A67" s="63"/>
      <c r="B67" s="2">
        <f t="shared" si="10"/>
        <v>16</v>
      </c>
      <c r="C67" s="1" t="s">
        <v>98</v>
      </c>
      <c r="D67" s="2" t="s">
        <v>30</v>
      </c>
      <c r="E67" s="4">
        <v>4000000</v>
      </c>
      <c r="F67" s="3">
        <v>30</v>
      </c>
      <c r="G67" s="4">
        <f>+E67/30*21</f>
        <v>2800000</v>
      </c>
      <c r="H67" s="4"/>
      <c r="I67" s="4"/>
      <c r="J67" s="4">
        <v>977797</v>
      </c>
      <c r="K67" s="4">
        <v>300000</v>
      </c>
      <c r="L67" s="4"/>
      <c r="M67" s="4">
        <f>+G67+H67+J67+K67+L67+I67</f>
        <v>4077797</v>
      </c>
      <c r="N67" s="4">
        <f>E67*4%</f>
        <v>160000</v>
      </c>
      <c r="O67" s="4">
        <f>+E67*0.05</f>
        <v>200000</v>
      </c>
      <c r="P67" s="4"/>
      <c r="Q67" s="4"/>
      <c r="R67" s="4">
        <v>0</v>
      </c>
      <c r="S67" s="4"/>
      <c r="T67" s="4"/>
      <c r="U67" s="4">
        <v>879143</v>
      </c>
      <c r="V67" s="4">
        <f t="shared" si="9"/>
        <v>1239143</v>
      </c>
      <c r="W67" s="5">
        <f t="shared" si="12"/>
        <v>2838654</v>
      </c>
      <c r="X67" s="5"/>
      <c r="Y67" s="62"/>
      <c r="Z67" s="5">
        <f t="shared" si="0"/>
        <v>2838654</v>
      </c>
    </row>
    <row r="68" spans="1:28" ht="24.95" customHeight="1" x14ac:dyDescent="0.25">
      <c r="A68" s="63"/>
      <c r="B68" s="2">
        <f t="shared" si="10"/>
        <v>17</v>
      </c>
      <c r="C68" s="1" t="s">
        <v>99</v>
      </c>
      <c r="D68" s="2" t="s">
        <v>30</v>
      </c>
      <c r="E68" s="4">
        <v>800000</v>
      </c>
      <c r="F68" s="3">
        <v>30</v>
      </c>
      <c r="G68" s="4">
        <f t="shared" si="4"/>
        <v>800000</v>
      </c>
      <c r="H68" s="4">
        <v>88211</v>
      </c>
      <c r="I68" s="4"/>
      <c r="J68" s="4"/>
      <c r="K68" s="4"/>
      <c r="L68" s="4"/>
      <c r="M68" s="4">
        <f>+G68+H68+J68+K68+L68+I68</f>
        <v>888211</v>
      </c>
      <c r="N68" s="4">
        <f>+E68*4%</f>
        <v>32000</v>
      </c>
      <c r="O68" s="4">
        <f>+E68*4%</f>
        <v>32000</v>
      </c>
      <c r="P68" s="4"/>
      <c r="Q68" s="4"/>
      <c r="R68" s="4"/>
      <c r="S68" s="4"/>
      <c r="T68" s="4"/>
      <c r="U68" s="4"/>
      <c r="V68" s="4">
        <f t="shared" si="9"/>
        <v>64000</v>
      </c>
      <c r="W68" s="5">
        <f t="shared" si="12"/>
        <v>824211</v>
      </c>
      <c r="X68" s="5"/>
      <c r="Y68" s="62"/>
      <c r="Z68" s="5">
        <f t="shared" ref="Z68:Z93" si="13">W68+X68-Y68</f>
        <v>824211</v>
      </c>
    </row>
    <row r="69" spans="1:28" ht="24.95" customHeight="1" x14ac:dyDescent="0.25">
      <c r="A69" s="63"/>
      <c r="B69" s="2">
        <f t="shared" si="10"/>
        <v>18</v>
      </c>
      <c r="C69" s="1" t="s">
        <v>101</v>
      </c>
      <c r="D69" s="2" t="s">
        <v>30</v>
      </c>
      <c r="E69" s="4">
        <v>4200000</v>
      </c>
      <c r="F69" s="3">
        <v>30</v>
      </c>
      <c r="G69" s="4">
        <f t="shared" si="4"/>
        <v>4200000</v>
      </c>
      <c r="H69" s="4"/>
      <c r="I69" s="4"/>
      <c r="J69" s="4"/>
      <c r="K69" s="4"/>
      <c r="L69" s="4"/>
      <c r="M69" s="4">
        <f>+G69+H69+J69+K69+L69+I69</f>
        <v>4200000</v>
      </c>
      <c r="N69" s="4">
        <f>+E69*0.04</f>
        <v>168000</v>
      </c>
      <c r="O69" s="4">
        <f>+E69*0.05</f>
        <v>210000</v>
      </c>
      <c r="P69" s="4"/>
      <c r="Q69" s="4"/>
      <c r="R69" s="4">
        <v>0</v>
      </c>
      <c r="S69" s="4"/>
      <c r="T69" s="4"/>
      <c r="U69" s="4"/>
      <c r="V69" s="4">
        <f t="shared" si="9"/>
        <v>378000</v>
      </c>
      <c r="W69" s="5">
        <f t="shared" si="12"/>
        <v>3822000</v>
      </c>
      <c r="X69" s="5"/>
      <c r="Y69" s="62"/>
      <c r="Z69" s="5">
        <f t="shared" si="13"/>
        <v>3822000</v>
      </c>
    </row>
    <row r="70" spans="1:28" ht="24.95" customHeight="1" x14ac:dyDescent="0.25">
      <c r="A70" s="63"/>
      <c r="B70" s="2">
        <f t="shared" si="10"/>
        <v>19</v>
      </c>
      <c r="C70" s="1" t="s">
        <v>102</v>
      </c>
      <c r="D70" s="2" t="s">
        <v>30</v>
      </c>
      <c r="E70" s="4">
        <v>1550000</v>
      </c>
      <c r="F70" s="3">
        <v>30</v>
      </c>
      <c r="G70" s="4">
        <f t="shared" si="4"/>
        <v>1550000</v>
      </c>
      <c r="H70" s="4"/>
      <c r="I70" s="4"/>
      <c r="J70" s="4"/>
      <c r="K70" s="4"/>
      <c r="L70" s="4"/>
      <c r="M70" s="4">
        <f>+G70+H70+J70+K70+L70+I70</f>
        <v>1550000</v>
      </c>
      <c r="N70" s="4">
        <f>+E70*4%</f>
        <v>62000</v>
      </c>
      <c r="O70" s="4">
        <f>+E70*4%</f>
        <v>62000</v>
      </c>
      <c r="P70" s="4"/>
      <c r="Q70" s="4"/>
      <c r="R70" s="4"/>
      <c r="S70" s="4"/>
      <c r="T70" s="4"/>
      <c r="U70" s="4"/>
      <c r="V70" s="4">
        <f t="shared" si="9"/>
        <v>124000</v>
      </c>
      <c r="W70" s="5">
        <f t="shared" si="12"/>
        <v>1426000</v>
      </c>
      <c r="X70" s="5"/>
      <c r="Y70" s="62"/>
      <c r="Z70" s="5">
        <f t="shared" si="13"/>
        <v>1426000</v>
      </c>
    </row>
    <row r="71" spans="1:28" ht="24.95" customHeight="1" x14ac:dyDescent="0.25">
      <c r="A71" s="63"/>
      <c r="B71" s="2">
        <f t="shared" si="10"/>
        <v>20</v>
      </c>
      <c r="C71" s="1" t="s">
        <v>103</v>
      </c>
      <c r="D71" s="2"/>
      <c r="E71" s="4">
        <v>1200000</v>
      </c>
      <c r="F71" s="3">
        <v>30</v>
      </c>
      <c r="G71" s="4">
        <f>+E71-L71</f>
        <v>960000</v>
      </c>
      <c r="H71" s="4">
        <v>88211</v>
      </c>
      <c r="I71" s="4"/>
      <c r="J71" s="4"/>
      <c r="K71" s="4"/>
      <c r="L71" s="4">
        <v>240000</v>
      </c>
      <c r="M71" s="4">
        <f>+G71+H71+J71+K71+L71+I71</f>
        <v>1288211</v>
      </c>
      <c r="N71" s="4">
        <f>+E71*4%</f>
        <v>48000</v>
      </c>
      <c r="O71" s="4">
        <f>+E71*4%</f>
        <v>48000</v>
      </c>
      <c r="P71" s="4"/>
      <c r="Q71" s="4"/>
      <c r="R71" s="4"/>
      <c r="S71" s="4"/>
      <c r="T71" s="4"/>
      <c r="U71" s="4"/>
      <c r="V71" s="4">
        <f t="shared" si="9"/>
        <v>96000</v>
      </c>
      <c r="W71" s="5">
        <f t="shared" si="12"/>
        <v>1192211</v>
      </c>
      <c r="X71" s="5"/>
      <c r="Y71" s="62"/>
      <c r="Z71" s="5">
        <f t="shared" si="13"/>
        <v>1192211</v>
      </c>
    </row>
    <row r="72" spans="1:28" ht="24.95" customHeight="1" x14ac:dyDescent="0.25">
      <c r="A72" s="63"/>
      <c r="B72" s="2">
        <f t="shared" si="10"/>
        <v>21</v>
      </c>
      <c r="C72" s="1" t="s">
        <v>104</v>
      </c>
      <c r="D72" s="2" t="s">
        <v>30</v>
      </c>
      <c r="E72" s="4">
        <v>2500000</v>
      </c>
      <c r="F72" s="3">
        <v>30</v>
      </c>
      <c r="G72" s="4">
        <f t="shared" ref="G72:G107" si="14">+E72/30*F72</f>
        <v>2500000</v>
      </c>
      <c r="H72" s="4"/>
      <c r="I72" s="4"/>
      <c r="J72" s="4"/>
      <c r="K72" s="4"/>
      <c r="L72" s="4"/>
      <c r="M72" s="4">
        <f>+G72+H72+J72+K72+L72+I72</f>
        <v>2500000</v>
      </c>
      <c r="N72" s="4">
        <f>+E72*4%</f>
        <v>100000</v>
      </c>
      <c r="O72" s="4">
        <f>+E72*4%</f>
        <v>100000</v>
      </c>
      <c r="P72" s="4"/>
      <c r="Q72" s="4"/>
      <c r="R72" s="4">
        <v>0</v>
      </c>
      <c r="S72" s="4"/>
      <c r="T72" s="4"/>
      <c r="U72" s="4"/>
      <c r="V72" s="4">
        <f t="shared" si="9"/>
        <v>200000</v>
      </c>
      <c r="W72" s="5">
        <f t="shared" si="12"/>
        <v>2300000</v>
      </c>
      <c r="X72" s="5"/>
      <c r="Y72" s="62"/>
      <c r="Z72" s="5">
        <f t="shared" si="13"/>
        <v>2300000</v>
      </c>
    </row>
    <row r="73" spans="1:28" ht="24.95" customHeight="1" x14ac:dyDescent="0.25">
      <c r="A73" s="63"/>
      <c r="B73" s="2">
        <f t="shared" si="10"/>
        <v>22</v>
      </c>
      <c r="C73" s="1" t="s">
        <v>105</v>
      </c>
      <c r="D73" s="2"/>
      <c r="E73" s="4">
        <f>781242/2</f>
        <v>390621</v>
      </c>
      <c r="F73" s="3">
        <v>30</v>
      </c>
      <c r="G73" s="4">
        <f t="shared" si="14"/>
        <v>390621</v>
      </c>
      <c r="H73" s="4"/>
      <c r="I73" s="4"/>
      <c r="J73" s="4"/>
      <c r="K73" s="4"/>
      <c r="L73" s="4"/>
      <c r="M73" s="4">
        <f>+G73+H73+J73+K73+L73+I73</f>
        <v>390621</v>
      </c>
      <c r="N73" s="4"/>
      <c r="O73" s="4"/>
      <c r="P73" s="4"/>
      <c r="Q73" s="4"/>
      <c r="R73" s="4"/>
      <c r="S73" s="4"/>
      <c r="T73" s="4"/>
      <c r="U73" s="4"/>
      <c r="V73" s="4">
        <f t="shared" si="9"/>
        <v>0</v>
      </c>
      <c r="W73" s="5">
        <f t="shared" si="12"/>
        <v>390621</v>
      </c>
      <c r="X73" s="5"/>
      <c r="Y73" s="62"/>
      <c r="Z73" s="5">
        <f t="shared" si="13"/>
        <v>390621</v>
      </c>
    </row>
    <row r="74" spans="1:28" ht="24.95" customHeight="1" x14ac:dyDescent="0.25">
      <c r="A74" s="63"/>
      <c r="B74" s="2">
        <f t="shared" si="10"/>
        <v>23</v>
      </c>
      <c r="C74" s="9" t="s">
        <v>107</v>
      </c>
      <c r="D74" s="8" t="s">
        <v>30</v>
      </c>
      <c r="E74" s="4">
        <v>1700000</v>
      </c>
      <c r="F74" s="3">
        <v>30</v>
      </c>
      <c r="G74" s="4">
        <f t="shared" si="14"/>
        <v>1700000</v>
      </c>
      <c r="H74" s="4"/>
      <c r="I74" s="4"/>
      <c r="J74" s="4"/>
      <c r="K74" s="4"/>
      <c r="L74" s="4"/>
      <c r="M74" s="4">
        <f>+G74+H74+J74+K74+L74+I74</f>
        <v>1700000</v>
      </c>
      <c r="N74" s="4">
        <f>+E74*4%</f>
        <v>68000</v>
      </c>
      <c r="O74" s="4">
        <f>+E74*4%</f>
        <v>68000</v>
      </c>
      <c r="P74" s="4"/>
      <c r="Q74" s="4"/>
      <c r="R74" s="4"/>
      <c r="S74" s="4"/>
      <c r="T74" s="4"/>
      <c r="U74" s="4"/>
      <c r="V74" s="4">
        <f t="shared" si="9"/>
        <v>136000</v>
      </c>
      <c r="W74" s="5">
        <f t="shared" si="12"/>
        <v>1564000</v>
      </c>
      <c r="X74" s="5"/>
      <c r="Y74" s="62"/>
      <c r="Z74" s="5">
        <f t="shared" si="13"/>
        <v>1564000</v>
      </c>
    </row>
    <row r="75" spans="1:28" ht="24.95" customHeight="1" x14ac:dyDescent="0.25">
      <c r="A75" s="63"/>
      <c r="B75" s="2">
        <f t="shared" si="10"/>
        <v>24</v>
      </c>
      <c r="C75" s="9" t="s">
        <v>108</v>
      </c>
      <c r="D75" s="8"/>
      <c r="E75" s="4">
        <v>2400000</v>
      </c>
      <c r="F75" s="3">
        <v>30</v>
      </c>
      <c r="G75" s="4">
        <f t="shared" si="14"/>
        <v>2400000</v>
      </c>
      <c r="H75" s="4"/>
      <c r="I75" s="4"/>
      <c r="J75" s="4"/>
      <c r="K75" s="4"/>
      <c r="L75" s="4">
        <f>+E75-G75</f>
        <v>0</v>
      </c>
      <c r="M75" s="4">
        <f>+G75+H75+J75+K75+L75+I75</f>
        <v>2400000</v>
      </c>
      <c r="N75" s="4">
        <f>+E75*4%</f>
        <v>96000</v>
      </c>
      <c r="O75" s="4">
        <f>+E75*4%</f>
        <v>96000</v>
      </c>
      <c r="P75" s="4"/>
      <c r="Q75" s="4"/>
      <c r="R75" s="4"/>
      <c r="S75" s="4"/>
      <c r="T75" s="4"/>
      <c r="U75" s="4"/>
      <c r="V75" s="4">
        <f t="shared" si="9"/>
        <v>192000</v>
      </c>
      <c r="W75" s="5">
        <f t="shared" si="12"/>
        <v>2208000</v>
      </c>
      <c r="X75" s="5"/>
      <c r="Y75" s="62"/>
      <c r="Z75" s="5">
        <f t="shared" si="13"/>
        <v>2208000</v>
      </c>
    </row>
    <row r="76" spans="1:28" ht="24.95" customHeight="1" x14ac:dyDescent="0.25">
      <c r="A76" s="63"/>
      <c r="B76" s="2">
        <f t="shared" si="10"/>
        <v>25</v>
      </c>
      <c r="C76" s="1" t="s">
        <v>109</v>
      </c>
      <c r="D76" s="2" t="s">
        <v>30</v>
      </c>
      <c r="E76" s="4">
        <v>2200000</v>
      </c>
      <c r="F76" s="3">
        <v>30</v>
      </c>
      <c r="G76" s="4">
        <f t="shared" si="14"/>
        <v>2200000</v>
      </c>
      <c r="H76" s="4"/>
      <c r="I76" s="4"/>
      <c r="J76" s="4"/>
      <c r="K76" s="4"/>
      <c r="L76" s="4"/>
      <c r="M76" s="4">
        <f>+G76+H76+J76+K76+L76+I76</f>
        <v>2200000</v>
      </c>
      <c r="N76" s="4">
        <f>+E76*4%</f>
        <v>88000</v>
      </c>
      <c r="O76" s="4">
        <f>+E76*4%</f>
        <v>88000</v>
      </c>
      <c r="P76" s="4"/>
      <c r="Q76" s="4"/>
      <c r="R76" s="4">
        <v>0</v>
      </c>
      <c r="S76" s="4"/>
      <c r="T76" s="4"/>
      <c r="U76" s="4"/>
      <c r="V76" s="4">
        <f t="shared" si="9"/>
        <v>176000</v>
      </c>
      <c r="W76" s="5">
        <f>+M76-V76</f>
        <v>2024000</v>
      </c>
      <c r="X76" s="5"/>
      <c r="Y76" s="62"/>
      <c r="Z76" s="5">
        <f t="shared" si="13"/>
        <v>2024000</v>
      </c>
    </row>
    <row r="77" spans="1:28" ht="24.95" customHeight="1" x14ac:dyDescent="0.25">
      <c r="A77" s="63"/>
      <c r="B77" s="2">
        <f t="shared" si="10"/>
        <v>26</v>
      </c>
      <c r="C77" s="1" t="s">
        <v>110</v>
      </c>
      <c r="D77" s="2" t="s">
        <v>30</v>
      </c>
      <c r="E77" s="4">
        <v>3000000</v>
      </c>
      <c r="F77" s="3">
        <v>30</v>
      </c>
      <c r="G77" s="4">
        <f t="shared" si="14"/>
        <v>3000000</v>
      </c>
      <c r="H77" s="4"/>
      <c r="I77" s="4"/>
      <c r="J77" s="4"/>
      <c r="K77" s="4"/>
      <c r="L77" s="4">
        <f>+E77-G77</f>
        <v>0</v>
      </c>
      <c r="M77" s="4">
        <f>+G77+H77+J77+K77+L77+I77</f>
        <v>3000000</v>
      </c>
      <c r="N77" s="4">
        <f>+E77*4%</f>
        <v>120000</v>
      </c>
      <c r="O77" s="4">
        <f>+E77*4%</f>
        <v>120000</v>
      </c>
      <c r="P77" s="4"/>
      <c r="Q77" s="4"/>
      <c r="R77" s="7">
        <v>0</v>
      </c>
      <c r="S77" s="4"/>
      <c r="T77" s="4">
        <v>0</v>
      </c>
      <c r="U77" s="4"/>
      <c r="V77" s="4">
        <f t="shared" si="9"/>
        <v>240000</v>
      </c>
      <c r="W77" s="5">
        <f>+M77-V77</f>
        <v>2760000</v>
      </c>
      <c r="X77" s="5"/>
      <c r="Y77" s="62"/>
      <c r="Z77" s="5">
        <f t="shared" si="13"/>
        <v>2760000</v>
      </c>
      <c r="AA77" s="64">
        <v>4886979</v>
      </c>
      <c r="AB77" s="65">
        <f>+Z77-AA77</f>
        <v>-2126979</v>
      </c>
    </row>
    <row r="78" spans="1:28" ht="24.95" customHeight="1" x14ac:dyDescent="0.25">
      <c r="A78" s="63"/>
      <c r="B78" s="2">
        <f t="shared" si="10"/>
        <v>27</v>
      </c>
      <c r="C78" s="1" t="s">
        <v>111</v>
      </c>
      <c r="D78" s="2"/>
      <c r="E78" s="4">
        <v>4770000</v>
      </c>
      <c r="F78" s="3">
        <v>30</v>
      </c>
      <c r="G78" s="4">
        <f t="shared" si="14"/>
        <v>4770000</v>
      </c>
      <c r="H78" s="4"/>
      <c r="I78" s="4"/>
      <c r="J78" s="4"/>
      <c r="K78" s="4"/>
      <c r="L78" s="4">
        <f>+E78-G78</f>
        <v>0</v>
      </c>
      <c r="M78" s="4">
        <f>+G78+H78+J78+K78+L78+I78</f>
        <v>4770000</v>
      </c>
      <c r="N78" s="4">
        <f>+E78*4%</f>
        <v>190800</v>
      </c>
      <c r="O78" s="4">
        <f>+E78*5%</f>
        <v>238500</v>
      </c>
      <c r="P78" s="4"/>
      <c r="Q78" s="4"/>
      <c r="R78" s="7">
        <v>0</v>
      </c>
      <c r="S78" s="4"/>
      <c r="T78" s="4"/>
      <c r="U78" s="4"/>
      <c r="V78" s="4">
        <f t="shared" si="9"/>
        <v>429300</v>
      </c>
      <c r="W78" s="5">
        <f t="shared" ref="W78:W84" si="15">+M78-V78</f>
        <v>4340700</v>
      </c>
      <c r="X78" s="5"/>
      <c r="Y78" s="62"/>
      <c r="Z78" s="5"/>
    </row>
    <row r="79" spans="1:28" ht="24.95" customHeight="1" x14ac:dyDescent="0.25">
      <c r="A79" s="63"/>
      <c r="B79" s="2">
        <f t="shared" si="10"/>
        <v>28</v>
      </c>
      <c r="C79" s="1" t="s">
        <v>112</v>
      </c>
      <c r="D79" s="2"/>
      <c r="E79" s="4">
        <v>5500000</v>
      </c>
      <c r="F79" s="3">
        <v>30</v>
      </c>
      <c r="G79" s="4">
        <f t="shared" si="14"/>
        <v>5500000</v>
      </c>
      <c r="H79" s="4"/>
      <c r="I79" s="4"/>
      <c r="J79" s="4"/>
      <c r="K79" s="4">
        <v>500000</v>
      </c>
      <c r="L79" s="4">
        <f>+E79-G79</f>
        <v>0</v>
      </c>
      <c r="M79" s="4">
        <f>+G79+H79+J79+K79+L79+I79</f>
        <v>6000000</v>
      </c>
      <c r="N79" s="4">
        <f>+E79*4%</f>
        <v>220000</v>
      </c>
      <c r="O79" s="4">
        <f>+E79*5%</f>
        <v>275000</v>
      </c>
      <c r="P79" s="4"/>
      <c r="Q79" s="4"/>
      <c r="R79" s="7">
        <v>69147</v>
      </c>
      <c r="S79" s="4"/>
      <c r="T79" s="4"/>
      <c r="U79" s="4"/>
      <c r="V79" s="4">
        <f t="shared" si="9"/>
        <v>564147</v>
      </c>
      <c r="W79" s="5">
        <f t="shared" si="15"/>
        <v>5435853</v>
      </c>
      <c r="X79" s="5"/>
      <c r="Y79" s="62"/>
      <c r="Z79" s="5">
        <f t="shared" ref="Z79:Z107" si="16">W79+X79-Y79</f>
        <v>5435853</v>
      </c>
    </row>
    <row r="80" spans="1:28" ht="24.95" customHeight="1" x14ac:dyDescent="0.25">
      <c r="A80" s="63"/>
      <c r="B80" s="2">
        <f t="shared" si="10"/>
        <v>29</v>
      </c>
      <c r="C80" s="1" t="s">
        <v>113</v>
      </c>
      <c r="D80" s="2"/>
      <c r="E80" s="4">
        <v>2000000</v>
      </c>
      <c r="F80" s="3">
        <v>30</v>
      </c>
      <c r="G80" s="4">
        <f t="shared" si="14"/>
        <v>2000000.0000000002</v>
      </c>
      <c r="H80" s="4"/>
      <c r="I80" s="4"/>
      <c r="J80" s="4"/>
      <c r="K80" s="4"/>
      <c r="L80" s="4">
        <f>+E80-G80</f>
        <v>0</v>
      </c>
      <c r="M80" s="4">
        <f>+G80+H80+J80+K80+L80+I80</f>
        <v>2000000.0000000002</v>
      </c>
      <c r="N80" s="4">
        <f>+E80*4%</f>
        <v>80000</v>
      </c>
      <c r="O80" s="4">
        <f>+E80*4%</f>
        <v>80000</v>
      </c>
      <c r="P80" s="4"/>
      <c r="Q80" s="4"/>
      <c r="R80" s="7"/>
      <c r="S80" s="4"/>
      <c r="T80" s="4"/>
      <c r="U80" s="4"/>
      <c r="V80" s="4">
        <f t="shared" si="9"/>
        <v>160000</v>
      </c>
      <c r="W80" s="5">
        <f t="shared" si="15"/>
        <v>1840000.0000000002</v>
      </c>
      <c r="X80" s="5"/>
      <c r="Y80" s="62"/>
      <c r="Z80" s="5">
        <f t="shared" si="16"/>
        <v>1840000.0000000002</v>
      </c>
    </row>
    <row r="81" spans="1:27" ht="24.95" customHeight="1" x14ac:dyDescent="0.25">
      <c r="A81" s="63"/>
      <c r="B81" s="2">
        <f t="shared" si="10"/>
        <v>30</v>
      </c>
      <c r="C81" s="1" t="s">
        <v>114</v>
      </c>
      <c r="D81" s="2"/>
      <c r="E81" s="4">
        <v>781242</v>
      </c>
      <c r="F81" s="3">
        <v>30</v>
      </c>
      <c r="G81" s="4">
        <f t="shared" si="14"/>
        <v>781242</v>
      </c>
      <c r="H81" s="4">
        <v>88211</v>
      </c>
      <c r="I81" s="4"/>
      <c r="J81" s="4"/>
      <c r="K81" s="4"/>
      <c r="L81" s="4"/>
      <c r="M81" s="4">
        <f>+G81+H81+J81+K81+L81+I81</f>
        <v>869453</v>
      </c>
      <c r="N81" s="4">
        <f>+E81*4%</f>
        <v>31249.68</v>
      </c>
      <c r="O81" s="4">
        <f>+E81*4%</f>
        <v>31249.68</v>
      </c>
      <c r="P81" s="4"/>
      <c r="Q81" s="4"/>
      <c r="R81" s="7"/>
      <c r="S81" s="4"/>
      <c r="T81" s="4"/>
      <c r="U81" s="4"/>
      <c r="V81" s="4">
        <f t="shared" si="9"/>
        <v>62499.360000000001</v>
      </c>
      <c r="W81" s="5">
        <f t="shared" si="15"/>
        <v>806953.64</v>
      </c>
      <c r="X81" s="5"/>
      <c r="Y81" s="62"/>
      <c r="Z81" s="5">
        <f t="shared" si="16"/>
        <v>806953.64</v>
      </c>
    </row>
    <row r="82" spans="1:27" ht="24.95" customHeight="1" x14ac:dyDescent="0.25">
      <c r="A82" s="63"/>
      <c r="B82" s="2">
        <f t="shared" si="10"/>
        <v>31</v>
      </c>
      <c r="C82" s="1" t="s">
        <v>115</v>
      </c>
      <c r="D82" s="2"/>
      <c r="E82" s="4">
        <v>2500000</v>
      </c>
      <c r="F82" s="3">
        <v>30</v>
      </c>
      <c r="G82" s="4">
        <f>+E82/30*27</f>
        <v>2250000</v>
      </c>
      <c r="H82" s="4"/>
      <c r="I82" s="4"/>
      <c r="J82" s="4">
        <f>+E82/30*2+55558</f>
        <v>222224.66666666666</v>
      </c>
      <c r="K82" s="4">
        <v>350000</v>
      </c>
      <c r="L82" s="4"/>
      <c r="M82" s="4">
        <f>+G82+H82+J82+K82+L82+I82</f>
        <v>2822224.6666666665</v>
      </c>
      <c r="N82" s="4">
        <f>+E82*4%</f>
        <v>100000</v>
      </c>
      <c r="O82" s="4">
        <f>+E82*4%</f>
        <v>100000</v>
      </c>
      <c r="P82" s="4"/>
      <c r="Q82" s="4"/>
      <c r="R82" s="7"/>
      <c r="S82" s="4"/>
      <c r="T82" s="4"/>
      <c r="U82" s="4"/>
      <c r="V82" s="4">
        <f t="shared" si="9"/>
        <v>200000</v>
      </c>
      <c r="W82" s="5">
        <f t="shared" si="15"/>
        <v>2622224.6666666665</v>
      </c>
      <c r="X82" s="5"/>
      <c r="Y82" s="62"/>
      <c r="Z82" s="5">
        <f t="shared" si="16"/>
        <v>2622224.6666666665</v>
      </c>
    </row>
    <row r="83" spans="1:27" ht="24.95" customHeight="1" x14ac:dyDescent="0.25">
      <c r="A83" s="63"/>
      <c r="B83" s="2">
        <f t="shared" si="10"/>
        <v>32</v>
      </c>
      <c r="C83" s="1" t="s">
        <v>116</v>
      </c>
      <c r="D83" s="2" t="s">
        <v>30</v>
      </c>
      <c r="E83" s="4">
        <v>2200000</v>
      </c>
      <c r="F83" s="3">
        <v>30</v>
      </c>
      <c r="G83" s="4">
        <f t="shared" si="14"/>
        <v>2200000</v>
      </c>
      <c r="H83" s="4"/>
      <c r="I83" s="4"/>
      <c r="J83" s="4"/>
      <c r="K83" s="4"/>
      <c r="L83" s="4"/>
      <c r="M83" s="4">
        <f>+G83+H83+J83+K83+L83+I83</f>
        <v>2200000</v>
      </c>
      <c r="N83" s="4">
        <f>+E83*4%</f>
        <v>88000</v>
      </c>
      <c r="O83" s="4">
        <f>+E83*4%</f>
        <v>88000</v>
      </c>
      <c r="P83" s="4"/>
      <c r="Q83" s="4"/>
      <c r="R83" s="7">
        <v>0</v>
      </c>
      <c r="S83" s="4"/>
      <c r="T83" s="4"/>
      <c r="U83" s="4"/>
      <c r="V83" s="4">
        <f t="shared" si="9"/>
        <v>176000</v>
      </c>
      <c r="W83" s="5">
        <f t="shared" si="15"/>
        <v>2024000</v>
      </c>
      <c r="X83" s="5"/>
      <c r="Y83" s="62"/>
      <c r="Z83" s="5">
        <f t="shared" si="16"/>
        <v>2024000</v>
      </c>
    </row>
    <row r="84" spans="1:27" ht="24.95" customHeight="1" x14ac:dyDescent="0.25">
      <c r="A84" s="63"/>
      <c r="B84" s="2">
        <f t="shared" si="10"/>
        <v>33</v>
      </c>
      <c r="C84" s="1" t="s">
        <v>118</v>
      </c>
      <c r="D84" s="2" t="s">
        <v>30</v>
      </c>
      <c r="E84" s="4">
        <v>5500000</v>
      </c>
      <c r="F84" s="3">
        <v>30</v>
      </c>
      <c r="G84" s="4">
        <f>+E84-L84-J84</f>
        <v>4400000.333333333</v>
      </c>
      <c r="H84" s="4"/>
      <c r="I84" s="4"/>
      <c r="J84" s="4">
        <f>+E84/30*2</f>
        <v>366666.66666666669</v>
      </c>
      <c r="K84" s="4"/>
      <c r="L84" s="4">
        <v>733333</v>
      </c>
      <c r="M84" s="4">
        <f>+G84+H84+J84+K84+L84+I84</f>
        <v>5500000</v>
      </c>
      <c r="N84" s="4">
        <f>+E84*4%</f>
        <v>220000</v>
      </c>
      <c r="O84" s="4">
        <f>+E84*5%</f>
        <v>275000</v>
      </c>
      <c r="P84" s="4"/>
      <c r="Q84" s="4"/>
      <c r="R84" s="4">
        <v>102000</v>
      </c>
      <c r="S84" s="4"/>
      <c r="T84" s="4"/>
      <c r="U84" s="4">
        <v>610699</v>
      </c>
      <c r="V84" s="4">
        <f t="shared" si="9"/>
        <v>1207699</v>
      </c>
      <c r="W84" s="5">
        <f t="shared" si="15"/>
        <v>4292301</v>
      </c>
      <c r="X84" s="5"/>
      <c r="Y84" s="62"/>
      <c r="Z84" s="5">
        <f t="shared" si="16"/>
        <v>4292301</v>
      </c>
    </row>
    <row r="85" spans="1:27" ht="24.95" customHeight="1" x14ac:dyDescent="0.25">
      <c r="A85" s="63"/>
      <c r="B85" s="2">
        <f t="shared" si="10"/>
        <v>34</v>
      </c>
      <c r="C85" s="1" t="s">
        <v>120</v>
      </c>
      <c r="D85" s="2" t="s">
        <v>30</v>
      </c>
      <c r="E85" s="4">
        <v>3500000</v>
      </c>
      <c r="F85" s="3">
        <v>30</v>
      </c>
      <c r="G85" s="4">
        <f t="shared" si="14"/>
        <v>3500000</v>
      </c>
      <c r="H85" s="4"/>
      <c r="I85" s="4"/>
      <c r="J85" s="4"/>
      <c r="K85" s="4"/>
      <c r="L85" s="4"/>
      <c r="M85" s="4">
        <f>+G85+H85+J85+K85+L85+I85</f>
        <v>3500000</v>
      </c>
      <c r="N85" s="4">
        <f>+E85*4%</f>
        <v>140000</v>
      </c>
      <c r="O85" s="4">
        <f>+E85*5%</f>
        <v>175000</v>
      </c>
      <c r="P85" s="4">
        <v>0</v>
      </c>
      <c r="Q85" s="4"/>
      <c r="R85" s="4">
        <v>0</v>
      </c>
      <c r="S85" s="4"/>
      <c r="T85" s="4"/>
      <c r="U85" s="4"/>
      <c r="V85" s="4">
        <f t="shared" si="9"/>
        <v>315000</v>
      </c>
      <c r="W85" s="5">
        <f t="shared" ref="W85:W90" si="17">M85-V85</f>
        <v>3185000</v>
      </c>
      <c r="X85" s="5"/>
      <c r="Y85" s="62"/>
      <c r="Z85" s="5">
        <f t="shared" si="16"/>
        <v>3185000</v>
      </c>
    </row>
    <row r="86" spans="1:27" ht="24.95" customHeight="1" x14ac:dyDescent="0.25">
      <c r="A86" s="63"/>
      <c r="B86" s="2">
        <f t="shared" si="10"/>
        <v>35</v>
      </c>
      <c r="C86" s="1" t="s">
        <v>121</v>
      </c>
      <c r="D86" s="2" t="s">
        <v>30</v>
      </c>
      <c r="E86" s="4">
        <v>2200000</v>
      </c>
      <c r="F86" s="3">
        <v>30</v>
      </c>
      <c r="G86" s="4">
        <f t="shared" si="14"/>
        <v>2200000</v>
      </c>
      <c r="H86" s="4"/>
      <c r="I86" s="4"/>
      <c r="J86" s="4"/>
      <c r="K86" s="4"/>
      <c r="L86" s="4"/>
      <c r="M86" s="4">
        <f>+G86+H86+J86+K86+L86+I86</f>
        <v>2200000</v>
      </c>
      <c r="N86" s="4">
        <f>+E86*4%</f>
        <v>88000</v>
      </c>
      <c r="O86" s="4">
        <f>+E86*4%</f>
        <v>88000</v>
      </c>
      <c r="P86" s="4"/>
      <c r="Q86" s="4"/>
      <c r="R86" s="4"/>
      <c r="S86" s="4"/>
      <c r="T86" s="4"/>
      <c r="U86" s="4"/>
      <c r="V86" s="4">
        <f t="shared" si="9"/>
        <v>176000</v>
      </c>
      <c r="W86" s="5">
        <f t="shared" si="17"/>
        <v>2024000</v>
      </c>
      <c r="X86" s="5"/>
      <c r="Y86" s="62"/>
      <c r="Z86" s="5">
        <f t="shared" si="16"/>
        <v>2024000</v>
      </c>
    </row>
    <row r="87" spans="1:27" ht="24.95" customHeight="1" x14ac:dyDescent="0.25">
      <c r="A87" s="63"/>
      <c r="B87" s="2">
        <f t="shared" si="10"/>
        <v>36</v>
      </c>
      <c r="C87" s="9" t="s">
        <v>122</v>
      </c>
      <c r="D87" s="8" t="s">
        <v>30</v>
      </c>
      <c r="E87" s="4">
        <v>781242</v>
      </c>
      <c r="F87" s="3">
        <v>30</v>
      </c>
      <c r="G87" s="4">
        <f t="shared" si="14"/>
        <v>781242</v>
      </c>
      <c r="H87" s="4">
        <v>88211</v>
      </c>
      <c r="I87" s="4">
        <v>24408</v>
      </c>
      <c r="J87" s="4"/>
      <c r="K87" s="4"/>
      <c r="L87" s="4"/>
      <c r="M87" s="4">
        <f>+G87+H87+J87+K87+L87+I87</f>
        <v>893861</v>
      </c>
      <c r="N87" s="4">
        <f>+E87*0.04</f>
        <v>31249.68</v>
      </c>
      <c r="O87" s="4">
        <f>+E87*0.04</f>
        <v>31249.68</v>
      </c>
      <c r="P87" s="4"/>
      <c r="Q87" s="4"/>
      <c r="R87" s="4">
        <v>0</v>
      </c>
      <c r="S87" s="4"/>
      <c r="T87" s="4"/>
      <c r="U87" s="4"/>
      <c r="V87" s="4">
        <f t="shared" si="9"/>
        <v>62499.360000000001</v>
      </c>
      <c r="W87" s="5">
        <f t="shared" si="17"/>
        <v>831361.64</v>
      </c>
      <c r="X87" s="5"/>
      <c r="Y87" s="62"/>
      <c r="Z87" s="5">
        <f t="shared" si="16"/>
        <v>831361.64</v>
      </c>
    </row>
    <row r="88" spans="1:27" ht="24.95" customHeight="1" x14ac:dyDescent="0.25">
      <c r="A88" s="63"/>
      <c r="B88" s="2">
        <f t="shared" si="10"/>
        <v>37</v>
      </c>
      <c r="C88" s="9" t="s">
        <v>123</v>
      </c>
      <c r="D88" s="8"/>
      <c r="E88" s="4">
        <v>2100000</v>
      </c>
      <c r="F88" s="3">
        <v>30</v>
      </c>
      <c r="G88" s="4">
        <f t="shared" si="14"/>
        <v>2100000</v>
      </c>
      <c r="H88" s="4"/>
      <c r="I88" s="4"/>
      <c r="J88" s="4"/>
      <c r="K88" s="4"/>
      <c r="L88" s="4"/>
      <c r="M88" s="4">
        <f>+G88+H88+J88+K88+L88+I88</f>
        <v>2100000</v>
      </c>
      <c r="N88" s="4">
        <f>+E88*0.04</f>
        <v>84000</v>
      </c>
      <c r="O88" s="4">
        <f>+E88*0.04</f>
        <v>84000</v>
      </c>
      <c r="P88" s="4"/>
      <c r="Q88" s="4"/>
      <c r="R88" s="4">
        <v>0</v>
      </c>
      <c r="S88" s="4"/>
      <c r="T88" s="4"/>
      <c r="U88" s="4"/>
      <c r="V88" s="4">
        <f t="shared" si="9"/>
        <v>168000</v>
      </c>
      <c r="W88" s="5">
        <f t="shared" si="17"/>
        <v>1932000</v>
      </c>
      <c r="X88" s="5"/>
      <c r="Y88" s="62"/>
      <c r="Z88" s="5">
        <f t="shared" si="16"/>
        <v>1932000</v>
      </c>
    </row>
    <row r="89" spans="1:27" ht="24.95" customHeight="1" x14ac:dyDescent="0.25">
      <c r="A89" s="63"/>
      <c r="B89" s="2">
        <f t="shared" si="10"/>
        <v>38</v>
      </c>
      <c r="C89" s="9" t="s">
        <v>124</v>
      </c>
      <c r="D89" s="8"/>
      <c r="E89" s="4">
        <v>781242</v>
      </c>
      <c r="F89" s="3">
        <v>30</v>
      </c>
      <c r="G89" s="4">
        <f t="shared" si="14"/>
        <v>781242</v>
      </c>
      <c r="H89" s="4">
        <v>88211</v>
      </c>
      <c r="I89" s="4">
        <v>90670</v>
      </c>
      <c r="J89" s="4"/>
      <c r="K89" s="4">
        <v>0</v>
      </c>
      <c r="L89" s="4">
        <f>+E89-G89</f>
        <v>0</v>
      </c>
      <c r="M89" s="4">
        <f>+G89+H89+J89+K89+L89+I89</f>
        <v>960123</v>
      </c>
      <c r="N89" s="4">
        <f>+E89*0.04</f>
        <v>31249.68</v>
      </c>
      <c r="O89" s="4">
        <f>+E89*4%</f>
        <v>31249.68</v>
      </c>
      <c r="P89" s="4"/>
      <c r="Q89" s="4"/>
      <c r="R89" s="4"/>
      <c r="S89" s="4"/>
      <c r="T89" s="4"/>
      <c r="U89" s="4"/>
      <c r="V89" s="4">
        <f t="shared" si="9"/>
        <v>62499.360000000001</v>
      </c>
      <c r="W89" s="5">
        <f t="shared" si="17"/>
        <v>897623.64</v>
      </c>
      <c r="X89" s="5"/>
      <c r="Y89" s="62"/>
      <c r="Z89" s="5">
        <f t="shared" si="16"/>
        <v>897623.64</v>
      </c>
    </row>
    <row r="90" spans="1:27" ht="24.95" customHeight="1" x14ac:dyDescent="0.25">
      <c r="A90" s="63"/>
      <c r="B90" s="2">
        <f t="shared" si="10"/>
        <v>39</v>
      </c>
      <c r="C90" s="9" t="s">
        <v>125</v>
      </c>
      <c r="D90" s="8"/>
      <c r="E90" s="4">
        <v>400000</v>
      </c>
      <c r="F90" s="3">
        <v>30</v>
      </c>
      <c r="G90" s="4">
        <f t="shared" si="14"/>
        <v>400000</v>
      </c>
      <c r="H90" s="4">
        <f>88211/2</f>
        <v>44105.5</v>
      </c>
      <c r="I90" s="4"/>
      <c r="J90" s="4"/>
      <c r="K90" s="4"/>
      <c r="L90" s="4">
        <f>+E90-G90</f>
        <v>0</v>
      </c>
      <c r="M90" s="4">
        <f>+G90+H90+J90+K90+L90+I90</f>
        <v>444105.5</v>
      </c>
      <c r="N90" s="4">
        <f>+E90*4%</f>
        <v>16000</v>
      </c>
      <c r="O90" s="4">
        <f>+E90*4%</f>
        <v>16000</v>
      </c>
      <c r="P90" s="4"/>
      <c r="Q90" s="4"/>
      <c r="R90" s="4"/>
      <c r="S90" s="4"/>
      <c r="T90" s="4"/>
      <c r="U90" s="4"/>
      <c r="V90" s="4">
        <f t="shared" si="9"/>
        <v>32000</v>
      </c>
      <c r="W90" s="5">
        <f t="shared" si="17"/>
        <v>412105.5</v>
      </c>
      <c r="X90" s="5"/>
      <c r="Y90" s="62"/>
      <c r="Z90" s="5">
        <f t="shared" si="16"/>
        <v>412105.5</v>
      </c>
    </row>
    <row r="91" spans="1:27" ht="24.95" customHeight="1" x14ac:dyDescent="0.25">
      <c r="A91" s="63"/>
      <c r="B91" s="2">
        <f t="shared" si="10"/>
        <v>40</v>
      </c>
      <c r="C91" s="1" t="s">
        <v>126</v>
      </c>
      <c r="D91" s="2" t="s">
        <v>30</v>
      </c>
      <c r="E91" s="4">
        <v>15400000</v>
      </c>
      <c r="F91" s="3">
        <v>30</v>
      </c>
      <c r="G91" s="4">
        <f t="shared" si="14"/>
        <v>15400000</v>
      </c>
      <c r="H91" s="4"/>
      <c r="I91" s="4"/>
      <c r="J91" s="4"/>
      <c r="K91" s="4">
        <v>600000</v>
      </c>
      <c r="L91" s="4">
        <f>+E91-G91</f>
        <v>0</v>
      </c>
      <c r="M91" s="4">
        <f>+G91+H91+J91+K91+L91+I91</f>
        <v>16000000</v>
      </c>
      <c r="N91" s="4">
        <v>616000</v>
      </c>
      <c r="O91" s="4">
        <f>616000+308000</f>
        <v>924000</v>
      </c>
      <c r="P91" s="4">
        <v>112700</v>
      </c>
      <c r="Q91" s="4"/>
      <c r="R91" s="4">
        <v>916000</v>
      </c>
      <c r="S91" s="4">
        <v>5000000</v>
      </c>
      <c r="T91" s="4"/>
      <c r="U91" s="4">
        <v>2314715</v>
      </c>
      <c r="V91" s="4">
        <f t="shared" si="9"/>
        <v>9883415</v>
      </c>
      <c r="W91" s="5">
        <f>+M91-V91</f>
        <v>6116585</v>
      </c>
      <c r="X91" s="5"/>
      <c r="Y91" s="62"/>
      <c r="Z91" s="5">
        <f t="shared" si="16"/>
        <v>6116585</v>
      </c>
    </row>
    <row r="92" spans="1:27" ht="24.95" customHeight="1" x14ac:dyDescent="0.25">
      <c r="A92" s="63"/>
      <c r="B92" s="2">
        <f t="shared" si="10"/>
        <v>41</v>
      </c>
      <c r="C92" s="1" t="s">
        <v>127</v>
      </c>
      <c r="D92" s="2" t="s">
        <v>30</v>
      </c>
      <c r="E92" s="4">
        <v>5500000</v>
      </c>
      <c r="F92" s="3">
        <v>30</v>
      </c>
      <c r="G92" s="4">
        <f t="shared" si="14"/>
        <v>5500000</v>
      </c>
      <c r="H92" s="4"/>
      <c r="I92" s="4"/>
      <c r="J92" s="4"/>
      <c r="K92" s="4">
        <v>500000</v>
      </c>
      <c r="L92" s="4">
        <f>+E92-G92</f>
        <v>0</v>
      </c>
      <c r="M92" s="4">
        <f>+G92+H92+J92+K92+L92+I92</f>
        <v>6000000</v>
      </c>
      <c r="N92" s="4">
        <f>+E92*0.04</f>
        <v>220000</v>
      </c>
      <c r="O92" s="4">
        <f>+E92*0.05</f>
        <v>275000</v>
      </c>
      <c r="P92" s="4"/>
      <c r="Q92" s="4"/>
      <c r="R92" s="4">
        <v>120000</v>
      </c>
      <c r="S92" s="4"/>
      <c r="T92" s="4"/>
      <c r="U92" s="4">
        <v>1138458</v>
      </c>
      <c r="V92" s="4">
        <f t="shared" si="9"/>
        <v>1753458</v>
      </c>
      <c r="W92" s="5">
        <f>+M92-V92</f>
        <v>4246542</v>
      </c>
      <c r="X92" s="5"/>
      <c r="Y92" s="62"/>
      <c r="Z92" s="5">
        <f t="shared" si="16"/>
        <v>4246542</v>
      </c>
      <c r="AA92" s="8"/>
    </row>
    <row r="93" spans="1:27" ht="24.95" customHeight="1" x14ac:dyDescent="0.25">
      <c r="A93" s="63"/>
      <c r="B93" s="2">
        <f t="shared" si="10"/>
        <v>42</v>
      </c>
      <c r="C93" s="1" t="s">
        <v>128</v>
      </c>
      <c r="D93" s="2"/>
      <c r="E93" s="4">
        <v>1600000</v>
      </c>
      <c r="F93" s="3">
        <v>30</v>
      </c>
      <c r="G93" s="4">
        <f t="shared" si="14"/>
        <v>1600000</v>
      </c>
      <c r="H93" s="4"/>
      <c r="I93" s="4"/>
      <c r="J93" s="4"/>
      <c r="K93" s="4"/>
      <c r="L93" s="4">
        <f>+E93-G93</f>
        <v>0</v>
      </c>
      <c r="M93" s="4">
        <f>+G93+H93+J93+K93+L93+I93</f>
        <v>1600000</v>
      </c>
      <c r="N93" s="4">
        <f>+E93*4%</f>
        <v>64000</v>
      </c>
      <c r="O93" s="4">
        <f>+E93*4%</f>
        <v>64000</v>
      </c>
      <c r="P93" s="4"/>
      <c r="Q93" s="4"/>
      <c r="R93" s="4"/>
      <c r="S93" s="4"/>
      <c r="T93" s="4"/>
      <c r="U93" s="4"/>
      <c r="V93" s="4">
        <f t="shared" si="9"/>
        <v>128000</v>
      </c>
      <c r="W93" s="5">
        <f>+M93-V93</f>
        <v>1472000</v>
      </c>
      <c r="X93" s="5"/>
      <c r="Y93" s="62"/>
      <c r="Z93" s="5">
        <f t="shared" si="16"/>
        <v>1472000</v>
      </c>
    </row>
    <row r="94" spans="1:27" ht="24.95" customHeight="1" x14ac:dyDescent="0.25">
      <c r="A94" s="63"/>
      <c r="B94" s="2">
        <f t="shared" si="10"/>
        <v>43</v>
      </c>
      <c r="C94" s="1" t="s">
        <v>129</v>
      </c>
      <c r="D94" s="2" t="s">
        <v>30</v>
      </c>
      <c r="E94" s="4">
        <v>2500000</v>
      </c>
      <c r="F94" s="3">
        <v>30</v>
      </c>
      <c r="G94" s="4">
        <f t="shared" si="14"/>
        <v>2500000</v>
      </c>
      <c r="H94" s="4"/>
      <c r="I94" s="4"/>
      <c r="J94" s="4"/>
      <c r="K94" s="4"/>
      <c r="L94" s="4"/>
      <c r="M94" s="4">
        <f>+G94+H94+J94+K94+L94+I94</f>
        <v>2500000</v>
      </c>
      <c r="N94" s="4">
        <f>+E94*0.04</f>
        <v>100000</v>
      </c>
      <c r="O94" s="4">
        <f>+E94*0.04</f>
        <v>100000</v>
      </c>
      <c r="P94" s="4"/>
      <c r="Q94" s="4"/>
      <c r="R94" s="4">
        <v>0</v>
      </c>
      <c r="S94" s="4"/>
      <c r="T94" s="4"/>
      <c r="U94" s="4"/>
      <c r="V94" s="4">
        <f t="shared" si="9"/>
        <v>200000</v>
      </c>
      <c r="W94" s="5">
        <f>+M94-V94</f>
        <v>2300000</v>
      </c>
      <c r="X94" s="5"/>
      <c r="Y94" s="62"/>
      <c r="Z94" s="5">
        <f t="shared" si="16"/>
        <v>2300000</v>
      </c>
    </row>
    <row r="95" spans="1:27" ht="24.95" customHeight="1" x14ac:dyDescent="0.25">
      <c r="A95" s="63"/>
      <c r="B95" s="2">
        <f t="shared" si="10"/>
        <v>44</v>
      </c>
      <c r="C95" s="9" t="s">
        <v>130</v>
      </c>
      <c r="D95" s="8" t="s">
        <v>30</v>
      </c>
      <c r="E95" s="4">
        <v>3000000</v>
      </c>
      <c r="F95" s="3">
        <v>30</v>
      </c>
      <c r="G95" s="4">
        <f t="shared" si="14"/>
        <v>3000000</v>
      </c>
      <c r="H95" s="4"/>
      <c r="I95" s="4"/>
      <c r="J95" s="4"/>
      <c r="K95" s="4">
        <v>270000</v>
      </c>
      <c r="L95" s="4"/>
      <c r="M95" s="4">
        <f>+G95+H95+J95+K95+L95+I95</f>
        <v>3270000</v>
      </c>
      <c r="N95" s="4">
        <f>+E95*0.04</f>
        <v>120000</v>
      </c>
      <c r="O95" s="4">
        <f>+E95*0.04</f>
        <v>120000</v>
      </c>
      <c r="P95" s="4"/>
      <c r="Q95" s="4"/>
      <c r="R95" s="4">
        <v>0</v>
      </c>
      <c r="S95" s="4"/>
      <c r="T95" s="4"/>
      <c r="U95" s="4">
        <v>514771</v>
      </c>
      <c r="V95" s="4">
        <f t="shared" si="9"/>
        <v>754771</v>
      </c>
      <c r="W95" s="5">
        <f>M95-V95</f>
        <v>2515229</v>
      </c>
      <c r="X95" s="5"/>
      <c r="Y95" s="62"/>
      <c r="Z95" s="5">
        <f t="shared" si="16"/>
        <v>2515229</v>
      </c>
    </row>
    <row r="96" spans="1:27" ht="24.95" customHeight="1" x14ac:dyDescent="0.25">
      <c r="A96" s="63"/>
      <c r="B96" s="2">
        <f t="shared" si="10"/>
        <v>45</v>
      </c>
      <c r="C96" s="1" t="s">
        <v>132</v>
      </c>
      <c r="D96" s="2" t="s">
        <v>30</v>
      </c>
      <c r="E96" s="4">
        <v>3750000</v>
      </c>
      <c r="F96" s="3">
        <v>30</v>
      </c>
      <c r="G96" s="4">
        <f t="shared" si="14"/>
        <v>3750000</v>
      </c>
      <c r="H96" s="4"/>
      <c r="I96" s="4"/>
      <c r="J96" s="4"/>
      <c r="K96" s="4"/>
      <c r="L96" s="4"/>
      <c r="M96" s="4">
        <f>+G96+H96+J96+K96+L96+I96</f>
        <v>3750000</v>
      </c>
      <c r="N96" s="4">
        <f>+E96*4%</f>
        <v>150000</v>
      </c>
      <c r="O96" s="4">
        <f>+E96*5%</f>
        <v>187500</v>
      </c>
      <c r="P96" s="4"/>
      <c r="Q96" s="4"/>
      <c r="R96" s="4"/>
      <c r="S96" s="4"/>
      <c r="T96" s="4"/>
      <c r="U96" s="4">
        <v>360638</v>
      </c>
      <c r="V96" s="4">
        <f t="shared" si="9"/>
        <v>698138</v>
      </c>
      <c r="W96" s="5">
        <f>+M96-V96</f>
        <v>3051862</v>
      </c>
      <c r="X96" s="5"/>
      <c r="Y96" s="62"/>
      <c r="Z96" s="5">
        <f t="shared" si="16"/>
        <v>3051862</v>
      </c>
    </row>
    <row r="97" spans="1:30" ht="24.95" customHeight="1" x14ac:dyDescent="0.25">
      <c r="A97" s="63"/>
      <c r="B97" s="2">
        <f t="shared" si="10"/>
        <v>46</v>
      </c>
      <c r="C97" s="1" t="s">
        <v>133</v>
      </c>
      <c r="D97" s="2" t="s">
        <v>30</v>
      </c>
      <c r="E97" s="4">
        <v>3850220</v>
      </c>
      <c r="F97" s="3">
        <v>30</v>
      </c>
      <c r="G97" s="4">
        <f t="shared" si="14"/>
        <v>3850220</v>
      </c>
      <c r="H97" s="4"/>
      <c r="I97" s="4"/>
      <c r="J97" s="4"/>
      <c r="K97" s="4">
        <v>676390</v>
      </c>
      <c r="L97" s="4">
        <f>+E97-G97</f>
        <v>0</v>
      </c>
      <c r="M97" s="4">
        <f>+G97+H97+J97+K97+L97+I97</f>
        <v>4526610</v>
      </c>
      <c r="N97" s="4">
        <f>+E97*4%</f>
        <v>154008.80000000002</v>
      </c>
      <c r="O97" s="4">
        <f>+E97*5%</f>
        <v>192511</v>
      </c>
      <c r="P97" s="4"/>
      <c r="Q97" s="4"/>
      <c r="R97" s="4"/>
      <c r="S97" s="4"/>
      <c r="T97" s="4"/>
      <c r="U97" s="4"/>
      <c r="V97" s="4">
        <f t="shared" si="9"/>
        <v>346519.80000000005</v>
      </c>
      <c r="W97" s="5">
        <f>+M97-V97</f>
        <v>4180090.2</v>
      </c>
      <c r="X97" s="5"/>
      <c r="Y97" s="62"/>
      <c r="Z97" s="5">
        <f t="shared" si="16"/>
        <v>4180090.2</v>
      </c>
    </row>
    <row r="98" spans="1:30" ht="24.95" customHeight="1" x14ac:dyDescent="0.25">
      <c r="A98" s="63"/>
      <c r="B98" s="2">
        <f t="shared" si="10"/>
        <v>47</v>
      </c>
      <c r="C98" s="1" t="s">
        <v>134</v>
      </c>
      <c r="D98" s="2" t="s">
        <v>30</v>
      </c>
      <c r="E98" s="4">
        <v>3500000</v>
      </c>
      <c r="F98" s="3">
        <v>30</v>
      </c>
      <c r="G98" s="4">
        <f t="shared" si="14"/>
        <v>3500000</v>
      </c>
      <c r="H98" s="4"/>
      <c r="I98" s="4"/>
      <c r="J98" s="4"/>
      <c r="K98" s="4" t="s">
        <v>1</v>
      </c>
      <c r="L98" s="4"/>
      <c r="M98" s="4">
        <v>3500000</v>
      </c>
      <c r="N98" s="4">
        <f>+E98*4%</f>
        <v>140000</v>
      </c>
      <c r="O98" s="4">
        <f>+E98*5%</f>
        <v>175000</v>
      </c>
      <c r="P98" s="4"/>
      <c r="Q98" s="4"/>
      <c r="R98" s="4"/>
      <c r="S98" s="4"/>
      <c r="T98" s="4"/>
      <c r="U98" s="4"/>
      <c r="V98" s="4">
        <f>SUM(N98:U98)</f>
        <v>315000</v>
      </c>
      <c r="W98" s="5">
        <f>+M98-V98</f>
        <v>3185000</v>
      </c>
      <c r="X98" s="5"/>
      <c r="Y98" s="62"/>
      <c r="Z98" s="5">
        <f>W98+X98-Y98</f>
        <v>3185000</v>
      </c>
    </row>
    <row r="99" spans="1:30" ht="24.95" customHeight="1" x14ac:dyDescent="0.25">
      <c r="A99" s="63"/>
      <c r="B99" s="2">
        <f t="shared" si="10"/>
        <v>48</v>
      </c>
      <c r="C99" s="1" t="s">
        <v>135</v>
      </c>
      <c r="D99" s="2" t="s">
        <v>43</v>
      </c>
      <c r="E99" s="4">
        <v>2000000</v>
      </c>
      <c r="F99" s="3">
        <v>30</v>
      </c>
      <c r="G99" s="4">
        <f>+E99-L99</f>
        <v>1533333</v>
      </c>
      <c r="H99" s="4"/>
      <c r="I99" s="4"/>
      <c r="J99" s="4"/>
      <c r="K99" s="4"/>
      <c r="L99" s="4">
        <v>466667</v>
      </c>
      <c r="M99" s="4">
        <f>+G99+H99+J99+K99+L99+I99</f>
        <v>2000000</v>
      </c>
      <c r="N99" s="4">
        <f>+E99*4%</f>
        <v>80000</v>
      </c>
      <c r="O99" s="4">
        <f>+E99*4%</f>
        <v>80000</v>
      </c>
      <c r="P99" s="4"/>
      <c r="Q99" s="4"/>
      <c r="R99" s="7"/>
      <c r="S99" s="4"/>
      <c r="T99" s="4"/>
      <c r="U99" s="4"/>
      <c r="V99" s="4">
        <f t="shared" si="9"/>
        <v>160000</v>
      </c>
      <c r="W99" s="5">
        <f>+M99-V99</f>
        <v>1840000</v>
      </c>
      <c r="X99" s="5"/>
      <c r="Y99" s="62"/>
      <c r="Z99" s="5">
        <f t="shared" si="16"/>
        <v>1840000</v>
      </c>
    </row>
    <row r="100" spans="1:30" ht="24.95" customHeight="1" x14ac:dyDescent="0.25">
      <c r="A100" s="63"/>
      <c r="B100" s="2">
        <f t="shared" si="10"/>
        <v>49</v>
      </c>
      <c r="C100" s="9" t="s">
        <v>136</v>
      </c>
      <c r="D100" s="8" t="s">
        <v>30</v>
      </c>
      <c r="E100" s="4">
        <v>1600000</v>
      </c>
      <c r="F100" s="3">
        <v>30</v>
      </c>
      <c r="G100" s="4">
        <f>+E100/30*27</f>
        <v>1440000</v>
      </c>
      <c r="H100" s="4"/>
      <c r="I100" s="4"/>
      <c r="J100" s="4">
        <f>+E100/30*2+35557</f>
        <v>142223.66666666669</v>
      </c>
      <c r="K100" s="4"/>
      <c r="L100" s="4"/>
      <c r="M100" s="4">
        <f>+G100+H100+J100+K100+L100+I100</f>
        <v>1582223.6666666667</v>
      </c>
      <c r="N100" s="4">
        <f>+E100*4%</f>
        <v>64000</v>
      </c>
      <c r="O100" s="4">
        <f>+E100*0.04</f>
        <v>64000</v>
      </c>
      <c r="P100" s="4"/>
      <c r="Q100" s="4"/>
      <c r="R100" s="4">
        <v>0</v>
      </c>
      <c r="S100" s="4"/>
      <c r="T100" s="4">
        <v>175000</v>
      </c>
      <c r="U100" s="4"/>
      <c r="V100" s="4">
        <f t="shared" si="9"/>
        <v>303000</v>
      </c>
      <c r="W100" s="5">
        <f>M100-V100</f>
        <v>1279223.6666666667</v>
      </c>
      <c r="X100" s="5"/>
      <c r="Y100" s="62"/>
      <c r="Z100" s="5">
        <f t="shared" si="16"/>
        <v>1279223.6666666667</v>
      </c>
    </row>
    <row r="101" spans="1:30" ht="24.95" customHeight="1" x14ac:dyDescent="0.25">
      <c r="A101" s="63"/>
      <c r="B101" s="2">
        <f t="shared" si="10"/>
        <v>50</v>
      </c>
      <c r="C101" s="9" t="s">
        <v>146</v>
      </c>
      <c r="D101" s="8"/>
      <c r="E101" s="4">
        <v>1500000</v>
      </c>
      <c r="F101" s="3">
        <v>16</v>
      </c>
      <c r="G101" s="4">
        <f>+E101/30*F101</f>
        <v>800000</v>
      </c>
      <c r="H101" s="4"/>
      <c r="I101" s="4"/>
      <c r="J101" s="4"/>
      <c r="K101" s="4"/>
      <c r="L101" s="4"/>
      <c r="M101" s="4">
        <f>+G101+H101+J101+K101+L101+I101</f>
        <v>800000</v>
      </c>
      <c r="N101" s="4">
        <f>+G101*4%</f>
        <v>32000</v>
      </c>
      <c r="O101" s="4">
        <f>+G101*0.04</f>
        <v>32000</v>
      </c>
      <c r="P101" s="4"/>
      <c r="Q101" s="4"/>
      <c r="R101" s="4">
        <v>0</v>
      </c>
      <c r="S101" s="4"/>
      <c r="T101" s="4">
        <v>0</v>
      </c>
      <c r="U101" s="4"/>
      <c r="V101" s="4">
        <f t="shared" si="9"/>
        <v>64000</v>
      </c>
      <c r="W101" s="5">
        <f>M101-V101</f>
        <v>736000</v>
      </c>
      <c r="X101" s="5"/>
      <c r="Y101" s="62"/>
      <c r="Z101" s="5">
        <f t="shared" si="16"/>
        <v>736000</v>
      </c>
    </row>
    <row r="102" spans="1:30" ht="24.95" customHeight="1" x14ac:dyDescent="0.25">
      <c r="A102" s="63"/>
      <c r="B102" s="2">
        <f t="shared" si="10"/>
        <v>51</v>
      </c>
      <c r="C102" s="1" t="s">
        <v>137</v>
      </c>
      <c r="D102" s="2" t="s">
        <v>30</v>
      </c>
      <c r="E102" s="4">
        <v>2300000</v>
      </c>
      <c r="F102" s="3">
        <v>30</v>
      </c>
      <c r="G102" s="4">
        <f t="shared" si="14"/>
        <v>2300000</v>
      </c>
      <c r="H102" s="4"/>
      <c r="I102" s="4"/>
      <c r="J102" s="4"/>
      <c r="K102" s="4"/>
      <c r="L102" s="4"/>
      <c r="M102" s="4">
        <f>+G102+H102+J102+K102+L102+I102</f>
        <v>2300000</v>
      </c>
      <c r="N102" s="4">
        <f>+E102*4%</f>
        <v>92000</v>
      </c>
      <c r="O102" s="4">
        <f>+E102*4%</f>
        <v>92000</v>
      </c>
      <c r="P102" s="4"/>
      <c r="Q102" s="4"/>
      <c r="R102" s="4">
        <v>0</v>
      </c>
      <c r="S102" s="4"/>
      <c r="T102" s="4"/>
      <c r="U102" s="4"/>
      <c r="V102" s="4">
        <f t="shared" si="9"/>
        <v>184000</v>
      </c>
      <c r="W102" s="5">
        <f t="shared" ref="W102:W107" si="18">+M102-V102</f>
        <v>2116000</v>
      </c>
      <c r="X102" s="5"/>
      <c r="Y102" s="62"/>
      <c r="Z102" s="5">
        <f t="shared" si="16"/>
        <v>2116000</v>
      </c>
    </row>
    <row r="103" spans="1:30" ht="24.95" customHeight="1" x14ac:dyDescent="0.25">
      <c r="A103" s="63"/>
      <c r="B103" s="2">
        <f t="shared" si="10"/>
        <v>52</v>
      </c>
      <c r="C103" s="1" t="s">
        <v>138</v>
      </c>
      <c r="D103" s="2"/>
      <c r="E103" s="4">
        <v>912000</v>
      </c>
      <c r="F103" s="3">
        <v>30</v>
      </c>
      <c r="G103" s="4">
        <f>+E103/30*26</f>
        <v>790400</v>
      </c>
      <c r="H103" s="4">
        <v>88211</v>
      </c>
      <c r="I103" s="4"/>
      <c r="J103" s="4">
        <v>101335</v>
      </c>
      <c r="K103" s="4"/>
      <c r="L103" s="4"/>
      <c r="M103" s="4">
        <f>+G103+H103+J103+K103+L103+I103</f>
        <v>979946</v>
      </c>
      <c r="N103" s="4">
        <f>+E103*0.04</f>
        <v>36480</v>
      </c>
      <c r="O103" s="4">
        <f>+E103*0.04</f>
        <v>36480</v>
      </c>
      <c r="P103" s="4"/>
      <c r="Q103" s="4"/>
      <c r="R103" s="4"/>
      <c r="S103" s="4"/>
      <c r="T103" s="4"/>
      <c r="U103" s="4"/>
      <c r="V103" s="4">
        <f>SUM(N103:U103)</f>
        <v>72960</v>
      </c>
      <c r="W103" s="5">
        <f>+M103-V103</f>
        <v>906986</v>
      </c>
      <c r="X103" s="5"/>
      <c r="Y103" s="62"/>
      <c r="Z103" s="5">
        <f>W103+X103-Y103</f>
        <v>906986</v>
      </c>
    </row>
    <row r="104" spans="1:30" ht="24.95" customHeight="1" x14ac:dyDescent="0.25">
      <c r="A104" s="63"/>
      <c r="B104" s="2">
        <f t="shared" si="10"/>
        <v>53</v>
      </c>
      <c r="C104" s="1" t="s">
        <v>139</v>
      </c>
      <c r="D104" s="2" t="s">
        <v>30</v>
      </c>
      <c r="E104" s="4">
        <v>2700000</v>
      </c>
      <c r="F104" s="3">
        <v>30</v>
      </c>
      <c r="G104" s="4">
        <f t="shared" si="14"/>
        <v>2700000</v>
      </c>
      <c r="H104" s="4"/>
      <c r="I104" s="4"/>
      <c r="J104" s="4"/>
      <c r="K104" s="4"/>
      <c r="L104" s="4"/>
      <c r="M104" s="4">
        <f>+G104+H104+J104+K104+L104+I104</f>
        <v>2700000</v>
      </c>
      <c r="N104" s="4">
        <f>+E104*0.04</f>
        <v>108000</v>
      </c>
      <c r="O104" s="4">
        <f>+E104*0.04</f>
        <v>108000</v>
      </c>
      <c r="P104" s="4"/>
      <c r="Q104" s="4"/>
      <c r="R104" s="4"/>
      <c r="S104" s="4"/>
      <c r="T104" s="4"/>
      <c r="U104" s="4"/>
      <c r="V104" s="4">
        <f t="shared" si="9"/>
        <v>216000</v>
      </c>
      <c r="W104" s="5">
        <f t="shared" si="18"/>
        <v>2484000</v>
      </c>
      <c r="X104" s="5"/>
      <c r="Y104" s="62"/>
      <c r="Z104" s="5">
        <f t="shared" si="16"/>
        <v>2484000</v>
      </c>
    </row>
    <row r="105" spans="1:30" ht="24.95" customHeight="1" x14ac:dyDescent="0.25">
      <c r="A105" s="63"/>
      <c r="B105" s="2">
        <f t="shared" si="10"/>
        <v>54</v>
      </c>
      <c r="C105" s="1" t="s">
        <v>140</v>
      </c>
      <c r="D105" s="2"/>
      <c r="E105" s="4">
        <v>2000000</v>
      </c>
      <c r="F105" s="3">
        <v>30</v>
      </c>
      <c r="G105" s="4">
        <f t="shared" si="14"/>
        <v>2000000.0000000002</v>
      </c>
      <c r="H105" s="4"/>
      <c r="I105" s="4"/>
      <c r="J105" s="4"/>
      <c r="K105" s="4"/>
      <c r="L105" s="4"/>
      <c r="M105" s="4">
        <f>+G105+H105+J105+K105+L105+I105</f>
        <v>2000000.0000000002</v>
      </c>
      <c r="N105" s="4">
        <f>+E105*4%</f>
        <v>80000</v>
      </c>
      <c r="O105" s="4">
        <f>+E105*4%</f>
        <v>80000</v>
      </c>
      <c r="P105" s="4"/>
      <c r="Q105" s="4"/>
      <c r="R105" s="4">
        <v>0</v>
      </c>
      <c r="S105" s="4"/>
      <c r="T105" s="4"/>
      <c r="U105" s="4"/>
      <c r="V105" s="4">
        <f t="shared" si="9"/>
        <v>160000</v>
      </c>
      <c r="W105" s="5">
        <f t="shared" si="18"/>
        <v>1840000.0000000002</v>
      </c>
      <c r="X105" s="5"/>
      <c r="Y105" s="62"/>
      <c r="Z105" s="5">
        <f t="shared" si="16"/>
        <v>1840000.0000000002</v>
      </c>
    </row>
    <row r="106" spans="1:30" ht="24.95" customHeight="1" x14ac:dyDescent="0.25">
      <c r="A106" s="63"/>
      <c r="B106" s="2">
        <f t="shared" si="10"/>
        <v>55</v>
      </c>
      <c r="C106" s="1" t="s">
        <v>141</v>
      </c>
      <c r="D106" s="2"/>
      <c r="E106" s="4">
        <v>781242</v>
      </c>
      <c r="F106" s="3">
        <v>30</v>
      </c>
      <c r="G106" s="4">
        <f t="shared" si="14"/>
        <v>781242</v>
      </c>
      <c r="H106" s="4"/>
      <c r="I106" s="4"/>
      <c r="J106" s="4"/>
      <c r="K106" s="4"/>
      <c r="L106" s="11"/>
      <c r="M106" s="4">
        <f>+G106+H106+J106+K106+L106+I106</f>
        <v>781242</v>
      </c>
      <c r="N106" s="4"/>
      <c r="O106" s="4"/>
      <c r="P106" s="4"/>
      <c r="Q106" s="4"/>
      <c r="R106" s="4"/>
      <c r="S106" s="4"/>
      <c r="T106" s="4"/>
      <c r="U106" s="4"/>
      <c r="V106" s="4">
        <f t="shared" si="9"/>
        <v>0</v>
      </c>
      <c r="W106" s="5">
        <f t="shared" si="18"/>
        <v>781242</v>
      </c>
      <c r="X106" s="5"/>
      <c r="Y106" s="62"/>
      <c r="Z106" s="5">
        <f t="shared" si="16"/>
        <v>781242</v>
      </c>
    </row>
    <row r="107" spans="1:30" ht="17.25" customHeight="1" x14ac:dyDescent="0.25">
      <c r="A107" s="63"/>
      <c r="B107" s="2">
        <f t="shared" si="10"/>
        <v>56</v>
      </c>
      <c r="C107" s="1" t="s">
        <v>142</v>
      </c>
      <c r="D107" s="2"/>
      <c r="E107" s="4">
        <v>1200000</v>
      </c>
      <c r="F107" s="3">
        <v>30</v>
      </c>
      <c r="G107" s="4">
        <f t="shared" si="14"/>
        <v>1200000</v>
      </c>
      <c r="H107" s="4">
        <v>88211</v>
      </c>
      <c r="I107" s="4"/>
      <c r="J107" s="4"/>
      <c r="K107" s="4"/>
      <c r="L107" s="4"/>
      <c r="M107" s="4">
        <f>+G107+H107+J107+K107+L107+I107</f>
        <v>1288211</v>
      </c>
      <c r="N107" s="4">
        <f>+E107*4%</f>
        <v>48000</v>
      </c>
      <c r="O107" s="4">
        <f>+E107*4%</f>
        <v>48000</v>
      </c>
      <c r="P107" s="4"/>
      <c r="Q107" s="4"/>
      <c r="R107" s="4">
        <v>0</v>
      </c>
      <c r="S107" s="4"/>
      <c r="T107" s="4"/>
      <c r="U107" s="4"/>
      <c r="V107" s="4">
        <f t="shared" si="9"/>
        <v>96000</v>
      </c>
      <c r="W107" s="5">
        <f t="shared" si="18"/>
        <v>1192211</v>
      </c>
      <c r="X107" s="5"/>
      <c r="Y107" s="62"/>
      <c r="Z107" s="5">
        <f t="shared" si="16"/>
        <v>1192211</v>
      </c>
    </row>
    <row r="108" spans="1:30" x14ac:dyDescent="0.25">
      <c r="E108" s="12">
        <f>SUM(E4:E107)</f>
        <v>399332612</v>
      </c>
      <c r="F108" s="12"/>
      <c r="G108" s="12">
        <f t="shared" ref="G108:Z108" si="19">SUM(G4:G107)</f>
        <v>376036679.66666663</v>
      </c>
      <c r="H108" s="12">
        <f t="shared" si="19"/>
        <v>926215.5</v>
      </c>
      <c r="I108" s="12">
        <f t="shared" si="19"/>
        <v>4055892</v>
      </c>
      <c r="J108" s="12">
        <f t="shared" si="19"/>
        <v>2176913.666666667</v>
      </c>
      <c r="K108" s="12">
        <f t="shared" si="19"/>
        <v>15911831</v>
      </c>
      <c r="L108" s="12">
        <f t="shared" si="19"/>
        <v>29312406</v>
      </c>
      <c r="M108" s="12">
        <f t="shared" si="19"/>
        <v>428419937.83333337</v>
      </c>
      <c r="N108" s="12">
        <f t="shared" si="19"/>
        <v>16473086.559999999</v>
      </c>
      <c r="O108" s="12">
        <f t="shared" si="19"/>
        <v>19949056.619999997</v>
      </c>
      <c r="P108" s="12">
        <f t="shared" si="19"/>
        <v>112700</v>
      </c>
      <c r="Q108" s="12">
        <f t="shared" si="19"/>
        <v>0</v>
      </c>
      <c r="R108" s="12">
        <f t="shared" si="19"/>
        <v>4710727</v>
      </c>
      <c r="S108" s="12">
        <f t="shared" si="19"/>
        <v>10015000</v>
      </c>
      <c r="T108" s="12">
        <f t="shared" si="19"/>
        <v>519614</v>
      </c>
      <c r="U108" s="12">
        <f t="shared" si="19"/>
        <v>15697656</v>
      </c>
      <c r="V108" s="12">
        <f t="shared" si="19"/>
        <v>67477840.179999992</v>
      </c>
      <c r="W108" s="12">
        <f t="shared" si="19"/>
        <v>360942097.65333331</v>
      </c>
      <c r="X108" s="12">
        <f t="shared" si="19"/>
        <v>0</v>
      </c>
      <c r="Y108" s="12">
        <f t="shared" si="19"/>
        <v>0</v>
      </c>
      <c r="Z108" s="87">
        <f t="shared" si="19"/>
        <v>356601397.65333331</v>
      </c>
    </row>
    <row r="109" spans="1:30" x14ac:dyDescent="0.25">
      <c r="D109" s="66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64"/>
      <c r="X109" s="66"/>
      <c r="Y109" s="68"/>
      <c r="Z109" s="64"/>
    </row>
    <row r="110" spans="1:30" x14ac:dyDescent="0.25">
      <c r="D110" s="66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T110" s="12"/>
      <c r="U110" s="12"/>
      <c r="V110" s="12"/>
      <c r="W110" s="64"/>
      <c r="X110" s="66"/>
      <c r="Y110" s="68"/>
      <c r="Z110" s="64"/>
    </row>
    <row r="111" spans="1:30" x14ac:dyDescent="0.25">
      <c r="C111" s="70"/>
      <c r="D111" s="66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T111" s="12"/>
      <c r="U111" s="12"/>
      <c r="V111" s="12"/>
      <c r="W111" s="66"/>
      <c r="X111" s="66"/>
      <c r="Y111" s="68"/>
      <c r="Z111" s="64"/>
    </row>
    <row r="112" spans="1:30" x14ac:dyDescent="0.25">
      <c r="C112" s="70"/>
      <c r="D112" s="66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66"/>
      <c r="X112" s="66"/>
      <c r="Y112" s="68"/>
      <c r="Z112" s="66"/>
      <c r="AA112" s="66"/>
      <c r="AB112" s="66"/>
      <c r="AC112" s="66"/>
      <c r="AD112" s="66"/>
    </row>
    <row r="113" spans="2:30" x14ac:dyDescent="0.25">
      <c r="B113" s="66"/>
      <c r="C113" s="70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12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66"/>
      <c r="AB113" s="66"/>
      <c r="AC113" s="66"/>
      <c r="AD113" s="66"/>
    </row>
    <row r="114" spans="2:30" x14ac:dyDescent="0.25">
      <c r="B114" s="66"/>
      <c r="C114" s="70"/>
      <c r="D114" s="66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66"/>
      <c r="X114" s="66"/>
      <c r="Y114" s="68"/>
      <c r="Z114" s="66"/>
      <c r="AA114" s="66"/>
      <c r="AB114" s="66"/>
      <c r="AC114" s="66"/>
      <c r="AD114" s="66"/>
    </row>
    <row r="115" spans="2:30" x14ac:dyDescent="0.25">
      <c r="B115" s="66"/>
      <c r="C115" s="70"/>
      <c r="D115" s="66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66"/>
      <c r="X115" s="66"/>
      <c r="Y115" s="68"/>
      <c r="Z115" s="66"/>
      <c r="AA115" s="66"/>
      <c r="AB115" s="66"/>
      <c r="AC115" s="66"/>
      <c r="AD115" s="66"/>
    </row>
    <row r="116" spans="2:30" x14ac:dyDescent="0.25">
      <c r="B116" s="66"/>
      <c r="C116" s="70"/>
      <c r="D116" s="66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66"/>
      <c r="X116" s="66"/>
      <c r="Y116" s="68"/>
      <c r="Z116" s="66"/>
      <c r="AA116" s="66"/>
      <c r="AB116" s="66"/>
      <c r="AC116" s="66"/>
      <c r="AD116" s="66"/>
    </row>
    <row r="117" spans="2:30" x14ac:dyDescent="0.25">
      <c r="B117" s="66"/>
      <c r="C117" s="72"/>
      <c r="D117" s="72"/>
      <c r="E117" s="72"/>
      <c r="F117" s="72"/>
      <c r="G117" s="88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3"/>
      <c r="Y117" s="74"/>
      <c r="Z117" s="73"/>
      <c r="AA117" s="66"/>
      <c r="AB117" s="66"/>
      <c r="AC117" s="66"/>
      <c r="AD117" s="66"/>
    </row>
    <row r="118" spans="2:30" x14ac:dyDescent="0.25">
      <c r="B118" s="75"/>
      <c r="C118" s="89"/>
      <c r="D118" s="73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3"/>
      <c r="X118" s="73"/>
      <c r="Y118" s="74"/>
      <c r="Z118" s="73"/>
      <c r="AA118" s="66"/>
      <c r="AB118" s="66"/>
      <c r="AC118" s="66"/>
      <c r="AD118" s="66"/>
    </row>
    <row r="119" spans="2:30" x14ac:dyDescent="0.25">
      <c r="B119" s="66"/>
      <c r="C119" s="90"/>
      <c r="D119" s="66"/>
      <c r="E119" s="12"/>
      <c r="F119" s="12"/>
      <c r="G119" s="77"/>
      <c r="H119" s="12"/>
      <c r="I119" s="12"/>
      <c r="J119" s="12"/>
      <c r="K119" s="12"/>
      <c r="L119" s="12"/>
      <c r="M119" s="12"/>
      <c r="N119" s="12"/>
      <c r="O119" s="12"/>
      <c r="P119" s="78"/>
      <c r="Q119" s="78"/>
      <c r="R119" s="78"/>
      <c r="S119" s="78"/>
      <c r="T119" s="78"/>
      <c r="U119" s="12"/>
      <c r="V119" s="12"/>
      <c r="W119" s="66"/>
      <c r="X119" s="66"/>
      <c r="Y119" s="68"/>
      <c r="Z119" s="66"/>
      <c r="AA119" s="66"/>
      <c r="AB119" s="66"/>
      <c r="AC119" s="66"/>
      <c r="AD119" s="66"/>
    </row>
    <row r="120" spans="2:30" x14ac:dyDescent="0.25">
      <c r="B120" s="66"/>
      <c r="C120" s="79"/>
      <c r="D120" s="73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3"/>
      <c r="X120" s="73"/>
      <c r="Y120" s="74"/>
      <c r="Z120" s="73"/>
      <c r="AA120" s="66"/>
      <c r="AB120" s="66"/>
      <c r="AC120" s="66"/>
      <c r="AD120" s="66"/>
    </row>
    <row r="121" spans="2:30" x14ac:dyDescent="0.25">
      <c r="B121" s="73"/>
      <c r="C121" s="79"/>
      <c r="D121" s="73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3"/>
      <c r="X121" s="73"/>
      <c r="Y121" s="74"/>
      <c r="Z121" s="73"/>
      <c r="AA121" s="66"/>
      <c r="AB121" s="66"/>
      <c r="AC121" s="66"/>
      <c r="AD121" s="66"/>
    </row>
    <row r="122" spans="2:30" x14ac:dyDescent="0.25">
      <c r="B122" s="66"/>
      <c r="C122" s="79"/>
      <c r="D122" s="7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64"/>
      <c r="X122" s="64"/>
      <c r="Y122" s="68"/>
      <c r="Z122" s="64"/>
      <c r="AA122" s="66"/>
      <c r="AB122" s="66"/>
      <c r="AC122" s="66"/>
      <c r="AD122" s="66"/>
    </row>
    <row r="123" spans="2:30" x14ac:dyDescent="0.25">
      <c r="C123" s="79"/>
      <c r="D123" s="7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64"/>
      <c r="X123" s="64"/>
      <c r="Y123" s="68"/>
      <c r="Z123" s="64"/>
      <c r="AA123" s="66"/>
      <c r="AB123" s="66"/>
      <c r="AC123" s="66"/>
      <c r="AD123" s="66"/>
    </row>
    <row r="124" spans="2:30" x14ac:dyDescent="0.25">
      <c r="C124" s="79"/>
      <c r="D124" s="7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64"/>
      <c r="X124" s="64"/>
      <c r="Y124" s="68"/>
      <c r="Z124" s="64"/>
      <c r="AA124" s="66"/>
      <c r="AB124" s="66"/>
      <c r="AC124" s="66"/>
      <c r="AD124" s="66"/>
    </row>
    <row r="125" spans="2:30" x14ac:dyDescent="0.25">
      <c r="C125" s="79"/>
      <c r="D125" s="7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64"/>
      <c r="X125" s="64"/>
      <c r="Y125" s="68"/>
      <c r="Z125" s="64"/>
      <c r="AA125" s="66"/>
      <c r="AB125" s="66"/>
      <c r="AC125" s="66"/>
      <c r="AD125" s="66"/>
    </row>
    <row r="126" spans="2:30" x14ac:dyDescent="0.25">
      <c r="C126" s="79"/>
      <c r="D126" s="7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64"/>
      <c r="X126" s="64"/>
      <c r="Y126" s="68"/>
      <c r="Z126" s="64"/>
      <c r="AA126" s="66"/>
      <c r="AB126" s="66"/>
      <c r="AC126" s="66"/>
      <c r="AD126" s="66"/>
    </row>
    <row r="127" spans="2:30" x14ac:dyDescent="0.25">
      <c r="C127" s="79"/>
      <c r="D127" s="7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64"/>
      <c r="X127" s="64"/>
      <c r="Y127" s="68"/>
      <c r="Z127" s="64"/>
      <c r="AA127" s="66"/>
      <c r="AB127" s="66"/>
      <c r="AC127" s="66"/>
      <c r="AD127" s="66"/>
    </row>
    <row r="128" spans="2:30" x14ac:dyDescent="0.25">
      <c r="C128" s="70"/>
      <c r="D128" s="66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64"/>
      <c r="X128" s="64"/>
      <c r="Y128" s="68"/>
      <c r="Z128" s="64"/>
      <c r="AA128" s="66"/>
      <c r="AB128" s="66"/>
      <c r="AC128" s="66"/>
      <c r="AD128" s="66"/>
    </row>
    <row r="129" spans="2:30" x14ac:dyDescent="0.25">
      <c r="C129" s="79"/>
      <c r="D129" s="66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64"/>
      <c r="X129" s="64"/>
      <c r="Y129" s="68"/>
      <c r="Z129" s="64"/>
      <c r="AA129" s="66"/>
      <c r="AB129" s="66"/>
      <c r="AC129" s="66"/>
      <c r="AD129" s="66"/>
    </row>
    <row r="130" spans="2:30" x14ac:dyDescent="0.25">
      <c r="C130" s="79"/>
      <c r="D130" s="6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64"/>
      <c r="X130" s="64"/>
      <c r="Y130" s="68"/>
      <c r="Z130" s="64"/>
      <c r="AA130" s="66"/>
      <c r="AB130" s="66"/>
      <c r="AC130" s="66"/>
      <c r="AD130" s="66"/>
    </row>
    <row r="131" spans="2:30" x14ac:dyDescent="0.25">
      <c r="C131" s="79"/>
      <c r="D131" s="6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64"/>
      <c r="X131" s="64"/>
      <c r="Y131" s="68"/>
      <c r="Z131" s="64"/>
      <c r="AA131" s="66"/>
      <c r="AB131" s="66"/>
      <c r="AC131" s="66"/>
      <c r="AD131" s="66"/>
    </row>
    <row r="132" spans="2:30" x14ac:dyDescent="0.25">
      <c r="C132" s="79"/>
      <c r="D132" s="66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64"/>
      <c r="X132" s="64"/>
      <c r="Y132" s="68"/>
      <c r="Z132" s="64"/>
      <c r="AA132" s="66"/>
      <c r="AB132" s="66"/>
      <c r="AC132" s="66"/>
      <c r="AD132" s="66"/>
    </row>
    <row r="133" spans="2:30" x14ac:dyDescent="0.25">
      <c r="C133" s="79"/>
      <c r="D133" s="66"/>
      <c r="E133" s="12"/>
      <c r="F133" s="12"/>
      <c r="G133" s="12"/>
      <c r="H133" s="12"/>
      <c r="I133" s="12"/>
      <c r="J133" s="12"/>
      <c r="K133" s="12"/>
      <c r="L133" s="12"/>
      <c r="M133" s="12">
        <f>737717*4</f>
        <v>2950868</v>
      </c>
      <c r="N133" s="12">
        <f>737717*2</f>
        <v>1475434</v>
      </c>
      <c r="O133" s="12"/>
      <c r="P133" s="12"/>
      <c r="Q133" s="12"/>
      <c r="R133" s="12"/>
      <c r="S133" s="12"/>
      <c r="T133" s="12"/>
      <c r="U133" s="12"/>
      <c r="V133" s="12"/>
      <c r="W133" s="64"/>
      <c r="X133" s="64"/>
      <c r="Y133" s="68"/>
      <c r="Z133" s="64"/>
      <c r="AA133" s="66"/>
      <c r="AB133" s="66"/>
      <c r="AC133" s="66"/>
      <c r="AD133" s="66"/>
    </row>
    <row r="134" spans="2:30" x14ac:dyDescent="0.25">
      <c r="C134" s="79"/>
      <c r="D134" s="66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64"/>
      <c r="X134" s="64"/>
      <c r="Y134" s="68"/>
      <c r="Z134" s="64"/>
      <c r="AA134" s="66"/>
      <c r="AB134" s="66"/>
      <c r="AC134" s="66"/>
      <c r="AD134" s="66"/>
    </row>
    <row r="135" spans="2:30" x14ac:dyDescent="0.25">
      <c r="C135" s="79"/>
      <c r="D135" s="66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64"/>
      <c r="X135" s="64"/>
      <c r="Y135" s="68"/>
      <c r="Z135" s="64"/>
      <c r="AA135" s="66"/>
      <c r="AB135" s="66"/>
      <c r="AC135" s="66"/>
      <c r="AD135" s="66"/>
    </row>
    <row r="136" spans="2:30" x14ac:dyDescent="0.25">
      <c r="C136" s="79"/>
      <c r="D136" s="66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64"/>
      <c r="X136" s="64"/>
      <c r="Y136" s="68"/>
      <c r="Z136" s="64"/>
      <c r="AA136" s="66"/>
      <c r="AB136" s="66"/>
      <c r="AC136" s="66"/>
      <c r="AD136" s="66"/>
    </row>
    <row r="137" spans="2:30" x14ac:dyDescent="0.25">
      <c r="C137" s="79"/>
      <c r="D137" s="6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64"/>
      <c r="X137" s="64"/>
      <c r="Y137" s="68"/>
      <c r="Z137" s="64"/>
      <c r="AA137" s="66"/>
      <c r="AB137" s="66"/>
      <c r="AC137" s="66"/>
      <c r="AD137" s="66"/>
    </row>
    <row r="138" spans="2:30" x14ac:dyDescent="0.25">
      <c r="C138" s="79"/>
      <c r="D138" s="6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64"/>
      <c r="X138" s="64"/>
      <c r="Y138" s="68"/>
      <c r="Z138" s="64"/>
      <c r="AA138" s="66"/>
      <c r="AB138" s="66"/>
      <c r="AC138" s="66"/>
      <c r="AD138" s="66"/>
    </row>
    <row r="139" spans="2:30" x14ac:dyDescent="0.25">
      <c r="C139" s="79"/>
      <c r="D139" s="6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64"/>
      <c r="X139" s="64"/>
      <c r="Y139" s="68"/>
      <c r="Z139" s="64"/>
      <c r="AA139" s="66"/>
      <c r="AB139" s="66"/>
      <c r="AC139" s="66"/>
      <c r="AD139" s="66"/>
    </row>
    <row r="140" spans="2:30" x14ac:dyDescent="0.25">
      <c r="C140" s="70"/>
      <c r="D140" s="6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66"/>
      <c r="X140" s="66"/>
      <c r="Y140" s="68"/>
      <c r="Z140" s="66"/>
      <c r="AA140" s="66"/>
      <c r="AB140" s="66"/>
      <c r="AC140" s="66"/>
      <c r="AD140" s="66"/>
    </row>
    <row r="141" spans="2:30" x14ac:dyDescent="0.25">
      <c r="C141" s="70"/>
      <c r="D141" s="66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66"/>
      <c r="U141" s="12"/>
      <c r="V141" s="12"/>
      <c r="W141" s="66"/>
      <c r="X141" s="66"/>
      <c r="Y141" s="68"/>
      <c r="Z141" s="66"/>
      <c r="AA141" s="66"/>
      <c r="AB141" s="66"/>
      <c r="AC141" s="66"/>
      <c r="AD141" s="66"/>
    </row>
    <row r="142" spans="2:30" x14ac:dyDescent="0.25">
      <c r="B142" s="66"/>
      <c r="C142" s="70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66"/>
      <c r="AB142" s="66"/>
      <c r="AC142" s="66"/>
      <c r="AD142" s="66"/>
    </row>
    <row r="143" spans="2:30" x14ac:dyDescent="0.25">
      <c r="B143" s="66"/>
      <c r="C143" s="70"/>
      <c r="D143" s="6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3"/>
      <c r="X143" s="73"/>
      <c r="Y143" s="74"/>
      <c r="Z143" s="73"/>
      <c r="AA143" s="66"/>
      <c r="AB143" s="66"/>
      <c r="AC143" s="66"/>
      <c r="AD143" s="66"/>
    </row>
    <row r="144" spans="2:30" x14ac:dyDescent="0.25">
      <c r="B144" s="66"/>
      <c r="C144" s="79"/>
      <c r="D144" s="73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3"/>
      <c r="X144" s="73"/>
      <c r="Y144" s="74"/>
      <c r="Z144" s="73"/>
    </row>
    <row r="145" spans="2:26" x14ac:dyDescent="0.25">
      <c r="B145" s="82"/>
      <c r="C145" s="79"/>
      <c r="D145" s="73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3"/>
      <c r="X145" s="73"/>
      <c r="Y145" s="74"/>
      <c r="Z145" s="73"/>
    </row>
    <row r="146" spans="2:26" x14ac:dyDescent="0.25">
      <c r="C146" s="79"/>
      <c r="D146" s="7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64"/>
      <c r="X146" s="64"/>
      <c r="Y146" s="68"/>
      <c r="Z146" s="64"/>
    </row>
    <row r="147" spans="2:26" x14ac:dyDescent="0.25">
      <c r="C147" s="79"/>
      <c r="D147" s="7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64"/>
      <c r="X147" s="64"/>
      <c r="Y147" s="68"/>
      <c r="Z147" s="64"/>
    </row>
    <row r="148" spans="2:26" x14ac:dyDescent="0.25">
      <c r="C148" s="79"/>
      <c r="D148" s="7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64"/>
      <c r="X148" s="64"/>
      <c r="Y148" s="68"/>
      <c r="Z148" s="64"/>
    </row>
    <row r="149" spans="2:26" x14ac:dyDescent="0.25">
      <c r="C149" s="70"/>
      <c r="D149" s="66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64"/>
      <c r="X149" s="64"/>
      <c r="Y149" s="68"/>
      <c r="Z149" s="64"/>
    </row>
    <row r="150" spans="2:26" x14ac:dyDescent="0.25">
      <c r="C150" s="79"/>
      <c r="D150" s="66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64"/>
      <c r="X150" s="64"/>
      <c r="Y150" s="68"/>
      <c r="Z150" s="64"/>
    </row>
    <row r="151" spans="2:26" x14ac:dyDescent="0.25">
      <c r="C151" s="70"/>
      <c r="D151" s="66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66"/>
      <c r="X151" s="66"/>
      <c r="Y151" s="68"/>
      <c r="Z151" s="66"/>
    </row>
    <row r="152" spans="2:26" x14ac:dyDescent="0.25">
      <c r="C152" s="70"/>
      <c r="D152" s="6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64"/>
      <c r="X152" s="64"/>
      <c r="Y152" s="68"/>
      <c r="Z152" s="64"/>
    </row>
    <row r="153" spans="2:26" x14ac:dyDescent="0.25">
      <c r="B153" s="66"/>
      <c r="C153" s="70"/>
      <c r="D153" s="66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66"/>
      <c r="X153" s="66"/>
      <c r="Y153" s="68"/>
      <c r="Z153" s="66"/>
    </row>
    <row r="154" spans="2:26" x14ac:dyDescent="0.25">
      <c r="B154" s="66"/>
      <c r="C154" s="70"/>
      <c r="D154" s="66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66"/>
      <c r="X154" s="66"/>
      <c r="Y154" s="68"/>
      <c r="Z154" s="66"/>
    </row>
    <row r="155" spans="2:26" x14ac:dyDescent="0.25">
      <c r="B155" s="66"/>
      <c r="C155" s="70"/>
      <c r="D155" s="6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83"/>
      <c r="X155" s="83"/>
      <c r="Y155" s="68"/>
      <c r="Z155" s="83"/>
    </row>
    <row r="156" spans="2:26" x14ac:dyDescent="0.25">
      <c r="B156" s="66"/>
      <c r="C156" s="70"/>
      <c r="D156" s="6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84"/>
      <c r="X156" s="84"/>
      <c r="Y156" s="68"/>
      <c r="Z156" s="84"/>
    </row>
    <row r="157" spans="2:26" x14ac:dyDescent="0.25">
      <c r="C157" s="70"/>
      <c r="D157" s="6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66"/>
      <c r="X157" s="66"/>
      <c r="Y157" s="68"/>
      <c r="Z157" s="66"/>
    </row>
    <row r="158" spans="2:26" x14ac:dyDescent="0.25">
      <c r="C158" s="70"/>
      <c r="D158" s="6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66"/>
      <c r="X158" s="66"/>
      <c r="Y158" s="68"/>
      <c r="Z158" s="66"/>
    </row>
    <row r="159" spans="2:26" x14ac:dyDescent="0.25">
      <c r="C159" s="70"/>
      <c r="D159" s="6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66"/>
      <c r="X159" s="66"/>
      <c r="Y159" s="68"/>
      <c r="Z159" s="66"/>
    </row>
    <row r="160" spans="2:26" x14ac:dyDescent="0.25">
      <c r="C160" s="70"/>
      <c r="D160" s="6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66"/>
      <c r="X160" s="66"/>
      <c r="Y160" s="68"/>
      <c r="Z160" s="66"/>
    </row>
    <row r="161" spans="3:26" x14ac:dyDescent="0.25">
      <c r="C161" s="70"/>
      <c r="D161" s="6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66"/>
      <c r="X161" s="66"/>
      <c r="Y161" s="68"/>
      <c r="Z161" s="66"/>
    </row>
    <row r="162" spans="3:26" x14ac:dyDescent="0.25">
      <c r="C162" s="70"/>
      <c r="D162" s="6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66"/>
      <c r="X162" s="66"/>
      <c r="Y162" s="68"/>
      <c r="Z162" s="66"/>
    </row>
    <row r="163" spans="3:26" x14ac:dyDescent="0.25">
      <c r="C163" s="70"/>
      <c r="D163" s="6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66"/>
      <c r="X163" s="66"/>
      <c r="Y163" s="68"/>
      <c r="Z163" s="66"/>
    </row>
    <row r="164" spans="3:26" x14ac:dyDescent="0.25">
      <c r="C164" s="70"/>
      <c r="D164" s="66"/>
      <c r="E164" s="12"/>
      <c r="F164" s="12"/>
      <c r="G164" s="12"/>
      <c r="H164" s="12"/>
      <c r="I164" s="12"/>
      <c r="J164" s="12"/>
      <c r="K164" s="12"/>
      <c r="L164" s="12"/>
      <c r="M164" s="12"/>
      <c r="N164" s="12">
        <v>3003000</v>
      </c>
      <c r="O164" s="12"/>
      <c r="P164" s="12"/>
      <c r="Q164" s="12"/>
      <c r="R164" s="12"/>
      <c r="S164" s="12"/>
      <c r="T164" s="12"/>
      <c r="U164" s="12"/>
      <c r="V164" s="12"/>
      <c r="W164" s="66"/>
      <c r="X164" s="66"/>
      <c r="Y164" s="68"/>
      <c r="Z164" s="66"/>
    </row>
    <row r="165" spans="3:26" x14ac:dyDescent="0.25">
      <c r="C165" s="79"/>
      <c r="D165" s="6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66"/>
      <c r="X165" s="66"/>
      <c r="Y165" s="68"/>
      <c r="Z165" s="66"/>
    </row>
    <row r="166" spans="3:26" x14ac:dyDescent="0.25">
      <c r="C166" s="79"/>
      <c r="D166" s="6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66"/>
      <c r="X166" s="66"/>
      <c r="Y166" s="68"/>
      <c r="Z166" s="66"/>
    </row>
    <row r="167" spans="3:26" x14ac:dyDescent="0.25">
      <c r="C167" s="79"/>
      <c r="D167" s="6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66"/>
      <c r="X167" s="66"/>
      <c r="Y167" s="68"/>
      <c r="Z167" s="66"/>
    </row>
    <row r="168" spans="3:26" x14ac:dyDescent="0.25">
      <c r="C168" s="79"/>
      <c r="D168" s="6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66"/>
      <c r="X168" s="66"/>
      <c r="Y168" s="68"/>
      <c r="Z168" s="66"/>
    </row>
    <row r="169" spans="3:26" x14ac:dyDescent="0.25">
      <c r="C169" s="70">
        <v>42614840</v>
      </c>
      <c r="D169" s="6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>
        <v>412608</v>
      </c>
      <c r="W169" s="66"/>
      <c r="X169" s="66"/>
      <c r="Y169" s="68"/>
      <c r="Z169" s="66"/>
    </row>
    <row r="170" spans="3:26" x14ac:dyDescent="0.25">
      <c r="C170" s="70">
        <v>9675182</v>
      </c>
      <c r="D170" s="6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>
        <v>1880000</v>
      </c>
      <c r="W170" s="66"/>
      <c r="X170" s="66"/>
      <c r="Y170" s="68"/>
      <c r="Z170" s="66"/>
    </row>
    <row r="171" spans="3:26" x14ac:dyDescent="0.25">
      <c r="C171" s="70">
        <v>17903600</v>
      </c>
      <c r="D171" s="6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66"/>
      <c r="X171" s="66"/>
      <c r="Y171" s="68"/>
      <c r="Z171" s="66"/>
    </row>
    <row r="172" spans="3:26" x14ac:dyDescent="0.25">
      <c r="C172" s="70">
        <f>SUM(C169:C171)</f>
        <v>70193622</v>
      </c>
      <c r="D172" s="6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66"/>
      <c r="X172" s="66"/>
      <c r="Y172" s="68"/>
      <c r="Z172" s="66"/>
    </row>
    <row r="173" spans="3:26" x14ac:dyDescent="0.25">
      <c r="C173" s="70">
        <v>400000</v>
      </c>
      <c r="D173" s="6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66"/>
      <c r="X173" s="66"/>
      <c r="Y173" s="68"/>
      <c r="Z173" s="66"/>
    </row>
    <row r="174" spans="3:26" x14ac:dyDescent="0.25">
      <c r="C174" s="70">
        <f>+C172+C173</f>
        <v>70593622</v>
      </c>
      <c r="D174" s="6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66"/>
      <c r="X174" s="66"/>
      <c r="Y174" s="68"/>
      <c r="Z174" s="66"/>
    </row>
    <row r="178" spans="3:3" x14ac:dyDescent="0.25">
      <c r="C178" s="13">
        <v>11000000</v>
      </c>
    </row>
    <row r="179" spans="3:3" x14ac:dyDescent="0.25">
      <c r="C179" s="13">
        <f>+C177+C178</f>
        <v>11000000</v>
      </c>
    </row>
    <row r="184" spans="3:3" x14ac:dyDescent="0.25">
      <c r="C184" s="13">
        <v>3185000</v>
      </c>
    </row>
    <row r="185" spans="3:3" x14ac:dyDescent="0.25">
      <c r="C185" s="13">
        <v>1080000</v>
      </c>
    </row>
    <row r="186" spans="3:3" x14ac:dyDescent="0.25">
      <c r="C186" s="13">
        <v>4850100</v>
      </c>
    </row>
    <row r="187" spans="3:3" x14ac:dyDescent="0.25">
      <c r="C187" s="13">
        <v>5027500</v>
      </c>
    </row>
    <row r="188" spans="3:3" x14ac:dyDescent="0.25">
      <c r="C188" s="13">
        <v>4566000</v>
      </c>
    </row>
    <row r="189" spans="3:3" x14ac:dyDescent="0.25">
      <c r="C189" s="13">
        <v>1050000</v>
      </c>
    </row>
    <row r="190" spans="3:3" x14ac:dyDescent="0.25">
      <c r="C190" s="13">
        <v>3877333</v>
      </c>
    </row>
    <row r="191" spans="3:3" x14ac:dyDescent="0.25">
      <c r="C191" s="13">
        <v>6732440</v>
      </c>
    </row>
    <row r="192" spans="3:3" x14ac:dyDescent="0.25">
      <c r="C192" s="13">
        <v>3460000</v>
      </c>
    </row>
    <row r="193" spans="3:3" x14ac:dyDescent="0.25">
      <c r="C193" s="13">
        <v>588800</v>
      </c>
    </row>
    <row r="194" spans="3:3" x14ac:dyDescent="0.25">
      <c r="C194" s="13">
        <v>1868000</v>
      </c>
    </row>
    <row r="195" spans="3:3" x14ac:dyDescent="0.25">
      <c r="C195" s="13">
        <v>10313000</v>
      </c>
    </row>
    <row r="196" spans="3:3" x14ac:dyDescent="0.25">
      <c r="C196" s="13">
        <v>3443800</v>
      </c>
    </row>
    <row r="197" spans="3:3" x14ac:dyDescent="0.25">
      <c r="C197" s="13">
        <v>8136400</v>
      </c>
    </row>
    <row r="198" spans="3:3" x14ac:dyDescent="0.25">
      <c r="C198" s="13">
        <v>9675183</v>
      </c>
    </row>
    <row r="199" spans="3:3" x14ac:dyDescent="0.25">
      <c r="C199" s="13">
        <f>SUM(C183:C198)</f>
        <v>67853556</v>
      </c>
    </row>
  </sheetData>
  <mergeCells count="7">
    <mergeCell ref="D142:Z142"/>
    <mergeCell ref="C1:W1"/>
    <mergeCell ref="E2:M2"/>
    <mergeCell ref="N2:V2"/>
    <mergeCell ref="A4:A51"/>
    <mergeCell ref="A52:A107"/>
    <mergeCell ref="E141:S14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FD05-8409-4625-8937-CB83B99896A3}">
  <dimension ref="A1:AD202"/>
  <sheetViews>
    <sheetView workbookViewId="0">
      <selection activeCell="F14" sqref="F14"/>
    </sheetView>
  </sheetViews>
  <sheetFormatPr baseColWidth="10" defaultRowHeight="12" x14ac:dyDescent="0.25"/>
  <cols>
    <col min="1" max="1" width="6.7109375" style="60" customWidth="1"/>
    <col min="2" max="2" width="4.85546875" style="60" customWidth="1"/>
    <col min="3" max="3" width="32.28515625" style="13" customWidth="1"/>
    <col min="4" max="4" width="8.5703125" style="60" customWidth="1"/>
    <col min="5" max="5" width="14" style="69" bestFit="1" customWidth="1"/>
    <col min="6" max="6" width="4.42578125" style="69" customWidth="1"/>
    <col min="7" max="7" width="14.28515625" style="69" customWidth="1"/>
    <col min="8" max="10" width="11.28515625" style="69" customWidth="1"/>
    <col min="11" max="11" width="12.28515625" style="69" customWidth="1"/>
    <col min="12" max="12" width="17.7109375" style="69" customWidth="1"/>
    <col min="13" max="13" width="13.28515625" style="69" customWidth="1"/>
    <col min="14" max="15" width="12.28515625" style="69" customWidth="1"/>
    <col min="16" max="18" width="11.28515625" style="69" customWidth="1"/>
    <col min="19" max="19" width="12.28515625" style="69" customWidth="1"/>
    <col min="20" max="20" width="11.28515625" style="69" customWidth="1"/>
    <col min="21" max="21" width="15.7109375" style="69" customWidth="1"/>
    <col min="22" max="22" width="12.42578125" style="69" bestFit="1" customWidth="1"/>
    <col min="23" max="23" width="18" style="60" bestFit="1" customWidth="1"/>
    <col min="24" max="24" width="1.7109375" style="60" customWidth="1"/>
    <col min="25" max="25" width="1.85546875" style="67" customWidth="1"/>
    <col min="26" max="26" width="27.28515625" style="60" customWidth="1"/>
    <col min="27" max="27" width="11.5703125" style="60" bestFit="1" customWidth="1"/>
    <col min="28" max="28" width="11.85546875" style="60" bestFit="1" customWidth="1"/>
    <col min="29" max="29" width="11.5703125" style="60" bestFit="1" customWidth="1"/>
    <col min="30" max="248" width="11.42578125" style="60"/>
    <col min="249" max="249" width="10.5703125" style="60" customWidth="1"/>
    <col min="250" max="250" width="4.85546875" style="60" customWidth="1"/>
    <col min="251" max="251" width="32.42578125" style="60" customWidth="1"/>
    <col min="252" max="252" width="9.85546875" style="60" customWidth="1"/>
    <col min="253" max="253" width="10.140625" style="60" customWidth="1"/>
    <col min="254" max="254" width="12.28515625" style="60" customWidth="1"/>
    <col min="255" max="255" width="15.42578125" style="60" customWidth="1"/>
    <col min="256" max="256" width="11.85546875" style="60" customWidth="1"/>
    <col min="257" max="257" width="13.28515625" style="60" customWidth="1"/>
    <col min="258" max="258" width="15.28515625" style="60" customWidth="1"/>
    <col min="259" max="259" width="11.85546875" style="60" customWidth="1"/>
    <col min="260" max="260" width="6.140625" style="60" customWidth="1"/>
    <col min="261" max="261" width="11.85546875" style="60" customWidth="1"/>
    <col min="262" max="262" width="9.42578125" style="60" customWidth="1"/>
    <col min="263" max="263" width="14.7109375" style="60" customWidth="1"/>
    <col min="264" max="264" width="11.5703125" style="60" customWidth="1"/>
    <col min="265" max="265" width="0.42578125" style="60" customWidth="1"/>
    <col min="266" max="266" width="10.5703125" style="60" bestFit="1" customWidth="1"/>
    <col min="267" max="267" width="12.28515625" style="60" customWidth="1"/>
    <col min="268" max="268" width="12.5703125" style="60" customWidth="1"/>
    <col min="269" max="269" width="10.5703125" style="60" customWidth="1"/>
    <col min="270" max="270" width="10.140625" style="60" customWidth="1"/>
    <col min="271" max="271" width="8.42578125" style="60" customWidth="1"/>
    <col min="272" max="272" width="18.85546875" style="60" customWidth="1"/>
    <col min="273" max="273" width="10.28515625" style="60" customWidth="1"/>
    <col min="274" max="274" width="11.42578125" style="60"/>
    <col min="275" max="275" width="12.140625" style="60" customWidth="1"/>
    <col min="276" max="276" width="10.5703125" style="60" customWidth="1"/>
    <col min="277" max="277" width="12.42578125" style="60" customWidth="1"/>
    <col min="278" max="278" width="15.140625" style="60" customWidth="1"/>
    <col min="279" max="279" width="13.5703125" style="60" customWidth="1"/>
    <col min="280" max="280" width="13.140625" style="60" customWidth="1"/>
    <col min="281" max="281" width="15.7109375" style="60" customWidth="1"/>
    <col min="282" max="282" width="37.5703125" style="60" customWidth="1"/>
    <col min="283" max="504" width="11.42578125" style="60"/>
    <col min="505" max="505" width="10.5703125" style="60" customWidth="1"/>
    <col min="506" max="506" width="4.85546875" style="60" customWidth="1"/>
    <col min="507" max="507" width="32.42578125" style="60" customWidth="1"/>
    <col min="508" max="508" width="9.85546875" style="60" customWidth="1"/>
    <col min="509" max="509" width="10.140625" style="60" customWidth="1"/>
    <col min="510" max="510" width="12.28515625" style="60" customWidth="1"/>
    <col min="511" max="511" width="15.42578125" style="60" customWidth="1"/>
    <col min="512" max="512" width="11.85546875" style="60" customWidth="1"/>
    <col min="513" max="513" width="13.28515625" style="60" customWidth="1"/>
    <col min="514" max="514" width="15.28515625" style="60" customWidth="1"/>
    <col min="515" max="515" width="11.85546875" style="60" customWidth="1"/>
    <col min="516" max="516" width="6.140625" style="60" customWidth="1"/>
    <col min="517" max="517" width="11.85546875" style="60" customWidth="1"/>
    <col min="518" max="518" width="9.42578125" style="60" customWidth="1"/>
    <col min="519" max="519" width="14.7109375" style="60" customWidth="1"/>
    <col min="520" max="520" width="11.5703125" style="60" customWidth="1"/>
    <col min="521" max="521" width="0.42578125" style="60" customWidth="1"/>
    <col min="522" max="522" width="10.5703125" style="60" bestFit="1" customWidth="1"/>
    <col min="523" max="523" width="12.28515625" style="60" customWidth="1"/>
    <col min="524" max="524" width="12.5703125" style="60" customWidth="1"/>
    <col min="525" max="525" width="10.5703125" style="60" customWidth="1"/>
    <col min="526" max="526" width="10.140625" style="60" customWidth="1"/>
    <col min="527" max="527" width="8.42578125" style="60" customWidth="1"/>
    <col min="528" max="528" width="18.85546875" style="60" customWidth="1"/>
    <col min="529" max="529" width="10.28515625" style="60" customWidth="1"/>
    <col min="530" max="530" width="11.42578125" style="60"/>
    <col min="531" max="531" width="12.140625" style="60" customWidth="1"/>
    <col min="532" max="532" width="10.5703125" style="60" customWidth="1"/>
    <col min="533" max="533" width="12.42578125" style="60" customWidth="1"/>
    <col min="534" max="534" width="15.140625" style="60" customWidth="1"/>
    <col min="535" max="535" width="13.5703125" style="60" customWidth="1"/>
    <col min="536" max="536" width="13.140625" style="60" customWidth="1"/>
    <col min="537" max="537" width="15.7109375" style="60" customWidth="1"/>
    <col min="538" max="538" width="37.5703125" style="60" customWidth="1"/>
    <col min="539" max="760" width="11.42578125" style="60"/>
    <col min="761" max="761" width="10.5703125" style="60" customWidth="1"/>
    <col min="762" max="762" width="4.85546875" style="60" customWidth="1"/>
    <col min="763" max="763" width="32.42578125" style="60" customWidth="1"/>
    <col min="764" max="764" width="9.85546875" style="60" customWidth="1"/>
    <col min="765" max="765" width="10.140625" style="60" customWidth="1"/>
    <col min="766" max="766" width="12.28515625" style="60" customWidth="1"/>
    <col min="767" max="767" width="15.42578125" style="60" customWidth="1"/>
    <col min="768" max="768" width="11.85546875" style="60" customWidth="1"/>
    <col min="769" max="769" width="13.28515625" style="60" customWidth="1"/>
    <col min="770" max="770" width="15.28515625" style="60" customWidth="1"/>
    <col min="771" max="771" width="11.85546875" style="60" customWidth="1"/>
    <col min="772" max="772" width="6.140625" style="60" customWidth="1"/>
    <col min="773" max="773" width="11.85546875" style="60" customWidth="1"/>
    <col min="774" max="774" width="9.42578125" style="60" customWidth="1"/>
    <col min="775" max="775" width="14.7109375" style="60" customWidth="1"/>
    <col min="776" max="776" width="11.5703125" style="60" customWidth="1"/>
    <col min="777" max="777" width="0.42578125" style="60" customWidth="1"/>
    <col min="778" max="778" width="10.5703125" style="60" bestFit="1" customWidth="1"/>
    <col min="779" max="779" width="12.28515625" style="60" customWidth="1"/>
    <col min="780" max="780" width="12.5703125" style="60" customWidth="1"/>
    <col min="781" max="781" width="10.5703125" style="60" customWidth="1"/>
    <col min="782" max="782" width="10.140625" style="60" customWidth="1"/>
    <col min="783" max="783" width="8.42578125" style="60" customWidth="1"/>
    <col min="784" max="784" width="18.85546875" style="60" customWidth="1"/>
    <col min="785" max="785" width="10.28515625" style="60" customWidth="1"/>
    <col min="786" max="786" width="11.42578125" style="60"/>
    <col min="787" max="787" width="12.140625" style="60" customWidth="1"/>
    <col min="788" max="788" width="10.5703125" style="60" customWidth="1"/>
    <col min="789" max="789" width="12.42578125" style="60" customWidth="1"/>
    <col min="790" max="790" width="15.140625" style="60" customWidth="1"/>
    <col min="791" max="791" width="13.5703125" style="60" customWidth="1"/>
    <col min="792" max="792" width="13.140625" style="60" customWidth="1"/>
    <col min="793" max="793" width="15.7109375" style="60" customWidth="1"/>
    <col min="794" max="794" width="37.5703125" style="60" customWidth="1"/>
    <col min="795" max="1016" width="11.42578125" style="60"/>
    <col min="1017" max="1017" width="10.5703125" style="60" customWidth="1"/>
    <col min="1018" max="1018" width="4.85546875" style="60" customWidth="1"/>
    <col min="1019" max="1019" width="32.42578125" style="60" customWidth="1"/>
    <col min="1020" max="1020" width="9.85546875" style="60" customWidth="1"/>
    <col min="1021" max="1021" width="10.140625" style="60" customWidth="1"/>
    <col min="1022" max="1022" width="12.28515625" style="60" customWidth="1"/>
    <col min="1023" max="1023" width="15.42578125" style="60" customWidth="1"/>
    <col min="1024" max="1024" width="11.85546875" style="60" customWidth="1"/>
    <col min="1025" max="1025" width="13.28515625" style="60" customWidth="1"/>
    <col min="1026" max="1026" width="15.28515625" style="60" customWidth="1"/>
    <col min="1027" max="1027" width="11.85546875" style="60" customWidth="1"/>
    <col min="1028" max="1028" width="6.140625" style="60" customWidth="1"/>
    <col min="1029" max="1029" width="11.85546875" style="60" customWidth="1"/>
    <col min="1030" max="1030" width="9.42578125" style="60" customWidth="1"/>
    <col min="1031" max="1031" width="14.7109375" style="60" customWidth="1"/>
    <col min="1032" max="1032" width="11.5703125" style="60" customWidth="1"/>
    <col min="1033" max="1033" width="0.42578125" style="60" customWidth="1"/>
    <col min="1034" max="1034" width="10.5703125" style="60" bestFit="1" customWidth="1"/>
    <col min="1035" max="1035" width="12.28515625" style="60" customWidth="1"/>
    <col min="1036" max="1036" width="12.5703125" style="60" customWidth="1"/>
    <col min="1037" max="1037" width="10.5703125" style="60" customWidth="1"/>
    <col min="1038" max="1038" width="10.140625" style="60" customWidth="1"/>
    <col min="1039" max="1039" width="8.42578125" style="60" customWidth="1"/>
    <col min="1040" max="1040" width="18.85546875" style="60" customWidth="1"/>
    <col min="1041" max="1041" width="10.28515625" style="60" customWidth="1"/>
    <col min="1042" max="1042" width="11.42578125" style="60"/>
    <col min="1043" max="1043" width="12.140625" style="60" customWidth="1"/>
    <col min="1044" max="1044" width="10.5703125" style="60" customWidth="1"/>
    <col min="1045" max="1045" width="12.42578125" style="60" customWidth="1"/>
    <col min="1046" max="1046" width="15.140625" style="60" customWidth="1"/>
    <col min="1047" max="1047" width="13.5703125" style="60" customWidth="1"/>
    <col min="1048" max="1048" width="13.140625" style="60" customWidth="1"/>
    <col min="1049" max="1049" width="15.7109375" style="60" customWidth="1"/>
    <col min="1050" max="1050" width="37.5703125" style="60" customWidth="1"/>
    <col min="1051" max="1272" width="11.42578125" style="60"/>
    <col min="1273" max="1273" width="10.5703125" style="60" customWidth="1"/>
    <col min="1274" max="1274" width="4.85546875" style="60" customWidth="1"/>
    <col min="1275" max="1275" width="32.42578125" style="60" customWidth="1"/>
    <col min="1276" max="1276" width="9.85546875" style="60" customWidth="1"/>
    <col min="1277" max="1277" width="10.140625" style="60" customWidth="1"/>
    <col min="1278" max="1278" width="12.28515625" style="60" customWidth="1"/>
    <col min="1279" max="1279" width="15.42578125" style="60" customWidth="1"/>
    <col min="1280" max="1280" width="11.85546875" style="60" customWidth="1"/>
    <col min="1281" max="1281" width="13.28515625" style="60" customWidth="1"/>
    <col min="1282" max="1282" width="15.28515625" style="60" customWidth="1"/>
    <col min="1283" max="1283" width="11.85546875" style="60" customWidth="1"/>
    <col min="1284" max="1284" width="6.140625" style="60" customWidth="1"/>
    <col min="1285" max="1285" width="11.85546875" style="60" customWidth="1"/>
    <col min="1286" max="1286" width="9.42578125" style="60" customWidth="1"/>
    <col min="1287" max="1287" width="14.7109375" style="60" customWidth="1"/>
    <col min="1288" max="1288" width="11.5703125" style="60" customWidth="1"/>
    <col min="1289" max="1289" width="0.42578125" style="60" customWidth="1"/>
    <col min="1290" max="1290" width="10.5703125" style="60" bestFit="1" customWidth="1"/>
    <col min="1291" max="1291" width="12.28515625" style="60" customWidth="1"/>
    <col min="1292" max="1292" width="12.5703125" style="60" customWidth="1"/>
    <col min="1293" max="1293" width="10.5703125" style="60" customWidth="1"/>
    <col min="1294" max="1294" width="10.140625" style="60" customWidth="1"/>
    <col min="1295" max="1295" width="8.42578125" style="60" customWidth="1"/>
    <col min="1296" max="1296" width="18.85546875" style="60" customWidth="1"/>
    <col min="1297" max="1297" width="10.28515625" style="60" customWidth="1"/>
    <col min="1298" max="1298" width="11.42578125" style="60"/>
    <col min="1299" max="1299" width="12.140625" style="60" customWidth="1"/>
    <col min="1300" max="1300" width="10.5703125" style="60" customWidth="1"/>
    <col min="1301" max="1301" width="12.42578125" style="60" customWidth="1"/>
    <col min="1302" max="1302" width="15.140625" style="60" customWidth="1"/>
    <col min="1303" max="1303" width="13.5703125" style="60" customWidth="1"/>
    <col min="1304" max="1304" width="13.140625" style="60" customWidth="1"/>
    <col min="1305" max="1305" width="15.7109375" style="60" customWidth="1"/>
    <col min="1306" max="1306" width="37.5703125" style="60" customWidth="1"/>
    <col min="1307" max="1528" width="11.42578125" style="60"/>
    <col min="1529" max="1529" width="10.5703125" style="60" customWidth="1"/>
    <col min="1530" max="1530" width="4.85546875" style="60" customWidth="1"/>
    <col min="1531" max="1531" width="32.42578125" style="60" customWidth="1"/>
    <col min="1532" max="1532" width="9.85546875" style="60" customWidth="1"/>
    <col min="1533" max="1533" width="10.140625" style="60" customWidth="1"/>
    <col min="1534" max="1534" width="12.28515625" style="60" customWidth="1"/>
    <col min="1535" max="1535" width="15.42578125" style="60" customWidth="1"/>
    <col min="1536" max="1536" width="11.85546875" style="60" customWidth="1"/>
    <col min="1537" max="1537" width="13.28515625" style="60" customWidth="1"/>
    <col min="1538" max="1538" width="15.28515625" style="60" customWidth="1"/>
    <col min="1539" max="1539" width="11.85546875" style="60" customWidth="1"/>
    <col min="1540" max="1540" width="6.140625" style="60" customWidth="1"/>
    <col min="1541" max="1541" width="11.85546875" style="60" customWidth="1"/>
    <col min="1542" max="1542" width="9.42578125" style="60" customWidth="1"/>
    <col min="1543" max="1543" width="14.7109375" style="60" customWidth="1"/>
    <col min="1544" max="1544" width="11.5703125" style="60" customWidth="1"/>
    <col min="1545" max="1545" width="0.42578125" style="60" customWidth="1"/>
    <col min="1546" max="1546" width="10.5703125" style="60" bestFit="1" customWidth="1"/>
    <col min="1547" max="1547" width="12.28515625" style="60" customWidth="1"/>
    <col min="1548" max="1548" width="12.5703125" style="60" customWidth="1"/>
    <col min="1549" max="1549" width="10.5703125" style="60" customWidth="1"/>
    <col min="1550" max="1550" width="10.140625" style="60" customWidth="1"/>
    <col min="1551" max="1551" width="8.42578125" style="60" customWidth="1"/>
    <col min="1552" max="1552" width="18.85546875" style="60" customWidth="1"/>
    <col min="1553" max="1553" width="10.28515625" style="60" customWidth="1"/>
    <col min="1554" max="1554" width="11.42578125" style="60"/>
    <col min="1555" max="1555" width="12.140625" style="60" customWidth="1"/>
    <col min="1556" max="1556" width="10.5703125" style="60" customWidth="1"/>
    <col min="1557" max="1557" width="12.42578125" style="60" customWidth="1"/>
    <col min="1558" max="1558" width="15.140625" style="60" customWidth="1"/>
    <col min="1559" max="1559" width="13.5703125" style="60" customWidth="1"/>
    <col min="1560" max="1560" width="13.140625" style="60" customWidth="1"/>
    <col min="1561" max="1561" width="15.7109375" style="60" customWidth="1"/>
    <col min="1562" max="1562" width="37.5703125" style="60" customWidth="1"/>
    <col min="1563" max="1784" width="11.42578125" style="60"/>
    <col min="1785" max="1785" width="10.5703125" style="60" customWidth="1"/>
    <col min="1786" max="1786" width="4.85546875" style="60" customWidth="1"/>
    <col min="1787" max="1787" width="32.42578125" style="60" customWidth="1"/>
    <col min="1788" max="1788" width="9.85546875" style="60" customWidth="1"/>
    <col min="1789" max="1789" width="10.140625" style="60" customWidth="1"/>
    <col min="1790" max="1790" width="12.28515625" style="60" customWidth="1"/>
    <col min="1791" max="1791" width="15.42578125" style="60" customWidth="1"/>
    <col min="1792" max="1792" width="11.85546875" style="60" customWidth="1"/>
    <col min="1793" max="1793" width="13.28515625" style="60" customWidth="1"/>
    <col min="1794" max="1794" width="15.28515625" style="60" customWidth="1"/>
    <col min="1795" max="1795" width="11.85546875" style="60" customWidth="1"/>
    <col min="1796" max="1796" width="6.140625" style="60" customWidth="1"/>
    <col min="1797" max="1797" width="11.85546875" style="60" customWidth="1"/>
    <col min="1798" max="1798" width="9.42578125" style="60" customWidth="1"/>
    <col min="1799" max="1799" width="14.7109375" style="60" customWidth="1"/>
    <col min="1800" max="1800" width="11.5703125" style="60" customWidth="1"/>
    <col min="1801" max="1801" width="0.42578125" style="60" customWidth="1"/>
    <col min="1802" max="1802" width="10.5703125" style="60" bestFit="1" customWidth="1"/>
    <col min="1803" max="1803" width="12.28515625" style="60" customWidth="1"/>
    <col min="1804" max="1804" width="12.5703125" style="60" customWidth="1"/>
    <col min="1805" max="1805" width="10.5703125" style="60" customWidth="1"/>
    <col min="1806" max="1806" width="10.140625" style="60" customWidth="1"/>
    <col min="1807" max="1807" width="8.42578125" style="60" customWidth="1"/>
    <col min="1808" max="1808" width="18.85546875" style="60" customWidth="1"/>
    <col min="1809" max="1809" width="10.28515625" style="60" customWidth="1"/>
    <col min="1810" max="1810" width="11.42578125" style="60"/>
    <col min="1811" max="1811" width="12.140625" style="60" customWidth="1"/>
    <col min="1812" max="1812" width="10.5703125" style="60" customWidth="1"/>
    <col min="1813" max="1813" width="12.42578125" style="60" customWidth="1"/>
    <col min="1814" max="1814" width="15.140625" style="60" customWidth="1"/>
    <col min="1815" max="1815" width="13.5703125" style="60" customWidth="1"/>
    <col min="1816" max="1816" width="13.140625" style="60" customWidth="1"/>
    <col min="1817" max="1817" width="15.7109375" style="60" customWidth="1"/>
    <col min="1818" max="1818" width="37.5703125" style="60" customWidth="1"/>
    <col min="1819" max="2040" width="11.42578125" style="60"/>
    <col min="2041" max="2041" width="10.5703125" style="60" customWidth="1"/>
    <col min="2042" max="2042" width="4.85546875" style="60" customWidth="1"/>
    <col min="2043" max="2043" width="32.42578125" style="60" customWidth="1"/>
    <col min="2044" max="2044" width="9.85546875" style="60" customWidth="1"/>
    <col min="2045" max="2045" width="10.140625" style="60" customWidth="1"/>
    <col min="2046" max="2046" width="12.28515625" style="60" customWidth="1"/>
    <col min="2047" max="2047" width="15.42578125" style="60" customWidth="1"/>
    <col min="2048" max="2048" width="11.85546875" style="60" customWidth="1"/>
    <col min="2049" max="2049" width="13.28515625" style="60" customWidth="1"/>
    <col min="2050" max="2050" width="15.28515625" style="60" customWidth="1"/>
    <col min="2051" max="2051" width="11.85546875" style="60" customWidth="1"/>
    <col min="2052" max="2052" width="6.140625" style="60" customWidth="1"/>
    <col min="2053" max="2053" width="11.85546875" style="60" customWidth="1"/>
    <col min="2054" max="2054" width="9.42578125" style="60" customWidth="1"/>
    <col min="2055" max="2055" width="14.7109375" style="60" customWidth="1"/>
    <col min="2056" max="2056" width="11.5703125" style="60" customWidth="1"/>
    <col min="2057" max="2057" width="0.42578125" style="60" customWidth="1"/>
    <col min="2058" max="2058" width="10.5703125" style="60" bestFit="1" customWidth="1"/>
    <col min="2059" max="2059" width="12.28515625" style="60" customWidth="1"/>
    <col min="2060" max="2060" width="12.5703125" style="60" customWidth="1"/>
    <col min="2061" max="2061" width="10.5703125" style="60" customWidth="1"/>
    <col min="2062" max="2062" width="10.140625" style="60" customWidth="1"/>
    <col min="2063" max="2063" width="8.42578125" style="60" customWidth="1"/>
    <col min="2064" max="2064" width="18.85546875" style="60" customWidth="1"/>
    <col min="2065" max="2065" width="10.28515625" style="60" customWidth="1"/>
    <col min="2066" max="2066" width="11.42578125" style="60"/>
    <col min="2067" max="2067" width="12.140625" style="60" customWidth="1"/>
    <col min="2068" max="2068" width="10.5703125" style="60" customWidth="1"/>
    <col min="2069" max="2069" width="12.42578125" style="60" customWidth="1"/>
    <col min="2070" max="2070" width="15.140625" style="60" customWidth="1"/>
    <col min="2071" max="2071" width="13.5703125" style="60" customWidth="1"/>
    <col min="2072" max="2072" width="13.140625" style="60" customWidth="1"/>
    <col min="2073" max="2073" width="15.7109375" style="60" customWidth="1"/>
    <col min="2074" max="2074" width="37.5703125" style="60" customWidth="1"/>
    <col min="2075" max="2296" width="11.42578125" style="60"/>
    <col min="2297" max="2297" width="10.5703125" style="60" customWidth="1"/>
    <col min="2298" max="2298" width="4.85546875" style="60" customWidth="1"/>
    <col min="2299" max="2299" width="32.42578125" style="60" customWidth="1"/>
    <col min="2300" max="2300" width="9.85546875" style="60" customWidth="1"/>
    <col min="2301" max="2301" width="10.140625" style="60" customWidth="1"/>
    <col min="2302" max="2302" width="12.28515625" style="60" customWidth="1"/>
    <col min="2303" max="2303" width="15.42578125" style="60" customWidth="1"/>
    <col min="2304" max="2304" width="11.85546875" style="60" customWidth="1"/>
    <col min="2305" max="2305" width="13.28515625" style="60" customWidth="1"/>
    <col min="2306" max="2306" width="15.28515625" style="60" customWidth="1"/>
    <col min="2307" max="2307" width="11.85546875" style="60" customWidth="1"/>
    <col min="2308" max="2308" width="6.140625" style="60" customWidth="1"/>
    <col min="2309" max="2309" width="11.85546875" style="60" customWidth="1"/>
    <col min="2310" max="2310" width="9.42578125" style="60" customWidth="1"/>
    <col min="2311" max="2311" width="14.7109375" style="60" customWidth="1"/>
    <col min="2312" max="2312" width="11.5703125" style="60" customWidth="1"/>
    <col min="2313" max="2313" width="0.42578125" style="60" customWidth="1"/>
    <col min="2314" max="2314" width="10.5703125" style="60" bestFit="1" customWidth="1"/>
    <col min="2315" max="2315" width="12.28515625" style="60" customWidth="1"/>
    <col min="2316" max="2316" width="12.5703125" style="60" customWidth="1"/>
    <col min="2317" max="2317" width="10.5703125" style="60" customWidth="1"/>
    <col min="2318" max="2318" width="10.140625" style="60" customWidth="1"/>
    <col min="2319" max="2319" width="8.42578125" style="60" customWidth="1"/>
    <col min="2320" max="2320" width="18.85546875" style="60" customWidth="1"/>
    <col min="2321" max="2321" width="10.28515625" style="60" customWidth="1"/>
    <col min="2322" max="2322" width="11.42578125" style="60"/>
    <col min="2323" max="2323" width="12.140625" style="60" customWidth="1"/>
    <col min="2324" max="2324" width="10.5703125" style="60" customWidth="1"/>
    <col min="2325" max="2325" width="12.42578125" style="60" customWidth="1"/>
    <col min="2326" max="2326" width="15.140625" style="60" customWidth="1"/>
    <col min="2327" max="2327" width="13.5703125" style="60" customWidth="1"/>
    <col min="2328" max="2328" width="13.140625" style="60" customWidth="1"/>
    <col min="2329" max="2329" width="15.7109375" style="60" customWidth="1"/>
    <col min="2330" max="2330" width="37.5703125" style="60" customWidth="1"/>
    <col min="2331" max="2552" width="11.42578125" style="60"/>
    <col min="2553" max="2553" width="10.5703125" style="60" customWidth="1"/>
    <col min="2554" max="2554" width="4.85546875" style="60" customWidth="1"/>
    <col min="2555" max="2555" width="32.42578125" style="60" customWidth="1"/>
    <col min="2556" max="2556" width="9.85546875" style="60" customWidth="1"/>
    <col min="2557" max="2557" width="10.140625" style="60" customWidth="1"/>
    <col min="2558" max="2558" width="12.28515625" style="60" customWidth="1"/>
    <col min="2559" max="2559" width="15.42578125" style="60" customWidth="1"/>
    <col min="2560" max="2560" width="11.85546875" style="60" customWidth="1"/>
    <col min="2561" max="2561" width="13.28515625" style="60" customWidth="1"/>
    <col min="2562" max="2562" width="15.28515625" style="60" customWidth="1"/>
    <col min="2563" max="2563" width="11.85546875" style="60" customWidth="1"/>
    <col min="2564" max="2564" width="6.140625" style="60" customWidth="1"/>
    <col min="2565" max="2565" width="11.85546875" style="60" customWidth="1"/>
    <col min="2566" max="2566" width="9.42578125" style="60" customWidth="1"/>
    <col min="2567" max="2567" width="14.7109375" style="60" customWidth="1"/>
    <col min="2568" max="2568" width="11.5703125" style="60" customWidth="1"/>
    <col min="2569" max="2569" width="0.42578125" style="60" customWidth="1"/>
    <col min="2570" max="2570" width="10.5703125" style="60" bestFit="1" customWidth="1"/>
    <col min="2571" max="2571" width="12.28515625" style="60" customWidth="1"/>
    <col min="2572" max="2572" width="12.5703125" style="60" customWidth="1"/>
    <col min="2573" max="2573" width="10.5703125" style="60" customWidth="1"/>
    <col min="2574" max="2574" width="10.140625" style="60" customWidth="1"/>
    <col min="2575" max="2575" width="8.42578125" style="60" customWidth="1"/>
    <col min="2576" max="2576" width="18.85546875" style="60" customWidth="1"/>
    <col min="2577" max="2577" width="10.28515625" style="60" customWidth="1"/>
    <col min="2578" max="2578" width="11.42578125" style="60"/>
    <col min="2579" max="2579" width="12.140625" style="60" customWidth="1"/>
    <col min="2580" max="2580" width="10.5703125" style="60" customWidth="1"/>
    <col min="2581" max="2581" width="12.42578125" style="60" customWidth="1"/>
    <col min="2582" max="2582" width="15.140625" style="60" customWidth="1"/>
    <col min="2583" max="2583" width="13.5703125" style="60" customWidth="1"/>
    <col min="2584" max="2584" width="13.140625" style="60" customWidth="1"/>
    <col min="2585" max="2585" width="15.7109375" style="60" customWidth="1"/>
    <col min="2586" max="2586" width="37.5703125" style="60" customWidth="1"/>
    <col min="2587" max="2808" width="11.42578125" style="60"/>
    <col min="2809" max="2809" width="10.5703125" style="60" customWidth="1"/>
    <col min="2810" max="2810" width="4.85546875" style="60" customWidth="1"/>
    <col min="2811" max="2811" width="32.42578125" style="60" customWidth="1"/>
    <col min="2812" max="2812" width="9.85546875" style="60" customWidth="1"/>
    <col min="2813" max="2813" width="10.140625" style="60" customWidth="1"/>
    <col min="2814" max="2814" width="12.28515625" style="60" customWidth="1"/>
    <col min="2815" max="2815" width="15.42578125" style="60" customWidth="1"/>
    <col min="2816" max="2816" width="11.85546875" style="60" customWidth="1"/>
    <col min="2817" max="2817" width="13.28515625" style="60" customWidth="1"/>
    <col min="2818" max="2818" width="15.28515625" style="60" customWidth="1"/>
    <col min="2819" max="2819" width="11.85546875" style="60" customWidth="1"/>
    <col min="2820" max="2820" width="6.140625" style="60" customWidth="1"/>
    <col min="2821" max="2821" width="11.85546875" style="60" customWidth="1"/>
    <col min="2822" max="2822" width="9.42578125" style="60" customWidth="1"/>
    <col min="2823" max="2823" width="14.7109375" style="60" customWidth="1"/>
    <col min="2824" max="2824" width="11.5703125" style="60" customWidth="1"/>
    <col min="2825" max="2825" width="0.42578125" style="60" customWidth="1"/>
    <col min="2826" max="2826" width="10.5703125" style="60" bestFit="1" customWidth="1"/>
    <col min="2827" max="2827" width="12.28515625" style="60" customWidth="1"/>
    <col min="2828" max="2828" width="12.5703125" style="60" customWidth="1"/>
    <col min="2829" max="2829" width="10.5703125" style="60" customWidth="1"/>
    <col min="2830" max="2830" width="10.140625" style="60" customWidth="1"/>
    <col min="2831" max="2831" width="8.42578125" style="60" customWidth="1"/>
    <col min="2832" max="2832" width="18.85546875" style="60" customWidth="1"/>
    <col min="2833" max="2833" width="10.28515625" style="60" customWidth="1"/>
    <col min="2834" max="2834" width="11.42578125" style="60"/>
    <col min="2835" max="2835" width="12.140625" style="60" customWidth="1"/>
    <col min="2836" max="2836" width="10.5703125" style="60" customWidth="1"/>
    <col min="2837" max="2837" width="12.42578125" style="60" customWidth="1"/>
    <col min="2838" max="2838" width="15.140625" style="60" customWidth="1"/>
    <col min="2839" max="2839" width="13.5703125" style="60" customWidth="1"/>
    <col min="2840" max="2840" width="13.140625" style="60" customWidth="1"/>
    <col min="2841" max="2841" width="15.7109375" style="60" customWidth="1"/>
    <col min="2842" max="2842" width="37.5703125" style="60" customWidth="1"/>
    <col min="2843" max="3064" width="11.42578125" style="60"/>
    <col min="3065" max="3065" width="10.5703125" style="60" customWidth="1"/>
    <col min="3066" max="3066" width="4.85546875" style="60" customWidth="1"/>
    <col min="3067" max="3067" width="32.42578125" style="60" customWidth="1"/>
    <col min="3068" max="3068" width="9.85546875" style="60" customWidth="1"/>
    <col min="3069" max="3069" width="10.140625" style="60" customWidth="1"/>
    <col min="3070" max="3070" width="12.28515625" style="60" customWidth="1"/>
    <col min="3071" max="3071" width="15.42578125" style="60" customWidth="1"/>
    <col min="3072" max="3072" width="11.85546875" style="60" customWidth="1"/>
    <col min="3073" max="3073" width="13.28515625" style="60" customWidth="1"/>
    <col min="3074" max="3074" width="15.28515625" style="60" customWidth="1"/>
    <col min="3075" max="3075" width="11.85546875" style="60" customWidth="1"/>
    <col min="3076" max="3076" width="6.140625" style="60" customWidth="1"/>
    <col min="3077" max="3077" width="11.85546875" style="60" customWidth="1"/>
    <col min="3078" max="3078" width="9.42578125" style="60" customWidth="1"/>
    <col min="3079" max="3079" width="14.7109375" style="60" customWidth="1"/>
    <col min="3080" max="3080" width="11.5703125" style="60" customWidth="1"/>
    <col min="3081" max="3081" width="0.42578125" style="60" customWidth="1"/>
    <col min="3082" max="3082" width="10.5703125" style="60" bestFit="1" customWidth="1"/>
    <col min="3083" max="3083" width="12.28515625" style="60" customWidth="1"/>
    <col min="3084" max="3084" width="12.5703125" style="60" customWidth="1"/>
    <col min="3085" max="3085" width="10.5703125" style="60" customWidth="1"/>
    <col min="3086" max="3086" width="10.140625" style="60" customWidth="1"/>
    <col min="3087" max="3087" width="8.42578125" style="60" customWidth="1"/>
    <col min="3088" max="3088" width="18.85546875" style="60" customWidth="1"/>
    <col min="3089" max="3089" width="10.28515625" style="60" customWidth="1"/>
    <col min="3090" max="3090" width="11.42578125" style="60"/>
    <col min="3091" max="3091" width="12.140625" style="60" customWidth="1"/>
    <col min="3092" max="3092" width="10.5703125" style="60" customWidth="1"/>
    <col min="3093" max="3093" width="12.42578125" style="60" customWidth="1"/>
    <col min="3094" max="3094" width="15.140625" style="60" customWidth="1"/>
    <col min="3095" max="3095" width="13.5703125" style="60" customWidth="1"/>
    <col min="3096" max="3096" width="13.140625" style="60" customWidth="1"/>
    <col min="3097" max="3097" width="15.7109375" style="60" customWidth="1"/>
    <col min="3098" max="3098" width="37.5703125" style="60" customWidth="1"/>
    <col min="3099" max="3320" width="11.42578125" style="60"/>
    <col min="3321" max="3321" width="10.5703125" style="60" customWidth="1"/>
    <col min="3322" max="3322" width="4.85546875" style="60" customWidth="1"/>
    <col min="3323" max="3323" width="32.42578125" style="60" customWidth="1"/>
    <col min="3324" max="3324" width="9.85546875" style="60" customWidth="1"/>
    <col min="3325" max="3325" width="10.140625" style="60" customWidth="1"/>
    <col min="3326" max="3326" width="12.28515625" style="60" customWidth="1"/>
    <col min="3327" max="3327" width="15.42578125" style="60" customWidth="1"/>
    <col min="3328" max="3328" width="11.85546875" style="60" customWidth="1"/>
    <col min="3329" max="3329" width="13.28515625" style="60" customWidth="1"/>
    <col min="3330" max="3330" width="15.28515625" style="60" customWidth="1"/>
    <col min="3331" max="3331" width="11.85546875" style="60" customWidth="1"/>
    <col min="3332" max="3332" width="6.140625" style="60" customWidth="1"/>
    <col min="3333" max="3333" width="11.85546875" style="60" customWidth="1"/>
    <col min="3334" max="3334" width="9.42578125" style="60" customWidth="1"/>
    <col min="3335" max="3335" width="14.7109375" style="60" customWidth="1"/>
    <col min="3336" max="3336" width="11.5703125" style="60" customWidth="1"/>
    <col min="3337" max="3337" width="0.42578125" style="60" customWidth="1"/>
    <col min="3338" max="3338" width="10.5703125" style="60" bestFit="1" customWidth="1"/>
    <col min="3339" max="3339" width="12.28515625" style="60" customWidth="1"/>
    <col min="3340" max="3340" width="12.5703125" style="60" customWidth="1"/>
    <col min="3341" max="3341" width="10.5703125" style="60" customWidth="1"/>
    <col min="3342" max="3342" width="10.140625" style="60" customWidth="1"/>
    <col min="3343" max="3343" width="8.42578125" style="60" customWidth="1"/>
    <col min="3344" max="3344" width="18.85546875" style="60" customWidth="1"/>
    <col min="3345" max="3345" width="10.28515625" style="60" customWidth="1"/>
    <col min="3346" max="3346" width="11.42578125" style="60"/>
    <col min="3347" max="3347" width="12.140625" style="60" customWidth="1"/>
    <col min="3348" max="3348" width="10.5703125" style="60" customWidth="1"/>
    <col min="3349" max="3349" width="12.42578125" style="60" customWidth="1"/>
    <col min="3350" max="3350" width="15.140625" style="60" customWidth="1"/>
    <col min="3351" max="3351" width="13.5703125" style="60" customWidth="1"/>
    <col min="3352" max="3352" width="13.140625" style="60" customWidth="1"/>
    <col min="3353" max="3353" width="15.7109375" style="60" customWidth="1"/>
    <col min="3354" max="3354" width="37.5703125" style="60" customWidth="1"/>
    <col min="3355" max="3576" width="11.42578125" style="60"/>
    <col min="3577" max="3577" width="10.5703125" style="60" customWidth="1"/>
    <col min="3578" max="3578" width="4.85546875" style="60" customWidth="1"/>
    <col min="3579" max="3579" width="32.42578125" style="60" customWidth="1"/>
    <col min="3580" max="3580" width="9.85546875" style="60" customWidth="1"/>
    <col min="3581" max="3581" width="10.140625" style="60" customWidth="1"/>
    <col min="3582" max="3582" width="12.28515625" style="60" customWidth="1"/>
    <col min="3583" max="3583" width="15.42578125" style="60" customWidth="1"/>
    <col min="3584" max="3584" width="11.85546875" style="60" customWidth="1"/>
    <col min="3585" max="3585" width="13.28515625" style="60" customWidth="1"/>
    <col min="3586" max="3586" width="15.28515625" style="60" customWidth="1"/>
    <col min="3587" max="3587" width="11.85546875" style="60" customWidth="1"/>
    <col min="3588" max="3588" width="6.140625" style="60" customWidth="1"/>
    <col min="3589" max="3589" width="11.85546875" style="60" customWidth="1"/>
    <col min="3590" max="3590" width="9.42578125" style="60" customWidth="1"/>
    <col min="3591" max="3591" width="14.7109375" style="60" customWidth="1"/>
    <col min="3592" max="3592" width="11.5703125" style="60" customWidth="1"/>
    <col min="3593" max="3593" width="0.42578125" style="60" customWidth="1"/>
    <col min="3594" max="3594" width="10.5703125" style="60" bestFit="1" customWidth="1"/>
    <col min="3595" max="3595" width="12.28515625" style="60" customWidth="1"/>
    <col min="3596" max="3596" width="12.5703125" style="60" customWidth="1"/>
    <col min="3597" max="3597" width="10.5703125" style="60" customWidth="1"/>
    <col min="3598" max="3598" width="10.140625" style="60" customWidth="1"/>
    <col min="3599" max="3599" width="8.42578125" style="60" customWidth="1"/>
    <col min="3600" max="3600" width="18.85546875" style="60" customWidth="1"/>
    <col min="3601" max="3601" width="10.28515625" style="60" customWidth="1"/>
    <col min="3602" max="3602" width="11.42578125" style="60"/>
    <col min="3603" max="3603" width="12.140625" style="60" customWidth="1"/>
    <col min="3604" max="3604" width="10.5703125" style="60" customWidth="1"/>
    <col min="3605" max="3605" width="12.42578125" style="60" customWidth="1"/>
    <col min="3606" max="3606" width="15.140625" style="60" customWidth="1"/>
    <col min="3607" max="3607" width="13.5703125" style="60" customWidth="1"/>
    <col min="3608" max="3608" width="13.140625" style="60" customWidth="1"/>
    <col min="3609" max="3609" width="15.7109375" style="60" customWidth="1"/>
    <col min="3610" max="3610" width="37.5703125" style="60" customWidth="1"/>
    <col min="3611" max="3832" width="11.42578125" style="60"/>
    <col min="3833" max="3833" width="10.5703125" style="60" customWidth="1"/>
    <col min="3834" max="3834" width="4.85546875" style="60" customWidth="1"/>
    <col min="3835" max="3835" width="32.42578125" style="60" customWidth="1"/>
    <col min="3836" max="3836" width="9.85546875" style="60" customWidth="1"/>
    <col min="3837" max="3837" width="10.140625" style="60" customWidth="1"/>
    <col min="3838" max="3838" width="12.28515625" style="60" customWidth="1"/>
    <col min="3839" max="3839" width="15.42578125" style="60" customWidth="1"/>
    <col min="3840" max="3840" width="11.85546875" style="60" customWidth="1"/>
    <col min="3841" max="3841" width="13.28515625" style="60" customWidth="1"/>
    <col min="3842" max="3842" width="15.28515625" style="60" customWidth="1"/>
    <col min="3843" max="3843" width="11.85546875" style="60" customWidth="1"/>
    <col min="3844" max="3844" width="6.140625" style="60" customWidth="1"/>
    <col min="3845" max="3845" width="11.85546875" style="60" customWidth="1"/>
    <col min="3846" max="3846" width="9.42578125" style="60" customWidth="1"/>
    <col min="3847" max="3847" width="14.7109375" style="60" customWidth="1"/>
    <col min="3848" max="3848" width="11.5703125" style="60" customWidth="1"/>
    <col min="3849" max="3849" width="0.42578125" style="60" customWidth="1"/>
    <col min="3850" max="3850" width="10.5703125" style="60" bestFit="1" customWidth="1"/>
    <col min="3851" max="3851" width="12.28515625" style="60" customWidth="1"/>
    <col min="3852" max="3852" width="12.5703125" style="60" customWidth="1"/>
    <col min="3853" max="3853" width="10.5703125" style="60" customWidth="1"/>
    <col min="3854" max="3854" width="10.140625" style="60" customWidth="1"/>
    <col min="3855" max="3855" width="8.42578125" style="60" customWidth="1"/>
    <col min="3856" max="3856" width="18.85546875" style="60" customWidth="1"/>
    <col min="3857" max="3857" width="10.28515625" style="60" customWidth="1"/>
    <col min="3858" max="3858" width="11.42578125" style="60"/>
    <col min="3859" max="3859" width="12.140625" style="60" customWidth="1"/>
    <col min="3860" max="3860" width="10.5703125" style="60" customWidth="1"/>
    <col min="3861" max="3861" width="12.42578125" style="60" customWidth="1"/>
    <col min="3862" max="3862" width="15.140625" style="60" customWidth="1"/>
    <col min="3863" max="3863" width="13.5703125" style="60" customWidth="1"/>
    <col min="3864" max="3864" width="13.140625" style="60" customWidth="1"/>
    <col min="3865" max="3865" width="15.7109375" style="60" customWidth="1"/>
    <col min="3866" max="3866" width="37.5703125" style="60" customWidth="1"/>
    <col min="3867" max="4088" width="11.42578125" style="60"/>
    <col min="4089" max="4089" width="10.5703125" style="60" customWidth="1"/>
    <col min="4090" max="4090" width="4.85546875" style="60" customWidth="1"/>
    <col min="4091" max="4091" width="32.42578125" style="60" customWidth="1"/>
    <col min="4092" max="4092" width="9.85546875" style="60" customWidth="1"/>
    <col min="4093" max="4093" width="10.140625" style="60" customWidth="1"/>
    <col min="4094" max="4094" width="12.28515625" style="60" customWidth="1"/>
    <col min="4095" max="4095" width="15.42578125" style="60" customWidth="1"/>
    <col min="4096" max="4096" width="11.85546875" style="60" customWidth="1"/>
    <col min="4097" max="4097" width="13.28515625" style="60" customWidth="1"/>
    <col min="4098" max="4098" width="15.28515625" style="60" customWidth="1"/>
    <col min="4099" max="4099" width="11.85546875" style="60" customWidth="1"/>
    <col min="4100" max="4100" width="6.140625" style="60" customWidth="1"/>
    <col min="4101" max="4101" width="11.85546875" style="60" customWidth="1"/>
    <col min="4102" max="4102" width="9.42578125" style="60" customWidth="1"/>
    <col min="4103" max="4103" width="14.7109375" style="60" customWidth="1"/>
    <col min="4104" max="4104" width="11.5703125" style="60" customWidth="1"/>
    <col min="4105" max="4105" width="0.42578125" style="60" customWidth="1"/>
    <col min="4106" max="4106" width="10.5703125" style="60" bestFit="1" customWidth="1"/>
    <col min="4107" max="4107" width="12.28515625" style="60" customWidth="1"/>
    <col min="4108" max="4108" width="12.5703125" style="60" customWidth="1"/>
    <col min="4109" max="4109" width="10.5703125" style="60" customWidth="1"/>
    <col min="4110" max="4110" width="10.140625" style="60" customWidth="1"/>
    <col min="4111" max="4111" width="8.42578125" style="60" customWidth="1"/>
    <col min="4112" max="4112" width="18.85546875" style="60" customWidth="1"/>
    <col min="4113" max="4113" width="10.28515625" style="60" customWidth="1"/>
    <col min="4114" max="4114" width="11.42578125" style="60"/>
    <col min="4115" max="4115" width="12.140625" style="60" customWidth="1"/>
    <col min="4116" max="4116" width="10.5703125" style="60" customWidth="1"/>
    <col min="4117" max="4117" width="12.42578125" style="60" customWidth="1"/>
    <col min="4118" max="4118" width="15.140625" style="60" customWidth="1"/>
    <col min="4119" max="4119" width="13.5703125" style="60" customWidth="1"/>
    <col min="4120" max="4120" width="13.140625" style="60" customWidth="1"/>
    <col min="4121" max="4121" width="15.7109375" style="60" customWidth="1"/>
    <col min="4122" max="4122" width="37.5703125" style="60" customWidth="1"/>
    <col min="4123" max="4344" width="11.42578125" style="60"/>
    <col min="4345" max="4345" width="10.5703125" style="60" customWidth="1"/>
    <col min="4346" max="4346" width="4.85546875" style="60" customWidth="1"/>
    <col min="4347" max="4347" width="32.42578125" style="60" customWidth="1"/>
    <col min="4348" max="4348" width="9.85546875" style="60" customWidth="1"/>
    <col min="4349" max="4349" width="10.140625" style="60" customWidth="1"/>
    <col min="4350" max="4350" width="12.28515625" style="60" customWidth="1"/>
    <col min="4351" max="4351" width="15.42578125" style="60" customWidth="1"/>
    <col min="4352" max="4352" width="11.85546875" style="60" customWidth="1"/>
    <col min="4353" max="4353" width="13.28515625" style="60" customWidth="1"/>
    <col min="4354" max="4354" width="15.28515625" style="60" customWidth="1"/>
    <col min="4355" max="4355" width="11.85546875" style="60" customWidth="1"/>
    <col min="4356" max="4356" width="6.140625" style="60" customWidth="1"/>
    <col min="4357" max="4357" width="11.85546875" style="60" customWidth="1"/>
    <col min="4358" max="4358" width="9.42578125" style="60" customWidth="1"/>
    <col min="4359" max="4359" width="14.7109375" style="60" customWidth="1"/>
    <col min="4360" max="4360" width="11.5703125" style="60" customWidth="1"/>
    <col min="4361" max="4361" width="0.42578125" style="60" customWidth="1"/>
    <col min="4362" max="4362" width="10.5703125" style="60" bestFit="1" customWidth="1"/>
    <col min="4363" max="4363" width="12.28515625" style="60" customWidth="1"/>
    <col min="4364" max="4364" width="12.5703125" style="60" customWidth="1"/>
    <col min="4365" max="4365" width="10.5703125" style="60" customWidth="1"/>
    <col min="4366" max="4366" width="10.140625" style="60" customWidth="1"/>
    <col min="4367" max="4367" width="8.42578125" style="60" customWidth="1"/>
    <col min="4368" max="4368" width="18.85546875" style="60" customWidth="1"/>
    <col min="4369" max="4369" width="10.28515625" style="60" customWidth="1"/>
    <col min="4370" max="4370" width="11.42578125" style="60"/>
    <col min="4371" max="4371" width="12.140625" style="60" customWidth="1"/>
    <col min="4372" max="4372" width="10.5703125" style="60" customWidth="1"/>
    <col min="4373" max="4373" width="12.42578125" style="60" customWidth="1"/>
    <col min="4374" max="4374" width="15.140625" style="60" customWidth="1"/>
    <col min="4375" max="4375" width="13.5703125" style="60" customWidth="1"/>
    <col min="4376" max="4376" width="13.140625" style="60" customWidth="1"/>
    <col min="4377" max="4377" width="15.7109375" style="60" customWidth="1"/>
    <col min="4378" max="4378" width="37.5703125" style="60" customWidth="1"/>
    <col min="4379" max="4600" width="11.42578125" style="60"/>
    <col min="4601" max="4601" width="10.5703125" style="60" customWidth="1"/>
    <col min="4602" max="4602" width="4.85546875" style="60" customWidth="1"/>
    <col min="4603" max="4603" width="32.42578125" style="60" customWidth="1"/>
    <col min="4604" max="4604" width="9.85546875" style="60" customWidth="1"/>
    <col min="4605" max="4605" width="10.140625" style="60" customWidth="1"/>
    <col min="4606" max="4606" width="12.28515625" style="60" customWidth="1"/>
    <col min="4607" max="4607" width="15.42578125" style="60" customWidth="1"/>
    <col min="4608" max="4608" width="11.85546875" style="60" customWidth="1"/>
    <col min="4609" max="4609" width="13.28515625" style="60" customWidth="1"/>
    <col min="4610" max="4610" width="15.28515625" style="60" customWidth="1"/>
    <col min="4611" max="4611" width="11.85546875" style="60" customWidth="1"/>
    <col min="4612" max="4612" width="6.140625" style="60" customWidth="1"/>
    <col min="4613" max="4613" width="11.85546875" style="60" customWidth="1"/>
    <col min="4614" max="4614" width="9.42578125" style="60" customWidth="1"/>
    <col min="4615" max="4615" width="14.7109375" style="60" customWidth="1"/>
    <col min="4616" max="4616" width="11.5703125" style="60" customWidth="1"/>
    <col min="4617" max="4617" width="0.42578125" style="60" customWidth="1"/>
    <col min="4618" max="4618" width="10.5703125" style="60" bestFit="1" customWidth="1"/>
    <col min="4619" max="4619" width="12.28515625" style="60" customWidth="1"/>
    <col min="4620" max="4620" width="12.5703125" style="60" customWidth="1"/>
    <col min="4621" max="4621" width="10.5703125" style="60" customWidth="1"/>
    <col min="4622" max="4622" width="10.140625" style="60" customWidth="1"/>
    <col min="4623" max="4623" width="8.42578125" style="60" customWidth="1"/>
    <col min="4624" max="4624" width="18.85546875" style="60" customWidth="1"/>
    <col min="4625" max="4625" width="10.28515625" style="60" customWidth="1"/>
    <col min="4626" max="4626" width="11.42578125" style="60"/>
    <col min="4627" max="4627" width="12.140625" style="60" customWidth="1"/>
    <col min="4628" max="4628" width="10.5703125" style="60" customWidth="1"/>
    <col min="4629" max="4629" width="12.42578125" style="60" customWidth="1"/>
    <col min="4630" max="4630" width="15.140625" style="60" customWidth="1"/>
    <col min="4631" max="4631" width="13.5703125" style="60" customWidth="1"/>
    <col min="4632" max="4632" width="13.140625" style="60" customWidth="1"/>
    <col min="4633" max="4633" width="15.7109375" style="60" customWidth="1"/>
    <col min="4634" max="4634" width="37.5703125" style="60" customWidth="1"/>
    <col min="4635" max="4856" width="11.42578125" style="60"/>
    <col min="4857" max="4857" width="10.5703125" style="60" customWidth="1"/>
    <col min="4858" max="4858" width="4.85546875" style="60" customWidth="1"/>
    <col min="4859" max="4859" width="32.42578125" style="60" customWidth="1"/>
    <col min="4860" max="4860" width="9.85546875" style="60" customWidth="1"/>
    <col min="4861" max="4861" width="10.140625" style="60" customWidth="1"/>
    <col min="4862" max="4862" width="12.28515625" style="60" customWidth="1"/>
    <col min="4863" max="4863" width="15.42578125" style="60" customWidth="1"/>
    <col min="4864" max="4864" width="11.85546875" style="60" customWidth="1"/>
    <col min="4865" max="4865" width="13.28515625" style="60" customWidth="1"/>
    <col min="4866" max="4866" width="15.28515625" style="60" customWidth="1"/>
    <col min="4867" max="4867" width="11.85546875" style="60" customWidth="1"/>
    <col min="4868" max="4868" width="6.140625" style="60" customWidth="1"/>
    <col min="4869" max="4869" width="11.85546875" style="60" customWidth="1"/>
    <col min="4870" max="4870" width="9.42578125" style="60" customWidth="1"/>
    <col min="4871" max="4871" width="14.7109375" style="60" customWidth="1"/>
    <col min="4872" max="4872" width="11.5703125" style="60" customWidth="1"/>
    <col min="4873" max="4873" width="0.42578125" style="60" customWidth="1"/>
    <col min="4874" max="4874" width="10.5703125" style="60" bestFit="1" customWidth="1"/>
    <col min="4875" max="4875" width="12.28515625" style="60" customWidth="1"/>
    <col min="4876" max="4876" width="12.5703125" style="60" customWidth="1"/>
    <col min="4877" max="4877" width="10.5703125" style="60" customWidth="1"/>
    <col min="4878" max="4878" width="10.140625" style="60" customWidth="1"/>
    <col min="4879" max="4879" width="8.42578125" style="60" customWidth="1"/>
    <col min="4880" max="4880" width="18.85546875" style="60" customWidth="1"/>
    <col min="4881" max="4881" width="10.28515625" style="60" customWidth="1"/>
    <col min="4882" max="4882" width="11.42578125" style="60"/>
    <col min="4883" max="4883" width="12.140625" style="60" customWidth="1"/>
    <col min="4884" max="4884" width="10.5703125" style="60" customWidth="1"/>
    <col min="4885" max="4885" width="12.42578125" style="60" customWidth="1"/>
    <col min="4886" max="4886" width="15.140625" style="60" customWidth="1"/>
    <col min="4887" max="4887" width="13.5703125" style="60" customWidth="1"/>
    <col min="4888" max="4888" width="13.140625" style="60" customWidth="1"/>
    <col min="4889" max="4889" width="15.7109375" style="60" customWidth="1"/>
    <col min="4890" max="4890" width="37.5703125" style="60" customWidth="1"/>
    <col min="4891" max="5112" width="11.42578125" style="60"/>
    <col min="5113" max="5113" width="10.5703125" style="60" customWidth="1"/>
    <col min="5114" max="5114" width="4.85546875" style="60" customWidth="1"/>
    <col min="5115" max="5115" width="32.42578125" style="60" customWidth="1"/>
    <col min="5116" max="5116" width="9.85546875" style="60" customWidth="1"/>
    <col min="5117" max="5117" width="10.140625" style="60" customWidth="1"/>
    <col min="5118" max="5118" width="12.28515625" style="60" customWidth="1"/>
    <col min="5119" max="5119" width="15.42578125" style="60" customWidth="1"/>
    <col min="5120" max="5120" width="11.85546875" style="60" customWidth="1"/>
    <col min="5121" max="5121" width="13.28515625" style="60" customWidth="1"/>
    <col min="5122" max="5122" width="15.28515625" style="60" customWidth="1"/>
    <col min="5123" max="5123" width="11.85546875" style="60" customWidth="1"/>
    <col min="5124" max="5124" width="6.140625" style="60" customWidth="1"/>
    <col min="5125" max="5125" width="11.85546875" style="60" customWidth="1"/>
    <col min="5126" max="5126" width="9.42578125" style="60" customWidth="1"/>
    <col min="5127" max="5127" width="14.7109375" style="60" customWidth="1"/>
    <col min="5128" max="5128" width="11.5703125" style="60" customWidth="1"/>
    <col min="5129" max="5129" width="0.42578125" style="60" customWidth="1"/>
    <col min="5130" max="5130" width="10.5703125" style="60" bestFit="1" customWidth="1"/>
    <col min="5131" max="5131" width="12.28515625" style="60" customWidth="1"/>
    <col min="5132" max="5132" width="12.5703125" style="60" customWidth="1"/>
    <col min="5133" max="5133" width="10.5703125" style="60" customWidth="1"/>
    <col min="5134" max="5134" width="10.140625" style="60" customWidth="1"/>
    <col min="5135" max="5135" width="8.42578125" style="60" customWidth="1"/>
    <col min="5136" max="5136" width="18.85546875" style="60" customWidth="1"/>
    <col min="5137" max="5137" width="10.28515625" style="60" customWidth="1"/>
    <col min="5138" max="5138" width="11.42578125" style="60"/>
    <col min="5139" max="5139" width="12.140625" style="60" customWidth="1"/>
    <col min="5140" max="5140" width="10.5703125" style="60" customWidth="1"/>
    <col min="5141" max="5141" width="12.42578125" style="60" customWidth="1"/>
    <col min="5142" max="5142" width="15.140625" style="60" customWidth="1"/>
    <col min="5143" max="5143" width="13.5703125" style="60" customWidth="1"/>
    <col min="5144" max="5144" width="13.140625" style="60" customWidth="1"/>
    <col min="5145" max="5145" width="15.7109375" style="60" customWidth="1"/>
    <col min="5146" max="5146" width="37.5703125" style="60" customWidth="1"/>
    <col min="5147" max="5368" width="11.42578125" style="60"/>
    <col min="5369" max="5369" width="10.5703125" style="60" customWidth="1"/>
    <col min="5370" max="5370" width="4.85546875" style="60" customWidth="1"/>
    <col min="5371" max="5371" width="32.42578125" style="60" customWidth="1"/>
    <col min="5372" max="5372" width="9.85546875" style="60" customWidth="1"/>
    <col min="5373" max="5373" width="10.140625" style="60" customWidth="1"/>
    <col min="5374" max="5374" width="12.28515625" style="60" customWidth="1"/>
    <col min="5375" max="5375" width="15.42578125" style="60" customWidth="1"/>
    <col min="5376" max="5376" width="11.85546875" style="60" customWidth="1"/>
    <col min="5377" max="5377" width="13.28515625" style="60" customWidth="1"/>
    <col min="5378" max="5378" width="15.28515625" style="60" customWidth="1"/>
    <col min="5379" max="5379" width="11.85546875" style="60" customWidth="1"/>
    <col min="5380" max="5380" width="6.140625" style="60" customWidth="1"/>
    <col min="5381" max="5381" width="11.85546875" style="60" customWidth="1"/>
    <col min="5382" max="5382" width="9.42578125" style="60" customWidth="1"/>
    <col min="5383" max="5383" width="14.7109375" style="60" customWidth="1"/>
    <col min="5384" max="5384" width="11.5703125" style="60" customWidth="1"/>
    <col min="5385" max="5385" width="0.42578125" style="60" customWidth="1"/>
    <col min="5386" max="5386" width="10.5703125" style="60" bestFit="1" customWidth="1"/>
    <col min="5387" max="5387" width="12.28515625" style="60" customWidth="1"/>
    <col min="5388" max="5388" width="12.5703125" style="60" customWidth="1"/>
    <col min="5389" max="5389" width="10.5703125" style="60" customWidth="1"/>
    <col min="5390" max="5390" width="10.140625" style="60" customWidth="1"/>
    <col min="5391" max="5391" width="8.42578125" style="60" customWidth="1"/>
    <col min="5392" max="5392" width="18.85546875" style="60" customWidth="1"/>
    <col min="5393" max="5393" width="10.28515625" style="60" customWidth="1"/>
    <col min="5394" max="5394" width="11.42578125" style="60"/>
    <col min="5395" max="5395" width="12.140625" style="60" customWidth="1"/>
    <col min="5396" max="5396" width="10.5703125" style="60" customWidth="1"/>
    <col min="5397" max="5397" width="12.42578125" style="60" customWidth="1"/>
    <col min="5398" max="5398" width="15.140625" style="60" customWidth="1"/>
    <col min="5399" max="5399" width="13.5703125" style="60" customWidth="1"/>
    <col min="5400" max="5400" width="13.140625" style="60" customWidth="1"/>
    <col min="5401" max="5401" width="15.7109375" style="60" customWidth="1"/>
    <col min="5402" max="5402" width="37.5703125" style="60" customWidth="1"/>
    <col min="5403" max="5624" width="11.42578125" style="60"/>
    <col min="5625" max="5625" width="10.5703125" style="60" customWidth="1"/>
    <col min="5626" max="5626" width="4.85546875" style="60" customWidth="1"/>
    <col min="5627" max="5627" width="32.42578125" style="60" customWidth="1"/>
    <col min="5628" max="5628" width="9.85546875" style="60" customWidth="1"/>
    <col min="5629" max="5629" width="10.140625" style="60" customWidth="1"/>
    <col min="5630" max="5630" width="12.28515625" style="60" customWidth="1"/>
    <col min="5631" max="5631" width="15.42578125" style="60" customWidth="1"/>
    <col min="5632" max="5632" width="11.85546875" style="60" customWidth="1"/>
    <col min="5633" max="5633" width="13.28515625" style="60" customWidth="1"/>
    <col min="5634" max="5634" width="15.28515625" style="60" customWidth="1"/>
    <col min="5635" max="5635" width="11.85546875" style="60" customWidth="1"/>
    <col min="5636" max="5636" width="6.140625" style="60" customWidth="1"/>
    <col min="5637" max="5637" width="11.85546875" style="60" customWidth="1"/>
    <col min="5638" max="5638" width="9.42578125" style="60" customWidth="1"/>
    <col min="5639" max="5639" width="14.7109375" style="60" customWidth="1"/>
    <col min="5640" max="5640" width="11.5703125" style="60" customWidth="1"/>
    <col min="5641" max="5641" width="0.42578125" style="60" customWidth="1"/>
    <col min="5642" max="5642" width="10.5703125" style="60" bestFit="1" customWidth="1"/>
    <col min="5643" max="5643" width="12.28515625" style="60" customWidth="1"/>
    <col min="5644" max="5644" width="12.5703125" style="60" customWidth="1"/>
    <col min="5645" max="5645" width="10.5703125" style="60" customWidth="1"/>
    <col min="5646" max="5646" width="10.140625" style="60" customWidth="1"/>
    <col min="5647" max="5647" width="8.42578125" style="60" customWidth="1"/>
    <col min="5648" max="5648" width="18.85546875" style="60" customWidth="1"/>
    <col min="5649" max="5649" width="10.28515625" style="60" customWidth="1"/>
    <col min="5650" max="5650" width="11.42578125" style="60"/>
    <col min="5651" max="5651" width="12.140625" style="60" customWidth="1"/>
    <col min="5652" max="5652" width="10.5703125" style="60" customWidth="1"/>
    <col min="5653" max="5653" width="12.42578125" style="60" customWidth="1"/>
    <col min="5654" max="5654" width="15.140625" style="60" customWidth="1"/>
    <col min="5655" max="5655" width="13.5703125" style="60" customWidth="1"/>
    <col min="5656" max="5656" width="13.140625" style="60" customWidth="1"/>
    <col min="5657" max="5657" width="15.7109375" style="60" customWidth="1"/>
    <col min="5658" max="5658" width="37.5703125" style="60" customWidth="1"/>
    <col min="5659" max="5880" width="11.42578125" style="60"/>
    <col min="5881" max="5881" width="10.5703125" style="60" customWidth="1"/>
    <col min="5882" max="5882" width="4.85546875" style="60" customWidth="1"/>
    <col min="5883" max="5883" width="32.42578125" style="60" customWidth="1"/>
    <col min="5884" max="5884" width="9.85546875" style="60" customWidth="1"/>
    <col min="5885" max="5885" width="10.140625" style="60" customWidth="1"/>
    <col min="5886" max="5886" width="12.28515625" style="60" customWidth="1"/>
    <col min="5887" max="5887" width="15.42578125" style="60" customWidth="1"/>
    <col min="5888" max="5888" width="11.85546875" style="60" customWidth="1"/>
    <col min="5889" max="5889" width="13.28515625" style="60" customWidth="1"/>
    <col min="5890" max="5890" width="15.28515625" style="60" customWidth="1"/>
    <col min="5891" max="5891" width="11.85546875" style="60" customWidth="1"/>
    <col min="5892" max="5892" width="6.140625" style="60" customWidth="1"/>
    <col min="5893" max="5893" width="11.85546875" style="60" customWidth="1"/>
    <col min="5894" max="5894" width="9.42578125" style="60" customWidth="1"/>
    <col min="5895" max="5895" width="14.7109375" style="60" customWidth="1"/>
    <col min="5896" max="5896" width="11.5703125" style="60" customWidth="1"/>
    <col min="5897" max="5897" width="0.42578125" style="60" customWidth="1"/>
    <col min="5898" max="5898" width="10.5703125" style="60" bestFit="1" customWidth="1"/>
    <col min="5899" max="5899" width="12.28515625" style="60" customWidth="1"/>
    <col min="5900" max="5900" width="12.5703125" style="60" customWidth="1"/>
    <col min="5901" max="5901" width="10.5703125" style="60" customWidth="1"/>
    <col min="5902" max="5902" width="10.140625" style="60" customWidth="1"/>
    <col min="5903" max="5903" width="8.42578125" style="60" customWidth="1"/>
    <col min="5904" max="5904" width="18.85546875" style="60" customWidth="1"/>
    <col min="5905" max="5905" width="10.28515625" style="60" customWidth="1"/>
    <col min="5906" max="5906" width="11.42578125" style="60"/>
    <col min="5907" max="5907" width="12.140625" style="60" customWidth="1"/>
    <col min="5908" max="5908" width="10.5703125" style="60" customWidth="1"/>
    <col min="5909" max="5909" width="12.42578125" style="60" customWidth="1"/>
    <col min="5910" max="5910" width="15.140625" style="60" customWidth="1"/>
    <col min="5911" max="5911" width="13.5703125" style="60" customWidth="1"/>
    <col min="5912" max="5912" width="13.140625" style="60" customWidth="1"/>
    <col min="5913" max="5913" width="15.7109375" style="60" customWidth="1"/>
    <col min="5914" max="5914" width="37.5703125" style="60" customWidth="1"/>
    <col min="5915" max="6136" width="11.42578125" style="60"/>
    <col min="6137" max="6137" width="10.5703125" style="60" customWidth="1"/>
    <col min="6138" max="6138" width="4.85546875" style="60" customWidth="1"/>
    <col min="6139" max="6139" width="32.42578125" style="60" customWidth="1"/>
    <col min="6140" max="6140" width="9.85546875" style="60" customWidth="1"/>
    <col min="6141" max="6141" width="10.140625" style="60" customWidth="1"/>
    <col min="6142" max="6142" width="12.28515625" style="60" customWidth="1"/>
    <col min="6143" max="6143" width="15.42578125" style="60" customWidth="1"/>
    <col min="6144" max="6144" width="11.85546875" style="60" customWidth="1"/>
    <col min="6145" max="6145" width="13.28515625" style="60" customWidth="1"/>
    <col min="6146" max="6146" width="15.28515625" style="60" customWidth="1"/>
    <col min="6147" max="6147" width="11.85546875" style="60" customWidth="1"/>
    <col min="6148" max="6148" width="6.140625" style="60" customWidth="1"/>
    <col min="6149" max="6149" width="11.85546875" style="60" customWidth="1"/>
    <col min="6150" max="6150" width="9.42578125" style="60" customWidth="1"/>
    <col min="6151" max="6151" width="14.7109375" style="60" customWidth="1"/>
    <col min="6152" max="6152" width="11.5703125" style="60" customWidth="1"/>
    <col min="6153" max="6153" width="0.42578125" style="60" customWidth="1"/>
    <col min="6154" max="6154" width="10.5703125" style="60" bestFit="1" customWidth="1"/>
    <col min="6155" max="6155" width="12.28515625" style="60" customWidth="1"/>
    <col min="6156" max="6156" width="12.5703125" style="60" customWidth="1"/>
    <col min="6157" max="6157" width="10.5703125" style="60" customWidth="1"/>
    <col min="6158" max="6158" width="10.140625" style="60" customWidth="1"/>
    <col min="6159" max="6159" width="8.42578125" style="60" customWidth="1"/>
    <col min="6160" max="6160" width="18.85546875" style="60" customWidth="1"/>
    <col min="6161" max="6161" width="10.28515625" style="60" customWidth="1"/>
    <col min="6162" max="6162" width="11.42578125" style="60"/>
    <col min="6163" max="6163" width="12.140625" style="60" customWidth="1"/>
    <col min="6164" max="6164" width="10.5703125" style="60" customWidth="1"/>
    <col min="6165" max="6165" width="12.42578125" style="60" customWidth="1"/>
    <col min="6166" max="6166" width="15.140625" style="60" customWidth="1"/>
    <col min="6167" max="6167" width="13.5703125" style="60" customWidth="1"/>
    <col min="6168" max="6168" width="13.140625" style="60" customWidth="1"/>
    <col min="6169" max="6169" width="15.7109375" style="60" customWidth="1"/>
    <col min="6170" max="6170" width="37.5703125" style="60" customWidth="1"/>
    <col min="6171" max="6392" width="11.42578125" style="60"/>
    <col min="6393" max="6393" width="10.5703125" style="60" customWidth="1"/>
    <col min="6394" max="6394" width="4.85546875" style="60" customWidth="1"/>
    <col min="6395" max="6395" width="32.42578125" style="60" customWidth="1"/>
    <col min="6396" max="6396" width="9.85546875" style="60" customWidth="1"/>
    <col min="6397" max="6397" width="10.140625" style="60" customWidth="1"/>
    <col min="6398" max="6398" width="12.28515625" style="60" customWidth="1"/>
    <col min="6399" max="6399" width="15.42578125" style="60" customWidth="1"/>
    <col min="6400" max="6400" width="11.85546875" style="60" customWidth="1"/>
    <col min="6401" max="6401" width="13.28515625" style="60" customWidth="1"/>
    <col min="6402" max="6402" width="15.28515625" style="60" customWidth="1"/>
    <col min="6403" max="6403" width="11.85546875" style="60" customWidth="1"/>
    <col min="6404" max="6404" width="6.140625" style="60" customWidth="1"/>
    <col min="6405" max="6405" width="11.85546875" style="60" customWidth="1"/>
    <col min="6406" max="6406" width="9.42578125" style="60" customWidth="1"/>
    <col min="6407" max="6407" width="14.7109375" style="60" customWidth="1"/>
    <col min="6408" max="6408" width="11.5703125" style="60" customWidth="1"/>
    <col min="6409" max="6409" width="0.42578125" style="60" customWidth="1"/>
    <col min="6410" max="6410" width="10.5703125" style="60" bestFit="1" customWidth="1"/>
    <col min="6411" max="6411" width="12.28515625" style="60" customWidth="1"/>
    <col min="6412" max="6412" width="12.5703125" style="60" customWidth="1"/>
    <col min="6413" max="6413" width="10.5703125" style="60" customWidth="1"/>
    <col min="6414" max="6414" width="10.140625" style="60" customWidth="1"/>
    <col min="6415" max="6415" width="8.42578125" style="60" customWidth="1"/>
    <col min="6416" max="6416" width="18.85546875" style="60" customWidth="1"/>
    <col min="6417" max="6417" width="10.28515625" style="60" customWidth="1"/>
    <col min="6418" max="6418" width="11.42578125" style="60"/>
    <col min="6419" max="6419" width="12.140625" style="60" customWidth="1"/>
    <col min="6420" max="6420" width="10.5703125" style="60" customWidth="1"/>
    <col min="6421" max="6421" width="12.42578125" style="60" customWidth="1"/>
    <col min="6422" max="6422" width="15.140625" style="60" customWidth="1"/>
    <col min="6423" max="6423" width="13.5703125" style="60" customWidth="1"/>
    <col min="6424" max="6424" width="13.140625" style="60" customWidth="1"/>
    <col min="6425" max="6425" width="15.7109375" style="60" customWidth="1"/>
    <col min="6426" max="6426" width="37.5703125" style="60" customWidth="1"/>
    <col min="6427" max="6648" width="11.42578125" style="60"/>
    <col min="6649" max="6649" width="10.5703125" style="60" customWidth="1"/>
    <col min="6650" max="6650" width="4.85546875" style="60" customWidth="1"/>
    <col min="6651" max="6651" width="32.42578125" style="60" customWidth="1"/>
    <col min="6652" max="6652" width="9.85546875" style="60" customWidth="1"/>
    <col min="6653" max="6653" width="10.140625" style="60" customWidth="1"/>
    <col min="6654" max="6654" width="12.28515625" style="60" customWidth="1"/>
    <col min="6655" max="6655" width="15.42578125" style="60" customWidth="1"/>
    <col min="6656" max="6656" width="11.85546875" style="60" customWidth="1"/>
    <col min="6657" max="6657" width="13.28515625" style="60" customWidth="1"/>
    <col min="6658" max="6658" width="15.28515625" style="60" customWidth="1"/>
    <col min="6659" max="6659" width="11.85546875" style="60" customWidth="1"/>
    <col min="6660" max="6660" width="6.140625" style="60" customWidth="1"/>
    <col min="6661" max="6661" width="11.85546875" style="60" customWidth="1"/>
    <col min="6662" max="6662" width="9.42578125" style="60" customWidth="1"/>
    <col min="6663" max="6663" width="14.7109375" style="60" customWidth="1"/>
    <col min="6664" max="6664" width="11.5703125" style="60" customWidth="1"/>
    <col min="6665" max="6665" width="0.42578125" style="60" customWidth="1"/>
    <col min="6666" max="6666" width="10.5703125" style="60" bestFit="1" customWidth="1"/>
    <col min="6667" max="6667" width="12.28515625" style="60" customWidth="1"/>
    <col min="6668" max="6668" width="12.5703125" style="60" customWidth="1"/>
    <col min="6669" max="6669" width="10.5703125" style="60" customWidth="1"/>
    <col min="6670" max="6670" width="10.140625" style="60" customWidth="1"/>
    <col min="6671" max="6671" width="8.42578125" style="60" customWidth="1"/>
    <col min="6672" max="6672" width="18.85546875" style="60" customWidth="1"/>
    <col min="6673" max="6673" width="10.28515625" style="60" customWidth="1"/>
    <col min="6674" max="6674" width="11.42578125" style="60"/>
    <col min="6675" max="6675" width="12.140625" style="60" customWidth="1"/>
    <col min="6676" max="6676" width="10.5703125" style="60" customWidth="1"/>
    <col min="6677" max="6677" width="12.42578125" style="60" customWidth="1"/>
    <col min="6678" max="6678" width="15.140625" style="60" customWidth="1"/>
    <col min="6679" max="6679" width="13.5703125" style="60" customWidth="1"/>
    <col min="6680" max="6680" width="13.140625" style="60" customWidth="1"/>
    <col min="6681" max="6681" width="15.7109375" style="60" customWidth="1"/>
    <col min="6682" max="6682" width="37.5703125" style="60" customWidth="1"/>
    <col min="6683" max="6904" width="11.42578125" style="60"/>
    <col min="6905" max="6905" width="10.5703125" style="60" customWidth="1"/>
    <col min="6906" max="6906" width="4.85546875" style="60" customWidth="1"/>
    <col min="6907" max="6907" width="32.42578125" style="60" customWidth="1"/>
    <col min="6908" max="6908" width="9.85546875" style="60" customWidth="1"/>
    <col min="6909" max="6909" width="10.140625" style="60" customWidth="1"/>
    <col min="6910" max="6910" width="12.28515625" style="60" customWidth="1"/>
    <col min="6911" max="6911" width="15.42578125" style="60" customWidth="1"/>
    <col min="6912" max="6912" width="11.85546875" style="60" customWidth="1"/>
    <col min="6913" max="6913" width="13.28515625" style="60" customWidth="1"/>
    <col min="6914" max="6914" width="15.28515625" style="60" customWidth="1"/>
    <col min="6915" max="6915" width="11.85546875" style="60" customWidth="1"/>
    <col min="6916" max="6916" width="6.140625" style="60" customWidth="1"/>
    <col min="6917" max="6917" width="11.85546875" style="60" customWidth="1"/>
    <col min="6918" max="6918" width="9.42578125" style="60" customWidth="1"/>
    <col min="6919" max="6919" width="14.7109375" style="60" customWidth="1"/>
    <col min="6920" max="6920" width="11.5703125" style="60" customWidth="1"/>
    <col min="6921" max="6921" width="0.42578125" style="60" customWidth="1"/>
    <col min="6922" max="6922" width="10.5703125" style="60" bestFit="1" customWidth="1"/>
    <col min="6923" max="6923" width="12.28515625" style="60" customWidth="1"/>
    <col min="6924" max="6924" width="12.5703125" style="60" customWidth="1"/>
    <col min="6925" max="6925" width="10.5703125" style="60" customWidth="1"/>
    <col min="6926" max="6926" width="10.140625" style="60" customWidth="1"/>
    <col min="6927" max="6927" width="8.42578125" style="60" customWidth="1"/>
    <col min="6928" max="6928" width="18.85546875" style="60" customWidth="1"/>
    <col min="6929" max="6929" width="10.28515625" style="60" customWidth="1"/>
    <col min="6930" max="6930" width="11.42578125" style="60"/>
    <col min="6931" max="6931" width="12.140625" style="60" customWidth="1"/>
    <col min="6932" max="6932" width="10.5703125" style="60" customWidth="1"/>
    <col min="6933" max="6933" width="12.42578125" style="60" customWidth="1"/>
    <col min="6934" max="6934" width="15.140625" style="60" customWidth="1"/>
    <col min="6935" max="6935" width="13.5703125" style="60" customWidth="1"/>
    <col min="6936" max="6936" width="13.140625" style="60" customWidth="1"/>
    <col min="6937" max="6937" width="15.7109375" style="60" customWidth="1"/>
    <col min="6938" max="6938" width="37.5703125" style="60" customWidth="1"/>
    <col min="6939" max="7160" width="11.42578125" style="60"/>
    <col min="7161" max="7161" width="10.5703125" style="60" customWidth="1"/>
    <col min="7162" max="7162" width="4.85546875" style="60" customWidth="1"/>
    <col min="7163" max="7163" width="32.42578125" style="60" customWidth="1"/>
    <col min="7164" max="7164" width="9.85546875" style="60" customWidth="1"/>
    <col min="7165" max="7165" width="10.140625" style="60" customWidth="1"/>
    <col min="7166" max="7166" width="12.28515625" style="60" customWidth="1"/>
    <col min="7167" max="7167" width="15.42578125" style="60" customWidth="1"/>
    <col min="7168" max="7168" width="11.85546875" style="60" customWidth="1"/>
    <col min="7169" max="7169" width="13.28515625" style="60" customWidth="1"/>
    <col min="7170" max="7170" width="15.28515625" style="60" customWidth="1"/>
    <col min="7171" max="7171" width="11.85546875" style="60" customWidth="1"/>
    <col min="7172" max="7172" width="6.140625" style="60" customWidth="1"/>
    <col min="7173" max="7173" width="11.85546875" style="60" customWidth="1"/>
    <col min="7174" max="7174" width="9.42578125" style="60" customWidth="1"/>
    <col min="7175" max="7175" width="14.7109375" style="60" customWidth="1"/>
    <col min="7176" max="7176" width="11.5703125" style="60" customWidth="1"/>
    <col min="7177" max="7177" width="0.42578125" style="60" customWidth="1"/>
    <col min="7178" max="7178" width="10.5703125" style="60" bestFit="1" customWidth="1"/>
    <col min="7179" max="7179" width="12.28515625" style="60" customWidth="1"/>
    <col min="7180" max="7180" width="12.5703125" style="60" customWidth="1"/>
    <col min="7181" max="7181" width="10.5703125" style="60" customWidth="1"/>
    <col min="7182" max="7182" width="10.140625" style="60" customWidth="1"/>
    <col min="7183" max="7183" width="8.42578125" style="60" customWidth="1"/>
    <col min="7184" max="7184" width="18.85546875" style="60" customWidth="1"/>
    <col min="7185" max="7185" width="10.28515625" style="60" customWidth="1"/>
    <col min="7186" max="7186" width="11.42578125" style="60"/>
    <col min="7187" max="7187" width="12.140625" style="60" customWidth="1"/>
    <col min="7188" max="7188" width="10.5703125" style="60" customWidth="1"/>
    <col min="7189" max="7189" width="12.42578125" style="60" customWidth="1"/>
    <col min="7190" max="7190" width="15.140625" style="60" customWidth="1"/>
    <col min="7191" max="7191" width="13.5703125" style="60" customWidth="1"/>
    <col min="7192" max="7192" width="13.140625" style="60" customWidth="1"/>
    <col min="7193" max="7193" width="15.7109375" style="60" customWidth="1"/>
    <col min="7194" max="7194" width="37.5703125" style="60" customWidth="1"/>
    <col min="7195" max="7416" width="11.42578125" style="60"/>
    <col min="7417" max="7417" width="10.5703125" style="60" customWidth="1"/>
    <col min="7418" max="7418" width="4.85546875" style="60" customWidth="1"/>
    <col min="7419" max="7419" width="32.42578125" style="60" customWidth="1"/>
    <col min="7420" max="7420" width="9.85546875" style="60" customWidth="1"/>
    <col min="7421" max="7421" width="10.140625" style="60" customWidth="1"/>
    <col min="7422" max="7422" width="12.28515625" style="60" customWidth="1"/>
    <col min="7423" max="7423" width="15.42578125" style="60" customWidth="1"/>
    <col min="7424" max="7424" width="11.85546875" style="60" customWidth="1"/>
    <col min="7425" max="7425" width="13.28515625" style="60" customWidth="1"/>
    <col min="7426" max="7426" width="15.28515625" style="60" customWidth="1"/>
    <col min="7427" max="7427" width="11.85546875" style="60" customWidth="1"/>
    <col min="7428" max="7428" width="6.140625" style="60" customWidth="1"/>
    <col min="7429" max="7429" width="11.85546875" style="60" customWidth="1"/>
    <col min="7430" max="7430" width="9.42578125" style="60" customWidth="1"/>
    <col min="7431" max="7431" width="14.7109375" style="60" customWidth="1"/>
    <col min="7432" max="7432" width="11.5703125" style="60" customWidth="1"/>
    <col min="7433" max="7433" width="0.42578125" style="60" customWidth="1"/>
    <col min="7434" max="7434" width="10.5703125" style="60" bestFit="1" customWidth="1"/>
    <col min="7435" max="7435" width="12.28515625" style="60" customWidth="1"/>
    <col min="7436" max="7436" width="12.5703125" style="60" customWidth="1"/>
    <col min="7437" max="7437" width="10.5703125" style="60" customWidth="1"/>
    <col min="7438" max="7438" width="10.140625" style="60" customWidth="1"/>
    <col min="7439" max="7439" width="8.42578125" style="60" customWidth="1"/>
    <col min="7440" max="7440" width="18.85546875" style="60" customWidth="1"/>
    <col min="7441" max="7441" width="10.28515625" style="60" customWidth="1"/>
    <col min="7442" max="7442" width="11.42578125" style="60"/>
    <col min="7443" max="7443" width="12.140625" style="60" customWidth="1"/>
    <col min="7444" max="7444" width="10.5703125" style="60" customWidth="1"/>
    <col min="7445" max="7445" width="12.42578125" style="60" customWidth="1"/>
    <col min="7446" max="7446" width="15.140625" style="60" customWidth="1"/>
    <col min="7447" max="7447" width="13.5703125" style="60" customWidth="1"/>
    <col min="7448" max="7448" width="13.140625" style="60" customWidth="1"/>
    <col min="7449" max="7449" width="15.7109375" style="60" customWidth="1"/>
    <col min="7450" max="7450" width="37.5703125" style="60" customWidth="1"/>
    <col min="7451" max="7672" width="11.42578125" style="60"/>
    <col min="7673" max="7673" width="10.5703125" style="60" customWidth="1"/>
    <col min="7674" max="7674" width="4.85546875" style="60" customWidth="1"/>
    <col min="7675" max="7675" width="32.42578125" style="60" customWidth="1"/>
    <col min="7676" max="7676" width="9.85546875" style="60" customWidth="1"/>
    <col min="7677" max="7677" width="10.140625" style="60" customWidth="1"/>
    <col min="7678" max="7678" width="12.28515625" style="60" customWidth="1"/>
    <col min="7679" max="7679" width="15.42578125" style="60" customWidth="1"/>
    <col min="7680" max="7680" width="11.85546875" style="60" customWidth="1"/>
    <col min="7681" max="7681" width="13.28515625" style="60" customWidth="1"/>
    <col min="7682" max="7682" width="15.28515625" style="60" customWidth="1"/>
    <col min="7683" max="7683" width="11.85546875" style="60" customWidth="1"/>
    <col min="7684" max="7684" width="6.140625" style="60" customWidth="1"/>
    <col min="7685" max="7685" width="11.85546875" style="60" customWidth="1"/>
    <col min="7686" max="7686" width="9.42578125" style="60" customWidth="1"/>
    <col min="7687" max="7687" width="14.7109375" style="60" customWidth="1"/>
    <col min="7688" max="7688" width="11.5703125" style="60" customWidth="1"/>
    <col min="7689" max="7689" width="0.42578125" style="60" customWidth="1"/>
    <col min="7690" max="7690" width="10.5703125" style="60" bestFit="1" customWidth="1"/>
    <col min="7691" max="7691" width="12.28515625" style="60" customWidth="1"/>
    <col min="7692" max="7692" width="12.5703125" style="60" customWidth="1"/>
    <col min="7693" max="7693" width="10.5703125" style="60" customWidth="1"/>
    <col min="7694" max="7694" width="10.140625" style="60" customWidth="1"/>
    <col min="7695" max="7695" width="8.42578125" style="60" customWidth="1"/>
    <col min="7696" max="7696" width="18.85546875" style="60" customWidth="1"/>
    <col min="7697" max="7697" width="10.28515625" style="60" customWidth="1"/>
    <col min="7698" max="7698" width="11.42578125" style="60"/>
    <col min="7699" max="7699" width="12.140625" style="60" customWidth="1"/>
    <col min="7700" max="7700" width="10.5703125" style="60" customWidth="1"/>
    <col min="7701" max="7701" width="12.42578125" style="60" customWidth="1"/>
    <col min="7702" max="7702" width="15.140625" style="60" customWidth="1"/>
    <col min="7703" max="7703" width="13.5703125" style="60" customWidth="1"/>
    <col min="7704" max="7704" width="13.140625" style="60" customWidth="1"/>
    <col min="7705" max="7705" width="15.7109375" style="60" customWidth="1"/>
    <col min="7706" max="7706" width="37.5703125" style="60" customWidth="1"/>
    <col min="7707" max="7928" width="11.42578125" style="60"/>
    <col min="7929" max="7929" width="10.5703125" style="60" customWidth="1"/>
    <col min="7930" max="7930" width="4.85546875" style="60" customWidth="1"/>
    <col min="7931" max="7931" width="32.42578125" style="60" customWidth="1"/>
    <col min="7932" max="7932" width="9.85546875" style="60" customWidth="1"/>
    <col min="7933" max="7933" width="10.140625" style="60" customWidth="1"/>
    <col min="7934" max="7934" width="12.28515625" style="60" customWidth="1"/>
    <col min="7935" max="7935" width="15.42578125" style="60" customWidth="1"/>
    <col min="7936" max="7936" width="11.85546875" style="60" customWidth="1"/>
    <col min="7937" max="7937" width="13.28515625" style="60" customWidth="1"/>
    <col min="7938" max="7938" width="15.28515625" style="60" customWidth="1"/>
    <col min="7939" max="7939" width="11.85546875" style="60" customWidth="1"/>
    <col min="7940" max="7940" width="6.140625" style="60" customWidth="1"/>
    <col min="7941" max="7941" width="11.85546875" style="60" customWidth="1"/>
    <col min="7942" max="7942" width="9.42578125" style="60" customWidth="1"/>
    <col min="7943" max="7943" width="14.7109375" style="60" customWidth="1"/>
    <col min="7944" max="7944" width="11.5703125" style="60" customWidth="1"/>
    <col min="7945" max="7945" width="0.42578125" style="60" customWidth="1"/>
    <col min="7946" max="7946" width="10.5703125" style="60" bestFit="1" customWidth="1"/>
    <col min="7947" max="7947" width="12.28515625" style="60" customWidth="1"/>
    <col min="7948" max="7948" width="12.5703125" style="60" customWidth="1"/>
    <col min="7949" max="7949" width="10.5703125" style="60" customWidth="1"/>
    <col min="7950" max="7950" width="10.140625" style="60" customWidth="1"/>
    <col min="7951" max="7951" width="8.42578125" style="60" customWidth="1"/>
    <col min="7952" max="7952" width="18.85546875" style="60" customWidth="1"/>
    <col min="7953" max="7953" width="10.28515625" style="60" customWidth="1"/>
    <col min="7954" max="7954" width="11.42578125" style="60"/>
    <col min="7955" max="7955" width="12.140625" style="60" customWidth="1"/>
    <col min="7956" max="7956" width="10.5703125" style="60" customWidth="1"/>
    <col min="7957" max="7957" width="12.42578125" style="60" customWidth="1"/>
    <col min="7958" max="7958" width="15.140625" style="60" customWidth="1"/>
    <col min="7959" max="7959" width="13.5703125" style="60" customWidth="1"/>
    <col min="7960" max="7960" width="13.140625" style="60" customWidth="1"/>
    <col min="7961" max="7961" width="15.7109375" style="60" customWidth="1"/>
    <col min="7962" max="7962" width="37.5703125" style="60" customWidth="1"/>
    <col min="7963" max="8184" width="11.42578125" style="60"/>
    <col min="8185" max="8185" width="10.5703125" style="60" customWidth="1"/>
    <col min="8186" max="8186" width="4.85546875" style="60" customWidth="1"/>
    <col min="8187" max="8187" width="32.42578125" style="60" customWidth="1"/>
    <col min="8188" max="8188" width="9.85546875" style="60" customWidth="1"/>
    <col min="8189" max="8189" width="10.140625" style="60" customWidth="1"/>
    <col min="8190" max="8190" width="12.28515625" style="60" customWidth="1"/>
    <col min="8191" max="8191" width="15.42578125" style="60" customWidth="1"/>
    <col min="8192" max="8192" width="11.85546875" style="60" customWidth="1"/>
    <col min="8193" max="8193" width="13.28515625" style="60" customWidth="1"/>
    <col min="8194" max="8194" width="15.28515625" style="60" customWidth="1"/>
    <col min="8195" max="8195" width="11.85546875" style="60" customWidth="1"/>
    <col min="8196" max="8196" width="6.140625" style="60" customWidth="1"/>
    <col min="8197" max="8197" width="11.85546875" style="60" customWidth="1"/>
    <col min="8198" max="8198" width="9.42578125" style="60" customWidth="1"/>
    <col min="8199" max="8199" width="14.7109375" style="60" customWidth="1"/>
    <col min="8200" max="8200" width="11.5703125" style="60" customWidth="1"/>
    <col min="8201" max="8201" width="0.42578125" style="60" customWidth="1"/>
    <col min="8202" max="8202" width="10.5703125" style="60" bestFit="1" customWidth="1"/>
    <col min="8203" max="8203" width="12.28515625" style="60" customWidth="1"/>
    <col min="8204" max="8204" width="12.5703125" style="60" customWidth="1"/>
    <col min="8205" max="8205" width="10.5703125" style="60" customWidth="1"/>
    <col min="8206" max="8206" width="10.140625" style="60" customWidth="1"/>
    <col min="8207" max="8207" width="8.42578125" style="60" customWidth="1"/>
    <col min="8208" max="8208" width="18.85546875" style="60" customWidth="1"/>
    <col min="8209" max="8209" width="10.28515625" style="60" customWidth="1"/>
    <col min="8210" max="8210" width="11.42578125" style="60"/>
    <col min="8211" max="8211" width="12.140625" style="60" customWidth="1"/>
    <col min="8212" max="8212" width="10.5703125" style="60" customWidth="1"/>
    <col min="8213" max="8213" width="12.42578125" style="60" customWidth="1"/>
    <col min="8214" max="8214" width="15.140625" style="60" customWidth="1"/>
    <col min="8215" max="8215" width="13.5703125" style="60" customWidth="1"/>
    <col min="8216" max="8216" width="13.140625" style="60" customWidth="1"/>
    <col min="8217" max="8217" width="15.7109375" style="60" customWidth="1"/>
    <col min="8218" max="8218" width="37.5703125" style="60" customWidth="1"/>
    <col min="8219" max="8440" width="11.42578125" style="60"/>
    <col min="8441" max="8441" width="10.5703125" style="60" customWidth="1"/>
    <col min="8442" max="8442" width="4.85546875" style="60" customWidth="1"/>
    <col min="8443" max="8443" width="32.42578125" style="60" customWidth="1"/>
    <col min="8444" max="8444" width="9.85546875" style="60" customWidth="1"/>
    <col min="8445" max="8445" width="10.140625" style="60" customWidth="1"/>
    <col min="8446" max="8446" width="12.28515625" style="60" customWidth="1"/>
    <col min="8447" max="8447" width="15.42578125" style="60" customWidth="1"/>
    <col min="8448" max="8448" width="11.85546875" style="60" customWidth="1"/>
    <col min="8449" max="8449" width="13.28515625" style="60" customWidth="1"/>
    <col min="8450" max="8450" width="15.28515625" style="60" customWidth="1"/>
    <col min="8451" max="8451" width="11.85546875" style="60" customWidth="1"/>
    <col min="8452" max="8452" width="6.140625" style="60" customWidth="1"/>
    <col min="8453" max="8453" width="11.85546875" style="60" customWidth="1"/>
    <col min="8454" max="8454" width="9.42578125" style="60" customWidth="1"/>
    <col min="8455" max="8455" width="14.7109375" style="60" customWidth="1"/>
    <col min="8456" max="8456" width="11.5703125" style="60" customWidth="1"/>
    <col min="8457" max="8457" width="0.42578125" style="60" customWidth="1"/>
    <col min="8458" max="8458" width="10.5703125" style="60" bestFit="1" customWidth="1"/>
    <col min="8459" max="8459" width="12.28515625" style="60" customWidth="1"/>
    <col min="8460" max="8460" width="12.5703125" style="60" customWidth="1"/>
    <col min="8461" max="8461" width="10.5703125" style="60" customWidth="1"/>
    <col min="8462" max="8462" width="10.140625" style="60" customWidth="1"/>
    <col min="8463" max="8463" width="8.42578125" style="60" customWidth="1"/>
    <col min="8464" max="8464" width="18.85546875" style="60" customWidth="1"/>
    <col min="8465" max="8465" width="10.28515625" style="60" customWidth="1"/>
    <col min="8466" max="8466" width="11.42578125" style="60"/>
    <col min="8467" max="8467" width="12.140625" style="60" customWidth="1"/>
    <col min="8468" max="8468" width="10.5703125" style="60" customWidth="1"/>
    <col min="8469" max="8469" width="12.42578125" style="60" customWidth="1"/>
    <col min="8470" max="8470" width="15.140625" style="60" customWidth="1"/>
    <col min="8471" max="8471" width="13.5703125" style="60" customWidth="1"/>
    <col min="8472" max="8472" width="13.140625" style="60" customWidth="1"/>
    <col min="8473" max="8473" width="15.7109375" style="60" customWidth="1"/>
    <col min="8474" max="8474" width="37.5703125" style="60" customWidth="1"/>
    <col min="8475" max="8696" width="11.42578125" style="60"/>
    <col min="8697" max="8697" width="10.5703125" style="60" customWidth="1"/>
    <col min="8698" max="8698" width="4.85546875" style="60" customWidth="1"/>
    <col min="8699" max="8699" width="32.42578125" style="60" customWidth="1"/>
    <col min="8700" max="8700" width="9.85546875" style="60" customWidth="1"/>
    <col min="8701" max="8701" width="10.140625" style="60" customWidth="1"/>
    <col min="8702" max="8702" width="12.28515625" style="60" customWidth="1"/>
    <col min="8703" max="8703" width="15.42578125" style="60" customWidth="1"/>
    <col min="8704" max="8704" width="11.85546875" style="60" customWidth="1"/>
    <col min="8705" max="8705" width="13.28515625" style="60" customWidth="1"/>
    <col min="8706" max="8706" width="15.28515625" style="60" customWidth="1"/>
    <col min="8707" max="8707" width="11.85546875" style="60" customWidth="1"/>
    <col min="8708" max="8708" width="6.140625" style="60" customWidth="1"/>
    <col min="8709" max="8709" width="11.85546875" style="60" customWidth="1"/>
    <col min="8710" max="8710" width="9.42578125" style="60" customWidth="1"/>
    <col min="8711" max="8711" width="14.7109375" style="60" customWidth="1"/>
    <col min="8712" max="8712" width="11.5703125" style="60" customWidth="1"/>
    <col min="8713" max="8713" width="0.42578125" style="60" customWidth="1"/>
    <col min="8714" max="8714" width="10.5703125" style="60" bestFit="1" customWidth="1"/>
    <col min="8715" max="8715" width="12.28515625" style="60" customWidth="1"/>
    <col min="8716" max="8716" width="12.5703125" style="60" customWidth="1"/>
    <col min="8717" max="8717" width="10.5703125" style="60" customWidth="1"/>
    <col min="8718" max="8718" width="10.140625" style="60" customWidth="1"/>
    <col min="8719" max="8719" width="8.42578125" style="60" customWidth="1"/>
    <col min="8720" max="8720" width="18.85546875" style="60" customWidth="1"/>
    <col min="8721" max="8721" width="10.28515625" style="60" customWidth="1"/>
    <col min="8722" max="8722" width="11.42578125" style="60"/>
    <col min="8723" max="8723" width="12.140625" style="60" customWidth="1"/>
    <col min="8724" max="8724" width="10.5703125" style="60" customWidth="1"/>
    <col min="8725" max="8725" width="12.42578125" style="60" customWidth="1"/>
    <col min="8726" max="8726" width="15.140625" style="60" customWidth="1"/>
    <col min="8727" max="8727" width="13.5703125" style="60" customWidth="1"/>
    <col min="8728" max="8728" width="13.140625" style="60" customWidth="1"/>
    <col min="8729" max="8729" width="15.7109375" style="60" customWidth="1"/>
    <col min="8730" max="8730" width="37.5703125" style="60" customWidth="1"/>
    <col min="8731" max="8952" width="11.42578125" style="60"/>
    <col min="8953" max="8953" width="10.5703125" style="60" customWidth="1"/>
    <col min="8954" max="8954" width="4.85546875" style="60" customWidth="1"/>
    <col min="8955" max="8955" width="32.42578125" style="60" customWidth="1"/>
    <col min="8956" max="8956" width="9.85546875" style="60" customWidth="1"/>
    <col min="8957" max="8957" width="10.140625" style="60" customWidth="1"/>
    <col min="8958" max="8958" width="12.28515625" style="60" customWidth="1"/>
    <col min="8959" max="8959" width="15.42578125" style="60" customWidth="1"/>
    <col min="8960" max="8960" width="11.85546875" style="60" customWidth="1"/>
    <col min="8961" max="8961" width="13.28515625" style="60" customWidth="1"/>
    <col min="8962" max="8962" width="15.28515625" style="60" customWidth="1"/>
    <col min="8963" max="8963" width="11.85546875" style="60" customWidth="1"/>
    <col min="8964" max="8964" width="6.140625" style="60" customWidth="1"/>
    <col min="8965" max="8965" width="11.85546875" style="60" customWidth="1"/>
    <col min="8966" max="8966" width="9.42578125" style="60" customWidth="1"/>
    <col min="8967" max="8967" width="14.7109375" style="60" customWidth="1"/>
    <col min="8968" max="8968" width="11.5703125" style="60" customWidth="1"/>
    <col min="8969" max="8969" width="0.42578125" style="60" customWidth="1"/>
    <col min="8970" max="8970" width="10.5703125" style="60" bestFit="1" customWidth="1"/>
    <col min="8971" max="8971" width="12.28515625" style="60" customWidth="1"/>
    <col min="8972" max="8972" width="12.5703125" style="60" customWidth="1"/>
    <col min="8973" max="8973" width="10.5703125" style="60" customWidth="1"/>
    <col min="8974" max="8974" width="10.140625" style="60" customWidth="1"/>
    <col min="8975" max="8975" width="8.42578125" style="60" customWidth="1"/>
    <col min="8976" max="8976" width="18.85546875" style="60" customWidth="1"/>
    <col min="8977" max="8977" width="10.28515625" style="60" customWidth="1"/>
    <col min="8978" max="8978" width="11.42578125" style="60"/>
    <col min="8979" max="8979" width="12.140625" style="60" customWidth="1"/>
    <col min="8980" max="8980" width="10.5703125" style="60" customWidth="1"/>
    <col min="8981" max="8981" width="12.42578125" style="60" customWidth="1"/>
    <col min="8982" max="8982" width="15.140625" style="60" customWidth="1"/>
    <col min="8983" max="8983" width="13.5703125" style="60" customWidth="1"/>
    <col min="8984" max="8984" width="13.140625" style="60" customWidth="1"/>
    <col min="8985" max="8985" width="15.7109375" style="60" customWidth="1"/>
    <col min="8986" max="8986" width="37.5703125" style="60" customWidth="1"/>
    <col min="8987" max="9208" width="11.42578125" style="60"/>
    <col min="9209" max="9209" width="10.5703125" style="60" customWidth="1"/>
    <col min="9210" max="9210" width="4.85546875" style="60" customWidth="1"/>
    <col min="9211" max="9211" width="32.42578125" style="60" customWidth="1"/>
    <col min="9212" max="9212" width="9.85546875" style="60" customWidth="1"/>
    <col min="9213" max="9213" width="10.140625" style="60" customWidth="1"/>
    <col min="9214" max="9214" width="12.28515625" style="60" customWidth="1"/>
    <col min="9215" max="9215" width="15.42578125" style="60" customWidth="1"/>
    <col min="9216" max="9216" width="11.85546875" style="60" customWidth="1"/>
    <col min="9217" max="9217" width="13.28515625" style="60" customWidth="1"/>
    <col min="9218" max="9218" width="15.28515625" style="60" customWidth="1"/>
    <col min="9219" max="9219" width="11.85546875" style="60" customWidth="1"/>
    <col min="9220" max="9220" width="6.140625" style="60" customWidth="1"/>
    <col min="9221" max="9221" width="11.85546875" style="60" customWidth="1"/>
    <col min="9222" max="9222" width="9.42578125" style="60" customWidth="1"/>
    <col min="9223" max="9223" width="14.7109375" style="60" customWidth="1"/>
    <col min="9224" max="9224" width="11.5703125" style="60" customWidth="1"/>
    <col min="9225" max="9225" width="0.42578125" style="60" customWidth="1"/>
    <col min="9226" max="9226" width="10.5703125" style="60" bestFit="1" customWidth="1"/>
    <col min="9227" max="9227" width="12.28515625" style="60" customWidth="1"/>
    <col min="9228" max="9228" width="12.5703125" style="60" customWidth="1"/>
    <col min="9229" max="9229" width="10.5703125" style="60" customWidth="1"/>
    <col min="9230" max="9230" width="10.140625" style="60" customWidth="1"/>
    <col min="9231" max="9231" width="8.42578125" style="60" customWidth="1"/>
    <col min="9232" max="9232" width="18.85546875" style="60" customWidth="1"/>
    <col min="9233" max="9233" width="10.28515625" style="60" customWidth="1"/>
    <col min="9234" max="9234" width="11.42578125" style="60"/>
    <col min="9235" max="9235" width="12.140625" style="60" customWidth="1"/>
    <col min="9236" max="9236" width="10.5703125" style="60" customWidth="1"/>
    <col min="9237" max="9237" width="12.42578125" style="60" customWidth="1"/>
    <col min="9238" max="9238" width="15.140625" style="60" customWidth="1"/>
    <col min="9239" max="9239" width="13.5703125" style="60" customWidth="1"/>
    <col min="9240" max="9240" width="13.140625" style="60" customWidth="1"/>
    <col min="9241" max="9241" width="15.7109375" style="60" customWidth="1"/>
    <col min="9242" max="9242" width="37.5703125" style="60" customWidth="1"/>
    <col min="9243" max="9464" width="11.42578125" style="60"/>
    <col min="9465" max="9465" width="10.5703125" style="60" customWidth="1"/>
    <col min="9466" max="9466" width="4.85546875" style="60" customWidth="1"/>
    <col min="9467" max="9467" width="32.42578125" style="60" customWidth="1"/>
    <col min="9468" max="9468" width="9.85546875" style="60" customWidth="1"/>
    <col min="9469" max="9469" width="10.140625" style="60" customWidth="1"/>
    <col min="9470" max="9470" width="12.28515625" style="60" customWidth="1"/>
    <col min="9471" max="9471" width="15.42578125" style="60" customWidth="1"/>
    <col min="9472" max="9472" width="11.85546875" style="60" customWidth="1"/>
    <col min="9473" max="9473" width="13.28515625" style="60" customWidth="1"/>
    <col min="9474" max="9474" width="15.28515625" style="60" customWidth="1"/>
    <col min="9475" max="9475" width="11.85546875" style="60" customWidth="1"/>
    <col min="9476" max="9476" width="6.140625" style="60" customWidth="1"/>
    <col min="9477" max="9477" width="11.85546875" style="60" customWidth="1"/>
    <col min="9478" max="9478" width="9.42578125" style="60" customWidth="1"/>
    <col min="9479" max="9479" width="14.7109375" style="60" customWidth="1"/>
    <col min="9480" max="9480" width="11.5703125" style="60" customWidth="1"/>
    <col min="9481" max="9481" width="0.42578125" style="60" customWidth="1"/>
    <col min="9482" max="9482" width="10.5703125" style="60" bestFit="1" customWidth="1"/>
    <col min="9483" max="9483" width="12.28515625" style="60" customWidth="1"/>
    <col min="9484" max="9484" width="12.5703125" style="60" customWidth="1"/>
    <col min="9485" max="9485" width="10.5703125" style="60" customWidth="1"/>
    <col min="9486" max="9486" width="10.140625" style="60" customWidth="1"/>
    <col min="9487" max="9487" width="8.42578125" style="60" customWidth="1"/>
    <col min="9488" max="9488" width="18.85546875" style="60" customWidth="1"/>
    <col min="9489" max="9489" width="10.28515625" style="60" customWidth="1"/>
    <col min="9490" max="9490" width="11.42578125" style="60"/>
    <col min="9491" max="9491" width="12.140625" style="60" customWidth="1"/>
    <col min="9492" max="9492" width="10.5703125" style="60" customWidth="1"/>
    <col min="9493" max="9493" width="12.42578125" style="60" customWidth="1"/>
    <col min="9494" max="9494" width="15.140625" style="60" customWidth="1"/>
    <col min="9495" max="9495" width="13.5703125" style="60" customWidth="1"/>
    <col min="9496" max="9496" width="13.140625" style="60" customWidth="1"/>
    <col min="9497" max="9497" width="15.7109375" style="60" customWidth="1"/>
    <col min="9498" max="9498" width="37.5703125" style="60" customWidth="1"/>
    <col min="9499" max="9720" width="11.42578125" style="60"/>
    <col min="9721" max="9721" width="10.5703125" style="60" customWidth="1"/>
    <col min="9722" max="9722" width="4.85546875" style="60" customWidth="1"/>
    <col min="9723" max="9723" width="32.42578125" style="60" customWidth="1"/>
    <col min="9724" max="9724" width="9.85546875" style="60" customWidth="1"/>
    <col min="9725" max="9725" width="10.140625" style="60" customWidth="1"/>
    <col min="9726" max="9726" width="12.28515625" style="60" customWidth="1"/>
    <col min="9727" max="9727" width="15.42578125" style="60" customWidth="1"/>
    <col min="9728" max="9728" width="11.85546875" style="60" customWidth="1"/>
    <col min="9729" max="9729" width="13.28515625" style="60" customWidth="1"/>
    <col min="9730" max="9730" width="15.28515625" style="60" customWidth="1"/>
    <col min="9731" max="9731" width="11.85546875" style="60" customWidth="1"/>
    <col min="9732" max="9732" width="6.140625" style="60" customWidth="1"/>
    <col min="9733" max="9733" width="11.85546875" style="60" customWidth="1"/>
    <col min="9734" max="9734" width="9.42578125" style="60" customWidth="1"/>
    <col min="9735" max="9735" width="14.7109375" style="60" customWidth="1"/>
    <col min="9736" max="9736" width="11.5703125" style="60" customWidth="1"/>
    <col min="9737" max="9737" width="0.42578125" style="60" customWidth="1"/>
    <col min="9738" max="9738" width="10.5703125" style="60" bestFit="1" customWidth="1"/>
    <col min="9739" max="9739" width="12.28515625" style="60" customWidth="1"/>
    <col min="9740" max="9740" width="12.5703125" style="60" customWidth="1"/>
    <col min="9741" max="9741" width="10.5703125" style="60" customWidth="1"/>
    <col min="9742" max="9742" width="10.140625" style="60" customWidth="1"/>
    <col min="9743" max="9743" width="8.42578125" style="60" customWidth="1"/>
    <col min="9744" max="9744" width="18.85546875" style="60" customWidth="1"/>
    <col min="9745" max="9745" width="10.28515625" style="60" customWidth="1"/>
    <col min="9746" max="9746" width="11.42578125" style="60"/>
    <col min="9747" max="9747" width="12.140625" style="60" customWidth="1"/>
    <col min="9748" max="9748" width="10.5703125" style="60" customWidth="1"/>
    <col min="9749" max="9749" width="12.42578125" style="60" customWidth="1"/>
    <col min="9750" max="9750" width="15.140625" style="60" customWidth="1"/>
    <col min="9751" max="9751" width="13.5703125" style="60" customWidth="1"/>
    <col min="9752" max="9752" width="13.140625" style="60" customWidth="1"/>
    <col min="9753" max="9753" width="15.7109375" style="60" customWidth="1"/>
    <col min="9754" max="9754" width="37.5703125" style="60" customWidth="1"/>
    <col min="9755" max="9976" width="11.42578125" style="60"/>
    <col min="9977" max="9977" width="10.5703125" style="60" customWidth="1"/>
    <col min="9978" max="9978" width="4.85546875" style="60" customWidth="1"/>
    <col min="9979" max="9979" width="32.42578125" style="60" customWidth="1"/>
    <col min="9980" max="9980" width="9.85546875" style="60" customWidth="1"/>
    <col min="9981" max="9981" width="10.140625" style="60" customWidth="1"/>
    <col min="9982" max="9982" width="12.28515625" style="60" customWidth="1"/>
    <col min="9983" max="9983" width="15.42578125" style="60" customWidth="1"/>
    <col min="9984" max="9984" width="11.85546875" style="60" customWidth="1"/>
    <col min="9985" max="9985" width="13.28515625" style="60" customWidth="1"/>
    <col min="9986" max="9986" width="15.28515625" style="60" customWidth="1"/>
    <col min="9987" max="9987" width="11.85546875" style="60" customWidth="1"/>
    <col min="9988" max="9988" width="6.140625" style="60" customWidth="1"/>
    <col min="9989" max="9989" width="11.85546875" style="60" customWidth="1"/>
    <col min="9990" max="9990" width="9.42578125" style="60" customWidth="1"/>
    <col min="9991" max="9991" width="14.7109375" style="60" customWidth="1"/>
    <col min="9992" max="9992" width="11.5703125" style="60" customWidth="1"/>
    <col min="9993" max="9993" width="0.42578125" style="60" customWidth="1"/>
    <col min="9994" max="9994" width="10.5703125" style="60" bestFit="1" customWidth="1"/>
    <col min="9995" max="9995" width="12.28515625" style="60" customWidth="1"/>
    <col min="9996" max="9996" width="12.5703125" style="60" customWidth="1"/>
    <col min="9997" max="9997" width="10.5703125" style="60" customWidth="1"/>
    <col min="9998" max="9998" width="10.140625" style="60" customWidth="1"/>
    <col min="9999" max="9999" width="8.42578125" style="60" customWidth="1"/>
    <col min="10000" max="10000" width="18.85546875" style="60" customWidth="1"/>
    <col min="10001" max="10001" width="10.28515625" style="60" customWidth="1"/>
    <col min="10002" max="10002" width="11.42578125" style="60"/>
    <col min="10003" max="10003" width="12.140625" style="60" customWidth="1"/>
    <col min="10004" max="10004" width="10.5703125" style="60" customWidth="1"/>
    <col min="10005" max="10005" width="12.42578125" style="60" customWidth="1"/>
    <col min="10006" max="10006" width="15.140625" style="60" customWidth="1"/>
    <col min="10007" max="10007" width="13.5703125" style="60" customWidth="1"/>
    <col min="10008" max="10008" width="13.140625" style="60" customWidth="1"/>
    <col min="10009" max="10009" width="15.7109375" style="60" customWidth="1"/>
    <col min="10010" max="10010" width="37.5703125" style="60" customWidth="1"/>
    <col min="10011" max="10232" width="11.42578125" style="60"/>
    <col min="10233" max="10233" width="10.5703125" style="60" customWidth="1"/>
    <col min="10234" max="10234" width="4.85546875" style="60" customWidth="1"/>
    <col min="10235" max="10235" width="32.42578125" style="60" customWidth="1"/>
    <col min="10236" max="10236" width="9.85546875" style="60" customWidth="1"/>
    <col min="10237" max="10237" width="10.140625" style="60" customWidth="1"/>
    <col min="10238" max="10238" width="12.28515625" style="60" customWidth="1"/>
    <col min="10239" max="10239" width="15.42578125" style="60" customWidth="1"/>
    <col min="10240" max="10240" width="11.85546875" style="60" customWidth="1"/>
    <col min="10241" max="10241" width="13.28515625" style="60" customWidth="1"/>
    <col min="10242" max="10242" width="15.28515625" style="60" customWidth="1"/>
    <col min="10243" max="10243" width="11.85546875" style="60" customWidth="1"/>
    <col min="10244" max="10244" width="6.140625" style="60" customWidth="1"/>
    <col min="10245" max="10245" width="11.85546875" style="60" customWidth="1"/>
    <col min="10246" max="10246" width="9.42578125" style="60" customWidth="1"/>
    <col min="10247" max="10247" width="14.7109375" style="60" customWidth="1"/>
    <col min="10248" max="10248" width="11.5703125" style="60" customWidth="1"/>
    <col min="10249" max="10249" width="0.42578125" style="60" customWidth="1"/>
    <col min="10250" max="10250" width="10.5703125" style="60" bestFit="1" customWidth="1"/>
    <col min="10251" max="10251" width="12.28515625" style="60" customWidth="1"/>
    <col min="10252" max="10252" width="12.5703125" style="60" customWidth="1"/>
    <col min="10253" max="10253" width="10.5703125" style="60" customWidth="1"/>
    <col min="10254" max="10254" width="10.140625" style="60" customWidth="1"/>
    <col min="10255" max="10255" width="8.42578125" style="60" customWidth="1"/>
    <col min="10256" max="10256" width="18.85546875" style="60" customWidth="1"/>
    <col min="10257" max="10257" width="10.28515625" style="60" customWidth="1"/>
    <col min="10258" max="10258" width="11.42578125" style="60"/>
    <col min="10259" max="10259" width="12.140625" style="60" customWidth="1"/>
    <col min="10260" max="10260" width="10.5703125" style="60" customWidth="1"/>
    <col min="10261" max="10261" width="12.42578125" style="60" customWidth="1"/>
    <col min="10262" max="10262" width="15.140625" style="60" customWidth="1"/>
    <col min="10263" max="10263" width="13.5703125" style="60" customWidth="1"/>
    <col min="10264" max="10264" width="13.140625" style="60" customWidth="1"/>
    <col min="10265" max="10265" width="15.7109375" style="60" customWidth="1"/>
    <col min="10266" max="10266" width="37.5703125" style="60" customWidth="1"/>
    <col min="10267" max="10488" width="11.42578125" style="60"/>
    <col min="10489" max="10489" width="10.5703125" style="60" customWidth="1"/>
    <col min="10490" max="10490" width="4.85546875" style="60" customWidth="1"/>
    <col min="10491" max="10491" width="32.42578125" style="60" customWidth="1"/>
    <col min="10492" max="10492" width="9.85546875" style="60" customWidth="1"/>
    <col min="10493" max="10493" width="10.140625" style="60" customWidth="1"/>
    <col min="10494" max="10494" width="12.28515625" style="60" customWidth="1"/>
    <col min="10495" max="10495" width="15.42578125" style="60" customWidth="1"/>
    <col min="10496" max="10496" width="11.85546875" style="60" customWidth="1"/>
    <col min="10497" max="10497" width="13.28515625" style="60" customWidth="1"/>
    <col min="10498" max="10498" width="15.28515625" style="60" customWidth="1"/>
    <col min="10499" max="10499" width="11.85546875" style="60" customWidth="1"/>
    <col min="10500" max="10500" width="6.140625" style="60" customWidth="1"/>
    <col min="10501" max="10501" width="11.85546875" style="60" customWidth="1"/>
    <col min="10502" max="10502" width="9.42578125" style="60" customWidth="1"/>
    <col min="10503" max="10503" width="14.7109375" style="60" customWidth="1"/>
    <col min="10504" max="10504" width="11.5703125" style="60" customWidth="1"/>
    <col min="10505" max="10505" width="0.42578125" style="60" customWidth="1"/>
    <col min="10506" max="10506" width="10.5703125" style="60" bestFit="1" customWidth="1"/>
    <col min="10507" max="10507" width="12.28515625" style="60" customWidth="1"/>
    <col min="10508" max="10508" width="12.5703125" style="60" customWidth="1"/>
    <col min="10509" max="10509" width="10.5703125" style="60" customWidth="1"/>
    <col min="10510" max="10510" width="10.140625" style="60" customWidth="1"/>
    <col min="10511" max="10511" width="8.42578125" style="60" customWidth="1"/>
    <col min="10512" max="10512" width="18.85546875" style="60" customWidth="1"/>
    <col min="10513" max="10513" width="10.28515625" style="60" customWidth="1"/>
    <col min="10514" max="10514" width="11.42578125" style="60"/>
    <col min="10515" max="10515" width="12.140625" style="60" customWidth="1"/>
    <col min="10516" max="10516" width="10.5703125" style="60" customWidth="1"/>
    <col min="10517" max="10517" width="12.42578125" style="60" customWidth="1"/>
    <col min="10518" max="10518" width="15.140625" style="60" customWidth="1"/>
    <col min="10519" max="10519" width="13.5703125" style="60" customWidth="1"/>
    <col min="10520" max="10520" width="13.140625" style="60" customWidth="1"/>
    <col min="10521" max="10521" width="15.7109375" style="60" customWidth="1"/>
    <col min="10522" max="10522" width="37.5703125" style="60" customWidth="1"/>
    <col min="10523" max="10744" width="11.42578125" style="60"/>
    <col min="10745" max="10745" width="10.5703125" style="60" customWidth="1"/>
    <col min="10746" max="10746" width="4.85546875" style="60" customWidth="1"/>
    <col min="10747" max="10747" width="32.42578125" style="60" customWidth="1"/>
    <col min="10748" max="10748" width="9.85546875" style="60" customWidth="1"/>
    <col min="10749" max="10749" width="10.140625" style="60" customWidth="1"/>
    <col min="10750" max="10750" width="12.28515625" style="60" customWidth="1"/>
    <col min="10751" max="10751" width="15.42578125" style="60" customWidth="1"/>
    <col min="10752" max="10752" width="11.85546875" style="60" customWidth="1"/>
    <col min="10753" max="10753" width="13.28515625" style="60" customWidth="1"/>
    <col min="10754" max="10754" width="15.28515625" style="60" customWidth="1"/>
    <col min="10755" max="10755" width="11.85546875" style="60" customWidth="1"/>
    <col min="10756" max="10756" width="6.140625" style="60" customWidth="1"/>
    <col min="10757" max="10757" width="11.85546875" style="60" customWidth="1"/>
    <col min="10758" max="10758" width="9.42578125" style="60" customWidth="1"/>
    <col min="10759" max="10759" width="14.7109375" style="60" customWidth="1"/>
    <col min="10760" max="10760" width="11.5703125" style="60" customWidth="1"/>
    <col min="10761" max="10761" width="0.42578125" style="60" customWidth="1"/>
    <col min="10762" max="10762" width="10.5703125" style="60" bestFit="1" customWidth="1"/>
    <col min="10763" max="10763" width="12.28515625" style="60" customWidth="1"/>
    <col min="10764" max="10764" width="12.5703125" style="60" customWidth="1"/>
    <col min="10765" max="10765" width="10.5703125" style="60" customWidth="1"/>
    <col min="10766" max="10766" width="10.140625" style="60" customWidth="1"/>
    <col min="10767" max="10767" width="8.42578125" style="60" customWidth="1"/>
    <col min="10768" max="10768" width="18.85546875" style="60" customWidth="1"/>
    <col min="10769" max="10769" width="10.28515625" style="60" customWidth="1"/>
    <col min="10770" max="10770" width="11.42578125" style="60"/>
    <col min="10771" max="10771" width="12.140625" style="60" customWidth="1"/>
    <col min="10772" max="10772" width="10.5703125" style="60" customWidth="1"/>
    <col min="10773" max="10773" width="12.42578125" style="60" customWidth="1"/>
    <col min="10774" max="10774" width="15.140625" style="60" customWidth="1"/>
    <col min="10775" max="10775" width="13.5703125" style="60" customWidth="1"/>
    <col min="10776" max="10776" width="13.140625" style="60" customWidth="1"/>
    <col min="10777" max="10777" width="15.7109375" style="60" customWidth="1"/>
    <col min="10778" max="10778" width="37.5703125" style="60" customWidth="1"/>
    <col min="10779" max="11000" width="11.42578125" style="60"/>
    <col min="11001" max="11001" width="10.5703125" style="60" customWidth="1"/>
    <col min="11002" max="11002" width="4.85546875" style="60" customWidth="1"/>
    <col min="11003" max="11003" width="32.42578125" style="60" customWidth="1"/>
    <col min="11004" max="11004" width="9.85546875" style="60" customWidth="1"/>
    <col min="11005" max="11005" width="10.140625" style="60" customWidth="1"/>
    <col min="11006" max="11006" width="12.28515625" style="60" customWidth="1"/>
    <col min="11007" max="11007" width="15.42578125" style="60" customWidth="1"/>
    <col min="11008" max="11008" width="11.85546875" style="60" customWidth="1"/>
    <col min="11009" max="11009" width="13.28515625" style="60" customWidth="1"/>
    <col min="11010" max="11010" width="15.28515625" style="60" customWidth="1"/>
    <col min="11011" max="11011" width="11.85546875" style="60" customWidth="1"/>
    <col min="11012" max="11012" width="6.140625" style="60" customWidth="1"/>
    <col min="11013" max="11013" width="11.85546875" style="60" customWidth="1"/>
    <col min="11014" max="11014" width="9.42578125" style="60" customWidth="1"/>
    <col min="11015" max="11015" width="14.7109375" style="60" customWidth="1"/>
    <col min="11016" max="11016" width="11.5703125" style="60" customWidth="1"/>
    <col min="11017" max="11017" width="0.42578125" style="60" customWidth="1"/>
    <col min="11018" max="11018" width="10.5703125" style="60" bestFit="1" customWidth="1"/>
    <col min="11019" max="11019" width="12.28515625" style="60" customWidth="1"/>
    <col min="11020" max="11020" width="12.5703125" style="60" customWidth="1"/>
    <col min="11021" max="11021" width="10.5703125" style="60" customWidth="1"/>
    <col min="11022" max="11022" width="10.140625" style="60" customWidth="1"/>
    <col min="11023" max="11023" width="8.42578125" style="60" customWidth="1"/>
    <col min="11024" max="11024" width="18.85546875" style="60" customWidth="1"/>
    <col min="11025" max="11025" width="10.28515625" style="60" customWidth="1"/>
    <col min="11026" max="11026" width="11.42578125" style="60"/>
    <col min="11027" max="11027" width="12.140625" style="60" customWidth="1"/>
    <col min="11028" max="11028" width="10.5703125" style="60" customWidth="1"/>
    <col min="11029" max="11029" width="12.42578125" style="60" customWidth="1"/>
    <col min="11030" max="11030" width="15.140625" style="60" customWidth="1"/>
    <col min="11031" max="11031" width="13.5703125" style="60" customWidth="1"/>
    <col min="11032" max="11032" width="13.140625" style="60" customWidth="1"/>
    <col min="11033" max="11033" width="15.7109375" style="60" customWidth="1"/>
    <col min="11034" max="11034" width="37.5703125" style="60" customWidth="1"/>
    <col min="11035" max="11256" width="11.42578125" style="60"/>
    <col min="11257" max="11257" width="10.5703125" style="60" customWidth="1"/>
    <col min="11258" max="11258" width="4.85546875" style="60" customWidth="1"/>
    <col min="11259" max="11259" width="32.42578125" style="60" customWidth="1"/>
    <col min="11260" max="11260" width="9.85546875" style="60" customWidth="1"/>
    <col min="11261" max="11261" width="10.140625" style="60" customWidth="1"/>
    <col min="11262" max="11262" width="12.28515625" style="60" customWidth="1"/>
    <col min="11263" max="11263" width="15.42578125" style="60" customWidth="1"/>
    <col min="11264" max="11264" width="11.85546875" style="60" customWidth="1"/>
    <col min="11265" max="11265" width="13.28515625" style="60" customWidth="1"/>
    <col min="11266" max="11266" width="15.28515625" style="60" customWidth="1"/>
    <col min="11267" max="11267" width="11.85546875" style="60" customWidth="1"/>
    <col min="11268" max="11268" width="6.140625" style="60" customWidth="1"/>
    <col min="11269" max="11269" width="11.85546875" style="60" customWidth="1"/>
    <col min="11270" max="11270" width="9.42578125" style="60" customWidth="1"/>
    <col min="11271" max="11271" width="14.7109375" style="60" customWidth="1"/>
    <col min="11272" max="11272" width="11.5703125" style="60" customWidth="1"/>
    <col min="11273" max="11273" width="0.42578125" style="60" customWidth="1"/>
    <col min="11274" max="11274" width="10.5703125" style="60" bestFit="1" customWidth="1"/>
    <col min="11275" max="11275" width="12.28515625" style="60" customWidth="1"/>
    <col min="11276" max="11276" width="12.5703125" style="60" customWidth="1"/>
    <col min="11277" max="11277" width="10.5703125" style="60" customWidth="1"/>
    <col min="11278" max="11278" width="10.140625" style="60" customWidth="1"/>
    <col min="11279" max="11279" width="8.42578125" style="60" customWidth="1"/>
    <col min="11280" max="11280" width="18.85546875" style="60" customWidth="1"/>
    <col min="11281" max="11281" width="10.28515625" style="60" customWidth="1"/>
    <col min="11282" max="11282" width="11.42578125" style="60"/>
    <col min="11283" max="11283" width="12.140625" style="60" customWidth="1"/>
    <col min="11284" max="11284" width="10.5703125" style="60" customWidth="1"/>
    <col min="11285" max="11285" width="12.42578125" style="60" customWidth="1"/>
    <col min="11286" max="11286" width="15.140625" style="60" customWidth="1"/>
    <col min="11287" max="11287" width="13.5703125" style="60" customWidth="1"/>
    <col min="11288" max="11288" width="13.140625" style="60" customWidth="1"/>
    <col min="11289" max="11289" width="15.7109375" style="60" customWidth="1"/>
    <col min="11290" max="11290" width="37.5703125" style="60" customWidth="1"/>
    <col min="11291" max="11512" width="11.42578125" style="60"/>
    <col min="11513" max="11513" width="10.5703125" style="60" customWidth="1"/>
    <col min="11514" max="11514" width="4.85546875" style="60" customWidth="1"/>
    <col min="11515" max="11515" width="32.42578125" style="60" customWidth="1"/>
    <col min="11516" max="11516" width="9.85546875" style="60" customWidth="1"/>
    <col min="11517" max="11517" width="10.140625" style="60" customWidth="1"/>
    <col min="11518" max="11518" width="12.28515625" style="60" customWidth="1"/>
    <col min="11519" max="11519" width="15.42578125" style="60" customWidth="1"/>
    <col min="11520" max="11520" width="11.85546875" style="60" customWidth="1"/>
    <col min="11521" max="11521" width="13.28515625" style="60" customWidth="1"/>
    <col min="11522" max="11522" width="15.28515625" style="60" customWidth="1"/>
    <col min="11523" max="11523" width="11.85546875" style="60" customWidth="1"/>
    <col min="11524" max="11524" width="6.140625" style="60" customWidth="1"/>
    <col min="11525" max="11525" width="11.85546875" style="60" customWidth="1"/>
    <col min="11526" max="11526" width="9.42578125" style="60" customWidth="1"/>
    <col min="11527" max="11527" width="14.7109375" style="60" customWidth="1"/>
    <col min="11528" max="11528" width="11.5703125" style="60" customWidth="1"/>
    <col min="11529" max="11529" width="0.42578125" style="60" customWidth="1"/>
    <col min="11530" max="11530" width="10.5703125" style="60" bestFit="1" customWidth="1"/>
    <col min="11531" max="11531" width="12.28515625" style="60" customWidth="1"/>
    <col min="11532" max="11532" width="12.5703125" style="60" customWidth="1"/>
    <col min="11533" max="11533" width="10.5703125" style="60" customWidth="1"/>
    <col min="11534" max="11534" width="10.140625" style="60" customWidth="1"/>
    <col min="11535" max="11535" width="8.42578125" style="60" customWidth="1"/>
    <col min="11536" max="11536" width="18.85546875" style="60" customWidth="1"/>
    <col min="11537" max="11537" width="10.28515625" style="60" customWidth="1"/>
    <col min="11538" max="11538" width="11.42578125" style="60"/>
    <col min="11539" max="11539" width="12.140625" style="60" customWidth="1"/>
    <col min="11540" max="11540" width="10.5703125" style="60" customWidth="1"/>
    <col min="11541" max="11541" width="12.42578125" style="60" customWidth="1"/>
    <col min="11542" max="11542" width="15.140625" style="60" customWidth="1"/>
    <col min="11543" max="11543" width="13.5703125" style="60" customWidth="1"/>
    <col min="11544" max="11544" width="13.140625" style="60" customWidth="1"/>
    <col min="11545" max="11545" width="15.7109375" style="60" customWidth="1"/>
    <col min="11546" max="11546" width="37.5703125" style="60" customWidth="1"/>
    <col min="11547" max="11768" width="11.42578125" style="60"/>
    <col min="11769" max="11769" width="10.5703125" style="60" customWidth="1"/>
    <col min="11770" max="11770" width="4.85546875" style="60" customWidth="1"/>
    <col min="11771" max="11771" width="32.42578125" style="60" customWidth="1"/>
    <col min="11772" max="11772" width="9.85546875" style="60" customWidth="1"/>
    <col min="11773" max="11773" width="10.140625" style="60" customWidth="1"/>
    <col min="11774" max="11774" width="12.28515625" style="60" customWidth="1"/>
    <col min="11775" max="11775" width="15.42578125" style="60" customWidth="1"/>
    <col min="11776" max="11776" width="11.85546875" style="60" customWidth="1"/>
    <col min="11777" max="11777" width="13.28515625" style="60" customWidth="1"/>
    <col min="11778" max="11778" width="15.28515625" style="60" customWidth="1"/>
    <col min="11779" max="11779" width="11.85546875" style="60" customWidth="1"/>
    <col min="11780" max="11780" width="6.140625" style="60" customWidth="1"/>
    <col min="11781" max="11781" width="11.85546875" style="60" customWidth="1"/>
    <col min="11782" max="11782" width="9.42578125" style="60" customWidth="1"/>
    <col min="11783" max="11783" width="14.7109375" style="60" customWidth="1"/>
    <col min="11784" max="11784" width="11.5703125" style="60" customWidth="1"/>
    <col min="11785" max="11785" width="0.42578125" style="60" customWidth="1"/>
    <col min="11786" max="11786" width="10.5703125" style="60" bestFit="1" customWidth="1"/>
    <col min="11787" max="11787" width="12.28515625" style="60" customWidth="1"/>
    <col min="11788" max="11788" width="12.5703125" style="60" customWidth="1"/>
    <col min="11789" max="11789" width="10.5703125" style="60" customWidth="1"/>
    <col min="11790" max="11790" width="10.140625" style="60" customWidth="1"/>
    <col min="11791" max="11791" width="8.42578125" style="60" customWidth="1"/>
    <col min="11792" max="11792" width="18.85546875" style="60" customWidth="1"/>
    <col min="11793" max="11793" width="10.28515625" style="60" customWidth="1"/>
    <col min="11794" max="11794" width="11.42578125" style="60"/>
    <col min="11795" max="11795" width="12.140625" style="60" customWidth="1"/>
    <col min="11796" max="11796" width="10.5703125" style="60" customWidth="1"/>
    <col min="11797" max="11797" width="12.42578125" style="60" customWidth="1"/>
    <col min="11798" max="11798" width="15.140625" style="60" customWidth="1"/>
    <col min="11799" max="11799" width="13.5703125" style="60" customWidth="1"/>
    <col min="11800" max="11800" width="13.140625" style="60" customWidth="1"/>
    <col min="11801" max="11801" width="15.7109375" style="60" customWidth="1"/>
    <col min="11802" max="11802" width="37.5703125" style="60" customWidth="1"/>
    <col min="11803" max="12024" width="11.42578125" style="60"/>
    <col min="12025" max="12025" width="10.5703125" style="60" customWidth="1"/>
    <col min="12026" max="12026" width="4.85546875" style="60" customWidth="1"/>
    <col min="12027" max="12027" width="32.42578125" style="60" customWidth="1"/>
    <col min="12028" max="12028" width="9.85546875" style="60" customWidth="1"/>
    <col min="12029" max="12029" width="10.140625" style="60" customWidth="1"/>
    <col min="12030" max="12030" width="12.28515625" style="60" customWidth="1"/>
    <col min="12031" max="12031" width="15.42578125" style="60" customWidth="1"/>
    <col min="12032" max="12032" width="11.85546875" style="60" customWidth="1"/>
    <col min="12033" max="12033" width="13.28515625" style="60" customWidth="1"/>
    <col min="12034" max="12034" width="15.28515625" style="60" customWidth="1"/>
    <col min="12035" max="12035" width="11.85546875" style="60" customWidth="1"/>
    <col min="12036" max="12036" width="6.140625" style="60" customWidth="1"/>
    <col min="12037" max="12037" width="11.85546875" style="60" customWidth="1"/>
    <col min="12038" max="12038" width="9.42578125" style="60" customWidth="1"/>
    <col min="12039" max="12039" width="14.7109375" style="60" customWidth="1"/>
    <col min="12040" max="12040" width="11.5703125" style="60" customWidth="1"/>
    <col min="12041" max="12041" width="0.42578125" style="60" customWidth="1"/>
    <col min="12042" max="12042" width="10.5703125" style="60" bestFit="1" customWidth="1"/>
    <col min="12043" max="12043" width="12.28515625" style="60" customWidth="1"/>
    <col min="12044" max="12044" width="12.5703125" style="60" customWidth="1"/>
    <col min="12045" max="12045" width="10.5703125" style="60" customWidth="1"/>
    <col min="12046" max="12046" width="10.140625" style="60" customWidth="1"/>
    <col min="12047" max="12047" width="8.42578125" style="60" customWidth="1"/>
    <col min="12048" max="12048" width="18.85546875" style="60" customWidth="1"/>
    <col min="12049" max="12049" width="10.28515625" style="60" customWidth="1"/>
    <col min="12050" max="12050" width="11.42578125" style="60"/>
    <col min="12051" max="12051" width="12.140625" style="60" customWidth="1"/>
    <col min="12052" max="12052" width="10.5703125" style="60" customWidth="1"/>
    <col min="12053" max="12053" width="12.42578125" style="60" customWidth="1"/>
    <col min="12054" max="12054" width="15.140625" style="60" customWidth="1"/>
    <col min="12055" max="12055" width="13.5703125" style="60" customWidth="1"/>
    <col min="12056" max="12056" width="13.140625" style="60" customWidth="1"/>
    <col min="12057" max="12057" width="15.7109375" style="60" customWidth="1"/>
    <col min="12058" max="12058" width="37.5703125" style="60" customWidth="1"/>
    <col min="12059" max="12280" width="11.42578125" style="60"/>
    <col min="12281" max="12281" width="10.5703125" style="60" customWidth="1"/>
    <col min="12282" max="12282" width="4.85546875" style="60" customWidth="1"/>
    <col min="12283" max="12283" width="32.42578125" style="60" customWidth="1"/>
    <col min="12284" max="12284" width="9.85546875" style="60" customWidth="1"/>
    <col min="12285" max="12285" width="10.140625" style="60" customWidth="1"/>
    <col min="12286" max="12286" width="12.28515625" style="60" customWidth="1"/>
    <col min="12287" max="12287" width="15.42578125" style="60" customWidth="1"/>
    <col min="12288" max="12288" width="11.85546875" style="60" customWidth="1"/>
    <col min="12289" max="12289" width="13.28515625" style="60" customWidth="1"/>
    <col min="12290" max="12290" width="15.28515625" style="60" customWidth="1"/>
    <col min="12291" max="12291" width="11.85546875" style="60" customWidth="1"/>
    <col min="12292" max="12292" width="6.140625" style="60" customWidth="1"/>
    <col min="12293" max="12293" width="11.85546875" style="60" customWidth="1"/>
    <col min="12294" max="12294" width="9.42578125" style="60" customWidth="1"/>
    <col min="12295" max="12295" width="14.7109375" style="60" customWidth="1"/>
    <col min="12296" max="12296" width="11.5703125" style="60" customWidth="1"/>
    <col min="12297" max="12297" width="0.42578125" style="60" customWidth="1"/>
    <col min="12298" max="12298" width="10.5703125" style="60" bestFit="1" customWidth="1"/>
    <col min="12299" max="12299" width="12.28515625" style="60" customWidth="1"/>
    <col min="12300" max="12300" width="12.5703125" style="60" customWidth="1"/>
    <col min="12301" max="12301" width="10.5703125" style="60" customWidth="1"/>
    <col min="12302" max="12302" width="10.140625" style="60" customWidth="1"/>
    <col min="12303" max="12303" width="8.42578125" style="60" customWidth="1"/>
    <col min="12304" max="12304" width="18.85546875" style="60" customWidth="1"/>
    <col min="12305" max="12305" width="10.28515625" style="60" customWidth="1"/>
    <col min="12306" max="12306" width="11.42578125" style="60"/>
    <col min="12307" max="12307" width="12.140625" style="60" customWidth="1"/>
    <col min="12308" max="12308" width="10.5703125" style="60" customWidth="1"/>
    <col min="12309" max="12309" width="12.42578125" style="60" customWidth="1"/>
    <col min="12310" max="12310" width="15.140625" style="60" customWidth="1"/>
    <col min="12311" max="12311" width="13.5703125" style="60" customWidth="1"/>
    <col min="12312" max="12312" width="13.140625" style="60" customWidth="1"/>
    <col min="12313" max="12313" width="15.7109375" style="60" customWidth="1"/>
    <col min="12314" max="12314" width="37.5703125" style="60" customWidth="1"/>
    <col min="12315" max="12536" width="11.42578125" style="60"/>
    <col min="12537" max="12537" width="10.5703125" style="60" customWidth="1"/>
    <col min="12538" max="12538" width="4.85546875" style="60" customWidth="1"/>
    <col min="12539" max="12539" width="32.42578125" style="60" customWidth="1"/>
    <col min="12540" max="12540" width="9.85546875" style="60" customWidth="1"/>
    <col min="12541" max="12541" width="10.140625" style="60" customWidth="1"/>
    <col min="12542" max="12542" width="12.28515625" style="60" customWidth="1"/>
    <col min="12543" max="12543" width="15.42578125" style="60" customWidth="1"/>
    <col min="12544" max="12544" width="11.85546875" style="60" customWidth="1"/>
    <col min="12545" max="12545" width="13.28515625" style="60" customWidth="1"/>
    <col min="12546" max="12546" width="15.28515625" style="60" customWidth="1"/>
    <col min="12547" max="12547" width="11.85546875" style="60" customWidth="1"/>
    <col min="12548" max="12548" width="6.140625" style="60" customWidth="1"/>
    <col min="12549" max="12549" width="11.85546875" style="60" customWidth="1"/>
    <col min="12550" max="12550" width="9.42578125" style="60" customWidth="1"/>
    <col min="12551" max="12551" width="14.7109375" style="60" customWidth="1"/>
    <col min="12552" max="12552" width="11.5703125" style="60" customWidth="1"/>
    <col min="12553" max="12553" width="0.42578125" style="60" customWidth="1"/>
    <col min="12554" max="12554" width="10.5703125" style="60" bestFit="1" customWidth="1"/>
    <col min="12555" max="12555" width="12.28515625" style="60" customWidth="1"/>
    <col min="12556" max="12556" width="12.5703125" style="60" customWidth="1"/>
    <col min="12557" max="12557" width="10.5703125" style="60" customWidth="1"/>
    <col min="12558" max="12558" width="10.140625" style="60" customWidth="1"/>
    <col min="12559" max="12559" width="8.42578125" style="60" customWidth="1"/>
    <col min="12560" max="12560" width="18.85546875" style="60" customWidth="1"/>
    <col min="12561" max="12561" width="10.28515625" style="60" customWidth="1"/>
    <col min="12562" max="12562" width="11.42578125" style="60"/>
    <col min="12563" max="12563" width="12.140625" style="60" customWidth="1"/>
    <col min="12564" max="12564" width="10.5703125" style="60" customWidth="1"/>
    <col min="12565" max="12565" width="12.42578125" style="60" customWidth="1"/>
    <col min="12566" max="12566" width="15.140625" style="60" customWidth="1"/>
    <col min="12567" max="12567" width="13.5703125" style="60" customWidth="1"/>
    <col min="12568" max="12568" width="13.140625" style="60" customWidth="1"/>
    <col min="12569" max="12569" width="15.7109375" style="60" customWidth="1"/>
    <col min="12570" max="12570" width="37.5703125" style="60" customWidth="1"/>
    <col min="12571" max="12792" width="11.42578125" style="60"/>
    <col min="12793" max="12793" width="10.5703125" style="60" customWidth="1"/>
    <col min="12794" max="12794" width="4.85546875" style="60" customWidth="1"/>
    <col min="12795" max="12795" width="32.42578125" style="60" customWidth="1"/>
    <col min="12796" max="12796" width="9.85546875" style="60" customWidth="1"/>
    <col min="12797" max="12797" width="10.140625" style="60" customWidth="1"/>
    <col min="12798" max="12798" width="12.28515625" style="60" customWidth="1"/>
    <col min="12799" max="12799" width="15.42578125" style="60" customWidth="1"/>
    <col min="12800" max="12800" width="11.85546875" style="60" customWidth="1"/>
    <col min="12801" max="12801" width="13.28515625" style="60" customWidth="1"/>
    <col min="12802" max="12802" width="15.28515625" style="60" customWidth="1"/>
    <col min="12803" max="12803" width="11.85546875" style="60" customWidth="1"/>
    <col min="12804" max="12804" width="6.140625" style="60" customWidth="1"/>
    <col min="12805" max="12805" width="11.85546875" style="60" customWidth="1"/>
    <col min="12806" max="12806" width="9.42578125" style="60" customWidth="1"/>
    <col min="12807" max="12807" width="14.7109375" style="60" customWidth="1"/>
    <col min="12808" max="12808" width="11.5703125" style="60" customWidth="1"/>
    <col min="12809" max="12809" width="0.42578125" style="60" customWidth="1"/>
    <col min="12810" max="12810" width="10.5703125" style="60" bestFit="1" customWidth="1"/>
    <col min="12811" max="12811" width="12.28515625" style="60" customWidth="1"/>
    <col min="12812" max="12812" width="12.5703125" style="60" customWidth="1"/>
    <col min="12813" max="12813" width="10.5703125" style="60" customWidth="1"/>
    <col min="12814" max="12814" width="10.140625" style="60" customWidth="1"/>
    <col min="12815" max="12815" width="8.42578125" style="60" customWidth="1"/>
    <col min="12816" max="12816" width="18.85546875" style="60" customWidth="1"/>
    <col min="12817" max="12817" width="10.28515625" style="60" customWidth="1"/>
    <col min="12818" max="12818" width="11.42578125" style="60"/>
    <col min="12819" max="12819" width="12.140625" style="60" customWidth="1"/>
    <col min="12820" max="12820" width="10.5703125" style="60" customWidth="1"/>
    <col min="12821" max="12821" width="12.42578125" style="60" customWidth="1"/>
    <col min="12822" max="12822" width="15.140625" style="60" customWidth="1"/>
    <col min="12823" max="12823" width="13.5703125" style="60" customWidth="1"/>
    <col min="12824" max="12824" width="13.140625" style="60" customWidth="1"/>
    <col min="12825" max="12825" width="15.7109375" style="60" customWidth="1"/>
    <col min="12826" max="12826" width="37.5703125" style="60" customWidth="1"/>
    <col min="12827" max="13048" width="11.42578125" style="60"/>
    <col min="13049" max="13049" width="10.5703125" style="60" customWidth="1"/>
    <col min="13050" max="13050" width="4.85546875" style="60" customWidth="1"/>
    <col min="13051" max="13051" width="32.42578125" style="60" customWidth="1"/>
    <col min="13052" max="13052" width="9.85546875" style="60" customWidth="1"/>
    <col min="13053" max="13053" width="10.140625" style="60" customWidth="1"/>
    <col min="13054" max="13054" width="12.28515625" style="60" customWidth="1"/>
    <col min="13055" max="13055" width="15.42578125" style="60" customWidth="1"/>
    <col min="13056" max="13056" width="11.85546875" style="60" customWidth="1"/>
    <col min="13057" max="13057" width="13.28515625" style="60" customWidth="1"/>
    <col min="13058" max="13058" width="15.28515625" style="60" customWidth="1"/>
    <col min="13059" max="13059" width="11.85546875" style="60" customWidth="1"/>
    <col min="13060" max="13060" width="6.140625" style="60" customWidth="1"/>
    <col min="13061" max="13061" width="11.85546875" style="60" customWidth="1"/>
    <col min="13062" max="13062" width="9.42578125" style="60" customWidth="1"/>
    <col min="13063" max="13063" width="14.7109375" style="60" customWidth="1"/>
    <col min="13064" max="13064" width="11.5703125" style="60" customWidth="1"/>
    <col min="13065" max="13065" width="0.42578125" style="60" customWidth="1"/>
    <col min="13066" max="13066" width="10.5703125" style="60" bestFit="1" customWidth="1"/>
    <col min="13067" max="13067" width="12.28515625" style="60" customWidth="1"/>
    <col min="13068" max="13068" width="12.5703125" style="60" customWidth="1"/>
    <col min="13069" max="13069" width="10.5703125" style="60" customWidth="1"/>
    <col min="13070" max="13070" width="10.140625" style="60" customWidth="1"/>
    <col min="13071" max="13071" width="8.42578125" style="60" customWidth="1"/>
    <col min="13072" max="13072" width="18.85546875" style="60" customWidth="1"/>
    <col min="13073" max="13073" width="10.28515625" style="60" customWidth="1"/>
    <col min="13074" max="13074" width="11.42578125" style="60"/>
    <col min="13075" max="13075" width="12.140625" style="60" customWidth="1"/>
    <col min="13076" max="13076" width="10.5703125" style="60" customWidth="1"/>
    <col min="13077" max="13077" width="12.42578125" style="60" customWidth="1"/>
    <col min="13078" max="13078" width="15.140625" style="60" customWidth="1"/>
    <col min="13079" max="13079" width="13.5703125" style="60" customWidth="1"/>
    <col min="13080" max="13080" width="13.140625" style="60" customWidth="1"/>
    <col min="13081" max="13081" width="15.7109375" style="60" customWidth="1"/>
    <col min="13082" max="13082" width="37.5703125" style="60" customWidth="1"/>
    <col min="13083" max="13304" width="11.42578125" style="60"/>
    <col min="13305" max="13305" width="10.5703125" style="60" customWidth="1"/>
    <col min="13306" max="13306" width="4.85546875" style="60" customWidth="1"/>
    <col min="13307" max="13307" width="32.42578125" style="60" customWidth="1"/>
    <col min="13308" max="13308" width="9.85546875" style="60" customWidth="1"/>
    <col min="13309" max="13309" width="10.140625" style="60" customWidth="1"/>
    <col min="13310" max="13310" width="12.28515625" style="60" customWidth="1"/>
    <col min="13311" max="13311" width="15.42578125" style="60" customWidth="1"/>
    <col min="13312" max="13312" width="11.85546875" style="60" customWidth="1"/>
    <col min="13313" max="13313" width="13.28515625" style="60" customWidth="1"/>
    <col min="13314" max="13314" width="15.28515625" style="60" customWidth="1"/>
    <col min="13315" max="13315" width="11.85546875" style="60" customWidth="1"/>
    <col min="13316" max="13316" width="6.140625" style="60" customWidth="1"/>
    <col min="13317" max="13317" width="11.85546875" style="60" customWidth="1"/>
    <col min="13318" max="13318" width="9.42578125" style="60" customWidth="1"/>
    <col min="13319" max="13319" width="14.7109375" style="60" customWidth="1"/>
    <col min="13320" max="13320" width="11.5703125" style="60" customWidth="1"/>
    <col min="13321" max="13321" width="0.42578125" style="60" customWidth="1"/>
    <col min="13322" max="13322" width="10.5703125" style="60" bestFit="1" customWidth="1"/>
    <col min="13323" max="13323" width="12.28515625" style="60" customWidth="1"/>
    <col min="13324" max="13324" width="12.5703125" style="60" customWidth="1"/>
    <col min="13325" max="13325" width="10.5703125" style="60" customWidth="1"/>
    <col min="13326" max="13326" width="10.140625" style="60" customWidth="1"/>
    <col min="13327" max="13327" width="8.42578125" style="60" customWidth="1"/>
    <col min="13328" max="13328" width="18.85546875" style="60" customWidth="1"/>
    <col min="13329" max="13329" width="10.28515625" style="60" customWidth="1"/>
    <col min="13330" max="13330" width="11.42578125" style="60"/>
    <col min="13331" max="13331" width="12.140625" style="60" customWidth="1"/>
    <col min="13332" max="13332" width="10.5703125" style="60" customWidth="1"/>
    <col min="13333" max="13333" width="12.42578125" style="60" customWidth="1"/>
    <col min="13334" max="13334" width="15.140625" style="60" customWidth="1"/>
    <col min="13335" max="13335" width="13.5703125" style="60" customWidth="1"/>
    <col min="13336" max="13336" width="13.140625" style="60" customWidth="1"/>
    <col min="13337" max="13337" width="15.7109375" style="60" customWidth="1"/>
    <col min="13338" max="13338" width="37.5703125" style="60" customWidth="1"/>
    <col min="13339" max="13560" width="11.42578125" style="60"/>
    <col min="13561" max="13561" width="10.5703125" style="60" customWidth="1"/>
    <col min="13562" max="13562" width="4.85546875" style="60" customWidth="1"/>
    <col min="13563" max="13563" width="32.42578125" style="60" customWidth="1"/>
    <col min="13564" max="13564" width="9.85546875" style="60" customWidth="1"/>
    <col min="13565" max="13565" width="10.140625" style="60" customWidth="1"/>
    <col min="13566" max="13566" width="12.28515625" style="60" customWidth="1"/>
    <col min="13567" max="13567" width="15.42578125" style="60" customWidth="1"/>
    <col min="13568" max="13568" width="11.85546875" style="60" customWidth="1"/>
    <col min="13569" max="13569" width="13.28515625" style="60" customWidth="1"/>
    <col min="13570" max="13570" width="15.28515625" style="60" customWidth="1"/>
    <col min="13571" max="13571" width="11.85546875" style="60" customWidth="1"/>
    <col min="13572" max="13572" width="6.140625" style="60" customWidth="1"/>
    <col min="13573" max="13573" width="11.85546875" style="60" customWidth="1"/>
    <col min="13574" max="13574" width="9.42578125" style="60" customWidth="1"/>
    <col min="13575" max="13575" width="14.7109375" style="60" customWidth="1"/>
    <col min="13576" max="13576" width="11.5703125" style="60" customWidth="1"/>
    <col min="13577" max="13577" width="0.42578125" style="60" customWidth="1"/>
    <col min="13578" max="13578" width="10.5703125" style="60" bestFit="1" customWidth="1"/>
    <col min="13579" max="13579" width="12.28515625" style="60" customWidth="1"/>
    <col min="13580" max="13580" width="12.5703125" style="60" customWidth="1"/>
    <col min="13581" max="13581" width="10.5703125" style="60" customWidth="1"/>
    <col min="13582" max="13582" width="10.140625" style="60" customWidth="1"/>
    <col min="13583" max="13583" width="8.42578125" style="60" customWidth="1"/>
    <col min="13584" max="13584" width="18.85546875" style="60" customWidth="1"/>
    <col min="13585" max="13585" width="10.28515625" style="60" customWidth="1"/>
    <col min="13586" max="13586" width="11.42578125" style="60"/>
    <col min="13587" max="13587" width="12.140625" style="60" customWidth="1"/>
    <col min="13588" max="13588" width="10.5703125" style="60" customWidth="1"/>
    <col min="13589" max="13589" width="12.42578125" style="60" customWidth="1"/>
    <col min="13590" max="13590" width="15.140625" style="60" customWidth="1"/>
    <col min="13591" max="13591" width="13.5703125" style="60" customWidth="1"/>
    <col min="13592" max="13592" width="13.140625" style="60" customWidth="1"/>
    <col min="13593" max="13593" width="15.7109375" style="60" customWidth="1"/>
    <col min="13594" max="13594" width="37.5703125" style="60" customWidth="1"/>
    <col min="13595" max="13816" width="11.42578125" style="60"/>
    <col min="13817" max="13817" width="10.5703125" style="60" customWidth="1"/>
    <col min="13818" max="13818" width="4.85546875" style="60" customWidth="1"/>
    <col min="13819" max="13819" width="32.42578125" style="60" customWidth="1"/>
    <col min="13820" max="13820" width="9.85546875" style="60" customWidth="1"/>
    <col min="13821" max="13821" width="10.140625" style="60" customWidth="1"/>
    <col min="13822" max="13822" width="12.28515625" style="60" customWidth="1"/>
    <col min="13823" max="13823" width="15.42578125" style="60" customWidth="1"/>
    <col min="13824" max="13824" width="11.85546875" style="60" customWidth="1"/>
    <col min="13825" max="13825" width="13.28515625" style="60" customWidth="1"/>
    <col min="13826" max="13826" width="15.28515625" style="60" customWidth="1"/>
    <col min="13827" max="13827" width="11.85546875" style="60" customWidth="1"/>
    <col min="13828" max="13828" width="6.140625" style="60" customWidth="1"/>
    <col min="13829" max="13829" width="11.85546875" style="60" customWidth="1"/>
    <col min="13830" max="13830" width="9.42578125" style="60" customWidth="1"/>
    <col min="13831" max="13831" width="14.7109375" style="60" customWidth="1"/>
    <col min="13832" max="13832" width="11.5703125" style="60" customWidth="1"/>
    <col min="13833" max="13833" width="0.42578125" style="60" customWidth="1"/>
    <col min="13834" max="13834" width="10.5703125" style="60" bestFit="1" customWidth="1"/>
    <col min="13835" max="13835" width="12.28515625" style="60" customWidth="1"/>
    <col min="13836" max="13836" width="12.5703125" style="60" customWidth="1"/>
    <col min="13837" max="13837" width="10.5703125" style="60" customWidth="1"/>
    <col min="13838" max="13838" width="10.140625" style="60" customWidth="1"/>
    <col min="13839" max="13839" width="8.42578125" style="60" customWidth="1"/>
    <col min="13840" max="13840" width="18.85546875" style="60" customWidth="1"/>
    <col min="13841" max="13841" width="10.28515625" style="60" customWidth="1"/>
    <col min="13842" max="13842" width="11.42578125" style="60"/>
    <col min="13843" max="13843" width="12.140625" style="60" customWidth="1"/>
    <col min="13844" max="13844" width="10.5703125" style="60" customWidth="1"/>
    <col min="13845" max="13845" width="12.42578125" style="60" customWidth="1"/>
    <col min="13846" max="13846" width="15.140625" style="60" customWidth="1"/>
    <col min="13847" max="13847" width="13.5703125" style="60" customWidth="1"/>
    <col min="13848" max="13848" width="13.140625" style="60" customWidth="1"/>
    <col min="13849" max="13849" width="15.7109375" style="60" customWidth="1"/>
    <col min="13850" max="13850" width="37.5703125" style="60" customWidth="1"/>
    <col min="13851" max="14072" width="11.42578125" style="60"/>
    <col min="14073" max="14073" width="10.5703125" style="60" customWidth="1"/>
    <col min="14074" max="14074" width="4.85546875" style="60" customWidth="1"/>
    <col min="14075" max="14075" width="32.42578125" style="60" customWidth="1"/>
    <col min="14076" max="14076" width="9.85546875" style="60" customWidth="1"/>
    <col min="14077" max="14077" width="10.140625" style="60" customWidth="1"/>
    <col min="14078" max="14078" width="12.28515625" style="60" customWidth="1"/>
    <col min="14079" max="14079" width="15.42578125" style="60" customWidth="1"/>
    <col min="14080" max="14080" width="11.85546875" style="60" customWidth="1"/>
    <col min="14081" max="14081" width="13.28515625" style="60" customWidth="1"/>
    <col min="14082" max="14082" width="15.28515625" style="60" customWidth="1"/>
    <col min="14083" max="14083" width="11.85546875" style="60" customWidth="1"/>
    <col min="14084" max="14084" width="6.140625" style="60" customWidth="1"/>
    <col min="14085" max="14085" width="11.85546875" style="60" customWidth="1"/>
    <col min="14086" max="14086" width="9.42578125" style="60" customWidth="1"/>
    <col min="14087" max="14087" width="14.7109375" style="60" customWidth="1"/>
    <col min="14088" max="14088" width="11.5703125" style="60" customWidth="1"/>
    <col min="14089" max="14089" width="0.42578125" style="60" customWidth="1"/>
    <col min="14090" max="14090" width="10.5703125" style="60" bestFit="1" customWidth="1"/>
    <col min="14091" max="14091" width="12.28515625" style="60" customWidth="1"/>
    <col min="14092" max="14092" width="12.5703125" style="60" customWidth="1"/>
    <col min="14093" max="14093" width="10.5703125" style="60" customWidth="1"/>
    <col min="14094" max="14094" width="10.140625" style="60" customWidth="1"/>
    <col min="14095" max="14095" width="8.42578125" style="60" customWidth="1"/>
    <col min="14096" max="14096" width="18.85546875" style="60" customWidth="1"/>
    <col min="14097" max="14097" width="10.28515625" style="60" customWidth="1"/>
    <col min="14098" max="14098" width="11.42578125" style="60"/>
    <col min="14099" max="14099" width="12.140625" style="60" customWidth="1"/>
    <col min="14100" max="14100" width="10.5703125" style="60" customWidth="1"/>
    <col min="14101" max="14101" width="12.42578125" style="60" customWidth="1"/>
    <col min="14102" max="14102" width="15.140625" style="60" customWidth="1"/>
    <col min="14103" max="14103" width="13.5703125" style="60" customWidth="1"/>
    <col min="14104" max="14104" width="13.140625" style="60" customWidth="1"/>
    <col min="14105" max="14105" width="15.7109375" style="60" customWidth="1"/>
    <col min="14106" max="14106" width="37.5703125" style="60" customWidth="1"/>
    <col min="14107" max="14328" width="11.42578125" style="60"/>
    <col min="14329" max="14329" width="10.5703125" style="60" customWidth="1"/>
    <col min="14330" max="14330" width="4.85546875" style="60" customWidth="1"/>
    <col min="14331" max="14331" width="32.42578125" style="60" customWidth="1"/>
    <col min="14332" max="14332" width="9.85546875" style="60" customWidth="1"/>
    <col min="14333" max="14333" width="10.140625" style="60" customWidth="1"/>
    <col min="14334" max="14334" width="12.28515625" style="60" customWidth="1"/>
    <col min="14335" max="14335" width="15.42578125" style="60" customWidth="1"/>
    <col min="14336" max="14336" width="11.85546875" style="60" customWidth="1"/>
    <col min="14337" max="14337" width="13.28515625" style="60" customWidth="1"/>
    <col min="14338" max="14338" width="15.28515625" style="60" customWidth="1"/>
    <col min="14339" max="14339" width="11.85546875" style="60" customWidth="1"/>
    <col min="14340" max="14340" width="6.140625" style="60" customWidth="1"/>
    <col min="14341" max="14341" width="11.85546875" style="60" customWidth="1"/>
    <col min="14342" max="14342" width="9.42578125" style="60" customWidth="1"/>
    <col min="14343" max="14343" width="14.7109375" style="60" customWidth="1"/>
    <col min="14344" max="14344" width="11.5703125" style="60" customWidth="1"/>
    <col min="14345" max="14345" width="0.42578125" style="60" customWidth="1"/>
    <col min="14346" max="14346" width="10.5703125" style="60" bestFit="1" customWidth="1"/>
    <col min="14347" max="14347" width="12.28515625" style="60" customWidth="1"/>
    <col min="14348" max="14348" width="12.5703125" style="60" customWidth="1"/>
    <col min="14349" max="14349" width="10.5703125" style="60" customWidth="1"/>
    <col min="14350" max="14350" width="10.140625" style="60" customWidth="1"/>
    <col min="14351" max="14351" width="8.42578125" style="60" customWidth="1"/>
    <col min="14352" max="14352" width="18.85546875" style="60" customWidth="1"/>
    <col min="14353" max="14353" width="10.28515625" style="60" customWidth="1"/>
    <col min="14354" max="14354" width="11.42578125" style="60"/>
    <col min="14355" max="14355" width="12.140625" style="60" customWidth="1"/>
    <col min="14356" max="14356" width="10.5703125" style="60" customWidth="1"/>
    <col min="14357" max="14357" width="12.42578125" style="60" customWidth="1"/>
    <col min="14358" max="14358" width="15.140625" style="60" customWidth="1"/>
    <col min="14359" max="14359" width="13.5703125" style="60" customWidth="1"/>
    <col min="14360" max="14360" width="13.140625" style="60" customWidth="1"/>
    <col min="14361" max="14361" width="15.7109375" style="60" customWidth="1"/>
    <col min="14362" max="14362" width="37.5703125" style="60" customWidth="1"/>
    <col min="14363" max="14584" width="11.42578125" style="60"/>
    <col min="14585" max="14585" width="10.5703125" style="60" customWidth="1"/>
    <col min="14586" max="14586" width="4.85546875" style="60" customWidth="1"/>
    <col min="14587" max="14587" width="32.42578125" style="60" customWidth="1"/>
    <col min="14588" max="14588" width="9.85546875" style="60" customWidth="1"/>
    <col min="14589" max="14589" width="10.140625" style="60" customWidth="1"/>
    <col min="14590" max="14590" width="12.28515625" style="60" customWidth="1"/>
    <col min="14591" max="14591" width="15.42578125" style="60" customWidth="1"/>
    <col min="14592" max="14592" width="11.85546875" style="60" customWidth="1"/>
    <col min="14593" max="14593" width="13.28515625" style="60" customWidth="1"/>
    <col min="14594" max="14594" width="15.28515625" style="60" customWidth="1"/>
    <col min="14595" max="14595" width="11.85546875" style="60" customWidth="1"/>
    <col min="14596" max="14596" width="6.140625" style="60" customWidth="1"/>
    <col min="14597" max="14597" width="11.85546875" style="60" customWidth="1"/>
    <col min="14598" max="14598" width="9.42578125" style="60" customWidth="1"/>
    <col min="14599" max="14599" width="14.7109375" style="60" customWidth="1"/>
    <col min="14600" max="14600" width="11.5703125" style="60" customWidth="1"/>
    <col min="14601" max="14601" width="0.42578125" style="60" customWidth="1"/>
    <col min="14602" max="14602" width="10.5703125" style="60" bestFit="1" customWidth="1"/>
    <col min="14603" max="14603" width="12.28515625" style="60" customWidth="1"/>
    <col min="14604" max="14604" width="12.5703125" style="60" customWidth="1"/>
    <col min="14605" max="14605" width="10.5703125" style="60" customWidth="1"/>
    <col min="14606" max="14606" width="10.140625" style="60" customWidth="1"/>
    <col min="14607" max="14607" width="8.42578125" style="60" customWidth="1"/>
    <col min="14608" max="14608" width="18.85546875" style="60" customWidth="1"/>
    <col min="14609" max="14609" width="10.28515625" style="60" customWidth="1"/>
    <col min="14610" max="14610" width="11.42578125" style="60"/>
    <col min="14611" max="14611" width="12.140625" style="60" customWidth="1"/>
    <col min="14612" max="14612" width="10.5703125" style="60" customWidth="1"/>
    <col min="14613" max="14613" width="12.42578125" style="60" customWidth="1"/>
    <col min="14614" max="14614" width="15.140625" style="60" customWidth="1"/>
    <col min="14615" max="14615" width="13.5703125" style="60" customWidth="1"/>
    <col min="14616" max="14616" width="13.140625" style="60" customWidth="1"/>
    <col min="14617" max="14617" width="15.7109375" style="60" customWidth="1"/>
    <col min="14618" max="14618" width="37.5703125" style="60" customWidth="1"/>
    <col min="14619" max="14840" width="11.42578125" style="60"/>
    <col min="14841" max="14841" width="10.5703125" style="60" customWidth="1"/>
    <col min="14842" max="14842" width="4.85546875" style="60" customWidth="1"/>
    <col min="14843" max="14843" width="32.42578125" style="60" customWidth="1"/>
    <col min="14844" max="14844" width="9.85546875" style="60" customWidth="1"/>
    <col min="14845" max="14845" width="10.140625" style="60" customWidth="1"/>
    <col min="14846" max="14846" width="12.28515625" style="60" customWidth="1"/>
    <col min="14847" max="14847" width="15.42578125" style="60" customWidth="1"/>
    <col min="14848" max="14848" width="11.85546875" style="60" customWidth="1"/>
    <col min="14849" max="14849" width="13.28515625" style="60" customWidth="1"/>
    <col min="14850" max="14850" width="15.28515625" style="60" customWidth="1"/>
    <col min="14851" max="14851" width="11.85546875" style="60" customWidth="1"/>
    <col min="14852" max="14852" width="6.140625" style="60" customWidth="1"/>
    <col min="14853" max="14853" width="11.85546875" style="60" customWidth="1"/>
    <col min="14854" max="14854" width="9.42578125" style="60" customWidth="1"/>
    <col min="14855" max="14855" width="14.7109375" style="60" customWidth="1"/>
    <col min="14856" max="14856" width="11.5703125" style="60" customWidth="1"/>
    <col min="14857" max="14857" width="0.42578125" style="60" customWidth="1"/>
    <col min="14858" max="14858" width="10.5703125" style="60" bestFit="1" customWidth="1"/>
    <col min="14859" max="14859" width="12.28515625" style="60" customWidth="1"/>
    <col min="14860" max="14860" width="12.5703125" style="60" customWidth="1"/>
    <col min="14861" max="14861" width="10.5703125" style="60" customWidth="1"/>
    <col min="14862" max="14862" width="10.140625" style="60" customWidth="1"/>
    <col min="14863" max="14863" width="8.42578125" style="60" customWidth="1"/>
    <col min="14864" max="14864" width="18.85546875" style="60" customWidth="1"/>
    <col min="14865" max="14865" width="10.28515625" style="60" customWidth="1"/>
    <col min="14866" max="14866" width="11.42578125" style="60"/>
    <col min="14867" max="14867" width="12.140625" style="60" customWidth="1"/>
    <col min="14868" max="14868" width="10.5703125" style="60" customWidth="1"/>
    <col min="14869" max="14869" width="12.42578125" style="60" customWidth="1"/>
    <col min="14870" max="14870" width="15.140625" style="60" customWidth="1"/>
    <col min="14871" max="14871" width="13.5703125" style="60" customWidth="1"/>
    <col min="14872" max="14872" width="13.140625" style="60" customWidth="1"/>
    <col min="14873" max="14873" width="15.7109375" style="60" customWidth="1"/>
    <col min="14874" max="14874" width="37.5703125" style="60" customWidth="1"/>
    <col min="14875" max="15096" width="11.42578125" style="60"/>
    <col min="15097" max="15097" width="10.5703125" style="60" customWidth="1"/>
    <col min="15098" max="15098" width="4.85546875" style="60" customWidth="1"/>
    <col min="15099" max="15099" width="32.42578125" style="60" customWidth="1"/>
    <col min="15100" max="15100" width="9.85546875" style="60" customWidth="1"/>
    <col min="15101" max="15101" width="10.140625" style="60" customWidth="1"/>
    <col min="15102" max="15102" width="12.28515625" style="60" customWidth="1"/>
    <col min="15103" max="15103" width="15.42578125" style="60" customWidth="1"/>
    <col min="15104" max="15104" width="11.85546875" style="60" customWidth="1"/>
    <col min="15105" max="15105" width="13.28515625" style="60" customWidth="1"/>
    <col min="15106" max="15106" width="15.28515625" style="60" customWidth="1"/>
    <col min="15107" max="15107" width="11.85546875" style="60" customWidth="1"/>
    <col min="15108" max="15108" width="6.140625" style="60" customWidth="1"/>
    <col min="15109" max="15109" width="11.85546875" style="60" customWidth="1"/>
    <col min="15110" max="15110" width="9.42578125" style="60" customWidth="1"/>
    <col min="15111" max="15111" width="14.7109375" style="60" customWidth="1"/>
    <col min="15112" max="15112" width="11.5703125" style="60" customWidth="1"/>
    <col min="15113" max="15113" width="0.42578125" style="60" customWidth="1"/>
    <col min="15114" max="15114" width="10.5703125" style="60" bestFit="1" customWidth="1"/>
    <col min="15115" max="15115" width="12.28515625" style="60" customWidth="1"/>
    <col min="15116" max="15116" width="12.5703125" style="60" customWidth="1"/>
    <col min="15117" max="15117" width="10.5703125" style="60" customWidth="1"/>
    <col min="15118" max="15118" width="10.140625" style="60" customWidth="1"/>
    <col min="15119" max="15119" width="8.42578125" style="60" customWidth="1"/>
    <col min="15120" max="15120" width="18.85546875" style="60" customWidth="1"/>
    <col min="15121" max="15121" width="10.28515625" style="60" customWidth="1"/>
    <col min="15122" max="15122" width="11.42578125" style="60"/>
    <col min="15123" max="15123" width="12.140625" style="60" customWidth="1"/>
    <col min="15124" max="15124" width="10.5703125" style="60" customWidth="1"/>
    <col min="15125" max="15125" width="12.42578125" style="60" customWidth="1"/>
    <col min="15126" max="15126" width="15.140625" style="60" customWidth="1"/>
    <col min="15127" max="15127" width="13.5703125" style="60" customWidth="1"/>
    <col min="15128" max="15128" width="13.140625" style="60" customWidth="1"/>
    <col min="15129" max="15129" width="15.7109375" style="60" customWidth="1"/>
    <col min="15130" max="15130" width="37.5703125" style="60" customWidth="1"/>
    <col min="15131" max="15352" width="11.42578125" style="60"/>
    <col min="15353" max="15353" width="10.5703125" style="60" customWidth="1"/>
    <col min="15354" max="15354" width="4.85546875" style="60" customWidth="1"/>
    <col min="15355" max="15355" width="32.42578125" style="60" customWidth="1"/>
    <col min="15356" max="15356" width="9.85546875" style="60" customWidth="1"/>
    <col min="15357" max="15357" width="10.140625" style="60" customWidth="1"/>
    <col min="15358" max="15358" width="12.28515625" style="60" customWidth="1"/>
    <col min="15359" max="15359" width="15.42578125" style="60" customWidth="1"/>
    <col min="15360" max="15360" width="11.85546875" style="60" customWidth="1"/>
    <col min="15361" max="15361" width="13.28515625" style="60" customWidth="1"/>
    <col min="15362" max="15362" width="15.28515625" style="60" customWidth="1"/>
    <col min="15363" max="15363" width="11.85546875" style="60" customWidth="1"/>
    <col min="15364" max="15364" width="6.140625" style="60" customWidth="1"/>
    <col min="15365" max="15365" width="11.85546875" style="60" customWidth="1"/>
    <col min="15366" max="15366" width="9.42578125" style="60" customWidth="1"/>
    <col min="15367" max="15367" width="14.7109375" style="60" customWidth="1"/>
    <col min="15368" max="15368" width="11.5703125" style="60" customWidth="1"/>
    <col min="15369" max="15369" width="0.42578125" style="60" customWidth="1"/>
    <col min="15370" max="15370" width="10.5703125" style="60" bestFit="1" customWidth="1"/>
    <col min="15371" max="15371" width="12.28515625" style="60" customWidth="1"/>
    <col min="15372" max="15372" width="12.5703125" style="60" customWidth="1"/>
    <col min="15373" max="15373" width="10.5703125" style="60" customWidth="1"/>
    <col min="15374" max="15374" width="10.140625" style="60" customWidth="1"/>
    <col min="15375" max="15375" width="8.42578125" style="60" customWidth="1"/>
    <col min="15376" max="15376" width="18.85546875" style="60" customWidth="1"/>
    <col min="15377" max="15377" width="10.28515625" style="60" customWidth="1"/>
    <col min="15378" max="15378" width="11.42578125" style="60"/>
    <col min="15379" max="15379" width="12.140625" style="60" customWidth="1"/>
    <col min="15380" max="15380" width="10.5703125" style="60" customWidth="1"/>
    <col min="15381" max="15381" width="12.42578125" style="60" customWidth="1"/>
    <col min="15382" max="15382" width="15.140625" style="60" customWidth="1"/>
    <col min="15383" max="15383" width="13.5703125" style="60" customWidth="1"/>
    <col min="15384" max="15384" width="13.140625" style="60" customWidth="1"/>
    <col min="15385" max="15385" width="15.7109375" style="60" customWidth="1"/>
    <col min="15386" max="15386" width="37.5703125" style="60" customWidth="1"/>
    <col min="15387" max="15608" width="11.42578125" style="60"/>
    <col min="15609" max="15609" width="10.5703125" style="60" customWidth="1"/>
    <col min="15610" max="15610" width="4.85546875" style="60" customWidth="1"/>
    <col min="15611" max="15611" width="32.42578125" style="60" customWidth="1"/>
    <col min="15612" max="15612" width="9.85546875" style="60" customWidth="1"/>
    <col min="15613" max="15613" width="10.140625" style="60" customWidth="1"/>
    <col min="15614" max="15614" width="12.28515625" style="60" customWidth="1"/>
    <col min="15615" max="15615" width="15.42578125" style="60" customWidth="1"/>
    <col min="15616" max="15616" width="11.85546875" style="60" customWidth="1"/>
    <col min="15617" max="15617" width="13.28515625" style="60" customWidth="1"/>
    <col min="15618" max="15618" width="15.28515625" style="60" customWidth="1"/>
    <col min="15619" max="15619" width="11.85546875" style="60" customWidth="1"/>
    <col min="15620" max="15620" width="6.140625" style="60" customWidth="1"/>
    <col min="15621" max="15621" width="11.85546875" style="60" customWidth="1"/>
    <col min="15622" max="15622" width="9.42578125" style="60" customWidth="1"/>
    <col min="15623" max="15623" width="14.7109375" style="60" customWidth="1"/>
    <col min="15624" max="15624" width="11.5703125" style="60" customWidth="1"/>
    <col min="15625" max="15625" width="0.42578125" style="60" customWidth="1"/>
    <col min="15626" max="15626" width="10.5703125" style="60" bestFit="1" customWidth="1"/>
    <col min="15627" max="15627" width="12.28515625" style="60" customWidth="1"/>
    <col min="15628" max="15628" width="12.5703125" style="60" customWidth="1"/>
    <col min="15629" max="15629" width="10.5703125" style="60" customWidth="1"/>
    <col min="15630" max="15630" width="10.140625" style="60" customWidth="1"/>
    <col min="15631" max="15631" width="8.42578125" style="60" customWidth="1"/>
    <col min="15632" max="15632" width="18.85546875" style="60" customWidth="1"/>
    <col min="15633" max="15633" width="10.28515625" style="60" customWidth="1"/>
    <col min="15634" max="15634" width="11.42578125" style="60"/>
    <col min="15635" max="15635" width="12.140625" style="60" customWidth="1"/>
    <col min="15636" max="15636" width="10.5703125" style="60" customWidth="1"/>
    <col min="15637" max="15637" width="12.42578125" style="60" customWidth="1"/>
    <col min="15638" max="15638" width="15.140625" style="60" customWidth="1"/>
    <col min="15639" max="15639" width="13.5703125" style="60" customWidth="1"/>
    <col min="15640" max="15640" width="13.140625" style="60" customWidth="1"/>
    <col min="15641" max="15641" width="15.7109375" style="60" customWidth="1"/>
    <col min="15642" max="15642" width="37.5703125" style="60" customWidth="1"/>
    <col min="15643" max="15864" width="11.42578125" style="60"/>
    <col min="15865" max="15865" width="10.5703125" style="60" customWidth="1"/>
    <col min="15866" max="15866" width="4.85546875" style="60" customWidth="1"/>
    <col min="15867" max="15867" width="32.42578125" style="60" customWidth="1"/>
    <col min="15868" max="15868" width="9.85546875" style="60" customWidth="1"/>
    <col min="15869" max="15869" width="10.140625" style="60" customWidth="1"/>
    <col min="15870" max="15870" width="12.28515625" style="60" customWidth="1"/>
    <col min="15871" max="15871" width="15.42578125" style="60" customWidth="1"/>
    <col min="15872" max="15872" width="11.85546875" style="60" customWidth="1"/>
    <col min="15873" max="15873" width="13.28515625" style="60" customWidth="1"/>
    <col min="15874" max="15874" width="15.28515625" style="60" customWidth="1"/>
    <col min="15875" max="15875" width="11.85546875" style="60" customWidth="1"/>
    <col min="15876" max="15876" width="6.140625" style="60" customWidth="1"/>
    <col min="15877" max="15877" width="11.85546875" style="60" customWidth="1"/>
    <col min="15878" max="15878" width="9.42578125" style="60" customWidth="1"/>
    <col min="15879" max="15879" width="14.7109375" style="60" customWidth="1"/>
    <col min="15880" max="15880" width="11.5703125" style="60" customWidth="1"/>
    <col min="15881" max="15881" width="0.42578125" style="60" customWidth="1"/>
    <col min="15882" max="15882" width="10.5703125" style="60" bestFit="1" customWidth="1"/>
    <col min="15883" max="15883" width="12.28515625" style="60" customWidth="1"/>
    <col min="15884" max="15884" width="12.5703125" style="60" customWidth="1"/>
    <col min="15885" max="15885" width="10.5703125" style="60" customWidth="1"/>
    <col min="15886" max="15886" width="10.140625" style="60" customWidth="1"/>
    <col min="15887" max="15887" width="8.42578125" style="60" customWidth="1"/>
    <col min="15888" max="15888" width="18.85546875" style="60" customWidth="1"/>
    <col min="15889" max="15889" width="10.28515625" style="60" customWidth="1"/>
    <col min="15890" max="15890" width="11.42578125" style="60"/>
    <col min="15891" max="15891" width="12.140625" style="60" customWidth="1"/>
    <col min="15892" max="15892" width="10.5703125" style="60" customWidth="1"/>
    <col min="15893" max="15893" width="12.42578125" style="60" customWidth="1"/>
    <col min="15894" max="15894" width="15.140625" style="60" customWidth="1"/>
    <col min="15895" max="15895" width="13.5703125" style="60" customWidth="1"/>
    <col min="15896" max="15896" width="13.140625" style="60" customWidth="1"/>
    <col min="15897" max="15897" width="15.7109375" style="60" customWidth="1"/>
    <col min="15898" max="15898" width="37.5703125" style="60" customWidth="1"/>
    <col min="15899" max="16120" width="11.42578125" style="60"/>
    <col min="16121" max="16121" width="10.5703125" style="60" customWidth="1"/>
    <col min="16122" max="16122" width="4.85546875" style="60" customWidth="1"/>
    <col min="16123" max="16123" width="32.42578125" style="60" customWidth="1"/>
    <col min="16124" max="16124" width="9.85546875" style="60" customWidth="1"/>
    <col min="16125" max="16125" width="10.140625" style="60" customWidth="1"/>
    <col min="16126" max="16126" width="12.28515625" style="60" customWidth="1"/>
    <col min="16127" max="16127" width="15.42578125" style="60" customWidth="1"/>
    <col min="16128" max="16128" width="11.85546875" style="60" customWidth="1"/>
    <col min="16129" max="16129" width="13.28515625" style="60" customWidth="1"/>
    <col min="16130" max="16130" width="15.28515625" style="60" customWidth="1"/>
    <col min="16131" max="16131" width="11.85546875" style="60" customWidth="1"/>
    <col min="16132" max="16132" width="6.140625" style="60" customWidth="1"/>
    <col min="16133" max="16133" width="11.85546875" style="60" customWidth="1"/>
    <col min="16134" max="16134" width="9.42578125" style="60" customWidth="1"/>
    <col min="16135" max="16135" width="14.7109375" style="60" customWidth="1"/>
    <col min="16136" max="16136" width="11.5703125" style="60" customWidth="1"/>
    <col min="16137" max="16137" width="0.42578125" style="60" customWidth="1"/>
    <col min="16138" max="16138" width="10.5703125" style="60" bestFit="1" customWidth="1"/>
    <col min="16139" max="16139" width="12.28515625" style="60" customWidth="1"/>
    <col min="16140" max="16140" width="12.5703125" style="60" customWidth="1"/>
    <col min="16141" max="16141" width="10.5703125" style="60" customWidth="1"/>
    <col min="16142" max="16142" width="10.140625" style="60" customWidth="1"/>
    <col min="16143" max="16143" width="8.42578125" style="60" customWidth="1"/>
    <col min="16144" max="16144" width="18.85546875" style="60" customWidth="1"/>
    <col min="16145" max="16145" width="10.28515625" style="60" customWidth="1"/>
    <col min="16146" max="16146" width="11.42578125" style="60"/>
    <col min="16147" max="16147" width="12.140625" style="60" customWidth="1"/>
    <col min="16148" max="16148" width="10.5703125" style="60" customWidth="1"/>
    <col min="16149" max="16149" width="12.42578125" style="60" customWidth="1"/>
    <col min="16150" max="16150" width="15.140625" style="60" customWidth="1"/>
    <col min="16151" max="16151" width="13.5703125" style="60" customWidth="1"/>
    <col min="16152" max="16152" width="13.140625" style="60" customWidth="1"/>
    <col min="16153" max="16153" width="15.7109375" style="60" customWidth="1"/>
    <col min="16154" max="16154" width="37.5703125" style="60" customWidth="1"/>
    <col min="16155" max="16384" width="11.42578125" style="60"/>
  </cols>
  <sheetData>
    <row r="1" spans="1:26" x14ac:dyDescent="0.25">
      <c r="C1" s="61" t="s">
        <v>147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8"/>
      <c r="Y1" s="62"/>
      <c r="Z1" s="8"/>
    </row>
    <row r="2" spans="1:26" x14ac:dyDescent="0.25">
      <c r="C2" s="9" t="s">
        <v>1</v>
      </c>
      <c r="D2" s="8"/>
      <c r="E2" s="85" t="s">
        <v>2</v>
      </c>
      <c r="F2" s="85"/>
      <c r="G2" s="85"/>
      <c r="H2" s="85"/>
      <c r="I2" s="85"/>
      <c r="J2" s="85"/>
      <c r="K2" s="85"/>
      <c r="L2" s="85"/>
      <c r="M2" s="85"/>
      <c r="N2" s="85" t="s">
        <v>3</v>
      </c>
      <c r="O2" s="85"/>
      <c r="P2" s="85"/>
      <c r="Q2" s="85"/>
      <c r="R2" s="85"/>
      <c r="S2" s="85"/>
      <c r="T2" s="85"/>
      <c r="U2" s="85"/>
      <c r="V2" s="85"/>
      <c r="W2" s="8"/>
      <c r="X2" s="8"/>
      <c r="Y2" s="62"/>
      <c r="Z2" s="8"/>
    </row>
    <row r="3" spans="1:26" ht="24.95" customHeight="1" x14ac:dyDescent="0.25">
      <c r="B3" s="2" t="s">
        <v>4</v>
      </c>
      <c r="C3" s="2" t="s">
        <v>5</v>
      </c>
      <c r="D3" s="2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144</v>
      </c>
      <c r="J3" s="3" t="s">
        <v>12</v>
      </c>
      <c r="K3" s="3" t="s">
        <v>13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2" t="s">
        <v>26</v>
      </c>
      <c r="X3" s="2"/>
      <c r="Y3" s="86"/>
      <c r="Z3" s="2" t="s">
        <v>27</v>
      </c>
    </row>
    <row r="4" spans="1:26" s="13" customFormat="1" ht="24.95" customHeight="1" x14ac:dyDescent="0.25">
      <c r="A4" s="63" t="s">
        <v>28</v>
      </c>
      <c r="B4" s="2">
        <v>1</v>
      </c>
      <c r="C4" s="1" t="s">
        <v>145</v>
      </c>
      <c r="D4" s="1"/>
      <c r="E4" s="3">
        <v>4500000</v>
      </c>
      <c r="F4" s="3">
        <v>30</v>
      </c>
      <c r="G4" s="3">
        <f>+E4/30*F4</f>
        <v>4500000</v>
      </c>
      <c r="H4" s="3"/>
      <c r="I4" s="3"/>
      <c r="J4" s="3"/>
      <c r="K4" s="3"/>
      <c r="L4" s="3"/>
      <c r="M4" s="3">
        <f>+G4+L4+K4+J4+I4+H4</f>
        <v>4500000</v>
      </c>
      <c r="N4" s="3">
        <f>+E4*0.04</f>
        <v>180000</v>
      </c>
      <c r="O4" s="3">
        <f>+E4*0.05</f>
        <v>225000</v>
      </c>
      <c r="P4" s="3"/>
      <c r="Q4" s="3"/>
      <c r="R4" s="3"/>
      <c r="S4" s="3"/>
      <c r="T4" s="3"/>
      <c r="U4" s="3"/>
      <c r="V4" s="4">
        <f>SUM(N4:U4)</f>
        <v>405000</v>
      </c>
      <c r="W4" s="5">
        <f>+M4-V4</f>
        <v>4095000</v>
      </c>
      <c r="X4" s="5"/>
      <c r="Y4" s="62"/>
      <c r="Z4" s="5">
        <f t="shared" ref="Z4:Z67" si="0">W4+X4-Y4</f>
        <v>4095000</v>
      </c>
    </row>
    <row r="5" spans="1:26" ht="24.95" customHeight="1" x14ac:dyDescent="0.25">
      <c r="A5" s="63"/>
      <c r="B5" s="2">
        <v>2</v>
      </c>
      <c r="C5" s="1" t="s">
        <v>29</v>
      </c>
      <c r="D5" s="2" t="s">
        <v>30</v>
      </c>
      <c r="E5" s="4">
        <v>4500000</v>
      </c>
      <c r="F5" s="3">
        <v>30</v>
      </c>
      <c r="G5" s="3">
        <f>+E5-L5</f>
        <v>3900000</v>
      </c>
      <c r="H5" s="4"/>
      <c r="I5" s="4"/>
      <c r="J5" s="4"/>
      <c r="K5" s="4">
        <v>500000</v>
      </c>
      <c r="L5" s="4">
        <v>600000</v>
      </c>
      <c r="M5" s="4">
        <f>+G5+H5+J5+K5+L5+I5</f>
        <v>5000000</v>
      </c>
      <c r="N5" s="4">
        <f>+E5*4%</f>
        <v>180000</v>
      </c>
      <c r="O5" s="4">
        <f>+E5*5%</f>
        <v>225000</v>
      </c>
      <c r="P5" s="4"/>
      <c r="Q5" s="4"/>
      <c r="R5" s="4">
        <v>30672</v>
      </c>
      <c r="S5" s="4"/>
      <c r="T5" s="4"/>
      <c r="U5" s="4"/>
      <c r="V5" s="4">
        <f t="shared" ref="V5:V10" si="1">SUM(N5:U5)</f>
        <v>435672</v>
      </c>
      <c r="W5" s="5">
        <f>+M5-V5</f>
        <v>4564328</v>
      </c>
      <c r="X5" s="5"/>
      <c r="Y5" s="62"/>
      <c r="Z5" s="5">
        <f t="shared" si="0"/>
        <v>4564328</v>
      </c>
    </row>
    <row r="6" spans="1:26" ht="24.95" customHeight="1" x14ac:dyDescent="0.25">
      <c r="A6" s="63"/>
      <c r="B6" s="2">
        <v>3</v>
      </c>
      <c r="C6" s="1" t="s">
        <v>32</v>
      </c>
      <c r="D6" s="2" t="s">
        <v>30</v>
      </c>
      <c r="E6" s="4">
        <v>6000000</v>
      </c>
      <c r="F6" s="3">
        <v>30</v>
      </c>
      <c r="G6" s="3">
        <f t="shared" ref="G6:G73" si="2">+E6/30*F6</f>
        <v>6000000</v>
      </c>
      <c r="H6" s="4"/>
      <c r="I6" s="4"/>
      <c r="J6" s="4"/>
      <c r="K6" s="4">
        <v>600000</v>
      </c>
      <c r="L6" s="4"/>
      <c r="M6" s="4">
        <f t="shared" ref="M6:M73" si="3">+G6+H6+J6+K6+L6+I6</f>
        <v>6600000</v>
      </c>
      <c r="N6" s="4">
        <f>E6*4%</f>
        <v>240000</v>
      </c>
      <c r="O6" s="4">
        <f>E6*5%</f>
        <v>300000</v>
      </c>
      <c r="P6" s="4"/>
      <c r="Q6" s="4"/>
      <c r="R6" s="4">
        <v>102000</v>
      </c>
      <c r="S6" s="4"/>
      <c r="T6" s="4"/>
      <c r="U6" s="4">
        <v>1212777</v>
      </c>
      <c r="V6" s="4">
        <f t="shared" si="1"/>
        <v>1854777</v>
      </c>
      <c r="W6" s="5">
        <f t="shared" ref="W6:W7" si="4">+M6-V6</f>
        <v>4745223</v>
      </c>
      <c r="X6" s="5"/>
      <c r="Y6" s="62"/>
      <c r="Z6" s="5">
        <f t="shared" si="0"/>
        <v>4745223</v>
      </c>
    </row>
    <row r="7" spans="1:26" ht="24.95" customHeight="1" x14ac:dyDescent="0.25">
      <c r="A7" s="63"/>
      <c r="B7" s="2">
        <v>4</v>
      </c>
      <c r="C7" s="1" t="s">
        <v>33</v>
      </c>
      <c r="D7" s="2" t="s">
        <v>30</v>
      </c>
      <c r="E7" s="4">
        <v>5492319</v>
      </c>
      <c r="F7" s="3">
        <v>30</v>
      </c>
      <c r="G7" s="3">
        <f t="shared" si="2"/>
        <v>5492319</v>
      </c>
      <c r="H7" s="4"/>
      <c r="I7" s="4"/>
      <c r="J7" s="4"/>
      <c r="K7" s="4"/>
      <c r="L7" s="4"/>
      <c r="M7" s="4">
        <f t="shared" si="3"/>
        <v>5492319</v>
      </c>
      <c r="N7" s="4">
        <f t="shared" ref="N7:N14" si="5">+E7*4%</f>
        <v>219692.76</v>
      </c>
      <c r="O7" s="4">
        <f t="shared" ref="O7:O12" si="6">+E7*5%</f>
        <v>274615.95</v>
      </c>
      <c r="P7" s="4"/>
      <c r="Q7" s="4"/>
      <c r="R7" s="7">
        <v>98000</v>
      </c>
      <c r="S7" s="4"/>
      <c r="T7" s="4"/>
      <c r="U7" s="4">
        <v>726520</v>
      </c>
      <c r="V7" s="4">
        <f t="shared" si="1"/>
        <v>1318828.71</v>
      </c>
      <c r="W7" s="5">
        <f t="shared" si="4"/>
        <v>4173490.29</v>
      </c>
      <c r="X7" s="5"/>
      <c r="Y7" s="62"/>
      <c r="Z7" s="5">
        <f t="shared" si="0"/>
        <v>4173490.29</v>
      </c>
    </row>
    <row r="8" spans="1:26" ht="24.95" customHeight="1" x14ac:dyDescent="0.25">
      <c r="A8" s="63"/>
      <c r="B8" s="2">
        <v>5</v>
      </c>
      <c r="C8" s="1" t="s">
        <v>34</v>
      </c>
      <c r="D8" s="2" t="s">
        <v>30</v>
      </c>
      <c r="E8" s="4">
        <v>5000000</v>
      </c>
      <c r="F8" s="3">
        <v>30</v>
      </c>
      <c r="G8" s="3">
        <f t="shared" si="2"/>
        <v>5000000</v>
      </c>
      <c r="H8" s="4"/>
      <c r="I8" s="4">
        <v>0</v>
      </c>
      <c r="J8" s="4"/>
      <c r="K8" s="4"/>
      <c r="L8" s="4"/>
      <c r="M8" s="4">
        <f t="shared" si="3"/>
        <v>5000000</v>
      </c>
      <c r="N8" s="4">
        <f t="shared" si="5"/>
        <v>200000</v>
      </c>
      <c r="O8" s="4">
        <f t="shared" si="6"/>
        <v>250000</v>
      </c>
      <c r="P8" s="4"/>
      <c r="Q8" s="4"/>
      <c r="R8" s="7">
        <v>21409</v>
      </c>
      <c r="S8" s="4">
        <v>500000</v>
      </c>
      <c r="T8" s="4">
        <v>111000</v>
      </c>
      <c r="U8" s="4"/>
      <c r="V8" s="4">
        <f t="shared" si="1"/>
        <v>1082409</v>
      </c>
      <c r="W8" s="5">
        <f>+M8-V8</f>
        <v>3917591</v>
      </c>
      <c r="X8" s="5"/>
      <c r="Y8" s="62"/>
      <c r="Z8" s="5">
        <f t="shared" si="0"/>
        <v>3917591</v>
      </c>
    </row>
    <row r="9" spans="1:26" ht="24.95" customHeight="1" x14ac:dyDescent="0.25">
      <c r="A9" s="63"/>
      <c r="B9" s="2">
        <v>6</v>
      </c>
      <c r="C9" s="1" t="s">
        <v>35</v>
      </c>
      <c r="D9" s="2" t="s">
        <v>30</v>
      </c>
      <c r="E9" s="4">
        <v>5300000</v>
      </c>
      <c r="F9" s="3">
        <v>30</v>
      </c>
      <c r="G9" s="3">
        <f t="shared" si="2"/>
        <v>5300000</v>
      </c>
      <c r="H9" s="4"/>
      <c r="I9" s="4"/>
      <c r="J9" s="4"/>
      <c r="K9" s="4">
        <v>2012670</v>
      </c>
      <c r="L9" s="4"/>
      <c r="M9" s="4">
        <f t="shared" si="3"/>
        <v>7312670</v>
      </c>
      <c r="N9" s="4">
        <f t="shared" si="5"/>
        <v>212000</v>
      </c>
      <c r="O9" s="4">
        <f t="shared" si="6"/>
        <v>265000</v>
      </c>
      <c r="P9" s="4"/>
      <c r="Q9" s="4"/>
      <c r="R9" s="4">
        <v>50000</v>
      </c>
      <c r="S9" s="4">
        <v>700000</v>
      </c>
      <c r="T9" s="4"/>
      <c r="U9" s="4"/>
      <c r="V9" s="4">
        <f t="shared" si="1"/>
        <v>1227000</v>
      </c>
      <c r="W9" s="5">
        <f>+M9-V9</f>
        <v>6085670</v>
      </c>
      <c r="X9" s="5"/>
      <c r="Y9" s="62"/>
      <c r="Z9" s="5">
        <f t="shared" si="0"/>
        <v>6085670</v>
      </c>
    </row>
    <row r="10" spans="1:26" ht="24.95" customHeight="1" x14ac:dyDescent="0.25">
      <c r="A10" s="63"/>
      <c r="B10" s="2">
        <v>7</v>
      </c>
      <c r="C10" s="1" t="s">
        <v>36</v>
      </c>
      <c r="D10" s="2" t="s">
        <v>30</v>
      </c>
      <c r="E10" s="4">
        <v>5200000</v>
      </c>
      <c r="F10" s="3">
        <v>30</v>
      </c>
      <c r="G10" s="3">
        <f>+E10-L10</f>
        <v>3986667</v>
      </c>
      <c r="H10" s="4"/>
      <c r="I10" s="4">
        <v>0</v>
      </c>
      <c r="J10" s="4"/>
      <c r="K10" s="4"/>
      <c r="L10" s="4">
        <v>1213333</v>
      </c>
      <c r="M10" s="4">
        <f t="shared" si="3"/>
        <v>5200000</v>
      </c>
      <c r="N10" s="4">
        <f>+E10*4%</f>
        <v>208000</v>
      </c>
      <c r="O10" s="4">
        <f>+E10*5%</f>
        <v>260000</v>
      </c>
      <c r="P10" s="4"/>
      <c r="Q10" s="4"/>
      <c r="R10" s="4">
        <v>0</v>
      </c>
      <c r="S10" s="4"/>
      <c r="T10" s="4"/>
      <c r="U10" s="4">
        <f>945750+420786</f>
        <v>1366536</v>
      </c>
      <c r="V10" s="4">
        <f t="shared" si="1"/>
        <v>1834536</v>
      </c>
      <c r="W10" s="5">
        <f>M10-V10</f>
        <v>3365464</v>
      </c>
      <c r="X10" s="5"/>
      <c r="Y10" s="62"/>
      <c r="Z10" s="5">
        <f t="shared" si="0"/>
        <v>3365464</v>
      </c>
    </row>
    <row r="11" spans="1:26" ht="24.95" customHeight="1" x14ac:dyDescent="0.25">
      <c r="A11" s="63"/>
      <c r="B11" s="2">
        <v>8</v>
      </c>
      <c r="C11" s="1" t="s">
        <v>37</v>
      </c>
      <c r="D11" s="2" t="s">
        <v>30</v>
      </c>
      <c r="E11" s="4">
        <v>4800000</v>
      </c>
      <c r="F11" s="3">
        <v>30</v>
      </c>
      <c r="G11" s="3">
        <f t="shared" si="2"/>
        <v>4800000</v>
      </c>
      <c r="H11" s="4"/>
      <c r="I11" s="4"/>
      <c r="J11" s="4"/>
      <c r="K11" s="4"/>
      <c r="L11" s="4"/>
      <c r="M11" s="4">
        <f t="shared" si="3"/>
        <v>4800000</v>
      </c>
      <c r="N11" s="4">
        <f t="shared" si="5"/>
        <v>192000</v>
      </c>
      <c r="O11" s="4">
        <f t="shared" si="6"/>
        <v>240000</v>
      </c>
      <c r="P11" s="4"/>
      <c r="Q11" s="4"/>
      <c r="R11" s="4">
        <v>0</v>
      </c>
      <c r="S11" s="4"/>
      <c r="T11" s="4"/>
      <c r="U11" s="4"/>
      <c r="V11" s="4">
        <f t="shared" ref="V11:V56" si="7">SUM(N11:U11)</f>
        <v>432000</v>
      </c>
      <c r="W11" s="5">
        <f>M11-V11</f>
        <v>4368000</v>
      </c>
      <c r="X11" s="5"/>
      <c r="Y11" s="62"/>
      <c r="Z11" s="5">
        <f t="shared" si="0"/>
        <v>4368000</v>
      </c>
    </row>
    <row r="12" spans="1:26" ht="24.95" customHeight="1" x14ac:dyDescent="0.25">
      <c r="A12" s="63"/>
      <c r="B12" s="2">
        <v>9</v>
      </c>
      <c r="C12" s="1" t="s">
        <v>38</v>
      </c>
      <c r="D12" s="2" t="s">
        <v>30</v>
      </c>
      <c r="E12" s="4">
        <v>5725000</v>
      </c>
      <c r="F12" s="3">
        <v>30</v>
      </c>
      <c r="G12" s="3">
        <f>+E12-L12</f>
        <v>4770833</v>
      </c>
      <c r="H12" s="4"/>
      <c r="I12" s="4"/>
      <c r="J12" s="4"/>
      <c r="K12" s="4"/>
      <c r="L12" s="4">
        <v>954167</v>
      </c>
      <c r="M12" s="4">
        <f t="shared" si="3"/>
        <v>5725000</v>
      </c>
      <c r="N12" s="4">
        <f t="shared" si="5"/>
        <v>229000</v>
      </c>
      <c r="O12" s="4">
        <f t="shared" si="6"/>
        <v>286250</v>
      </c>
      <c r="P12" s="4"/>
      <c r="Q12" s="4">
        <v>2781617</v>
      </c>
      <c r="R12" s="4">
        <v>0</v>
      </c>
      <c r="S12" s="4"/>
      <c r="T12" s="4"/>
      <c r="U12" s="4"/>
      <c r="V12" s="4">
        <f t="shared" si="7"/>
        <v>3296867</v>
      </c>
      <c r="W12" s="5">
        <f t="shared" ref="W12:W20" si="8">+M12-V12</f>
        <v>2428133</v>
      </c>
      <c r="X12" s="5"/>
      <c r="Y12" s="62"/>
      <c r="Z12" s="5">
        <f t="shared" si="0"/>
        <v>2428133</v>
      </c>
    </row>
    <row r="13" spans="1:26" ht="24.95" customHeight="1" x14ac:dyDescent="0.25">
      <c r="A13" s="63"/>
      <c r="B13" s="2">
        <v>10</v>
      </c>
      <c r="C13" s="1" t="s">
        <v>39</v>
      </c>
      <c r="D13" s="2" t="s">
        <v>30</v>
      </c>
      <c r="E13" s="4">
        <v>4500000</v>
      </c>
      <c r="F13" s="3">
        <v>30</v>
      </c>
      <c r="G13" s="3">
        <f>+E13-J13</f>
        <v>4200000</v>
      </c>
      <c r="H13" s="4"/>
      <c r="I13" s="4"/>
      <c r="J13" s="4">
        <v>300000</v>
      </c>
      <c r="K13" s="4"/>
      <c r="L13" s="4"/>
      <c r="M13" s="4">
        <f t="shared" si="3"/>
        <v>4500000</v>
      </c>
      <c r="N13" s="4">
        <f t="shared" si="5"/>
        <v>180000</v>
      </c>
      <c r="O13" s="4">
        <f>+G13*5%</f>
        <v>210000</v>
      </c>
      <c r="P13" s="4"/>
      <c r="Q13" s="4"/>
      <c r="R13" s="7">
        <v>0</v>
      </c>
      <c r="S13" s="4"/>
      <c r="T13" s="4"/>
      <c r="U13" s="4"/>
      <c r="V13" s="4">
        <f t="shared" si="7"/>
        <v>390000</v>
      </c>
      <c r="W13" s="5">
        <f t="shared" si="8"/>
        <v>4110000</v>
      </c>
      <c r="X13" s="5"/>
      <c r="Y13" s="62"/>
      <c r="Z13" s="5">
        <f t="shared" si="0"/>
        <v>4110000</v>
      </c>
    </row>
    <row r="14" spans="1:26" ht="24.95" customHeight="1" x14ac:dyDescent="0.25">
      <c r="A14" s="63"/>
      <c r="B14" s="2">
        <v>11</v>
      </c>
      <c r="C14" s="9" t="s">
        <v>40</v>
      </c>
      <c r="D14" s="8" t="s">
        <v>30</v>
      </c>
      <c r="E14" s="4">
        <v>4800000</v>
      </c>
      <c r="F14" s="3">
        <v>30</v>
      </c>
      <c r="G14" s="3">
        <f t="shared" si="2"/>
        <v>4800000</v>
      </c>
      <c r="H14" s="4"/>
      <c r="I14" s="4"/>
      <c r="J14" s="4"/>
      <c r="K14" s="4"/>
      <c r="L14" s="4"/>
      <c r="M14" s="4">
        <f t="shared" si="3"/>
        <v>4800000</v>
      </c>
      <c r="N14" s="4">
        <f t="shared" si="5"/>
        <v>192000</v>
      </c>
      <c r="O14" s="4">
        <f>+E14*0.05</f>
        <v>240000</v>
      </c>
      <c r="P14" s="4"/>
      <c r="Q14" s="4"/>
      <c r="R14" s="4">
        <v>0</v>
      </c>
      <c r="S14" s="4"/>
      <c r="T14" s="4"/>
      <c r="U14" s="4"/>
      <c r="V14" s="4">
        <f t="shared" si="7"/>
        <v>432000</v>
      </c>
      <c r="W14" s="5">
        <f t="shared" si="8"/>
        <v>4368000</v>
      </c>
      <c r="X14" s="5"/>
      <c r="Y14" s="62"/>
      <c r="Z14" s="5">
        <f t="shared" si="0"/>
        <v>4368000</v>
      </c>
    </row>
    <row r="15" spans="1:26" ht="24.95" customHeight="1" x14ac:dyDescent="0.25">
      <c r="A15" s="63"/>
      <c r="B15" s="2">
        <v>12</v>
      </c>
      <c r="C15" s="9" t="s">
        <v>41</v>
      </c>
      <c r="D15" s="8" t="s">
        <v>30</v>
      </c>
      <c r="E15" s="4">
        <v>4685000</v>
      </c>
      <c r="F15" s="3">
        <v>30</v>
      </c>
      <c r="G15" s="3">
        <f t="shared" si="2"/>
        <v>4685000</v>
      </c>
      <c r="H15" s="4"/>
      <c r="I15" s="4"/>
      <c r="J15" s="4"/>
      <c r="K15" s="4">
        <v>0</v>
      </c>
      <c r="L15" s="4"/>
      <c r="M15" s="4">
        <f>+G15+H15+J15+K15+L15+I15</f>
        <v>4685000</v>
      </c>
      <c r="N15" s="4">
        <f>+E15*4%</f>
        <v>187400</v>
      </c>
      <c r="O15" s="4">
        <f>+E15*5%</f>
        <v>234250</v>
      </c>
      <c r="P15" s="4"/>
      <c r="Q15" s="4"/>
      <c r="R15" s="4">
        <v>11000</v>
      </c>
      <c r="S15" s="4"/>
      <c r="T15" s="4"/>
      <c r="U15" s="4">
        <v>0</v>
      </c>
      <c r="V15" s="4">
        <f t="shared" si="7"/>
        <v>432650</v>
      </c>
      <c r="W15" s="5">
        <f t="shared" si="8"/>
        <v>4252350</v>
      </c>
      <c r="X15" s="5"/>
      <c r="Y15" s="62"/>
      <c r="Z15" s="5">
        <f t="shared" si="0"/>
        <v>4252350</v>
      </c>
    </row>
    <row r="16" spans="1:26" ht="24.95" customHeight="1" x14ac:dyDescent="0.25">
      <c r="A16" s="63"/>
      <c r="B16" s="2">
        <v>13</v>
      </c>
      <c r="C16" s="9" t="s">
        <v>42</v>
      </c>
      <c r="D16" s="8" t="s">
        <v>43</v>
      </c>
      <c r="E16" s="4">
        <v>4000000</v>
      </c>
      <c r="F16" s="3">
        <v>30</v>
      </c>
      <c r="G16" s="3">
        <f t="shared" si="2"/>
        <v>4000000.0000000005</v>
      </c>
      <c r="H16" s="4"/>
      <c r="I16" s="4"/>
      <c r="J16" s="4"/>
      <c r="K16" s="4"/>
      <c r="L16" s="4">
        <f>+E16-G16</f>
        <v>0</v>
      </c>
      <c r="M16" s="4">
        <f t="shared" si="3"/>
        <v>4000000.0000000005</v>
      </c>
      <c r="N16" s="4">
        <f>+E16*0.04</f>
        <v>160000</v>
      </c>
      <c r="O16" s="4">
        <f>+E16*0.05</f>
        <v>200000</v>
      </c>
      <c r="P16" s="4"/>
      <c r="Q16" s="4"/>
      <c r="R16" s="4"/>
      <c r="S16" s="4"/>
      <c r="T16" s="4"/>
      <c r="U16" s="4"/>
      <c r="V16" s="4">
        <f t="shared" si="7"/>
        <v>360000</v>
      </c>
      <c r="W16" s="5">
        <f t="shared" si="8"/>
        <v>3640000.0000000005</v>
      </c>
      <c r="X16" s="5"/>
      <c r="Y16" s="62"/>
      <c r="Z16" s="5">
        <f t="shared" si="0"/>
        <v>3640000.0000000005</v>
      </c>
    </row>
    <row r="17" spans="1:26" ht="24.95" customHeight="1" x14ac:dyDescent="0.25">
      <c r="A17" s="63"/>
      <c r="B17" s="2">
        <v>14</v>
      </c>
      <c r="C17" s="9" t="s">
        <v>44</v>
      </c>
      <c r="D17" s="8"/>
      <c r="E17" s="4">
        <v>5500000</v>
      </c>
      <c r="F17" s="3">
        <v>30</v>
      </c>
      <c r="G17" s="3">
        <f>+E17-J17</f>
        <v>5133333</v>
      </c>
      <c r="H17" s="4"/>
      <c r="I17" s="4"/>
      <c r="J17" s="4">
        <v>366667</v>
      </c>
      <c r="K17" s="4"/>
      <c r="L17" s="4"/>
      <c r="M17" s="4">
        <f t="shared" si="3"/>
        <v>5500000</v>
      </c>
      <c r="N17" s="4">
        <f>+E17*0.04</f>
        <v>220000</v>
      </c>
      <c r="O17" s="4">
        <f>+E17*0.05</f>
        <v>275000</v>
      </c>
      <c r="P17" s="4"/>
      <c r="Q17" s="4"/>
      <c r="R17" s="4">
        <v>83397</v>
      </c>
      <c r="S17" s="4"/>
      <c r="T17" s="4"/>
      <c r="U17" s="4"/>
      <c r="V17" s="4">
        <f t="shared" si="7"/>
        <v>578397</v>
      </c>
      <c r="W17" s="5">
        <f t="shared" si="8"/>
        <v>4921603</v>
      </c>
      <c r="X17" s="5"/>
      <c r="Y17" s="62"/>
      <c r="Z17" s="5">
        <f t="shared" si="0"/>
        <v>4921603</v>
      </c>
    </row>
    <row r="18" spans="1:26" ht="24.95" customHeight="1" x14ac:dyDescent="0.25">
      <c r="A18" s="63"/>
      <c r="B18" s="2">
        <v>15</v>
      </c>
      <c r="C18" s="1" t="s">
        <v>148</v>
      </c>
      <c r="D18" s="2"/>
      <c r="E18" s="4">
        <v>7000000</v>
      </c>
      <c r="F18" s="3">
        <v>16</v>
      </c>
      <c r="G18" s="3">
        <f>+E18/30*F18</f>
        <v>3733333.3333333335</v>
      </c>
      <c r="H18" s="4"/>
      <c r="I18" s="4"/>
      <c r="J18" s="4"/>
      <c r="K18" s="4"/>
      <c r="L18" s="4"/>
      <c r="M18" s="4">
        <f>+G18+H18+J18+K18+L18+I18</f>
        <v>3733333.3333333335</v>
      </c>
      <c r="N18" s="4">
        <f>G18*4%</f>
        <v>149333.33333333334</v>
      </c>
      <c r="O18" s="4">
        <f>+G18*5%</f>
        <v>186666.66666666669</v>
      </c>
      <c r="P18" s="4"/>
      <c r="Q18" s="4"/>
      <c r="R18" s="4"/>
      <c r="S18" s="4"/>
      <c r="T18" s="4"/>
      <c r="U18" s="4"/>
      <c r="V18" s="4">
        <f>SUM(N18:U18)</f>
        <v>336000</v>
      </c>
      <c r="W18" s="5">
        <f>M18-V18</f>
        <v>3397333.3333333335</v>
      </c>
      <c r="X18" s="5"/>
      <c r="Y18" s="62"/>
      <c r="Z18" s="5">
        <f>W18+X18-Y18</f>
        <v>3397333.3333333335</v>
      </c>
    </row>
    <row r="19" spans="1:26" ht="24.95" customHeight="1" x14ac:dyDescent="0.25">
      <c r="A19" s="63"/>
      <c r="B19" s="2">
        <v>16</v>
      </c>
      <c r="C19" s="9" t="s">
        <v>45</v>
      </c>
      <c r="D19" s="8" t="s">
        <v>43</v>
      </c>
      <c r="E19" s="4">
        <v>5200000</v>
      </c>
      <c r="F19" s="3">
        <v>30</v>
      </c>
      <c r="G19" s="3">
        <f t="shared" si="2"/>
        <v>5200000</v>
      </c>
      <c r="H19" s="4"/>
      <c r="I19" s="4"/>
      <c r="J19" s="4"/>
      <c r="K19" s="4"/>
      <c r="L19" s="4">
        <v>0</v>
      </c>
      <c r="M19" s="4">
        <f t="shared" si="3"/>
        <v>5200000</v>
      </c>
      <c r="N19" s="4">
        <f>+E19*4%</f>
        <v>208000</v>
      </c>
      <c r="O19" s="4">
        <f>+E19*5%</f>
        <v>260000</v>
      </c>
      <c r="P19" s="4"/>
      <c r="Q19" s="4"/>
      <c r="R19" s="4">
        <v>46204</v>
      </c>
      <c r="S19" s="4"/>
      <c r="T19" s="4"/>
      <c r="U19" s="4"/>
      <c r="V19" s="4">
        <f t="shared" si="7"/>
        <v>514204</v>
      </c>
      <c r="W19" s="5">
        <f t="shared" si="8"/>
        <v>4685796</v>
      </c>
      <c r="X19" s="5"/>
      <c r="Y19" s="62"/>
      <c r="Z19" s="5">
        <f t="shared" si="0"/>
        <v>4685796</v>
      </c>
    </row>
    <row r="20" spans="1:26" ht="24.95" customHeight="1" x14ac:dyDescent="0.25">
      <c r="A20" s="63"/>
      <c r="B20" s="2">
        <v>17</v>
      </c>
      <c r="C20" s="1" t="s">
        <v>46</v>
      </c>
      <c r="D20" s="2" t="s">
        <v>30</v>
      </c>
      <c r="E20" s="4">
        <v>5500000</v>
      </c>
      <c r="F20" s="3">
        <v>30</v>
      </c>
      <c r="G20" s="3">
        <f t="shared" si="2"/>
        <v>5500000</v>
      </c>
      <c r="H20" s="4"/>
      <c r="I20" s="4"/>
      <c r="J20" s="4"/>
      <c r="K20" s="4">
        <v>450000</v>
      </c>
      <c r="L20" s="4"/>
      <c r="M20" s="4">
        <f t="shared" si="3"/>
        <v>5950000</v>
      </c>
      <c r="N20" s="4">
        <f>+E20*4%</f>
        <v>220000</v>
      </c>
      <c r="O20" s="4">
        <f>+E20*5%</f>
        <v>275000</v>
      </c>
      <c r="P20" s="4"/>
      <c r="Q20" s="4"/>
      <c r="R20" s="7">
        <v>150521</v>
      </c>
      <c r="S20" s="4">
        <v>1365000</v>
      </c>
      <c r="T20" s="4"/>
      <c r="U20" s="4"/>
      <c r="V20" s="4">
        <f t="shared" si="7"/>
        <v>2010521</v>
      </c>
      <c r="W20" s="5">
        <f t="shared" si="8"/>
        <v>3939479</v>
      </c>
      <c r="X20" s="5"/>
      <c r="Y20" s="62"/>
      <c r="Z20" s="5">
        <f t="shared" si="0"/>
        <v>3939479</v>
      </c>
    </row>
    <row r="21" spans="1:26" ht="24.95" customHeight="1" x14ac:dyDescent="0.25">
      <c r="A21" s="63"/>
      <c r="B21" s="2">
        <v>18</v>
      </c>
      <c r="C21" s="1" t="s">
        <v>47</v>
      </c>
      <c r="D21" s="2" t="s">
        <v>30</v>
      </c>
      <c r="E21" s="4">
        <v>5350000</v>
      </c>
      <c r="F21" s="3">
        <v>30</v>
      </c>
      <c r="G21" s="3">
        <f t="shared" si="2"/>
        <v>5350000</v>
      </c>
      <c r="H21" s="4"/>
      <c r="I21" s="4"/>
      <c r="J21" s="4"/>
      <c r="K21" s="4">
        <v>1000000</v>
      </c>
      <c r="L21" s="4"/>
      <c r="M21" s="4">
        <f t="shared" si="3"/>
        <v>6350000</v>
      </c>
      <c r="N21" s="4">
        <f>+E21*4%</f>
        <v>214000</v>
      </c>
      <c r="O21" s="4">
        <f>+E21*0.05</f>
        <v>267500</v>
      </c>
      <c r="P21" s="4"/>
      <c r="Q21" s="4"/>
      <c r="R21" s="7">
        <v>116813</v>
      </c>
      <c r="S21" s="4"/>
      <c r="T21" s="4"/>
      <c r="U21" s="4">
        <v>810005</v>
      </c>
      <c r="V21" s="4">
        <f t="shared" si="7"/>
        <v>1408318</v>
      </c>
      <c r="W21" s="5">
        <f>M21-V21</f>
        <v>4941682</v>
      </c>
      <c r="X21" s="5"/>
      <c r="Y21" s="62"/>
      <c r="Z21" s="5">
        <f t="shared" si="0"/>
        <v>4941682</v>
      </c>
    </row>
    <row r="22" spans="1:26" ht="24.95" customHeight="1" x14ac:dyDescent="0.25">
      <c r="A22" s="63"/>
      <c r="B22" s="2">
        <v>19</v>
      </c>
      <c r="C22" s="1" t="s">
        <v>48</v>
      </c>
      <c r="D22" s="2" t="s">
        <v>30</v>
      </c>
      <c r="E22" s="4">
        <v>7000000</v>
      </c>
      <c r="F22" s="3">
        <v>30</v>
      </c>
      <c r="G22" s="3">
        <f>+E22-L22</f>
        <v>5833333</v>
      </c>
      <c r="H22" s="4"/>
      <c r="I22" s="4"/>
      <c r="J22" s="4"/>
      <c r="K22" s="4"/>
      <c r="L22" s="4">
        <v>1166667</v>
      </c>
      <c r="M22" s="4">
        <f t="shared" si="3"/>
        <v>7000000</v>
      </c>
      <c r="N22" s="4">
        <f>+E22*4%</f>
        <v>280000</v>
      </c>
      <c r="O22" s="4">
        <f>+E22*0.05</f>
        <v>350000</v>
      </c>
      <c r="P22" s="4"/>
      <c r="Q22" s="4"/>
      <c r="R22" s="7">
        <v>269359</v>
      </c>
      <c r="S22" s="4"/>
      <c r="T22" s="4"/>
      <c r="U22" s="4"/>
      <c r="V22" s="4">
        <f t="shared" si="7"/>
        <v>899359</v>
      </c>
      <c r="W22" s="5">
        <f>M22-V22</f>
        <v>6100641</v>
      </c>
      <c r="X22" s="5"/>
      <c r="Y22" s="62"/>
      <c r="Z22" s="5">
        <f t="shared" si="0"/>
        <v>6100641</v>
      </c>
    </row>
    <row r="23" spans="1:26" ht="24.95" customHeight="1" x14ac:dyDescent="0.25">
      <c r="A23" s="63"/>
      <c r="B23" s="2">
        <v>20</v>
      </c>
      <c r="C23" s="1" t="s">
        <v>49</v>
      </c>
      <c r="D23" s="2" t="s">
        <v>30</v>
      </c>
      <c r="E23" s="4">
        <v>6900000</v>
      </c>
      <c r="F23" s="3">
        <v>30</v>
      </c>
      <c r="G23" s="3">
        <f t="shared" si="2"/>
        <v>6900000</v>
      </c>
      <c r="H23" s="4"/>
      <c r="I23" s="4"/>
      <c r="J23" s="4"/>
      <c r="K23" s="4">
        <v>1400000</v>
      </c>
      <c r="L23" s="10"/>
      <c r="M23" s="4">
        <f t="shared" si="3"/>
        <v>8300000</v>
      </c>
      <c r="N23" s="4">
        <f>+E23*4%</f>
        <v>276000</v>
      </c>
      <c r="O23" s="4">
        <f>+E23*5%</f>
        <v>345000</v>
      </c>
      <c r="P23" s="4"/>
      <c r="Q23" s="4"/>
      <c r="R23" s="7">
        <v>113000</v>
      </c>
      <c r="S23" s="4">
        <v>1300000</v>
      </c>
      <c r="T23" s="4"/>
      <c r="U23" s="4"/>
      <c r="V23" s="4">
        <f t="shared" si="7"/>
        <v>2034000</v>
      </c>
      <c r="W23" s="5">
        <f>M23-V23</f>
        <v>6266000</v>
      </c>
      <c r="X23" s="5"/>
      <c r="Y23" s="62"/>
      <c r="Z23" s="5">
        <f t="shared" si="0"/>
        <v>6266000</v>
      </c>
    </row>
    <row r="24" spans="1:26" ht="24.95" customHeight="1" x14ac:dyDescent="0.25">
      <c r="A24" s="63"/>
      <c r="B24" s="2">
        <v>21</v>
      </c>
      <c r="C24" s="9" t="s">
        <v>149</v>
      </c>
      <c r="D24" s="8"/>
      <c r="E24" s="4">
        <v>4000000</v>
      </c>
      <c r="F24" s="3">
        <v>26</v>
      </c>
      <c r="G24" s="3">
        <f>+E24/30*F24</f>
        <v>3466666.666666667</v>
      </c>
      <c r="H24" s="4"/>
      <c r="I24" s="4"/>
      <c r="J24" s="4"/>
      <c r="K24" s="4"/>
      <c r="L24" s="4"/>
      <c r="M24" s="4">
        <f>+G24+H24+J24+K24+L24+I24</f>
        <v>3466666.666666667</v>
      </c>
      <c r="N24" s="4">
        <f>+G24*4%</f>
        <v>138666.66666666669</v>
      </c>
      <c r="O24" s="4">
        <f>+G24*5%</f>
        <v>173333.33333333337</v>
      </c>
      <c r="P24" s="4"/>
      <c r="Q24" s="4"/>
      <c r="R24" s="4"/>
      <c r="S24" s="4"/>
      <c r="T24" s="4"/>
      <c r="U24" s="4"/>
      <c r="V24" s="4">
        <f>SUM(N24:U24)</f>
        <v>312000.00000000006</v>
      </c>
      <c r="W24" s="5">
        <f>M24-V24</f>
        <v>3154666.666666667</v>
      </c>
      <c r="X24" s="5"/>
      <c r="Y24" s="62"/>
      <c r="Z24" s="5">
        <f>W24+X24-Y24</f>
        <v>3154666.666666667</v>
      </c>
    </row>
    <row r="25" spans="1:26" ht="24.95" customHeight="1" x14ac:dyDescent="0.25">
      <c r="A25" s="63"/>
      <c r="B25" s="2">
        <v>22</v>
      </c>
      <c r="C25" s="1" t="s">
        <v>50</v>
      </c>
      <c r="D25" s="2"/>
      <c r="E25" s="4">
        <v>4000000</v>
      </c>
      <c r="F25" s="3">
        <v>30</v>
      </c>
      <c r="G25" s="3">
        <f t="shared" si="2"/>
        <v>4000000.0000000005</v>
      </c>
      <c r="H25" s="4"/>
      <c r="I25" s="4"/>
      <c r="J25" s="4"/>
      <c r="K25" s="4">
        <v>360000</v>
      </c>
      <c r="L25" s="4"/>
      <c r="M25" s="4">
        <f t="shared" si="3"/>
        <v>4360000</v>
      </c>
      <c r="N25" s="4">
        <f t="shared" ref="N25:N53" si="9">E25*4/100</f>
        <v>160000</v>
      </c>
      <c r="O25" s="4">
        <f t="shared" ref="O25:O53" si="10">+E25*0.05</f>
        <v>200000</v>
      </c>
      <c r="P25" s="4"/>
      <c r="Q25" s="4"/>
      <c r="R25" s="4"/>
      <c r="S25" s="4"/>
      <c r="T25" s="4"/>
      <c r="U25" s="4"/>
      <c r="V25" s="4">
        <f t="shared" si="7"/>
        <v>360000</v>
      </c>
      <c r="W25" s="5">
        <f t="shared" ref="W25:W30" si="11">+M25-V25</f>
        <v>4000000</v>
      </c>
      <c r="X25" s="5"/>
      <c r="Y25" s="62"/>
      <c r="Z25" s="5">
        <f t="shared" si="0"/>
        <v>4000000</v>
      </c>
    </row>
    <row r="26" spans="1:26" ht="24.95" customHeight="1" x14ac:dyDescent="0.25">
      <c r="A26" s="63"/>
      <c r="B26" s="2">
        <v>23</v>
      </c>
      <c r="C26" s="1" t="s">
        <v>150</v>
      </c>
      <c r="D26" s="2"/>
      <c r="E26" s="4">
        <v>4500000</v>
      </c>
      <c r="F26" s="3">
        <v>5</v>
      </c>
      <c r="G26" s="3">
        <f>+E26/30*F26</f>
        <v>750000</v>
      </c>
      <c r="H26" s="4"/>
      <c r="I26" s="4"/>
      <c r="J26" s="4"/>
      <c r="K26" s="4"/>
      <c r="L26" s="4"/>
      <c r="M26" s="4">
        <f t="shared" si="3"/>
        <v>750000</v>
      </c>
      <c r="N26" s="4">
        <f>G26*4/100</f>
        <v>30000</v>
      </c>
      <c r="O26" s="4">
        <f>+G26*0.04</f>
        <v>30000</v>
      </c>
      <c r="P26" s="4"/>
      <c r="Q26" s="4"/>
      <c r="R26" s="7"/>
      <c r="S26" s="4"/>
      <c r="T26" s="4"/>
      <c r="U26" s="4"/>
      <c r="V26" s="4">
        <f>SUM(N26:U26)</f>
        <v>60000</v>
      </c>
      <c r="W26" s="5">
        <f t="shared" si="11"/>
        <v>690000</v>
      </c>
      <c r="X26" s="5"/>
      <c r="Y26" s="62"/>
      <c r="Z26" s="5">
        <f t="shared" si="0"/>
        <v>690000</v>
      </c>
    </row>
    <row r="27" spans="1:26" ht="24.95" customHeight="1" x14ac:dyDescent="0.25">
      <c r="A27" s="63"/>
      <c r="B27" s="2">
        <v>24</v>
      </c>
      <c r="C27" s="1" t="s">
        <v>51</v>
      </c>
      <c r="D27" s="2" t="s">
        <v>30</v>
      </c>
      <c r="E27" s="4">
        <v>5300000</v>
      </c>
      <c r="F27" s="3">
        <v>30</v>
      </c>
      <c r="G27" s="3">
        <f t="shared" si="2"/>
        <v>5300000</v>
      </c>
      <c r="H27" s="4"/>
      <c r="I27" s="4"/>
      <c r="J27" s="4"/>
      <c r="K27" s="4">
        <v>1621317</v>
      </c>
      <c r="L27" s="4"/>
      <c r="M27" s="4">
        <f t="shared" si="3"/>
        <v>6921317</v>
      </c>
      <c r="N27" s="4">
        <f t="shared" si="9"/>
        <v>212000</v>
      </c>
      <c r="O27" s="4">
        <f t="shared" si="10"/>
        <v>265000</v>
      </c>
      <c r="P27" s="4"/>
      <c r="Q27" s="4"/>
      <c r="R27" s="7">
        <v>100000</v>
      </c>
      <c r="S27" s="4"/>
      <c r="T27" s="4"/>
      <c r="U27" s="4">
        <f>884747</f>
        <v>884747</v>
      </c>
      <c r="V27" s="4">
        <f t="shared" si="7"/>
        <v>1461747</v>
      </c>
      <c r="W27" s="5">
        <f t="shared" si="11"/>
        <v>5459570</v>
      </c>
      <c r="X27" s="5"/>
      <c r="Y27" s="62"/>
      <c r="Z27" s="5">
        <f t="shared" si="0"/>
        <v>5459570</v>
      </c>
    </row>
    <row r="28" spans="1:26" ht="24.95" customHeight="1" x14ac:dyDescent="0.25">
      <c r="A28" s="63"/>
      <c r="B28" s="2">
        <v>25</v>
      </c>
      <c r="C28" s="1" t="s">
        <v>52</v>
      </c>
      <c r="D28" s="2" t="s">
        <v>30</v>
      </c>
      <c r="E28" s="4">
        <v>4800000</v>
      </c>
      <c r="F28" s="3">
        <v>30</v>
      </c>
      <c r="G28" s="3">
        <f t="shared" si="2"/>
        <v>4800000</v>
      </c>
      <c r="H28" s="4"/>
      <c r="I28" s="4"/>
      <c r="J28" s="4"/>
      <c r="K28" s="4">
        <v>92925</v>
      </c>
      <c r="L28" s="4"/>
      <c r="M28" s="4">
        <f t="shared" si="3"/>
        <v>4892925</v>
      </c>
      <c r="N28" s="4">
        <f t="shared" si="9"/>
        <v>192000</v>
      </c>
      <c r="O28" s="4">
        <f t="shared" si="10"/>
        <v>240000</v>
      </c>
      <c r="P28" s="4"/>
      <c r="Q28" s="4"/>
      <c r="R28" s="7">
        <v>0</v>
      </c>
      <c r="S28" s="4"/>
      <c r="T28" s="4"/>
      <c r="U28" s="4"/>
      <c r="V28" s="4">
        <f t="shared" si="7"/>
        <v>432000</v>
      </c>
      <c r="W28" s="5">
        <f t="shared" si="11"/>
        <v>4460925</v>
      </c>
      <c r="X28" s="5"/>
      <c r="Y28" s="62"/>
      <c r="Z28" s="5">
        <f t="shared" si="0"/>
        <v>4460925</v>
      </c>
    </row>
    <row r="29" spans="1:26" ht="24.95" customHeight="1" x14ac:dyDescent="0.25">
      <c r="A29" s="63"/>
      <c r="B29" s="2">
        <v>26</v>
      </c>
      <c r="C29" s="1" t="s">
        <v>53</v>
      </c>
      <c r="D29" s="2" t="s">
        <v>30</v>
      </c>
      <c r="E29" s="4">
        <v>5500000</v>
      </c>
      <c r="F29" s="3">
        <v>30</v>
      </c>
      <c r="G29" s="3">
        <f t="shared" si="2"/>
        <v>5500000</v>
      </c>
      <c r="H29" s="4"/>
      <c r="I29" s="4"/>
      <c r="J29" s="4"/>
      <c r="K29" s="4"/>
      <c r="L29" s="4"/>
      <c r="M29" s="4">
        <f t="shared" si="3"/>
        <v>5500000</v>
      </c>
      <c r="N29" s="4">
        <f t="shared" si="9"/>
        <v>220000</v>
      </c>
      <c r="O29" s="4">
        <f t="shared" si="10"/>
        <v>275000</v>
      </c>
      <c r="P29" s="4"/>
      <c r="Q29" s="4"/>
      <c r="R29" s="4">
        <v>5022</v>
      </c>
      <c r="S29" s="4"/>
      <c r="T29" s="4"/>
      <c r="U29" s="4"/>
      <c r="V29" s="4">
        <f t="shared" si="7"/>
        <v>500022</v>
      </c>
      <c r="W29" s="5">
        <f t="shared" si="11"/>
        <v>4999978</v>
      </c>
      <c r="X29" s="5"/>
      <c r="Y29" s="62"/>
      <c r="Z29" s="5">
        <f t="shared" si="0"/>
        <v>4999978</v>
      </c>
    </row>
    <row r="30" spans="1:26" ht="24.95" customHeight="1" x14ac:dyDescent="0.25">
      <c r="A30" s="63"/>
      <c r="B30" s="2">
        <v>27</v>
      </c>
      <c r="C30" s="1" t="s">
        <v>54</v>
      </c>
      <c r="D30" s="2" t="s">
        <v>30</v>
      </c>
      <c r="E30" s="4">
        <v>5500000</v>
      </c>
      <c r="F30" s="3">
        <v>30</v>
      </c>
      <c r="G30" s="3">
        <f t="shared" si="2"/>
        <v>5500000</v>
      </c>
      <c r="H30" s="4"/>
      <c r="I30" s="4"/>
      <c r="J30" s="4"/>
      <c r="K30" s="4"/>
      <c r="L30" s="4"/>
      <c r="M30" s="4">
        <f t="shared" si="3"/>
        <v>5500000</v>
      </c>
      <c r="N30" s="4">
        <f t="shared" si="9"/>
        <v>220000</v>
      </c>
      <c r="O30" s="4">
        <f t="shared" si="10"/>
        <v>275000</v>
      </c>
      <c r="P30" s="4"/>
      <c r="Q30" s="4"/>
      <c r="R30" s="7">
        <v>141000</v>
      </c>
      <c r="S30" s="4"/>
      <c r="T30" s="4"/>
      <c r="U30" s="4"/>
      <c r="V30" s="4">
        <f t="shared" si="7"/>
        <v>636000</v>
      </c>
      <c r="W30" s="5">
        <f t="shared" si="11"/>
        <v>4864000</v>
      </c>
      <c r="X30" s="5"/>
      <c r="Y30" s="62"/>
      <c r="Z30" s="5">
        <f t="shared" si="0"/>
        <v>4864000</v>
      </c>
    </row>
    <row r="31" spans="1:26" ht="24.95" customHeight="1" x14ac:dyDescent="0.25">
      <c r="A31" s="63"/>
      <c r="B31" s="2">
        <v>28</v>
      </c>
      <c r="C31" s="1" t="s">
        <v>57</v>
      </c>
      <c r="D31" s="2" t="s">
        <v>30</v>
      </c>
      <c r="E31" s="4">
        <v>6600000</v>
      </c>
      <c r="F31" s="3">
        <v>30</v>
      </c>
      <c r="G31" s="3">
        <f t="shared" si="2"/>
        <v>6600000</v>
      </c>
      <c r="H31" s="4"/>
      <c r="I31" s="4"/>
      <c r="J31" s="4"/>
      <c r="K31" s="4"/>
      <c r="L31" s="10"/>
      <c r="M31" s="4">
        <f t="shared" si="3"/>
        <v>6600000</v>
      </c>
      <c r="N31" s="4">
        <f t="shared" si="9"/>
        <v>264000</v>
      </c>
      <c r="O31" s="4">
        <f t="shared" si="10"/>
        <v>330000</v>
      </c>
      <c r="P31" s="4"/>
      <c r="Q31" s="4">
        <v>157145</v>
      </c>
      <c r="R31" s="7">
        <v>86000</v>
      </c>
      <c r="S31" s="4"/>
      <c r="T31" s="4"/>
      <c r="U31" s="4"/>
      <c r="V31" s="4">
        <f t="shared" si="7"/>
        <v>837145</v>
      </c>
      <c r="W31" s="5">
        <f>M31-V31</f>
        <v>5762855</v>
      </c>
      <c r="X31" s="5"/>
      <c r="Y31" s="62"/>
      <c r="Z31" s="5">
        <f t="shared" si="0"/>
        <v>5762855</v>
      </c>
    </row>
    <row r="32" spans="1:26" ht="24.95" customHeight="1" x14ac:dyDescent="0.25">
      <c r="A32" s="63"/>
      <c r="B32" s="2">
        <v>29</v>
      </c>
      <c r="C32" s="1" t="s">
        <v>58</v>
      </c>
      <c r="D32" s="2"/>
      <c r="E32" s="4">
        <v>7000000</v>
      </c>
      <c r="F32" s="3">
        <v>30</v>
      </c>
      <c r="G32" s="3">
        <f t="shared" si="2"/>
        <v>7000000</v>
      </c>
      <c r="H32" s="4"/>
      <c r="I32" s="4"/>
      <c r="J32" s="4"/>
      <c r="K32" s="4"/>
      <c r="L32" s="11"/>
      <c r="M32" s="4">
        <f t="shared" si="3"/>
        <v>7000000</v>
      </c>
      <c r="N32" s="4">
        <f t="shared" si="9"/>
        <v>280000</v>
      </c>
      <c r="O32" s="4">
        <f t="shared" si="10"/>
        <v>350000</v>
      </c>
      <c r="P32" s="4"/>
      <c r="Q32" s="4"/>
      <c r="R32" s="7">
        <v>86000</v>
      </c>
      <c r="S32" s="4"/>
      <c r="T32" s="4"/>
      <c r="U32" s="4"/>
      <c r="V32" s="4">
        <f t="shared" si="7"/>
        <v>716000</v>
      </c>
      <c r="W32" s="5">
        <f>M32-V32</f>
        <v>6284000</v>
      </c>
      <c r="X32" s="5"/>
      <c r="Y32" s="62"/>
      <c r="Z32" s="5">
        <f t="shared" si="0"/>
        <v>6284000</v>
      </c>
    </row>
    <row r="33" spans="1:29" ht="24.95" customHeight="1" x14ac:dyDescent="0.25">
      <c r="A33" s="63"/>
      <c r="B33" s="2">
        <v>30</v>
      </c>
      <c r="C33" s="1" t="s">
        <v>59</v>
      </c>
      <c r="D33" s="2" t="s">
        <v>30</v>
      </c>
      <c r="E33" s="4">
        <v>3500000</v>
      </c>
      <c r="F33" s="3">
        <v>30</v>
      </c>
      <c r="G33" s="3">
        <f>3150000-233346</f>
        <v>2916654</v>
      </c>
      <c r="H33" s="4"/>
      <c r="I33" s="4"/>
      <c r="J33" s="4">
        <v>466679</v>
      </c>
      <c r="K33" s="4"/>
      <c r="L33" s="4"/>
      <c r="M33" s="4">
        <f>+G33+H33+J33+K33+L33+I33</f>
        <v>3383333</v>
      </c>
      <c r="N33" s="4">
        <f t="shared" si="9"/>
        <v>140000</v>
      </c>
      <c r="O33" s="4">
        <f t="shared" si="10"/>
        <v>175000</v>
      </c>
      <c r="P33" s="4"/>
      <c r="Q33" s="4"/>
      <c r="R33" s="7">
        <v>0</v>
      </c>
      <c r="S33" s="4"/>
      <c r="T33" s="4">
        <v>111000</v>
      </c>
      <c r="U33" s="4"/>
      <c r="V33" s="4">
        <f t="shared" si="7"/>
        <v>426000</v>
      </c>
      <c r="W33" s="5">
        <f>M33-V33</f>
        <v>2957333</v>
      </c>
      <c r="X33" s="5"/>
      <c r="Y33" s="62"/>
      <c r="Z33" s="5">
        <f t="shared" si="0"/>
        <v>2957333</v>
      </c>
    </row>
    <row r="34" spans="1:29" ht="24.95" customHeight="1" x14ac:dyDescent="0.25">
      <c r="A34" s="63"/>
      <c r="B34" s="2">
        <v>31</v>
      </c>
      <c r="C34" s="1" t="s">
        <v>60</v>
      </c>
      <c r="D34" s="2" t="s">
        <v>30</v>
      </c>
      <c r="E34" s="4">
        <v>5088000</v>
      </c>
      <c r="F34" s="3">
        <v>30</v>
      </c>
      <c r="G34" s="3">
        <f t="shared" si="2"/>
        <v>5088000</v>
      </c>
      <c r="H34" s="4"/>
      <c r="I34" s="4"/>
      <c r="J34" s="4"/>
      <c r="K34" s="4"/>
      <c r="L34" s="4"/>
      <c r="M34" s="4">
        <f t="shared" si="3"/>
        <v>5088000</v>
      </c>
      <c r="N34" s="4">
        <f>E34*4/100</f>
        <v>203520</v>
      </c>
      <c r="O34" s="4">
        <f>+E34*0.05</f>
        <v>254400</v>
      </c>
      <c r="P34" s="4"/>
      <c r="Q34" s="4"/>
      <c r="R34" s="4">
        <v>0</v>
      </c>
      <c r="S34" s="4">
        <f>1150000</f>
        <v>1150000</v>
      </c>
      <c r="T34" s="4"/>
      <c r="U34" s="4">
        <f>209579</f>
        <v>209579</v>
      </c>
      <c r="V34" s="4">
        <f t="shared" si="7"/>
        <v>1817499</v>
      </c>
      <c r="W34" s="5">
        <f>M34-V34</f>
        <v>3270501</v>
      </c>
      <c r="X34" s="5"/>
      <c r="Y34" s="62"/>
      <c r="Z34" s="5">
        <f t="shared" si="0"/>
        <v>3270501</v>
      </c>
    </row>
    <row r="35" spans="1:29" ht="24.95" customHeight="1" x14ac:dyDescent="0.25">
      <c r="A35" s="63"/>
      <c r="B35" s="2">
        <v>32</v>
      </c>
      <c r="C35" s="1" t="s">
        <v>61</v>
      </c>
      <c r="D35" s="2" t="s">
        <v>30</v>
      </c>
      <c r="E35" s="4">
        <v>4540000</v>
      </c>
      <c r="F35" s="3">
        <v>30</v>
      </c>
      <c r="G35" s="3">
        <f t="shared" si="2"/>
        <v>4540000</v>
      </c>
      <c r="H35" s="4"/>
      <c r="I35" s="4"/>
      <c r="J35" s="4"/>
      <c r="K35" s="4"/>
      <c r="L35" s="4"/>
      <c r="M35" s="4">
        <f t="shared" si="3"/>
        <v>4540000</v>
      </c>
      <c r="N35" s="4">
        <f t="shared" si="9"/>
        <v>181600</v>
      </c>
      <c r="O35" s="4">
        <f t="shared" si="10"/>
        <v>227000</v>
      </c>
      <c r="P35" s="4"/>
      <c r="Q35" s="4"/>
      <c r="R35" s="7">
        <v>0</v>
      </c>
      <c r="S35" s="4"/>
      <c r="T35" s="4"/>
      <c r="U35" s="4" t="s">
        <v>1</v>
      </c>
      <c r="V35" s="4">
        <f t="shared" si="7"/>
        <v>408600</v>
      </c>
      <c r="W35" s="5">
        <f>M35-V35</f>
        <v>4131400</v>
      </c>
      <c r="X35" s="5"/>
      <c r="Y35" s="62"/>
      <c r="Z35" s="5">
        <f t="shared" si="0"/>
        <v>4131400</v>
      </c>
    </row>
    <row r="36" spans="1:29" ht="24.95" customHeight="1" x14ac:dyDescent="0.25">
      <c r="A36" s="63"/>
      <c r="B36" s="2">
        <v>33</v>
      </c>
      <c r="C36" s="1" t="s">
        <v>62</v>
      </c>
      <c r="D36" s="2" t="s">
        <v>30</v>
      </c>
      <c r="E36" s="4">
        <v>3500000</v>
      </c>
      <c r="F36" s="3">
        <v>30</v>
      </c>
      <c r="G36" s="3">
        <f>+E36-L36</f>
        <v>2683333</v>
      </c>
      <c r="H36" s="4"/>
      <c r="I36" s="4"/>
      <c r="J36" s="4"/>
      <c r="K36" s="4"/>
      <c r="L36" s="4">
        <v>816667</v>
      </c>
      <c r="M36" s="4">
        <f t="shared" si="3"/>
        <v>3500000</v>
      </c>
      <c r="N36" s="4">
        <f t="shared" si="9"/>
        <v>140000</v>
      </c>
      <c r="O36" s="4">
        <f t="shared" si="10"/>
        <v>175000</v>
      </c>
      <c r="P36" s="4"/>
      <c r="Q36" s="4"/>
      <c r="R36" s="4">
        <v>0</v>
      </c>
      <c r="S36" s="4"/>
      <c r="T36" s="4"/>
      <c r="U36" s="4">
        <v>257196</v>
      </c>
      <c r="V36" s="4">
        <f t="shared" si="7"/>
        <v>572196</v>
      </c>
      <c r="W36" s="5">
        <f>+M36-V36</f>
        <v>2927804</v>
      </c>
      <c r="X36" s="5"/>
      <c r="Y36" s="62"/>
      <c r="Z36" s="5">
        <f t="shared" si="0"/>
        <v>2927804</v>
      </c>
    </row>
    <row r="37" spans="1:29" ht="24.95" customHeight="1" x14ac:dyDescent="0.25">
      <c r="A37" s="63"/>
      <c r="B37" s="2">
        <v>34</v>
      </c>
      <c r="C37" s="1" t="s">
        <v>63</v>
      </c>
      <c r="D37" s="2"/>
      <c r="E37" s="4">
        <v>4500000</v>
      </c>
      <c r="F37" s="3">
        <v>30</v>
      </c>
      <c r="G37" s="3">
        <f t="shared" si="2"/>
        <v>4500000</v>
      </c>
      <c r="H37" s="4"/>
      <c r="I37" s="4"/>
      <c r="J37" s="4"/>
      <c r="K37" s="4"/>
      <c r="L37" s="4"/>
      <c r="M37" s="4">
        <f t="shared" si="3"/>
        <v>4500000</v>
      </c>
      <c r="N37" s="4">
        <f t="shared" si="9"/>
        <v>180000</v>
      </c>
      <c r="O37" s="4">
        <f t="shared" si="10"/>
        <v>225000</v>
      </c>
      <c r="P37" s="4"/>
      <c r="Q37" s="4"/>
      <c r="R37" s="4">
        <v>0</v>
      </c>
      <c r="S37" s="4"/>
      <c r="T37" s="4"/>
      <c r="U37" s="4"/>
      <c r="V37" s="4">
        <f t="shared" si="7"/>
        <v>405000</v>
      </c>
      <c r="W37" s="5">
        <f>+M37-V37</f>
        <v>4095000</v>
      </c>
      <c r="X37" s="5"/>
      <c r="Y37" s="62"/>
      <c r="Z37" s="5">
        <f t="shared" si="0"/>
        <v>4095000</v>
      </c>
    </row>
    <row r="38" spans="1:29" ht="24.95" customHeight="1" x14ac:dyDescent="0.25">
      <c r="A38" s="63"/>
      <c r="B38" s="2">
        <v>35</v>
      </c>
      <c r="C38" s="1" t="s">
        <v>64</v>
      </c>
      <c r="D38" s="2" t="s">
        <v>30</v>
      </c>
      <c r="E38" s="4">
        <v>6360000</v>
      </c>
      <c r="F38" s="3">
        <v>30</v>
      </c>
      <c r="G38" s="3">
        <f>+E38-L38</f>
        <v>3604000</v>
      </c>
      <c r="H38" s="4"/>
      <c r="I38" s="4"/>
      <c r="J38" s="4"/>
      <c r="K38" s="4"/>
      <c r="L38" s="4">
        <v>2756000</v>
      </c>
      <c r="M38" s="4">
        <f t="shared" si="3"/>
        <v>6360000</v>
      </c>
      <c r="N38" s="4">
        <f t="shared" si="9"/>
        <v>254400</v>
      </c>
      <c r="O38" s="4">
        <f t="shared" si="10"/>
        <v>318000</v>
      </c>
      <c r="P38" s="4"/>
      <c r="Q38" s="4"/>
      <c r="R38" s="4">
        <v>208000</v>
      </c>
      <c r="S38" s="4"/>
      <c r="T38" s="4">
        <v>122614</v>
      </c>
      <c r="U38" s="4"/>
      <c r="V38" s="4">
        <f t="shared" si="7"/>
        <v>903014</v>
      </c>
      <c r="W38" s="5">
        <f>+M38-V38</f>
        <v>5456986</v>
      </c>
      <c r="X38" s="5"/>
      <c r="Y38" s="62"/>
      <c r="Z38" s="5">
        <f t="shared" si="0"/>
        <v>5456986</v>
      </c>
    </row>
    <row r="39" spans="1:29" ht="24.95" customHeight="1" x14ac:dyDescent="0.25">
      <c r="A39" s="63"/>
      <c r="B39" s="2">
        <v>36</v>
      </c>
      <c r="C39" s="1" t="s">
        <v>151</v>
      </c>
      <c r="D39" s="2"/>
      <c r="E39" s="4">
        <v>3500000</v>
      </c>
      <c r="F39" s="3">
        <v>19</v>
      </c>
      <c r="G39" s="3">
        <f>+E39/30*F39</f>
        <v>2216666.666666667</v>
      </c>
      <c r="H39" s="4"/>
      <c r="I39" s="4"/>
      <c r="J39" s="4"/>
      <c r="K39" s="4"/>
      <c r="L39" s="4"/>
      <c r="M39" s="4">
        <f>+G39+H39+J39+K39+L39+I39</f>
        <v>2216666.666666667</v>
      </c>
      <c r="N39" s="4">
        <f>G39*4/100</f>
        <v>88666.666666666686</v>
      </c>
      <c r="O39" s="4">
        <f>+G39*0.04</f>
        <v>88666.666666666686</v>
      </c>
      <c r="P39" s="4"/>
      <c r="Q39" s="4"/>
      <c r="R39" s="4">
        <v>0</v>
      </c>
      <c r="S39" s="4"/>
      <c r="T39" s="4">
        <v>0</v>
      </c>
      <c r="U39" s="4"/>
      <c r="V39" s="4">
        <f t="shared" ref="V39" si="12">SUM(N39:U39)</f>
        <v>177333.33333333337</v>
      </c>
      <c r="W39" s="5">
        <f>+M39-V39</f>
        <v>2039333.3333333335</v>
      </c>
      <c r="X39" s="5"/>
      <c r="Y39" s="62"/>
      <c r="Z39" s="5">
        <f t="shared" si="0"/>
        <v>2039333.3333333335</v>
      </c>
    </row>
    <row r="40" spans="1:29" ht="24.95" customHeight="1" x14ac:dyDescent="0.25">
      <c r="A40" s="63"/>
      <c r="B40" s="2">
        <v>37</v>
      </c>
      <c r="C40" s="1" t="s">
        <v>65</v>
      </c>
      <c r="D40" s="2" t="s">
        <v>30</v>
      </c>
      <c r="E40" s="4">
        <v>4770000</v>
      </c>
      <c r="F40" s="3">
        <v>30</v>
      </c>
      <c r="G40" s="3">
        <f t="shared" si="2"/>
        <v>4770000</v>
      </c>
      <c r="H40" s="4"/>
      <c r="I40" s="4"/>
      <c r="J40" s="4"/>
      <c r="K40" s="4">
        <v>500000</v>
      </c>
      <c r="L40" s="4"/>
      <c r="M40" s="4">
        <f t="shared" si="3"/>
        <v>5270000</v>
      </c>
      <c r="N40" s="4">
        <f t="shared" si="9"/>
        <v>190800</v>
      </c>
      <c r="O40" s="4">
        <f t="shared" si="10"/>
        <v>238500</v>
      </c>
      <c r="P40" s="4"/>
      <c r="Q40" s="4"/>
      <c r="R40" s="4">
        <v>0</v>
      </c>
      <c r="S40" s="4"/>
      <c r="T40" s="4"/>
      <c r="U40" s="4">
        <v>551399</v>
      </c>
      <c r="V40" s="4">
        <f t="shared" si="7"/>
        <v>980699</v>
      </c>
      <c r="W40" s="5">
        <f>+M40-V40</f>
        <v>4289301</v>
      </c>
      <c r="X40" s="5"/>
      <c r="Y40" s="62"/>
      <c r="Z40" s="5">
        <f t="shared" si="0"/>
        <v>4289301</v>
      </c>
      <c r="AA40" s="60" t="s">
        <v>66</v>
      </c>
    </row>
    <row r="41" spans="1:29" ht="24.95" customHeight="1" x14ac:dyDescent="0.25">
      <c r="A41" s="63"/>
      <c r="B41" s="2">
        <v>38</v>
      </c>
      <c r="C41" s="1" t="s">
        <v>67</v>
      </c>
      <c r="D41" s="2" t="s">
        <v>30</v>
      </c>
      <c r="E41" s="4">
        <v>6000000</v>
      </c>
      <c r="F41" s="3">
        <v>30</v>
      </c>
      <c r="G41" s="3">
        <f t="shared" si="2"/>
        <v>6000000</v>
      </c>
      <c r="H41" s="4"/>
      <c r="I41" s="4"/>
      <c r="J41" s="4"/>
      <c r="K41" s="4"/>
      <c r="L41" s="4"/>
      <c r="M41" s="4">
        <f t="shared" si="3"/>
        <v>6000000</v>
      </c>
      <c r="N41" s="4">
        <f t="shared" si="9"/>
        <v>240000</v>
      </c>
      <c r="O41" s="4">
        <f t="shared" si="10"/>
        <v>300000</v>
      </c>
      <c r="P41" s="4">
        <v>0</v>
      </c>
      <c r="Q41" s="4"/>
      <c r="R41" s="4">
        <v>0</v>
      </c>
      <c r="S41" s="4"/>
      <c r="T41" s="4"/>
      <c r="U41" s="4"/>
      <c r="V41" s="4">
        <f t="shared" si="7"/>
        <v>540000</v>
      </c>
      <c r="W41" s="5">
        <f>M41-V41</f>
        <v>5460000</v>
      </c>
      <c r="X41" s="5"/>
      <c r="Y41" s="62"/>
      <c r="Z41" s="5">
        <f t="shared" si="0"/>
        <v>5460000</v>
      </c>
    </row>
    <row r="42" spans="1:29" ht="24.95" customHeight="1" x14ac:dyDescent="0.25">
      <c r="A42" s="63"/>
      <c r="B42" s="2">
        <v>39</v>
      </c>
      <c r="C42" s="1" t="s">
        <v>68</v>
      </c>
      <c r="D42" s="2" t="s">
        <v>30</v>
      </c>
      <c r="E42" s="4">
        <v>6420000</v>
      </c>
      <c r="F42" s="3">
        <v>30</v>
      </c>
      <c r="G42" s="3">
        <f t="shared" si="2"/>
        <v>6420000</v>
      </c>
      <c r="H42" s="4"/>
      <c r="I42" s="4"/>
      <c r="J42" s="4"/>
      <c r="K42" s="4"/>
      <c r="L42" s="4"/>
      <c r="M42" s="4">
        <f t="shared" si="3"/>
        <v>6420000</v>
      </c>
      <c r="N42" s="4">
        <f t="shared" si="9"/>
        <v>256800</v>
      </c>
      <c r="O42" s="4">
        <f t="shared" si="10"/>
        <v>321000</v>
      </c>
      <c r="P42" s="4"/>
      <c r="Q42" s="4"/>
      <c r="R42" s="4">
        <v>231000</v>
      </c>
      <c r="S42" s="4"/>
      <c r="T42" s="4"/>
      <c r="U42" s="4"/>
      <c r="V42" s="4">
        <f t="shared" si="7"/>
        <v>808800</v>
      </c>
      <c r="W42" s="5">
        <f>+M42-V42</f>
        <v>5611200</v>
      </c>
      <c r="X42" s="5"/>
      <c r="Y42" s="62"/>
      <c r="Z42" s="5">
        <f t="shared" si="0"/>
        <v>5611200</v>
      </c>
    </row>
    <row r="43" spans="1:29" ht="24.95" customHeight="1" x14ac:dyDescent="0.25">
      <c r="A43" s="63"/>
      <c r="B43" s="2">
        <v>40</v>
      </c>
      <c r="C43" s="9" t="s">
        <v>69</v>
      </c>
      <c r="D43" s="8" t="s">
        <v>30</v>
      </c>
      <c r="E43" s="4">
        <v>7590000</v>
      </c>
      <c r="F43" s="3">
        <v>30</v>
      </c>
      <c r="G43" s="3">
        <f t="shared" si="2"/>
        <v>7590000</v>
      </c>
      <c r="H43" s="4"/>
      <c r="I43" s="4">
        <v>0</v>
      </c>
      <c r="J43" s="4"/>
      <c r="K43" s="4">
        <v>1500000</v>
      </c>
      <c r="L43" s="11"/>
      <c r="M43" s="4">
        <f t="shared" si="3"/>
        <v>9090000</v>
      </c>
      <c r="N43" s="4">
        <f t="shared" si="9"/>
        <v>303600</v>
      </c>
      <c r="O43" s="4">
        <f t="shared" si="10"/>
        <v>379500</v>
      </c>
      <c r="P43" s="4"/>
      <c r="Q43" s="4"/>
      <c r="R43" s="4">
        <v>449811</v>
      </c>
      <c r="S43" s="4"/>
      <c r="T43" s="4"/>
      <c r="U43" s="4"/>
      <c r="V43" s="4">
        <f t="shared" si="7"/>
        <v>1132911</v>
      </c>
      <c r="W43" s="5">
        <f>M43-V43</f>
        <v>7957089</v>
      </c>
      <c r="X43" s="5"/>
      <c r="Y43" s="62"/>
      <c r="Z43" s="5">
        <f t="shared" si="0"/>
        <v>7957089</v>
      </c>
    </row>
    <row r="44" spans="1:29" ht="24.95" customHeight="1" x14ac:dyDescent="0.25">
      <c r="A44" s="63"/>
      <c r="B44" s="2">
        <v>41</v>
      </c>
      <c r="C44" s="9" t="s">
        <v>70</v>
      </c>
      <c r="D44" s="8" t="s">
        <v>30</v>
      </c>
      <c r="E44" s="4">
        <v>6000000</v>
      </c>
      <c r="F44" s="3">
        <v>30</v>
      </c>
      <c r="G44" s="3">
        <f>+E44-L44</f>
        <v>5000000</v>
      </c>
      <c r="H44" s="4"/>
      <c r="I44" s="4"/>
      <c r="J44" s="4">
        <v>0</v>
      </c>
      <c r="K44" s="4">
        <v>500000</v>
      </c>
      <c r="L44" s="4">
        <v>1000000</v>
      </c>
      <c r="M44" s="4">
        <f t="shared" si="3"/>
        <v>6500000</v>
      </c>
      <c r="N44" s="4">
        <f t="shared" si="9"/>
        <v>240000</v>
      </c>
      <c r="O44" s="4">
        <f t="shared" si="10"/>
        <v>300000</v>
      </c>
      <c r="P44" s="4"/>
      <c r="Q44" s="4"/>
      <c r="R44" s="4">
        <v>144000</v>
      </c>
      <c r="S44" s="4"/>
      <c r="T44" s="4"/>
      <c r="U44" s="4"/>
      <c r="V44" s="4">
        <f t="shared" si="7"/>
        <v>684000</v>
      </c>
      <c r="W44" s="5">
        <f>M44-V44</f>
        <v>5816000</v>
      </c>
      <c r="X44" s="5"/>
      <c r="Y44" s="62"/>
      <c r="Z44" s="5">
        <f t="shared" si="0"/>
        <v>5816000</v>
      </c>
    </row>
    <row r="45" spans="1:29" ht="24.95" customHeight="1" x14ac:dyDescent="0.25">
      <c r="A45" s="63"/>
      <c r="B45" s="2">
        <v>42</v>
      </c>
      <c r="C45" s="1" t="s">
        <v>71</v>
      </c>
      <c r="D45" s="2" t="s">
        <v>30</v>
      </c>
      <c r="E45" s="4">
        <v>5350000</v>
      </c>
      <c r="F45" s="3">
        <v>30</v>
      </c>
      <c r="G45" s="3">
        <f t="shared" si="2"/>
        <v>5350000</v>
      </c>
      <c r="H45" s="4"/>
      <c r="I45" s="4"/>
      <c r="J45" s="4"/>
      <c r="K45" s="4"/>
      <c r="L45" s="4"/>
      <c r="M45" s="4">
        <f t="shared" si="3"/>
        <v>5350000</v>
      </c>
      <c r="N45" s="4">
        <f t="shared" si="9"/>
        <v>214000</v>
      </c>
      <c r="O45" s="4">
        <f t="shared" si="10"/>
        <v>267500</v>
      </c>
      <c r="P45" s="4"/>
      <c r="Q45" s="4"/>
      <c r="R45" s="4">
        <v>121000</v>
      </c>
      <c r="S45" s="4"/>
      <c r="T45" s="4"/>
      <c r="U45" s="4"/>
      <c r="V45" s="4">
        <f t="shared" si="7"/>
        <v>602500</v>
      </c>
      <c r="W45" s="5">
        <f t="shared" ref="W45:W51" si="13">+M45-V45</f>
        <v>4747500</v>
      </c>
      <c r="X45" s="5"/>
      <c r="Y45" s="62"/>
      <c r="Z45" s="5">
        <f t="shared" si="0"/>
        <v>4747500</v>
      </c>
    </row>
    <row r="46" spans="1:29" ht="24.95" customHeight="1" x14ac:dyDescent="0.25">
      <c r="A46" s="63"/>
      <c r="B46" s="2">
        <v>43</v>
      </c>
      <c r="C46" s="1" t="s">
        <v>72</v>
      </c>
      <c r="D46" s="2"/>
      <c r="E46" s="4">
        <v>4000000</v>
      </c>
      <c r="F46" s="3">
        <v>30</v>
      </c>
      <c r="G46" s="3">
        <f>+E46-L46</f>
        <v>2666667</v>
      </c>
      <c r="H46" s="4"/>
      <c r="I46" s="4"/>
      <c r="J46" s="4"/>
      <c r="K46" s="4"/>
      <c r="L46" s="4">
        <v>1333333</v>
      </c>
      <c r="M46" s="4">
        <f t="shared" si="3"/>
        <v>4000000</v>
      </c>
      <c r="N46" s="4">
        <f t="shared" si="9"/>
        <v>160000</v>
      </c>
      <c r="O46" s="4">
        <f t="shared" si="10"/>
        <v>200000</v>
      </c>
      <c r="P46" s="4"/>
      <c r="Q46" s="4"/>
      <c r="R46" s="4">
        <v>0</v>
      </c>
      <c r="S46" s="4"/>
      <c r="T46" s="4"/>
      <c r="U46" s="4"/>
      <c r="V46" s="4">
        <f t="shared" si="7"/>
        <v>360000</v>
      </c>
      <c r="W46" s="5">
        <f t="shared" si="13"/>
        <v>3640000</v>
      </c>
      <c r="X46" s="5"/>
      <c r="Y46" s="62"/>
      <c r="Z46" s="5">
        <f t="shared" si="0"/>
        <v>3640000</v>
      </c>
    </row>
    <row r="47" spans="1:29" ht="24.95" customHeight="1" x14ac:dyDescent="0.25">
      <c r="A47" s="63"/>
      <c r="B47" s="2">
        <v>44</v>
      </c>
      <c r="C47" s="1" t="s">
        <v>73</v>
      </c>
      <c r="D47" s="2" t="s">
        <v>30</v>
      </c>
      <c r="E47" s="4">
        <v>4770000</v>
      </c>
      <c r="F47" s="3">
        <v>30</v>
      </c>
      <c r="G47" s="3">
        <f t="shared" si="2"/>
        <v>4770000</v>
      </c>
      <c r="H47" s="4"/>
      <c r="I47" s="4"/>
      <c r="J47" s="4"/>
      <c r="K47" s="4"/>
      <c r="L47" s="4"/>
      <c r="M47" s="4">
        <f t="shared" si="3"/>
        <v>4770000</v>
      </c>
      <c r="N47" s="4">
        <f t="shared" si="9"/>
        <v>190800</v>
      </c>
      <c r="O47" s="4">
        <f t="shared" si="10"/>
        <v>238500</v>
      </c>
      <c r="P47" s="4"/>
      <c r="Q47" s="4"/>
      <c r="R47" s="4">
        <v>0</v>
      </c>
      <c r="S47" s="4"/>
      <c r="T47" s="4"/>
      <c r="U47" s="4">
        <v>317224</v>
      </c>
      <c r="V47" s="4">
        <f t="shared" si="7"/>
        <v>746524</v>
      </c>
      <c r="W47" s="5">
        <f t="shared" si="13"/>
        <v>4023476</v>
      </c>
      <c r="X47" s="5"/>
      <c r="Y47" s="62"/>
      <c r="Z47" s="5">
        <f t="shared" si="0"/>
        <v>4023476</v>
      </c>
      <c r="AC47" s="60">
        <f>1840000-1196000</f>
        <v>644000</v>
      </c>
    </row>
    <row r="48" spans="1:29" ht="24.95" customHeight="1" x14ac:dyDescent="0.25">
      <c r="A48" s="63"/>
      <c r="B48" s="2">
        <v>45</v>
      </c>
      <c r="C48" s="1" t="s">
        <v>74</v>
      </c>
      <c r="D48" s="2" t="s">
        <v>30</v>
      </c>
      <c r="E48" s="4">
        <v>4800000</v>
      </c>
      <c r="F48" s="3">
        <v>30</v>
      </c>
      <c r="G48" s="3">
        <f>+E48-L48</f>
        <v>3040000</v>
      </c>
      <c r="H48" s="4"/>
      <c r="I48" s="4"/>
      <c r="J48" s="4"/>
      <c r="K48" s="4"/>
      <c r="L48" s="4">
        <v>1760000</v>
      </c>
      <c r="M48" s="4">
        <f t="shared" si="3"/>
        <v>4800000</v>
      </c>
      <c r="N48" s="4">
        <f t="shared" si="9"/>
        <v>192000</v>
      </c>
      <c r="O48" s="4">
        <f t="shared" si="10"/>
        <v>240000</v>
      </c>
      <c r="P48" s="4"/>
      <c r="Q48" s="4"/>
      <c r="R48" s="4">
        <v>0</v>
      </c>
      <c r="S48" s="4"/>
      <c r="T48" s="4"/>
      <c r="U48" s="4">
        <v>1198791</v>
      </c>
      <c r="V48" s="4">
        <f t="shared" si="7"/>
        <v>1630791</v>
      </c>
      <c r="W48" s="5">
        <f t="shared" si="13"/>
        <v>3169209</v>
      </c>
      <c r="X48" s="5"/>
      <c r="Y48" s="62"/>
      <c r="Z48" s="5">
        <f t="shared" si="0"/>
        <v>3169209</v>
      </c>
    </row>
    <row r="49" spans="1:29" ht="24.95" customHeight="1" x14ac:dyDescent="0.25">
      <c r="A49" s="63"/>
      <c r="B49" s="2">
        <v>46</v>
      </c>
      <c r="C49" s="1" t="s">
        <v>75</v>
      </c>
      <c r="D49" s="2"/>
      <c r="E49" s="4">
        <v>4000000</v>
      </c>
      <c r="F49" s="3">
        <v>30</v>
      </c>
      <c r="G49" s="3">
        <f>+E49-L49</f>
        <v>3466667</v>
      </c>
      <c r="H49" s="4"/>
      <c r="I49" s="4"/>
      <c r="J49" s="4"/>
      <c r="K49" s="4"/>
      <c r="L49" s="4">
        <v>533333</v>
      </c>
      <c r="M49" s="4">
        <f t="shared" si="3"/>
        <v>4000000</v>
      </c>
      <c r="N49" s="4">
        <f>E49*4/100</f>
        <v>160000</v>
      </c>
      <c r="O49" s="4">
        <f t="shared" si="10"/>
        <v>200000</v>
      </c>
      <c r="P49" s="4"/>
      <c r="Q49" s="4"/>
      <c r="R49" s="4">
        <v>0</v>
      </c>
      <c r="S49" s="4"/>
      <c r="T49" s="4"/>
      <c r="U49" s="4">
        <v>141077</v>
      </c>
      <c r="V49" s="4">
        <f t="shared" si="7"/>
        <v>501077</v>
      </c>
      <c r="W49" s="5">
        <f t="shared" si="13"/>
        <v>3498923</v>
      </c>
      <c r="X49" s="5"/>
      <c r="Y49" s="62"/>
      <c r="Z49" s="5">
        <f t="shared" si="0"/>
        <v>3498923</v>
      </c>
    </row>
    <row r="50" spans="1:29" ht="24.95" customHeight="1" x14ac:dyDescent="0.25">
      <c r="A50" s="63"/>
      <c r="B50" s="2">
        <v>47</v>
      </c>
      <c r="C50" s="1" t="s">
        <v>76</v>
      </c>
      <c r="D50" s="2" t="s">
        <v>30</v>
      </c>
      <c r="E50" s="4">
        <v>6000000</v>
      </c>
      <c r="F50" s="3">
        <v>30</v>
      </c>
      <c r="G50" s="3">
        <f t="shared" si="2"/>
        <v>6000000</v>
      </c>
      <c r="H50" s="4"/>
      <c r="I50" s="4"/>
      <c r="J50" s="4"/>
      <c r="K50" s="4">
        <v>400000</v>
      </c>
      <c r="L50" s="4"/>
      <c r="M50" s="4">
        <f t="shared" si="3"/>
        <v>6400000</v>
      </c>
      <c r="N50" s="4">
        <f t="shared" si="9"/>
        <v>240000</v>
      </c>
      <c r="O50" s="4">
        <f t="shared" si="10"/>
        <v>300000</v>
      </c>
      <c r="P50" s="4"/>
      <c r="Q50" s="4"/>
      <c r="R50" s="4">
        <v>126000</v>
      </c>
      <c r="S50" s="4"/>
      <c r="T50" s="4"/>
      <c r="U50" s="4"/>
      <c r="V50" s="4">
        <f t="shared" si="7"/>
        <v>666000</v>
      </c>
      <c r="W50" s="5">
        <f t="shared" si="13"/>
        <v>5734000</v>
      </c>
      <c r="X50" s="5"/>
      <c r="Y50" s="62"/>
      <c r="Z50" s="5">
        <f t="shared" si="0"/>
        <v>5734000</v>
      </c>
    </row>
    <row r="51" spans="1:29" ht="24.95" customHeight="1" x14ac:dyDescent="0.25">
      <c r="A51" s="63"/>
      <c r="B51" s="2">
        <v>48</v>
      </c>
      <c r="C51" s="1" t="s">
        <v>152</v>
      </c>
      <c r="D51" s="2"/>
      <c r="E51" s="4">
        <v>4000000</v>
      </c>
      <c r="F51" s="3">
        <v>11</v>
      </c>
      <c r="G51" s="3">
        <f t="shared" si="2"/>
        <v>1466666.6666666667</v>
      </c>
      <c r="H51" s="4"/>
      <c r="I51" s="4"/>
      <c r="J51" s="4"/>
      <c r="K51" s="4"/>
      <c r="L51" s="4"/>
      <c r="M51" s="4">
        <f t="shared" si="3"/>
        <v>1466666.6666666667</v>
      </c>
      <c r="N51" s="4">
        <f>G51*4/100</f>
        <v>58666.666666666672</v>
      </c>
      <c r="O51" s="4">
        <f>+G51*0.05</f>
        <v>73333.333333333343</v>
      </c>
      <c r="P51" s="4"/>
      <c r="Q51" s="4"/>
      <c r="R51" s="4"/>
      <c r="S51" s="4"/>
      <c r="T51" s="4"/>
      <c r="U51" s="4"/>
      <c r="V51" s="4">
        <f t="shared" ref="V51" si="14">SUM(N51:U51)</f>
        <v>132000</v>
      </c>
      <c r="W51" s="5">
        <f t="shared" si="13"/>
        <v>1334666.6666666667</v>
      </c>
      <c r="X51" s="5"/>
      <c r="Y51" s="62"/>
      <c r="Z51" s="5">
        <f t="shared" si="0"/>
        <v>1334666.6666666667</v>
      </c>
    </row>
    <row r="52" spans="1:29" ht="24.95" customHeight="1" x14ac:dyDescent="0.25">
      <c r="A52" s="63"/>
      <c r="B52" s="2">
        <v>49</v>
      </c>
      <c r="C52" s="1" t="s">
        <v>77</v>
      </c>
      <c r="D52" s="2" t="s">
        <v>30</v>
      </c>
      <c r="E52" s="4">
        <v>4500000</v>
      </c>
      <c r="F52" s="3">
        <v>30</v>
      </c>
      <c r="G52" s="3">
        <f t="shared" si="2"/>
        <v>4500000</v>
      </c>
      <c r="H52" s="4"/>
      <c r="I52" s="4"/>
      <c r="J52" s="4"/>
      <c r="K52" s="4"/>
      <c r="L52" s="4">
        <v>0</v>
      </c>
      <c r="M52" s="4">
        <f t="shared" si="3"/>
        <v>4500000</v>
      </c>
      <c r="N52" s="4">
        <f t="shared" si="9"/>
        <v>180000</v>
      </c>
      <c r="O52" s="4">
        <f t="shared" si="10"/>
        <v>225000</v>
      </c>
      <c r="P52" s="4"/>
      <c r="Q52" s="4"/>
      <c r="R52" s="4">
        <v>0</v>
      </c>
      <c r="S52" s="4"/>
      <c r="T52" s="4"/>
      <c r="U52" s="4"/>
      <c r="V52" s="4">
        <f t="shared" si="7"/>
        <v>405000</v>
      </c>
      <c r="W52" s="5">
        <f>M52-V52</f>
        <v>4095000</v>
      </c>
      <c r="X52" s="5"/>
      <c r="Y52" s="62"/>
      <c r="Z52" s="5">
        <f t="shared" si="0"/>
        <v>4095000</v>
      </c>
      <c r="AC52" s="60">
        <f>1840000-1196000</f>
        <v>644000</v>
      </c>
    </row>
    <row r="53" spans="1:29" ht="24.95" customHeight="1" x14ac:dyDescent="0.25">
      <c r="A53" s="63"/>
      <c r="B53" s="2">
        <v>50</v>
      </c>
      <c r="C53" s="1" t="s">
        <v>78</v>
      </c>
      <c r="D53" s="2" t="s">
        <v>30</v>
      </c>
      <c r="E53" s="4">
        <v>6000000</v>
      </c>
      <c r="F53" s="3">
        <v>30</v>
      </c>
      <c r="G53" s="3">
        <f t="shared" si="2"/>
        <v>6000000</v>
      </c>
      <c r="H53" s="4"/>
      <c r="I53" s="4"/>
      <c r="J53" s="4"/>
      <c r="K53" s="4">
        <v>400000</v>
      </c>
      <c r="L53" s="4"/>
      <c r="M53" s="4">
        <f t="shared" si="3"/>
        <v>6400000</v>
      </c>
      <c r="N53" s="4">
        <f t="shared" si="9"/>
        <v>240000</v>
      </c>
      <c r="O53" s="4">
        <f t="shared" si="10"/>
        <v>300000</v>
      </c>
      <c r="P53" s="4"/>
      <c r="Q53" s="4"/>
      <c r="R53" s="4">
        <v>120000</v>
      </c>
      <c r="S53" s="4"/>
      <c r="T53" s="4"/>
      <c r="U53" s="4"/>
      <c r="V53" s="4">
        <f t="shared" si="7"/>
        <v>660000</v>
      </c>
      <c r="W53" s="5">
        <f>M53-V53</f>
        <v>5740000</v>
      </c>
      <c r="X53" s="5"/>
      <c r="Y53" s="62"/>
      <c r="Z53" s="5">
        <f t="shared" si="0"/>
        <v>5740000</v>
      </c>
    </row>
    <row r="54" spans="1:29" ht="24.95" customHeight="1" x14ac:dyDescent="0.25">
      <c r="A54" s="63"/>
      <c r="B54" s="2">
        <v>51</v>
      </c>
      <c r="C54" s="1" t="s">
        <v>79</v>
      </c>
      <c r="D54" s="2"/>
      <c r="E54" s="4">
        <v>4800000</v>
      </c>
      <c r="F54" s="3">
        <v>30</v>
      </c>
      <c r="G54" s="3">
        <f>+E54-L54</f>
        <v>4480000</v>
      </c>
      <c r="H54" s="4"/>
      <c r="I54" s="4"/>
      <c r="J54" s="4"/>
      <c r="K54" s="4"/>
      <c r="L54" s="4">
        <v>320000</v>
      </c>
      <c r="M54" s="4">
        <f t="shared" si="3"/>
        <v>4800000</v>
      </c>
      <c r="N54" s="4">
        <f>+E54*4%</f>
        <v>192000</v>
      </c>
      <c r="O54" s="4">
        <f>+E54*5%</f>
        <v>240000</v>
      </c>
      <c r="P54" s="4"/>
      <c r="Q54" s="4"/>
      <c r="R54" s="4">
        <v>0</v>
      </c>
      <c r="S54" s="4"/>
      <c r="T54" s="4"/>
      <c r="U54" s="4"/>
      <c r="V54" s="4">
        <f t="shared" si="7"/>
        <v>432000</v>
      </c>
      <c r="W54" s="5">
        <f>+M54-V54</f>
        <v>4368000</v>
      </c>
      <c r="X54" s="5"/>
      <c r="Y54" s="62"/>
      <c r="Z54" s="5">
        <f t="shared" si="0"/>
        <v>4368000</v>
      </c>
    </row>
    <row r="55" spans="1:29" ht="24.95" customHeight="1" x14ac:dyDescent="0.25">
      <c r="A55" s="63"/>
      <c r="B55" s="2">
        <v>52</v>
      </c>
      <c r="C55" s="1" t="s">
        <v>153</v>
      </c>
      <c r="D55" s="2"/>
      <c r="E55" s="4">
        <v>4500000</v>
      </c>
      <c r="F55" s="3">
        <v>11</v>
      </c>
      <c r="G55" s="3">
        <f t="shared" si="2"/>
        <v>1650000</v>
      </c>
      <c r="H55" s="4"/>
      <c r="I55" s="4"/>
      <c r="J55" s="4"/>
      <c r="K55" s="4"/>
      <c r="L55" s="4"/>
      <c r="M55" s="4">
        <f t="shared" si="3"/>
        <v>1650000</v>
      </c>
      <c r="N55" s="4">
        <f>+G55*4%</f>
        <v>66000</v>
      </c>
      <c r="O55" s="4">
        <f>+G55*5%</f>
        <v>82500</v>
      </c>
      <c r="P55" s="4"/>
      <c r="Q55" s="4"/>
      <c r="R55" s="4"/>
      <c r="S55" s="4"/>
      <c r="T55" s="4"/>
      <c r="U55" s="4"/>
      <c r="V55" s="4">
        <f t="shared" ref="V55" si="15">SUM(N55:U55)</f>
        <v>148500</v>
      </c>
      <c r="W55" s="5">
        <f>+M55-V55</f>
        <v>1501500</v>
      </c>
      <c r="X55" s="5"/>
      <c r="Y55" s="62"/>
      <c r="Z55" s="5">
        <f t="shared" si="0"/>
        <v>1501500</v>
      </c>
    </row>
    <row r="56" spans="1:29" ht="24.95" customHeight="1" x14ac:dyDescent="0.25">
      <c r="A56" s="63"/>
      <c r="B56" s="2">
        <v>53</v>
      </c>
      <c r="C56" s="1" t="s">
        <v>80</v>
      </c>
      <c r="D56" s="2"/>
      <c r="E56" s="4">
        <v>6500000</v>
      </c>
      <c r="F56" s="3">
        <v>30</v>
      </c>
      <c r="G56" s="3">
        <f t="shared" si="2"/>
        <v>6500000</v>
      </c>
      <c r="H56" s="4"/>
      <c r="I56" s="4"/>
      <c r="J56" s="4"/>
      <c r="K56" s="4"/>
      <c r="L56" s="4"/>
      <c r="M56" s="4">
        <f t="shared" si="3"/>
        <v>6500000</v>
      </c>
      <c r="N56" s="4">
        <f>+E56*0.04</f>
        <v>260000</v>
      </c>
      <c r="O56" s="4">
        <f>+E56*0.05</f>
        <v>325000</v>
      </c>
      <c r="P56" s="4"/>
      <c r="Q56" s="4"/>
      <c r="R56" s="4">
        <v>207372</v>
      </c>
      <c r="S56" s="4"/>
      <c r="T56" s="4"/>
      <c r="U56" s="4"/>
      <c r="V56" s="4">
        <f t="shared" si="7"/>
        <v>792372</v>
      </c>
      <c r="W56" s="5">
        <f>M56-V56</f>
        <v>5707628</v>
      </c>
      <c r="X56" s="5"/>
      <c r="Y56" s="62"/>
      <c r="Z56" s="5">
        <f t="shared" si="0"/>
        <v>5707628</v>
      </c>
    </row>
    <row r="57" spans="1:29" ht="24.95" customHeight="1" x14ac:dyDescent="0.25">
      <c r="A57" s="63" t="s">
        <v>81</v>
      </c>
      <c r="B57" s="2">
        <v>1</v>
      </c>
      <c r="C57" s="1" t="s">
        <v>82</v>
      </c>
      <c r="D57" s="2"/>
      <c r="E57" s="4">
        <v>912000</v>
      </c>
      <c r="F57" s="3">
        <v>30</v>
      </c>
      <c r="G57" s="3">
        <f t="shared" si="2"/>
        <v>912000</v>
      </c>
      <c r="H57" s="4">
        <v>88211</v>
      </c>
      <c r="I57" s="4"/>
      <c r="J57" s="4"/>
      <c r="K57" s="4"/>
      <c r="L57" s="4"/>
      <c r="M57" s="4">
        <f t="shared" si="3"/>
        <v>1000211</v>
      </c>
      <c r="N57" s="4">
        <f>+E57*0.04</f>
        <v>36480</v>
      </c>
      <c r="O57" s="4">
        <f>+E57*0.04</f>
        <v>36480</v>
      </c>
      <c r="P57" s="4"/>
      <c r="Q57" s="4"/>
      <c r="R57" s="4"/>
      <c r="S57" s="4"/>
      <c r="T57" s="4"/>
      <c r="U57" s="4"/>
      <c r="V57" s="4">
        <f>SUM(N57:U57)</f>
        <v>72960</v>
      </c>
      <c r="W57" s="5">
        <f>M57-V57</f>
        <v>927251</v>
      </c>
      <c r="X57" s="5"/>
      <c r="Y57" s="62"/>
      <c r="Z57" s="5">
        <f t="shared" si="0"/>
        <v>927251</v>
      </c>
    </row>
    <row r="58" spans="1:29" ht="24.95" customHeight="1" x14ac:dyDescent="0.25">
      <c r="A58" s="63"/>
      <c r="B58" s="2">
        <f>+B57+1</f>
        <v>2</v>
      </c>
      <c r="C58" s="1" t="s">
        <v>83</v>
      </c>
      <c r="D58" s="2" t="s">
        <v>30</v>
      </c>
      <c r="E58" s="4">
        <v>3000000</v>
      </c>
      <c r="F58" s="3">
        <v>30</v>
      </c>
      <c r="G58" s="3">
        <f t="shared" si="2"/>
        <v>3000000</v>
      </c>
      <c r="H58" s="4"/>
      <c r="I58" s="4"/>
      <c r="J58" s="4"/>
      <c r="K58" s="4"/>
      <c r="L58" s="4">
        <f>+E58-G58</f>
        <v>0</v>
      </c>
      <c r="M58" s="4">
        <f t="shared" si="3"/>
        <v>3000000</v>
      </c>
      <c r="N58" s="4">
        <f>+E58*0.04</f>
        <v>120000</v>
      </c>
      <c r="O58" s="4">
        <f>+E58*0.04</f>
        <v>120000</v>
      </c>
      <c r="P58" s="4"/>
      <c r="Q58" s="4"/>
      <c r="R58" s="4"/>
      <c r="S58" s="4"/>
      <c r="T58" s="4"/>
      <c r="U58" s="4">
        <f>481778</f>
        <v>481778</v>
      </c>
      <c r="V58" s="4">
        <f t="shared" ref="V58:V110" si="16">SUM(N58:U58)</f>
        <v>721778</v>
      </c>
      <c r="W58" s="5">
        <f>M58-V58</f>
        <v>2278222</v>
      </c>
      <c r="X58" s="5"/>
      <c r="Y58" s="62"/>
      <c r="Z58" s="5">
        <f t="shared" si="0"/>
        <v>2278222</v>
      </c>
    </row>
    <row r="59" spans="1:29" ht="24.95" customHeight="1" x14ac:dyDescent="0.25">
      <c r="A59" s="63"/>
      <c r="B59" s="2">
        <f t="shared" ref="B59:B110" si="17">+B58+1</f>
        <v>3</v>
      </c>
      <c r="C59" s="9" t="s">
        <v>84</v>
      </c>
      <c r="D59" s="8" t="s">
        <v>30</v>
      </c>
      <c r="E59" s="4">
        <v>2500000</v>
      </c>
      <c r="F59" s="3">
        <v>30</v>
      </c>
      <c r="G59" s="3">
        <f t="shared" si="2"/>
        <v>2500000</v>
      </c>
      <c r="H59" s="4"/>
      <c r="I59" s="4"/>
      <c r="J59" s="4">
        <v>0</v>
      </c>
      <c r="K59" s="4"/>
      <c r="L59" s="4"/>
      <c r="M59" s="4">
        <f t="shared" si="3"/>
        <v>2500000</v>
      </c>
      <c r="N59" s="4">
        <f>+E59*4%</f>
        <v>100000</v>
      </c>
      <c r="O59" s="4">
        <f>+E59*4%</f>
        <v>100000</v>
      </c>
      <c r="P59" s="4"/>
      <c r="Q59" s="4"/>
      <c r="R59" s="4"/>
      <c r="S59" s="4"/>
      <c r="T59" s="4"/>
      <c r="U59" s="4"/>
      <c r="V59" s="4">
        <f t="shared" si="16"/>
        <v>200000</v>
      </c>
      <c r="W59" s="5">
        <f>M59-V59</f>
        <v>2300000</v>
      </c>
      <c r="X59" s="5"/>
      <c r="Y59" s="62"/>
      <c r="Z59" s="5">
        <f t="shared" si="0"/>
        <v>2300000</v>
      </c>
    </row>
    <row r="60" spans="1:29" ht="24.95" customHeight="1" x14ac:dyDescent="0.25">
      <c r="A60" s="63"/>
      <c r="B60" s="2">
        <f t="shared" si="17"/>
        <v>4</v>
      </c>
      <c r="C60" s="1" t="s">
        <v>85</v>
      </c>
      <c r="D60" s="2" t="s">
        <v>30</v>
      </c>
      <c r="E60" s="4">
        <v>3000000</v>
      </c>
      <c r="F60" s="3">
        <v>30</v>
      </c>
      <c r="G60" s="3">
        <f t="shared" si="2"/>
        <v>3000000</v>
      </c>
      <c r="H60" s="4">
        <v>0</v>
      </c>
      <c r="I60" s="4"/>
      <c r="J60" s="4"/>
      <c r="K60" s="4"/>
      <c r="L60" s="4"/>
      <c r="M60" s="4">
        <f t="shared" si="3"/>
        <v>3000000</v>
      </c>
      <c r="N60" s="4">
        <f>+E60*4%</f>
        <v>120000</v>
      </c>
      <c r="O60" s="4">
        <f>+E60*4%</f>
        <v>120000</v>
      </c>
      <c r="P60" s="4"/>
      <c r="Q60" s="4"/>
      <c r="R60" s="7"/>
      <c r="S60" s="4"/>
      <c r="T60" s="4"/>
      <c r="U60" s="4"/>
      <c r="V60" s="4">
        <f t="shared" si="16"/>
        <v>240000</v>
      </c>
      <c r="W60" s="5">
        <f t="shared" ref="W60:W71" si="18">+M60-V60</f>
        <v>2760000</v>
      </c>
      <c r="X60" s="5"/>
      <c r="Y60" s="62"/>
      <c r="Z60" s="5">
        <f t="shared" si="0"/>
        <v>2760000</v>
      </c>
    </row>
    <row r="61" spans="1:29" ht="24.95" customHeight="1" x14ac:dyDescent="0.25">
      <c r="A61" s="63"/>
      <c r="B61" s="2">
        <f t="shared" si="17"/>
        <v>5</v>
      </c>
      <c r="C61" s="1" t="s">
        <v>154</v>
      </c>
      <c r="D61" s="2"/>
      <c r="E61" s="4">
        <v>781242</v>
      </c>
      <c r="F61" s="3">
        <v>30</v>
      </c>
      <c r="G61" s="3">
        <f t="shared" si="2"/>
        <v>781242</v>
      </c>
      <c r="H61" s="4"/>
      <c r="I61" s="4"/>
      <c r="J61" s="4"/>
      <c r="K61" s="4"/>
      <c r="L61" s="4"/>
      <c r="M61" s="4">
        <f t="shared" si="3"/>
        <v>781242</v>
      </c>
      <c r="N61" s="4">
        <v>0</v>
      </c>
      <c r="O61" s="4">
        <v>0</v>
      </c>
      <c r="P61" s="4"/>
      <c r="Q61" s="4"/>
      <c r="R61" s="7"/>
      <c r="S61" s="4"/>
      <c r="T61" s="4"/>
      <c r="U61" s="4"/>
      <c r="V61" s="4">
        <f t="shared" ref="V61" si="19">SUM(N61:U61)</f>
        <v>0</v>
      </c>
      <c r="W61" s="5">
        <f t="shared" si="18"/>
        <v>781242</v>
      </c>
      <c r="X61" s="5"/>
      <c r="Y61" s="62"/>
      <c r="Z61" s="5">
        <f t="shared" si="0"/>
        <v>781242</v>
      </c>
    </row>
    <row r="62" spans="1:29" ht="24.95" customHeight="1" x14ac:dyDescent="0.25">
      <c r="A62" s="63"/>
      <c r="B62" s="2">
        <f t="shared" si="17"/>
        <v>6</v>
      </c>
      <c r="C62" s="1" t="s">
        <v>87</v>
      </c>
      <c r="D62" s="2" t="s">
        <v>30</v>
      </c>
      <c r="E62" s="4">
        <v>2200000</v>
      </c>
      <c r="F62" s="3">
        <v>30</v>
      </c>
      <c r="G62" s="3">
        <f t="shared" si="2"/>
        <v>2200000</v>
      </c>
      <c r="H62" s="4"/>
      <c r="I62" s="4"/>
      <c r="J62" s="4"/>
      <c r="K62" s="4"/>
      <c r="L62" s="4"/>
      <c r="M62" s="4">
        <f t="shared" si="3"/>
        <v>2200000</v>
      </c>
      <c r="N62" s="4">
        <f>+E62*4%</f>
        <v>88000</v>
      </c>
      <c r="O62" s="4">
        <f>+E62*4%</f>
        <v>88000</v>
      </c>
      <c r="P62" s="4"/>
      <c r="Q62" s="4"/>
      <c r="R62" s="7"/>
      <c r="S62" s="4"/>
      <c r="T62" s="4"/>
      <c r="U62" s="4"/>
      <c r="V62" s="4">
        <f t="shared" si="16"/>
        <v>176000</v>
      </c>
      <c r="W62" s="5">
        <f t="shared" si="18"/>
        <v>2024000</v>
      </c>
      <c r="X62" s="5"/>
      <c r="Y62" s="62"/>
      <c r="Z62" s="5">
        <f t="shared" si="0"/>
        <v>2024000</v>
      </c>
    </row>
    <row r="63" spans="1:29" ht="24.95" customHeight="1" x14ac:dyDescent="0.25">
      <c r="A63" s="63"/>
      <c r="B63" s="2">
        <f t="shared" si="17"/>
        <v>7</v>
      </c>
      <c r="C63" s="1" t="s">
        <v>88</v>
      </c>
      <c r="D63" s="2" t="s">
        <v>30</v>
      </c>
      <c r="E63" s="4">
        <v>1800000</v>
      </c>
      <c r="F63" s="3">
        <v>30</v>
      </c>
      <c r="G63" s="3">
        <f t="shared" si="2"/>
        <v>1800000</v>
      </c>
      <c r="H63" s="4">
        <v>0</v>
      </c>
      <c r="I63" s="4"/>
      <c r="J63" s="4"/>
      <c r="K63" s="4"/>
      <c r="L63" s="4"/>
      <c r="M63" s="4">
        <f t="shared" si="3"/>
        <v>1800000</v>
      </c>
      <c r="N63" s="4">
        <f>+E63*4%</f>
        <v>72000</v>
      </c>
      <c r="O63" s="4">
        <f>+E63*4%</f>
        <v>72000</v>
      </c>
      <c r="P63" s="4"/>
      <c r="Q63" s="4"/>
      <c r="R63" s="4">
        <v>0</v>
      </c>
      <c r="S63" s="4"/>
      <c r="T63" s="4"/>
      <c r="U63" s="4"/>
      <c r="V63" s="4">
        <f t="shared" si="16"/>
        <v>144000</v>
      </c>
      <c r="W63" s="5">
        <f t="shared" si="18"/>
        <v>1656000</v>
      </c>
      <c r="X63" s="5"/>
      <c r="Y63" s="62"/>
      <c r="Z63" s="5">
        <f t="shared" si="0"/>
        <v>1656000</v>
      </c>
    </row>
    <row r="64" spans="1:29" ht="24.95" customHeight="1" x14ac:dyDescent="0.25">
      <c r="A64" s="63"/>
      <c r="B64" s="2">
        <f t="shared" si="17"/>
        <v>8</v>
      </c>
      <c r="C64" s="1" t="s">
        <v>89</v>
      </c>
      <c r="D64" s="2" t="s">
        <v>30</v>
      </c>
      <c r="E64" s="4">
        <v>781242</v>
      </c>
      <c r="F64" s="3">
        <v>30</v>
      </c>
      <c r="G64" s="3">
        <f t="shared" si="2"/>
        <v>781242</v>
      </c>
      <c r="H64" s="4">
        <v>88211</v>
      </c>
      <c r="I64" s="4"/>
      <c r="J64" s="4"/>
      <c r="K64" s="4"/>
      <c r="L64" s="4"/>
      <c r="M64" s="4">
        <f t="shared" si="3"/>
        <v>869453</v>
      </c>
      <c r="N64" s="4">
        <v>31250</v>
      </c>
      <c r="O64" s="4">
        <v>31250</v>
      </c>
      <c r="P64" s="4"/>
      <c r="Q64" s="4"/>
      <c r="R64" s="7"/>
      <c r="S64" s="4"/>
      <c r="T64" s="4"/>
      <c r="U64" s="4"/>
      <c r="V64" s="4">
        <f t="shared" si="16"/>
        <v>62500</v>
      </c>
      <c r="W64" s="5">
        <f t="shared" si="18"/>
        <v>806953</v>
      </c>
      <c r="X64" s="5"/>
      <c r="Y64" s="62"/>
      <c r="Z64" s="5">
        <f t="shared" si="0"/>
        <v>806953</v>
      </c>
    </row>
    <row r="65" spans="1:26" ht="24.95" customHeight="1" x14ac:dyDescent="0.25">
      <c r="A65" s="63"/>
      <c r="B65" s="2">
        <f t="shared" si="17"/>
        <v>9</v>
      </c>
      <c r="C65" s="1" t="s">
        <v>90</v>
      </c>
      <c r="D65" s="2"/>
      <c r="E65" s="4">
        <v>3000000</v>
      </c>
      <c r="F65" s="3">
        <v>30</v>
      </c>
      <c r="G65" s="3">
        <f t="shared" si="2"/>
        <v>3000000</v>
      </c>
      <c r="H65" s="4"/>
      <c r="I65" s="4"/>
      <c r="J65" s="4"/>
      <c r="K65" s="4"/>
      <c r="L65" s="4"/>
      <c r="M65" s="4">
        <f t="shared" si="3"/>
        <v>3000000</v>
      </c>
      <c r="N65" s="4">
        <f t="shared" ref="N65:N72" si="20">+E65*4%</f>
        <v>120000</v>
      </c>
      <c r="O65" s="4">
        <f>+E65*4%</f>
        <v>120000</v>
      </c>
      <c r="P65" s="4"/>
      <c r="Q65" s="4"/>
      <c r="R65" s="4"/>
      <c r="S65" s="4"/>
      <c r="T65" s="4"/>
      <c r="U65" s="4"/>
      <c r="V65" s="4">
        <f t="shared" si="16"/>
        <v>240000</v>
      </c>
      <c r="W65" s="5">
        <f t="shared" si="18"/>
        <v>2760000</v>
      </c>
      <c r="X65" s="5"/>
      <c r="Y65" s="62"/>
      <c r="Z65" s="5">
        <f t="shared" si="0"/>
        <v>2760000</v>
      </c>
    </row>
    <row r="66" spans="1:26" ht="24.95" customHeight="1" x14ac:dyDescent="0.25">
      <c r="A66" s="63"/>
      <c r="B66" s="2">
        <f t="shared" si="17"/>
        <v>10</v>
      </c>
      <c r="C66" s="1" t="s">
        <v>91</v>
      </c>
      <c r="D66" s="2" t="s">
        <v>30</v>
      </c>
      <c r="E66" s="4">
        <v>3500000</v>
      </c>
      <c r="F66" s="3">
        <v>30</v>
      </c>
      <c r="G66" s="3">
        <f t="shared" si="2"/>
        <v>3500000</v>
      </c>
      <c r="H66" s="4"/>
      <c r="I66" s="4"/>
      <c r="J66" s="4"/>
      <c r="K66" s="4"/>
      <c r="L66" s="4"/>
      <c r="M66" s="4">
        <f t="shared" si="3"/>
        <v>3500000</v>
      </c>
      <c r="N66" s="4">
        <f t="shared" si="20"/>
        <v>140000</v>
      </c>
      <c r="O66" s="4">
        <f>+E66*5%</f>
        <v>175000</v>
      </c>
      <c r="P66" s="4"/>
      <c r="Q66" s="4"/>
      <c r="R66" s="4">
        <v>0</v>
      </c>
      <c r="S66" s="4"/>
      <c r="T66" s="4"/>
      <c r="U66" s="4">
        <v>774624</v>
      </c>
      <c r="V66" s="4">
        <f t="shared" si="16"/>
        <v>1089624</v>
      </c>
      <c r="W66" s="5">
        <f t="shared" si="18"/>
        <v>2410376</v>
      </c>
      <c r="X66" s="5"/>
      <c r="Y66" s="62"/>
      <c r="Z66" s="5">
        <f t="shared" si="0"/>
        <v>2410376</v>
      </c>
    </row>
    <row r="67" spans="1:26" ht="24.95" customHeight="1" x14ac:dyDescent="0.25">
      <c r="A67" s="63"/>
      <c r="B67" s="2">
        <f t="shared" si="17"/>
        <v>11</v>
      </c>
      <c r="C67" s="1" t="s">
        <v>92</v>
      </c>
      <c r="D67" s="2" t="s">
        <v>30</v>
      </c>
      <c r="E67" s="4">
        <v>2500000</v>
      </c>
      <c r="F67" s="3">
        <v>30</v>
      </c>
      <c r="G67" s="3">
        <f t="shared" si="2"/>
        <v>2500000</v>
      </c>
      <c r="H67" s="4"/>
      <c r="I67" s="4"/>
      <c r="J67" s="4"/>
      <c r="K67" s="4">
        <v>700000</v>
      </c>
      <c r="L67" s="4"/>
      <c r="M67" s="4">
        <f t="shared" si="3"/>
        <v>3200000</v>
      </c>
      <c r="N67" s="4">
        <f t="shared" si="20"/>
        <v>100000</v>
      </c>
      <c r="O67" s="4">
        <f>+E67*4%</f>
        <v>100000</v>
      </c>
      <c r="P67" s="4"/>
      <c r="Q67" s="4"/>
      <c r="R67" s="4">
        <v>0</v>
      </c>
      <c r="S67" s="4"/>
      <c r="T67" s="4"/>
      <c r="U67" s="4">
        <v>200210</v>
      </c>
      <c r="V67" s="4">
        <f t="shared" si="16"/>
        <v>400210</v>
      </c>
      <c r="W67" s="5">
        <f t="shared" si="18"/>
        <v>2799790</v>
      </c>
      <c r="X67" s="5"/>
      <c r="Y67" s="62"/>
      <c r="Z67" s="5">
        <f t="shared" si="0"/>
        <v>2799790</v>
      </c>
    </row>
    <row r="68" spans="1:26" ht="24.95" customHeight="1" x14ac:dyDescent="0.25">
      <c r="A68" s="63"/>
      <c r="B68" s="2">
        <f t="shared" si="17"/>
        <v>12</v>
      </c>
      <c r="C68" s="1" t="s">
        <v>93</v>
      </c>
      <c r="D68" s="2" t="s">
        <v>30</v>
      </c>
      <c r="E68" s="4">
        <v>2500000</v>
      </c>
      <c r="F68" s="3">
        <v>30</v>
      </c>
      <c r="G68" s="3">
        <f t="shared" si="2"/>
        <v>2500000</v>
      </c>
      <c r="H68" s="4"/>
      <c r="I68" s="4"/>
      <c r="J68" s="4"/>
      <c r="K68" s="4"/>
      <c r="L68" s="4"/>
      <c r="M68" s="4">
        <f t="shared" si="3"/>
        <v>2500000</v>
      </c>
      <c r="N68" s="4">
        <f t="shared" si="20"/>
        <v>100000</v>
      </c>
      <c r="O68" s="4">
        <f>+E68*4%</f>
        <v>100000</v>
      </c>
      <c r="P68" s="4">
        <v>0</v>
      </c>
      <c r="Q68" s="4"/>
      <c r="R68" s="4">
        <v>0</v>
      </c>
      <c r="S68" s="4"/>
      <c r="T68" s="4"/>
      <c r="U68" s="4">
        <v>422966</v>
      </c>
      <c r="V68" s="4">
        <f t="shared" si="16"/>
        <v>622966</v>
      </c>
      <c r="W68" s="5">
        <f t="shared" si="18"/>
        <v>1877034</v>
      </c>
      <c r="X68" s="5"/>
      <c r="Y68" s="62"/>
      <c r="Z68" s="5">
        <f t="shared" ref="Z68:Z82" si="21">W68+X68-Y68</f>
        <v>1877034</v>
      </c>
    </row>
    <row r="69" spans="1:26" ht="24.95" customHeight="1" x14ac:dyDescent="0.25">
      <c r="A69" s="63"/>
      <c r="B69" s="2">
        <f t="shared" si="17"/>
        <v>13</v>
      </c>
      <c r="C69" s="1" t="s">
        <v>94</v>
      </c>
      <c r="D69" s="2" t="s">
        <v>30</v>
      </c>
      <c r="E69" s="4">
        <v>781242</v>
      </c>
      <c r="F69" s="3">
        <v>30</v>
      </c>
      <c r="G69" s="3">
        <f>+E69-J69</f>
        <v>755201</v>
      </c>
      <c r="H69" s="4">
        <v>88211</v>
      </c>
      <c r="I69" s="4"/>
      <c r="J69" s="4">
        <v>26041</v>
      </c>
      <c r="K69" s="4"/>
      <c r="L69" s="4"/>
      <c r="M69" s="4">
        <f t="shared" si="3"/>
        <v>869453</v>
      </c>
      <c r="N69" s="4">
        <f t="shared" si="20"/>
        <v>31249.68</v>
      </c>
      <c r="O69" s="4">
        <f>+E69*4%</f>
        <v>31249.68</v>
      </c>
      <c r="P69" s="4"/>
      <c r="Q69" s="4"/>
      <c r="R69" s="4">
        <v>0</v>
      </c>
      <c r="S69" s="4"/>
      <c r="T69" s="4"/>
      <c r="U69" s="4"/>
      <c r="V69" s="4">
        <f t="shared" si="16"/>
        <v>62499.360000000001</v>
      </c>
      <c r="W69" s="5">
        <f t="shared" si="18"/>
        <v>806953.64</v>
      </c>
      <c r="X69" s="5"/>
      <c r="Y69" s="62"/>
      <c r="Z69" s="5">
        <f t="shared" si="21"/>
        <v>806953.64</v>
      </c>
    </row>
    <row r="70" spans="1:26" ht="24.95" customHeight="1" x14ac:dyDescent="0.25">
      <c r="A70" s="63"/>
      <c r="B70" s="2">
        <f t="shared" si="17"/>
        <v>14</v>
      </c>
      <c r="C70" s="1" t="s">
        <v>95</v>
      </c>
      <c r="D70" s="2" t="s">
        <v>30</v>
      </c>
      <c r="E70" s="4">
        <v>3000000</v>
      </c>
      <c r="F70" s="3">
        <v>30</v>
      </c>
      <c r="G70" s="3">
        <f t="shared" si="2"/>
        <v>3000000</v>
      </c>
      <c r="H70" s="4"/>
      <c r="I70" s="4"/>
      <c r="J70" s="4"/>
      <c r="K70" s="4">
        <v>200000</v>
      </c>
      <c r="L70" s="4"/>
      <c r="M70" s="4">
        <f t="shared" si="3"/>
        <v>3200000</v>
      </c>
      <c r="N70" s="4">
        <f t="shared" si="20"/>
        <v>120000</v>
      </c>
      <c r="O70" s="4">
        <f>+E70*0.04</f>
        <v>120000</v>
      </c>
      <c r="P70" s="4"/>
      <c r="Q70" s="4"/>
      <c r="R70" s="4">
        <v>0</v>
      </c>
      <c r="S70" s="4"/>
      <c r="T70" s="4"/>
      <c r="U70" s="4">
        <v>323803</v>
      </c>
      <c r="V70" s="4">
        <f t="shared" si="16"/>
        <v>563803</v>
      </c>
      <c r="W70" s="5">
        <f t="shared" si="18"/>
        <v>2636197</v>
      </c>
      <c r="X70" s="5"/>
      <c r="Y70" s="62"/>
      <c r="Z70" s="5">
        <f t="shared" si="21"/>
        <v>2636197</v>
      </c>
    </row>
    <row r="71" spans="1:26" ht="24.95" customHeight="1" x14ac:dyDescent="0.25">
      <c r="A71" s="63"/>
      <c r="B71" s="2">
        <f t="shared" si="17"/>
        <v>15</v>
      </c>
      <c r="C71" s="1" t="s">
        <v>96</v>
      </c>
      <c r="D71" s="2"/>
      <c r="E71" s="4">
        <v>2000000</v>
      </c>
      <c r="F71" s="3">
        <v>30</v>
      </c>
      <c r="G71" s="3">
        <f t="shared" si="2"/>
        <v>2000000.0000000002</v>
      </c>
      <c r="H71" s="4"/>
      <c r="I71" s="4"/>
      <c r="J71" s="4"/>
      <c r="K71" s="4"/>
      <c r="L71" s="4"/>
      <c r="M71" s="4">
        <f t="shared" si="3"/>
        <v>2000000.0000000002</v>
      </c>
      <c r="N71" s="4">
        <f t="shared" si="20"/>
        <v>80000</v>
      </c>
      <c r="O71" s="4">
        <f>+E71*4%</f>
        <v>80000</v>
      </c>
      <c r="P71" s="4"/>
      <c r="Q71" s="4"/>
      <c r="R71" s="4">
        <v>0</v>
      </c>
      <c r="S71" s="4"/>
      <c r="T71" s="4"/>
      <c r="U71" s="4"/>
      <c r="V71" s="4">
        <f t="shared" si="16"/>
        <v>160000</v>
      </c>
      <c r="W71" s="5">
        <f t="shared" si="18"/>
        <v>1840000.0000000002</v>
      </c>
      <c r="X71" s="5"/>
      <c r="Y71" s="62"/>
      <c r="Z71" s="5">
        <f t="shared" si="21"/>
        <v>1840000.0000000002</v>
      </c>
    </row>
    <row r="72" spans="1:26" ht="24.95" customHeight="1" x14ac:dyDescent="0.25">
      <c r="A72" s="63"/>
      <c r="B72" s="2">
        <f t="shared" si="17"/>
        <v>16</v>
      </c>
      <c r="C72" s="9" t="s">
        <v>97</v>
      </c>
      <c r="D72" s="8" t="s">
        <v>30</v>
      </c>
      <c r="E72" s="4">
        <v>4100000</v>
      </c>
      <c r="F72" s="3">
        <v>30</v>
      </c>
      <c r="G72" s="3">
        <f t="shared" si="2"/>
        <v>4099999.9999999995</v>
      </c>
      <c r="H72" s="4"/>
      <c r="I72" s="4"/>
      <c r="J72" s="4"/>
      <c r="K72" s="4"/>
      <c r="L72" s="4"/>
      <c r="M72" s="4">
        <f t="shared" si="3"/>
        <v>4099999.9999999995</v>
      </c>
      <c r="N72" s="4">
        <f t="shared" si="20"/>
        <v>164000</v>
      </c>
      <c r="O72" s="4">
        <f>+E72*5%</f>
        <v>205000</v>
      </c>
      <c r="P72" s="4"/>
      <c r="Q72" s="4"/>
      <c r="R72" s="4">
        <v>0</v>
      </c>
      <c r="S72" s="4"/>
      <c r="T72" s="4"/>
      <c r="U72" s="4"/>
      <c r="V72" s="4">
        <f t="shared" si="16"/>
        <v>369000</v>
      </c>
      <c r="W72" s="5">
        <f t="shared" ref="W72:W80" si="22">M72-V72</f>
        <v>3730999.9999999995</v>
      </c>
      <c r="X72" s="5"/>
      <c r="Y72" s="62"/>
      <c r="Z72" s="5">
        <f t="shared" si="21"/>
        <v>3730999.9999999995</v>
      </c>
    </row>
    <row r="73" spans="1:26" ht="24.95" customHeight="1" x14ac:dyDescent="0.25">
      <c r="A73" s="63"/>
      <c r="B73" s="2">
        <f t="shared" si="17"/>
        <v>17</v>
      </c>
      <c r="C73" s="1" t="s">
        <v>99</v>
      </c>
      <c r="D73" s="2" t="s">
        <v>30</v>
      </c>
      <c r="E73" s="4">
        <v>1000000</v>
      </c>
      <c r="F73" s="3">
        <v>30</v>
      </c>
      <c r="G73" s="3">
        <f t="shared" si="2"/>
        <v>1000000.0000000001</v>
      </c>
      <c r="H73" s="4">
        <v>88211</v>
      </c>
      <c r="I73" s="4"/>
      <c r="J73" s="4"/>
      <c r="K73" s="4"/>
      <c r="L73" s="4"/>
      <c r="M73" s="4">
        <f t="shared" si="3"/>
        <v>1088211</v>
      </c>
      <c r="N73" s="4">
        <f>+E73*4%</f>
        <v>40000</v>
      </c>
      <c r="O73" s="4">
        <f>+E73*4%</f>
        <v>40000</v>
      </c>
      <c r="P73" s="4"/>
      <c r="Q73" s="4"/>
      <c r="R73" s="4"/>
      <c r="S73" s="4"/>
      <c r="T73" s="4"/>
      <c r="U73" s="4"/>
      <c r="V73" s="4">
        <f t="shared" si="16"/>
        <v>80000</v>
      </c>
      <c r="W73" s="5">
        <f t="shared" si="22"/>
        <v>1008211</v>
      </c>
      <c r="X73" s="5"/>
      <c r="Y73" s="62"/>
      <c r="Z73" s="5">
        <f t="shared" si="21"/>
        <v>1008211</v>
      </c>
    </row>
    <row r="74" spans="1:26" ht="24.95" customHeight="1" x14ac:dyDescent="0.25">
      <c r="A74" s="63"/>
      <c r="B74" s="2">
        <f t="shared" si="17"/>
        <v>18</v>
      </c>
      <c r="C74" s="1" t="s">
        <v>101</v>
      </c>
      <c r="D74" s="2" t="s">
        <v>30</v>
      </c>
      <c r="E74" s="4">
        <v>4200000</v>
      </c>
      <c r="F74" s="3">
        <v>30</v>
      </c>
      <c r="G74" s="3">
        <f t="shared" ref="G74:G109" si="23">+E74/30*F74</f>
        <v>4200000</v>
      </c>
      <c r="H74" s="4"/>
      <c r="I74" s="4"/>
      <c r="J74" s="4"/>
      <c r="K74" s="4"/>
      <c r="L74" s="4">
        <v>750463</v>
      </c>
      <c r="M74" s="4">
        <f t="shared" ref="M74:M110" si="24">+G74+H74+J74+K74+L74+I74</f>
        <v>4950463</v>
      </c>
      <c r="N74" s="4">
        <f>+E74*0.04</f>
        <v>168000</v>
      </c>
      <c r="O74" s="4">
        <f>+E74*0.05</f>
        <v>210000</v>
      </c>
      <c r="P74" s="4"/>
      <c r="Q74" s="4"/>
      <c r="R74" s="4">
        <v>0</v>
      </c>
      <c r="S74" s="4"/>
      <c r="T74" s="4"/>
      <c r="U74" s="4"/>
      <c r="V74" s="4">
        <f t="shared" si="16"/>
        <v>378000</v>
      </c>
      <c r="W74" s="5">
        <f t="shared" si="22"/>
        <v>4572463</v>
      </c>
      <c r="X74" s="5"/>
      <c r="Y74" s="62"/>
      <c r="Z74" s="5">
        <f t="shared" si="21"/>
        <v>4572463</v>
      </c>
    </row>
    <row r="75" spans="1:26" ht="24.95" customHeight="1" x14ac:dyDescent="0.25">
      <c r="A75" s="63"/>
      <c r="B75" s="2">
        <f t="shared" si="17"/>
        <v>19</v>
      </c>
      <c r="C75" s="1" t="s">
        <v>102</v>
      </c>
      <c r="D75" s="2" t="s">
        <v>30</v>
      </c>
      <c r="E75" s="4">
        <v>1550000</v>
      </c>
      <c r="F75" s="3">
        <v>30</v>
      </c>
      <c r="G75" s="3">
        <f t="shared" si="23"/>
        <v>1550000</v>
      </c>
      <c r="H75" s="4">
        <f>88211*3</f>
        <v>264633</v>
      </c>
      <c r="I75" s="4"/>
      <c r="J75" s="4"/>
      <c r="K75" s="4"/>
      <c r="L75" s="4"/>
      <c r="M75" s="4">
        <f t="shared" si="24"/>
        <v>1814633</v>
      </c>
      <c r="N75" s="4">
        <f>+E75*4%</f>
        <v>62000</v>
      </c>
      <c r="O75" s="4">
        <f>+E75*4%</f>
        <v>62000</v>
      </c>
      <c r="P75" s="4"/>
      <c r="Q75" s="4"/>
      <c r="R75" s="4"/>
      <c r="S75" s="4"/>
      <c r="T75" s="4"/>
      <c r="U75" s="4"/>
      <c r="V75" s="4">
        <f t="shared" si="16"/>
        <v>124000</v>
      </c>
      <c r="W75" s="5">
        <f t="shared" si="22"/>
        <v>1690633</v>
      </c>
      <c r="X75" s="5"/>
      <c r="Y75" s="62"/>
      <c r="Z75" s="5">
        <f t="shared" si="21"/>
        <v>1690633</v>
      </c>
    </row>
    <row r="76" spans="1:26" ht="24.95" customHeight="1" x14ac:dyDescent="0.25">
      <c r="A76" s="63"/>
      <c r="B76" s="2">
        <f t="shared" si="17"/>
        <v>20</v>
      </c>
      <c r="C76" s="1" t="s">
        <v>103</v>
      </c>
      <c r="D76" s="2"/>
      <c r="E76" s="4">
        <v>1200000</v>
      </c>
      <c r="F76" s="3">
        <v>30</v>
      </c>
      <c r="G76" s="3">
        <f t="shared" si="23"/>
        <v>1200000</v>
      </c>
      <c r="H76" s="4">
        <v>88211</v>
      </c>
      <c r="I76" s="4"/>
      <c r="J76" s="4"/>
      <c r="K76" s="4"/>
      <c r="L76" s="4"/>
      <c r="M76" s="4">
        <f t="shared" si="24"/>
        <v>1288211</v>
      </c>
      <c r="N76" s="4">
        <f>+E76*4%</f>
        <v>48000</v>
      </c>
      <c r="O76" s="4">
        <f>+E76*4%</f>
        <v>48000</v>
      </c>
      <c r="P76" s="4"/>
      <c r="Q76" s="4"/>
      <c r="R76" s="4"/>
      <c r="S76" s="4"/>
      <c r="T76" s="4"/>
      <c r="U76" s="4"/>
      <c r="V76" s="4">
        <f t="shared" si="16"/>
        <v>96000</v>
      </c>
      <c r="W76" s="5">
        <f t="shared" si="22"/>
        <v>1192211</v>
      </c>
      <c r="X76" s="5"/>
      <c r="Y76" s="62"/>
      <c r="Z76" s="5">
        <f t="shared" si="21"/>
        <v>1192211</v>
      </c>
    </row>
    <row r="77" spans="1:26" ht="24.95" customHeight="1" x14ac:dyDescent="0.25">
      <c r="A77" s="63"/>
      <c r="B77" s="2">
        <f t="shared" si="17"/>
        <v>21</v>
      </c>
      <c r="C77" s="1" t="s">
        <v>104</v>
      </c>
      <c r="D77" s="2" t="s">
        <v>30</v>
      </c>
      <c r="E77" s="4">
        <v>2500000</v>
      </c>
      <c r="F77" s="3">
        <v>30</v>
      </c>
      <c r="G77" s="3">
        <f t="shared" si="23"/>
        <v>2500000</v>
      </c>
      <c r="H77" s="4"/>
      <c r="I77" s="4"/>
      <c r="J77" s="4"/>
      <c r="K77" s="4"/>
      <c r="L77" s="4"/>
      <c r="M77" s="4">
        <f t="shared" si="24"/>
        <v>2500000</v>
      </c>
      <c r="N77" s="4">
        <f>+E77*4%</f>
        <v>100000</v>
      </c>
      <c r="O77" s="4">
        <f>+E77*4%</f>
        <v>100000</v>
      </c>
      <c r="P77" s="4"/>
      <c r="Q77" s="4"/>
      <c r="R77" s="4">
        <v>0</v>
      </c>
      <c r="S77" s="4"/>
      <c r="T77" s="4"/>
      <c r="U77" s="4"/>
      <c r="V77" s="4">
        <f t="shared" si="16"/>
        <v>200000</v>
      </c>
      <c r="W77" s="5">
        <f t="shared" si="22"/>
        <v>2300000</v>
      </c>
      <c r="X77" s="5"/>
      <c r="Y77" s="62"/>
      <c r="Z77" s="5">
        <f t="shared" si="21"/>
        <v>2300000</v>
      </c>
    </row>
    <row r="78" spans="1:26" ht="24.95" customHeight="1" x14ac:dyDescent="0.25">
      <c r="A78" s="63"/>
      <c r="B78" s="2">
        <f t="shared" si="17"/>
        <v>22</v>
      </c>
      <c r="C78" s="1" t="s">
        <v>105</v>
      </c>
      <c r="D78" s="2"/>
      <c r="E78" s="4">
        <f>781242/2</f>
        <v>390621</v>
      </c>
      <c r="F78" s="3">
        <v>30</v>
      </c>
      <c r="G78" s="3">
        <f t="shared" si="23"/>
        <v>390621</v>
      </c>
      <c r="H78" s="4"/>
      <c r="I78" s="4"/>
      <c r="J78" s="4"/>
      <c r="K78" s="4"/>
      <c r="L78" s="4"/>
      <c r="M78" s="4">
        <f t="shared" si="24"/>
        <v>390621</v>
      </c>
      <c r="N78" s="4"/>
      <c r="O78" s="4"/>
      <c r="P78" s="4"/>
      <c r="Q78" s="4"/>
      <c r="R78" s="4"/>
      <c r="S78" s="4"/>
      <c r="T78" s="4"/>
      <c r="U78" s="4"/>
      <c r="V78" s="4">
        <f t="shared" si="16"/>
        <v>0</v>
      </c>
      <c r="W78" s="5">
        <f t="shared" si="22"/>
        <v>390621</v>
      </c>
      <c r="X78" s="5"/>
      <c r="Y78" s="62"/>
      <c r="Z78" s="5">
        <f t="shared" si="21"/>
        <v>390621</v>
      </c>
    </row>
    <row r="79" spans="1:26" ht="24.95" customHeight="1" x14ac:dyDescent="0.25">
      <c r="A79" s="63"/>
      <c r="B79" s="2">
        <f t="shared" si="17"/>
        <v>23</v>
      </c>
      <c r="C79" s="9" t="s">
        <v>107</v>
      </c>
      <c r="D79" s="8" t="s">
        <v>30</v>
      </c>
      <c r="E79" s="4">
        <v>1700000</v>
      </c>
      <c r="F79" s="3">
        <v>30</v>
      </c>
      <c r="G79" s="3">
        <f t="shared" si="23"/>
        <v>1700000</v>
      </c>
      <c r="H79" s="4"/>
      <c r="I79" s="4"/>
      <c r="J79" s="4"/>
      <c r="K79" s="4"/>
      <c r="L79" s="4"/>
      <c r="M79" s="4">
        <f t="shared" si="24"/>
        <v>1700000</v>
      </c>
      <c r="N79" s="4">
        <f t="shared" ref="N79:N90" si="25">+E79*4%</f>
        <v>68000</v>
      </c>
      <c r="O79" s="4">
        <f>+E79*4%</f>
        <v>68000</v>
      </c>
      <c r="P79" s="4"/>
      <c r="Q79" s="4"/>
      <c r="R79" s="4"/>
      <c r="S79" s="4"/>
      <c r="T79" s="4"/>
      <c r="U79" s="4"/>
      <c r="V79" s="4">
        <f t="shared" si="16"/>
        <v>136000</v>
      </c>
      <c r="W79" s="5">
        <f t="shared" si="22"/>
        <v>1564000</v>
      </c>
      <c r="X79" s="5"/>
      <c r="Y79" s="62"/>
      <c r="Z79" s="5">
        <f t="shared" si="21"/>
        <v>1564000</v>
      </c>
    </row>
    <row r="80" spans="1:26" ht="24.95" customHeight="1" x14ac:dyDescent="0.25">
      <c r="A80" s="63"/>
      <c r="B80" s="2">
        <f t="shared" si="17"/>
        <v>24</v>
      </c>
      <c r="C80" s="9" t="s">
        <v>108</v>
      </c>
      <c r="D80" s="8"/>
      <c r="E80" s="4">
        <v>2400000</v>
      </c>
      <c r="F80" s="3">
        <v>30</v>
      </c>
      <c r="G80" s="3">
        <f t="shared" si="23"/>
        <v>2400000</v>
      </c>
      <c r="H80" s="4"/>
      <c r="I80" s="4"/>
      <c r="J80" s="4"/>
      <c r="K80" s="4"/>
      <c r="L80" s="4">
        <f>+E80-G80</f>
        <v>0</v>
      </c>
      <c r="M80" s="4">
        <f t="shared" si="24"/>
        <v>2400000</v>
      </c>
      <c r="N80" s="4">
        <f t="shared" si="25"/>
        <v>96000</v>
      </c>
      <c r="O80" s="4">
        <f>+E80*4%</f>
        <v>96000</v>
      </c>
      <c r="P80" s="4"/>
      <c r="Q80" s="4"/>
      <c r="R80" s="4"/>
      <c r="S80" s="4"/>
      <c r="T80" s="4"/>
      <c r="U80" s="4"/>
      <c r="V80" s="4">
        <f t="shared" si="16"/>
        <v>192000</v>
      </c>
      <c r="W80" s="5">
        <f t="shared" si="22"/>
        <v>2208000</v>
      </c>
      <c r="X80" s="5"/>
      <c r="Y80" s="62"/>
      <c r="Z80" s="5">
        <f t="shared" si="21"/>
        <v>2208000</v>
      </c>
    </row>
    <row r="81" spans="1:28" ht="24.95" customHeight="1" x14ac:dyDescent="0.25">
      <c r="A81" s="63"/>
      <c r="B81" s="2">
        <f t="shared" si="17"/>
        <v>25</v>
      </c>
      <c r="C81" s="1" t="s">
        <v>109</v>
      </c>
      <c r="D81" s="2" t="s">
        <v>30</v>
      </c>
      <c r="E81" s="4">
        <v>2200000</v>
      </c>
      <c r="F81" s="3">
        <v>30</v>
      </c>
      <c r="G81" s="3">
        <f t="shared" si="23"/>
        <v>2200000</v>
      </c>
      <c r="H81" s="4"/>
      <c r="I81" s="4"/>
      <c r="J81" s="4"/>
      <c r="K81" s="4"/>
      <c r="L81" s="4"/>
      <c r="M81" s="4">
        <f t="shared" si="24"/>
        <v>2200000</v>
      </c>
      <c r="N81" s="4">
        <f t="shared" si="25"/>
        <v>88000</v>
      </c>
      <c r="O81" s="4">
        <f>+E81*4%</f>
        <v>88000</v>
      </c>
      <c r="P81" s="4"/>
      <c r="Q81" s="4"/>
      <c r="R81" s="4">
        <v>0</v>
      </c>
      <c r="S81" s="4"/>
      <c r="T81" s="4"/>
      <c r="U81" s="4"/>
      <c r="V81" s="4">
        <f t="shared" si="16"/>
        <v>176000</v>
      </c>
      <c r="W81" s="5">
        <f>+M81-V81</f>
        <v>2024000</v>
      </c>
      <c r="X81" s="5"/>
      <c r="Y81" s="62"/>
      <c r="Z81" s="5">
        <f t="shared" si="21"/>
        <v>2024000</v>
      </c>
    </row>
    <row r="82" spans="1:28" ht="24.95" customHeight="1" x14ac:dyDescent="0.25">
      <c r="A82" s="63"/>
      <c r="B82" s="2">
        <f t="shared" si="17"/>
        <v>26</v>
      </c>
      <c r="C82" s="1" t="s">
        <v>110</v>
      </c>
      <c r="D82" s="2" t="s">
        <v>30</v>
      </c>
      <c r="E82" s="4">
        <v>3000000</v>
      </c>
      <c r="F82" s="3">
        <v>30</v>
      </c>
      <c r="G82" s="3">
        <f t="shared" si="23"/>
        <v>3000000</v>
      </c>
      <c r="H82" s="4"/>
      <c r="I82" s="4"/>
      <c r="J82" s="4"/>
      <c r="K82" s="4"/>
      <c r="L82" s="4">
        <f>+E82-G82</f>
        <v>0</v>
      </c>
      <c r="M82" s="4">
        <f t="shared" si="24"/>
        <v>3000000</v>
      </c>
      <c r="N82" s="4">
        <f t="shared" si="25"/>
        <v>120000</v>
      </c>
      <c r="O82" s="4">
        <f>+E82*4%</f>
        <v>120000</v>
      </c>
      <c r="P82" s="4"/>
      <c r="Q82" s="4"/>
      <c r="R82" s="7">
        <v>0</v>
      </c>
      <c r="S82" s="4"/>
      <c r="T82" s="4">
        <v>0</v>
      </c>
      <c r="U82" s="4"/>
      <c r="V82" s="4">
        <f t="shared" si="16"/>
        <v>240000</v>
      </c>
      <c r="W82" s="5">
        <f>+M82-V82</f>
        <v>2760000</v>
      </c>
      <c r="X82" s="5"/>
      <c r="Y82" s="62"/>
      <c r="Z82" s="5">
        <f t="shared" si="21"/>
        <v>2760000</v>
      </c>
      <c r="AA82" s="64">
        <v>4886979</v>
      </c>
      <c r="AB82" s="65">
        <f>+Z82-AA82</f>
        <v>-2126979</v>
      </c>
    </row>
    <row r="83" spans="1:28" ht="24.95" customHeight="1" x14ac:dyDescent="0.25">
      <c r="A83" s="63"/>
      <c r="B83" s="2">
        <f t="shared" si="17"/>
        <v>27</v>
      </c>
      <c r="C83" s="1" t="s">
        <v>111</v>
      </c>
      <c r="D83" s="2"/>
      <c r="E83" s="4">
        <v>4770000</v>
      </c>
      <c r="F83" s="3">
        <v>30</v>
      </c>
      <c r="G83" s="3">
        <f t="shared" si="23"/>
        <v>4770000</v>
      </c>
      <c r="H83" s="4"/>
      <c r="I83" s="4"/>
      <c r="J83" s="4"/>
      <c r="K83" s="4">
        <v>160000</v>
      </c>
      <c r="L83" s="4">
        <f>+E83-G83</f>
        <v>0</v>
      </c>
      <c r="M83" s="4">
        <f t="shared" si="24"/>
        <v>4930000</v>
      </c>
      <c r="N83" s="4">
        <f t="shared" si="25"/>
        <v>190800</v>
      </c>
      <c r="O83" s="4">
        <f>+E83*5%</f>
        <v>238500</v>
      </c>
      <c r="P83" s="4"/>
      <c r="Q83" s="4"/>
      <c r="R83" s="7">
        <v>0</v>
      </c>
      <c r="S83" s="4"/>
      <c r="T83" s="4"/>
      <c r="U83" s="4"/>
      <c r="V83" s="4">
        <f t="shared" si="16"/>
        <v>429300</v>
      </c>
      <c r="W83" s="5">
        <f t="shared" ref="W83:W88" si="26">+M83-V83</f>
        <v>4500700</v>
      </c>
      <c r="X83" s="5"/>
      <c r="Y83" s="62"/>
      <c r="Z83" s="5"/>
    </row>
    <row r="84" spans="1:28" ht="24.95" customHeight="1" x14ac:dyDescent="0.25">
      <c r="A84" s="63"/>
      <c r="B84" s="2">
        <f t="shared" si="17"/>
        <v>28</v>
      </c>
      <c r="C84" s="1" t="s">
        <v>112</v>
      </c>
      <c r="D84" s="2"/>
      <c r="E84" s="4">
        <v>5500000</v>
      </c>
      <c r="F84" s="3">
        <v>30</v>
      </c>
      <c r="G84" s="3">
        <f>+E84-J84</f>
        <v>5133333.333333333</v>
      </c>
      <c r="H84" s="4"/>
      <c r="I84" s="4"/>
      <c r="J84" s="4">
        <f>+E84/30*2</f>
        <v>366666.66666666669</v>
      </c>
      <c r="K84" s="4">
        <v>500000</v>
      </c>
      <c r="L84" s="4">
        <v>0</v>
      </c>
      <c r="M84" s="4">
        <f t="shared" si="24"/>
        <v>6000000</v>
      </c>
      <c r="N84" s="4">
        <f t="shared" si="25"/>
        <v>220000</v>
      </c>
      <c r="O84" s="4">
        <f>+E84*5%</f>
        <v>275000</v>
      </c>
      <c r="P84" s="4"/>
      <c r="Q84" s="4"/>
      <c r="R84" s="7">
        <v>69147</v>
      </c>
      <c r="S84" s="4"/>
      <c r="T84" s="4"/>
      <c r="U84" s="4">
        <v>480989</v>
      </c>
      <c r="V84" s="4">
        <f t="shared" si="16"/>
        <v>1045136</v>
      </c>
      <c r="W84" s="5">
        <f t="shared" si="26"/>
        <v>4954864</v>
      </c>
      <c r="X84" s="5"/>
      <c r="Y84" s="62"/>
      <c r="Z84" s="5">
        <f t="shared" ref="Z84:Z110" si="27">W84+X84-Y84</f>
        <v>4954864</v>
      </c>
    </row>
    <row r="85" spans="1:28" ht="24.95" customHeight="1" x14ac:dyDescent="0.25">
      <c r="A85" s="63"/>
      <c r="B85" s="2">
        <f t="shared" si="17"/>
        <v>29</v>
      </c>
      <c r="C85" s="1" t="s">
        <v>113</v>
      </c>
      <c r="D85" s="2"/>
      <c r="E85" s="4">
        <v>2000000</v>
      </c>
      <c r="F85" s="3">
        <v>30</v>
      </c>
      <c r="G85" s="3">
        <f t="shared" si="23"/>
        <v>2000000.0000000002</v>
      </c>
      <c r="H85" s="4"/>
      <c r="I85" s="4"/>
      <c r="J85" s="4"/>
      <c r="K85" s="4"/>
      <c r="L85" s="4">
        <f>+E85-G85</f>
        <v>0</v>
      </c>
      <c r="M85" s="4">
        <f t="shared" si="24"/>
        <v>2000000.0000000002</v>
      </c>
      <c r="N85" s="4">
        <f t="shared" si="25"/>
        <v>80000</v>
      </c>
      <c r="O85" s="4">
        <f>+E85*4%</f>
        <v>80000</v>
      </c>
      <c r="P85" s="4"/>
      <c r="Q85" s="4"/>
      <c r="R85" s="7"/>
      <c r="S85" s="4"/>
      <c r="T85" s="4"/>
      <c r="U85" s="4"/>
      <c r="V85" s="4">
        <f t="shared" si="16"/>
        <v>160000</v>
      </c>
      <c r="W85" s="5">
        <f t="shared" si="26"/>
        <v>1840000.0000000002</v>
      </c>
      <c r="X85" s="5"/>
      <c r="Y85" s="62"/>
      <c r="Z85" s="5">
        <f t="shared" si="27"/>
        <v>1840000.0000000002</v>
      </c>
    </row>
    <row r="86" spans="1:28" ht="24.95" customHeight="1" x14ac:dyDescent="0.25">
      <c r="A86" s="63"/>
      <c r="B86" s="2">
        <f t="shared" si="17"/>
        <v>30</v>
      </c>
      <c r="C86" s="1" t="s">
        <v>114</v>
      </c>
      <c r="D86" s="2"/>
      <c r="E86" s="4">
        <v>781242</v>
      </c>
      <c r="F86" s="3">
        <v>30</v>
      </c>
      <c r="G86" s="3">
        <f t="shared" si="23"/>
        <v>781242</v>
      </c>
      <c r="H86" s="4">
        <v>88211</v>
      </c>
      <c r="I86" s="4"/>
      <c r="J86" s="4"/>
      <c r="K86" s="4"/>
      <c r="L86" s="4"/>
      <c r="M86" s="4">
        <f t="shared" si="24"/>
        <v>869453</v>
      </c>
      <c r="N86" s="4">
        <f t="shared" si="25"/>
        <v>31249.68</v>
      </c>
      <c r="O86" s="4">
        <f>+E86*4%</f>
        <v>31249.68</v>
      </c>
      <c r="P86" s="4"/>
      <c r="Q86" s="4"/>
      <c r="R86" s="7"/>
      <c r="S86" s="4"/>
      <c r="T86" s="4"/>
      <c r="U86" s="4"/>
      <c r="V86" s="4">
        <f t="shared" si="16"/>
        <v>62499.360000000001</v>
      </c>
      <c r="W86" s="5">
        <f t="shared" si="26"/>
        <v>806953.64</v>
      </c>
      <c r="X86" s="5"/>
      <c r="Y86" s="62"/>
      <c r="Z86" s="5">
        <f t="shared" si="27"/>
        <v>806953.64</v>
      </c>
    </row>
    <row r="87" spans="1:28" ht="24.95" customHeight="1" x14ac:dyDescent="0.25">
      <c r="A87" s="63"/>
      <c r="B87" s="2">
        <f t="shared" si="17"/>
        <v>31</v>
      </c>
      <c r="C87" s="1" t="s">
        <v>115</v>
      </c>
      <c r="D87" s="2"/>
      <c r="E87" s="4">
        <v>2500000</v>
      </c>
      <c r="F87" s="3">
        <v>30</v>
      </c>
      <c r="G87" s="3">
        <f>+E87-L87-J87</f>
        <v>2083334</v>
      </c>
      <c r="H87" s="4"/>
      <c r="I87" s="4"/>
      <c r="J87" s="4">
        <v>333333</v>
      </c>
      <c r="K87" s="4">
        <v>350000</v>
      </c>
      <c r="L87" s="4">
        <v>83333</v>
      </c>
      <c r="M87" s="4">
        <f>+G87+H87+J87+K87+L87+I87</f>
        <v>2850000</v>
      </c>
      <c r="N87" s="4">
        <f t="shared" si="25"/>
        <v>100000</v>
      </c>
      <c r="O87" s="4">
        <f>+E87*4%</f>
        <v>100000</v>
      </c>
      <c r="P87" s="4"/>
      <c r="Q87" s="4"/>
      <c r="R87" s="7"/>
      <c r="S87" s="4"/>
      <c r="T87" s="4"/>
      <c r="U87" s="4"/>
      <c r="V87" s="4">
        <f t="shared" si="16"/>
        <v>200000</v>
      </c>
      <c r="W87" s="5">
        <f t="shared" si="26"/>
        <v>2650000</v>
      </c>
      <c r="X87" s="5"/>
      <c r="Y87" s="62"/>
      <c r="Z87" s="5">
        <f t="shared" si="27"/>
        <v>2650000</v>
      </c>
    </row>
    <row r="88" spans="1:28" ht="24.95" customHeight="1" x14ac:dyDescent="0.25">
      <c r="A88" s="63"/>
      <c r="B88" s="2">
        <f t="shared" si="17"/>
        <v>32</v>
      </c>
      <c r="C88" s="1" t="s">
        <v>116</v>
      </c>
      <c r="D88" s="2" t="s">
        <v>30</v>
      </c>
      <c r="E88" s="4">
        <v>2200000</v>
      </c>
      <c r="F88" s="3">
        <v>30</v>
      </c>
      <c r="G88" s="3">
        <f t="shared" si="23"/>
        <v>2200000</v>
      </c>
      <c r="H88" s="4"/>
      <c r="I88" s="4"/>
      <c r="J88" s="4"/>
      <c r="K88" s="4"/>
      <c r="L88" s="4"/>
      <c r="M88" s="4">
        <f t="shared" si="24"/>
        <v>2200000</v>
      </c>
      <c r="N88" s="4">
        <f t="shared" si="25"/>
        <v>88000</v>
      </c>
      <c r="O88" s="4">
        <f>+E88*4%</f>
        <v>88000</v>
      </c>
      <c r="P88" s="4"/>
      <c r="Q88" s="4"/>
      <c r="R88" s="7">
        <v>0</v>
      </c>
      <c r="S88" s="4"/>
      <c r="T88" s="4"/>
      <c r="U88" s="4"/>
      <c r="V88" s="4">
        <f t="shared" si="16"/>
        <v>176000</v>
      </c>
      <c r="W88" s="5">
        <f t="shared" si="26"/>
        <v>2024000</v>
      </c>
      <c r="X88" s="5"/>
      <c r="Y88" s="62"/>
      <c r="Z88" s="5">
        <f t="shared" si="27"/>
        <v>2024000</v>
      </c>
    </row>
    <row r="89" spans="1:28" ht="24.95" customHeight="1" x14ac:dyDescent="0.25">
      <c r="A89" s="63"/>
      <c r="B89" s="2">
        <f t="shared" si="17"/>
        <v>33</v>
      </c>
      <c r="C89" s="1" t="s">
        <v>120</v>
      </c>
      <c r="D89" s="2" t="s">
        <v>30</v>
      </c>
      <c r="E89" s="4">
        <v>3500000</v>
      </c>
      <c r="F89" s="3">
        <v>30</v>
      </c>
      <c r="G89" s="3">
        <f t="shared" si="23"/>
        <v>3500000</v>
      </c>
      <c r="H89" s="4"/>
      <c r="I89" s="4"/>
      <c r="J89" s="4"/>
      <c r="K89" s="4"/>
      <c r="L89" s="4"/>
      <c r="M89" s="4">
        <f t="shared" si="24"/>
        <v>3500000</v>
      </c>
      <c r="N89" s="4">
        <f t="shared" si="25"/>
        <v>140000</v>
      </c>
      <c r="O89" s="4">
        <f>+E89*5%</f>
        <v>175000</v>
      </c>
      <c r="P89" s="4">
        <v>0</v>
      </c>
      <c r="Q89" s="4"/>
      <c r="R89" s="4">
        <v>0</v>
      </c>
      <c r="S89" s="4"/>
      <c r="T89" s="4"/>
      <c r="U89" s="4"/>
      <c r="V89" s="4">
        <f t="shared" si="16"/>
        <v>315000</v>
      </c>
      <c r="W89" s="5">
        <f t="shared" ref="W89:W95" si="28">M89-V89</f>
        <v>3185000</v>
      </c>
      <c r="X89" s="5"/>
      <c r="Y89" s="62"/>
      <c r="Z89" s="5">
        <f t="shared" si="27"/>
        <v>3185000</v>
      </c>
    </row>
    <row r="90" spans="1:28" ht="24.95" customHeight="1" x14ac:dyDescent="0.25">
      <c r="A90" s="63"/>
      <c r="B90" s="2">
        <f t="shared" si="17"/>
        <v>34</v>
      </c>
      <c r="C90" s="1" t="s">
        <v>121</v>
      </c>
      <c r="D90" s="2" t="s">
        <v>30</v>
      </c>
      <c r="E90" s="4">
        <v>2200000</v>
      </c>
      <c r="F90" s="3">
        <v>30</v>
      </c>
      <c r="G90" s="3">
        <f>+E90-L90</f>
        <v>1833333</v>
      </c>
      <c r="H90" s="4"/>
      <c r="I90" s="4"/>
      <c r="J90" s="4"/>
      <c r="K90" s="4"/>
      <c r="L90" s="4">
        <v>366667</v>
      </c>
      <c r="M90" s="4">
        <f t="shared" si="24"/>
        <v>2200000</v>
      </c>
      <c r="N90" s="4">
        <f t="shared" si="25"/>
        <v>88000</v>
      </c>
      <c r="O90" s="4">
        <f>+E90*4%</f>
        <v>88000</v>
      </c>
      <c r="P90" s="4"/>
      <c r="Q90" s="4"/>
      <c r="R90" s="4"/>
      <c r="S90" s="4"/>
      <c r="T90" s="4"/>
      <c r="U90" s="4"/>
      <c r="V90" s="4">
        <f t="shared" si="16"/>
        <v>176000</v>
      </c>
      <c r="W90" s="5">
        <f t="shared" si="28"/>
        <v>2024000</v>
      </c>
      <c r="X90" s="5"/>
      <c r="Y90" s="62"/>
      <c r="Z90" s="5">
        <f t="shared" si="27"/>
        <v>2024000</v>
      </c>
    </row>
    <row r="91" spans="1:28" ht="24.95" customHeight="1" x14ac:dyDescent="0.25">
      <c r="A91" s="63"/>
      <c r="B91" s="2">
        <f t="shared" si="17"/>
        <v>35</v>
      </c>
      <c r="C91" s="9" t="s">
        <v>122</v>
      </c>
      <c r="D91" s="8" t="s">
        <v>30</v>
      </c>
      <c r="E91" s="4">
        <v>781242</v>
      </c>
      <c r="F91" s="3">
        <v>30</v>
      </c>
      <c r="G91" s="3">
        <f>572902</f>
        <v>572902</v>
      </c>
      <c r="H91" s="4">
        <v>88211</v>
      </c>
      <c r="I91" s="4">
        <v>0</v>
      </c>
      <c r="J91" s="4">
        <f>52082+104172</f>
        <v>156254</v>
      </c>
      <c r="K91" s="4"/>
      <c r="L91" s="4"/>
      <c r="M91" s="4">
        <f t="shared" si="24"/>
        <v>817367</v>
      </c>
      <c r="N91" s="4">
        <f>+E91*0.04</f>
        <v>31249.68</v>
      </c>
      <c r="O91" s="4">
        <f>+E91*0.04</f>
        <v>31249.68</v>
      </c>
      <c r="P91" s="4"/>
      <c r="Q91" s="4"/>
      <c r="R91" s="4">
        <v>0</v>
      </c>
      <c r="S91" s="4"/>
      <c r="T91" s="4"/>
      <c r="U91" s="4"/>
      <c r="V91" s="4">
        <f t="shared" si="16"/>
        <v>62499.360000000001</v>
      </c>
      <c r="W91" s="5">
        <f t="shared" si="28"/>
        <v>754867.64</v>
      </c>
      <c r="X91" s="5"/>
      <c r="Y91" s="62"/>
      <c r="Z91" s="5">
        <f t="shared" si="27"/>
        <v>754867.64</v>
      </c>
    </row>
    <row r="92" spans="1:28" ht="24.95" customHeight="1" x14ac:dyDescent="0.25">
      <c r="A92" s="63"/>
      <c r="B92" s="2">
        <f t="shared" si="17"/>
        <v>36</v>
      </c>
      <c r="C92" s="1" t="s">
        <v>155</v>
      </c>
      <c r="D92" s="2"/>
      <c r="E92" s="4">
        <v>781242</v>
      </c>
      <c r="F92" s="3">
        <v>30</v>
      </c>
      <c r="G92" s="3">
        <f t="shared" ref="G92" si="29">+E92/30*F92</f>
        <v>781242</v>
      </c>
      <c r="H92" s="4"/>
      <c r="I92" s="4"/>
      <c r="J92" s="4"/>
      <c r="K92" s="4"/>
      <c r="L92" s="4"/>
      <c r="M92" s="4">
        <f t="shared" si="24"/>
        <v>781242</v>
      </c>
      <c r="N92" s="4">
        <v>0</v>
      </c>
      <c r="O92" s="4">
        <v>0</v>
      </c>
      <c r="P92" s="4">
        <v>0</v>
      </c>
      <c r="Q92" s="4"/>
      <c r="R92" s="4">
        <v>0</v>
      </c>
      <c r="S92" s="4"/>
      <c r="T92" s="4"/>
      <c r="U92" s="4"/>
      <c r="V92" s="4">
        <f t="shared" ref="V92" si="30">SUM(N92:U92)</f>
        <v>0</v>
      </c>
      <c r="W92" s="5">
        <f t="shared" si="28"/>
        <v>781242</v>
      </c>
      <c r="X92" s="5"/>
      <c r="Y92" s="62"/>
      <c r="Z92" s="5">
        <f t="shared" si="27"/>
        <v>781242</v>
      </c>
    </row>
    <row r="93" spans="1:28" ht="24.95" customHeight="1" x14ac:dyDescent="0.25">
      <c r="A93" s="63"/>
      <c r="B93" s="2">
        <f t="shared" si="17"/>
        <v>37</v>
      </c>
      <c r="C93" s="9" t="s">
        <v>123</v>
      </c>
      <c r="D93" s="8"/>
      <c r="E93" s="4">
        <v>2100000</v>
      </c>
      <c r="F93" s="3">
        <v>30</v>
      </c>
      <c r="G93" s="3">
        <f>+E93-L93</f>
        <v>1610000</v>
      </c>
      <c r="H93" s="4"/>
      <c r="I93" s="4"/>
      <c r="J93" s="4"/>
      <c r="K93" s="4"/>
      <c r="L93" s="4">
        <v>490000</v>
      </c>
      <c r="M93" s="4">
        <f t="shared" si="24"/>
        <v>2100000</v>
      </c>
      <c r="N93" s="4">
        <f>+E93*0.04</f>
        <v>84000</v>
      </c>
      <c r="O93" s="4">
        <f>+E93*0.04</f>
        <v>84000</v>
      </c>
      <c r="P93" s="4"/>
      <c r="Q93" s="4"/>
      <c r="R93" s="4">
        <v>0</v>
      </c>
      <c r="S93" s="4"/>
      <c r="T93" s="4"/>
      <c r="U93" s="4"/>
      <c r="V93" s="4">
        <f t="shared" si="16"/>
        <v>168000</v>
      </c>
      <c r="W93" s="5">
        <f t="shared" si="28"/>
        <v>1932000</v>
      </c>
      <c r="X93" s="5"/>
      <c r="Y93" s="62"/>
      <c r="Z93" s="5">
        <f t="shared" si="27"/>
        <v>1932000</v>
      </c>
    </row>
    <row r="94" spans="1:28" ht="24.95" customHeight="1" x14ac:dyDescent="0.25">
      <c r="A94" s="63"/>
      <c r="B94" s="2">
        <f t="shared" si="17"/>
        <v>38</v>
      </c>
      <c r="C94" s="9" t="s">
        <v>124</v>
      </c>
      <c r="D94" s="8"/>
      <c r="E94" s="4">
        <v>781242</v>
      </c>
      <c r="F94" s="3">
        <v>30</v>
      </c>
      <c r="G94" s="3">
        <f t="shared" si="23"/>
        <v>781242</v>
      </c>
      <c r="H94" s="4">
        <v>88211</v>
      </c>
      <c r="I94" s="4">
        <v>92975</v>
      </c>
      <c r="J94" s="4"/>
      <c r="K94" s="4">
        <v>0</v>
      </c>
      <c r="L94" s="4">
        <f>+E94-G94</f>
        <v>0</v>
      </c>
      <c r="M94" s="4">
        <f t="shared" si="24"/>
        <v>962428</v>
      </c>
      <c r="N94" s="4">
        <f>+E94*0.04</f>
        <v>31249.68</v>
      </c>
      <c r="O94" s="4">
        <f>+E94*4%</f>
        <v>31249.68</v>
      </c>
      <c r="P94" s="4"/>
      <c r="Q94" s="4"/>
      <c r="R94" s="4"/>
      <c r="S94" s="4"/>
      <c r="T94" s="4"/>
      <c r="U94" s="4"/>
      <c r="V94" s="4">
        <f t="shared" si="16"/>
        <v>62499.360000000001</v>
      </c>
      <c r="W94" s="5">
        <f t="shared" si="28"/>
        <v>899928.64</v>
      </c>
      <c r="X94" s="5"/>
      <c r="Y94" s="62"/>
      <c r="Z94" s="5">
        <f t="shared" si="27"/>
        <v>899928.64</v>
      </c>
    </row>
    <row r="95" spans="1:28" ht="24.95" customHeight="1" x14ac:dyDescent="0.25">
      <c r="A95" s="63"/>
      <c r="B95" s="2">
        <f t="shared" si="17"/>
        <v>39</v>
      </c>
      <c r="C95" s="9" t="s">
        <v>125</v>
      </c>
      <c r="D95" s="8"/>
      <c r="E95" s="4">
        <v>781242</v>
      </c>
      <c r="F95" s="3">
        <v>30</v>
      </c>
      <c r="G95" s="3">
        <f t="shared" si="23"/>
        <v>781242</v>
      </c>
      <c r="H95" s="4">
        <f>+H94</f>
        <v>88211</v>
      </c>
      <c r="I95" s="4"/>
      <c r="J95" s="4"/>
      <c r="K95" s="4"/>
      <c r="L95" s="4"/>
      <c r="M95" s="4">
        <f t="shared" si="24"/>
        <v>869453</v>
      </c>
      <c r="N95" s="4">
        <f>+E95*4%</f>
        <v>31249.68</v>
      </c>
      <c r="O95" s="4">
        <f>+E95*4%</f>
        <v>31249.68</v>
      </c>
      <c r="P95" s="4"/>
      <c r="Q95" s="4"/>
      <c r="R95" s="4"/>
      <c r="S95" s="4"/>
      <c r="T95" s="4"/>
      <c r="U95" s="4"/>
      <c r="V95" s="4">
        <f t="shared" si="16"/>
        <v>62499.360000000001</v>
      </c>
      <c r="W95" s="5">
        <f t="shared" si="28"/>
        <v>806953.64</v>
      </c>
      <c r="X95" s="5"/>
      <c r="Y95" s="62"/>
      <c r="Z95" s="5">
        <f t="shared" si="27"/>
        <v>806953.64</v>
      </c>
    </row>
    <row r="96" spans="1:28" ht="24.95" customHeight="1" x14ac:dyDescent="0.25">
      <c r="A96" s="63"/>
      <c r="B96" s="2">
        <f t="shared" si="17"/>
        <v>40</v>
      </c>
      <c r="C96" s="1" t="s">
        <v>126</v>
      </c>
      <c r="D96" s="2" t="s">
        <v>30</v>
      </c>
      <c r="E96" s="4">
        <v>15400000</v>
      </c>
      <c r="F96" s="3">
        <v>30</v>
      </c>
      <c r="G96" s="3">
        <f t="shared" si="23"/>
        <v>15400000</v>
      </c>
      <c r="H96" s="4"/>
      <c r="I96" s="4"/>
      <c r="J96" s="4"/>
      <c r="K96" s="4">
        <v>600000</v>
      </c>
      <c r="L96" s="4">
        <f>+E96-G96</f>
        <v>0</v>
      </c>
      <c r="M96" s="4">
        <f t="shared" si="24"/>
        <v>16000000</v>
      </c>
      <c r="N96" s="4">
        <v>616000</v>
      </c>
      <c r="O96" s="4">
        <f>616000+308000</f>
        <v>924000</v>
      </c>
      <c r="P96" s="4">
        <v>112700</v>
      </c>
      <c r="Q96" s="4"/>
      <c r="R96" s="4">
        <v>916000</v>
      </c>
      <c r="S96" s="4">
        <v>5000000</v>
      </c>
      <c r="T96" s="4"/>
      <c r="U96" s="4">
        <v>2314715</v>
      </c>
      <c r="V96" s="4">
        <f t="shared" si="16"/>
        <v>9883415</v>
      </c>
      <c r="W96" s="5">
        <f>+M96-V96</f>
        <v>6116585</v>
      </c>
      <c r="X96" s="5"/>
      <c r="Y96" s="62"/>
      <c r="Z96" s="5">
        <f t="shared" si="27"/>
        <v>6116585</v>
      </c>
    </row>
    <row r="97" spans="1:27" ht="24.95" customHeight="1" x14ac:dyDescent="0.25">
      <c r="A97" s="63"/>
      <c r="B97" s="2">
        <f t="shared" si="17"/>
        <v>41</v>
      </c>
      <c r="C97" s="1" t="s">
        <v>127</v>
      </c>
      <c r="D97" s="2" t="s">
        <v>30</v>
      </c>
      <c r="E97" s="4">
        <v>5500000</v>
      </c>
      <c r="F97" s="3">
        <v>30</v>
      </c>
      <c r="G97" s="3">
        <f t="shared" si="23"/>
        <v>5500000</v>
      </c>
      <c r="H97" s="4"/>
      <c r="I97" s="4"/>
      <c r="J97" s="4"/>
      <c r="K97" s="4">
        <v>500000</v>
      </c>
      <c r="L97" s="4">
        <f>+E97-G97</f>
        <v>0</v>
      </c>
      <c r="M97" s="4">
        <f t="shared" si="24"/>
        <v>6000000</v>
      </c>
      <c r="N97" s="4">
        <f>+E97*0.04</f>
        <v>220000</v>
      </c>
      <c r="O97" s="4">
        <f>+E97*0.05</f>
        <v>275000</v>
      </c>
      <c r="P97" s="4"/>
      <c r="Q97" s="4"/>
      <c r="R97" s="4">
        <v>120000</v>
      </c>
      <c r="S97" s="4"/>
      <c r="T97" s="4"/>
      <c r="U97" s="4">
        <v>1138458</v>
      </c>
      <c r="V97" s="4">
        <f t="shared" si="16"/>
        <v>1753458</v>
      </c>
      <c r="W97" s="5">
        <f>+M97-V97</f>
        <v>4246542</v>
      </c>
      <c r="X97" s="5"/>
      <c r="Y97" s="62"/>
      <c r="Z97" s="5">
        <f t="shared" si="27"/>
        <v>4246542</v>
      </c>
      <c r="AA97" s="8"/>
    </row>
    <row r="98" spans="1:27" ht="24.95" customHeight="1" x14ac:dyDescent="0.25">
      <c r="A98" s="63"/>
      <c r="B98" s="2">
        <f t="shared" si="17"/>
        <v>42</v>
      </c>
      <c r="C98" s="1" t="s">
        <v>128</v>
      </c>
      <c r="D98" s="2"/>
      <c r="E98" s="4">
        <v>1600000</v>
      </c>
      <c r="F98" s="3">
        <v>30</v>
      </c>
      <c r="G98" s="3">
        <f t="shared" si="23"/>
        <v>1600000</v>
      </c>
      <c r="H98" s="4"/>
      <c r="I98" s="4"/>
      <c r="J98" s="4"/>
      <c r="K98" s="4">
        <v>270000</v>
      </c>
      <c r="L98" s="4">
        <f>+E98-G98</f>
        <v>0</v>
      </c>
      <c r="M98" s="4">
        <f t="shared" si="24"/>
        <v>1870000</v>
      </c>
      <c r="N98" s="4">
        <f>+E98*4%</f>
        <v>64000</v>
      </c>
      <c r="O98" s="4">
        <f>+E98*4%</f>
        <v>64000</v>
      </c>
      <c r="P98" s="4"/>
      <c r="Q98" s="4"/>
      <c r="R98" s="4"/>
      <c r="S98" s="4"/>
      <c r="T98" s="4"/>
      <c r="U98" s="4"/>
      <c r="V98" s="4">
        <f t="shared" si="16"/>
        <v>128000</v>
      </c>
      <c r="W98" s="5">
        <f>+M98-V98</f>
        <v>1742000</v>
      </c>
      <c r="X98" s="5"/>
      <c r="Y98" s="62"/>
      <c r="Z98" s="5">
        <f t="shared" si="27"/>
        <v>1742000</v>
      </c>
    </row>
    <row r="99" spans="1:27" ht="24.95" customHeight="1" x14ac:dyDescent="0.25">
      <c r="A99" s="63"/>
      <c r="B99" s="2">
        <f t="shared" si="17"/>
        <v>43</v>
      </c>
      <c r="C99" s="1" t="s">
        <v>129</v>
      </c>
      <c r="D99" s="2" t="s">
        <v>30</v>
      </c>
      <c r="E99" s="4">
        <v>2500000</v>
      </c>
      <c r="F99" s="3">
        <v>30</v>
      </c>
      <c r="G99" s="3">
        <f t="shared" si="23"/>
        <v>2500000</v>
      </c>
      <c r="H99" s="4"/>
      <c r="I99" s="4"/>
      <c r="J99" s="4"/>
      <c r="K99" s="4"/>
      <c r="L99" s="4"/>
      <c r="M99" s="4">
        <f t="shared" si="24"/>
        <v>2500000</v>
      </c>
      <c r="N99" s="4">
        <f>+E99*0.04</f>
        <v>100000</v>
      </c>
      <c r="O99" s="4">
        <f>+E99*0.04</f>
        <v>100000</v>
      </c>
      <c r="P99" s="4"/>
      <c r="Q99" s="4"/>
      <c r="R99" s="4">
        <v>0</v>
      </c>
      <c r="S99" s="4"/>
      <c r="T99" s="4"/>
      <c r="U99" s="4"/>
      <c r="V99" s="4">
        <f t="shared" si="16"/>
        <v>200000</v>
      </c>
      <c r="W99" s="5">
        <f>+M99-V99</f>
        <v>2300000</v>
      </c>
      <c r="X99" s="5"/>
      <c r="Y99" s="62"/>
      <c r="Z99" s="5">
        <f t="shared" si="27"/>
        <v>2300000</v>
      </c>
    </row>
    <row r="100" spans="1:27" ht="24.95" customHeight="1" x14ac:dyDescent="0.25">
      <c r="A100" s="63"/>
      <c r="B100" s="2">
        <f t="shared" si="17"/>
        <v>44</v>
      </c>
      <c r="C100" s="9" t="s">
        <v>130</v>
      </c>
      <c r="D100" s="8" t="s">
        <v>30</v>
      </c>
      <c r="E100" s="4">
        <v>3000000</v>
      </c>
      <c r="F100" s="3">
        <v>30</v>
      </c>
      <c r="G100" s="3">
        <f t="shared" si="23"/>
        <v>3000000</v>
      </c>
      <c r="H100" s="4"/>
      <c r="I100" s="4"/>
      <c r="J100" s="4"/>
      <c r="K100" s="4">
        <v>270000</v>
      </c>
      <c r="L100" s="4"/>
      <c r="M100" s="4">
        <f t="shared" si="24"/>
        <v>3270000</v>
      </c>
      <c r="N100" s="4">
        <f>+E100*0.04</f>
        <v>120000</v>
      </c>
      <c r="O100" s="4">
        <f>+E100*0.04</f>
        <v>120000</v>
      </c>
      <c r="P100" s="4"/>
      <c r="Q100" s="4"/>
      <c r="R100" s="4">
        <v>0</v>
      </c>
      <c r="S100" s="4"/>
      <c r="T100" s="4"/>
      <c r="U100" s="4">
        <v>514771</v>
      </c>
      <c r="V100" s="4">
        <f t="shared" si="16"/>
        <v>754771</v>
      </c>
      <c r="W100" s="5">
        <f>M100-V100</f>
        <v>2515229</v>
      </c>
      <c r="X100" s="5"/>
      <c r="Y100" s="62"/>
      <c r="Z100" s="5">
        <f t="shared" si="27"/>
        <v>2515229</v>
      </c>
    </row>
    <row r="101" spans="1:27" ht="24.95" customHeight="1" x14ac:dyDescent="0.25">
      <c r="A101" s="63"/>
      <c r="B101" s="2">
        <f t="shared" si="17"/>
        <v>45</v>
      </c>
      <c r="C101" s="1" t="s">
        <v>133</v>
      </c>
      <c r="D101" s="2" t="s">
        <v>30</v>
      </c>
      <c r="E101" s="4">
        <v>3850220</v>
      </c>
      <c r="F101" s="3">
        <v>30</v>
      </c>
      <c r="G101" s="3">
        <f t="shared" si="23"/>
        <v>3850220</v>
      </c>
      <c r="H101" s="4"/>
      <c r="I101" s="4"/>
      <c r="J101" s="4"/>
      <c r="K101" s="4">
        <v>676390</v>
      </c>
      <c r="L101" s="4">
        <f>+E101-G101</f>
        <v>0</v>
      </c>
      <c r="M101" s="4">
        <f t="shared" si="24"/>
        <v>4526610</v>
      </c>
      <c r="N101" s="4">
        <f t="shared" ref="N101:N106" si="31">+E101*4%</f>
        <v>154008.80000000002</v>
      </c>
      <c r="O101" s="4">
        <f>+E101*5%</f>
        <v>192511</v>
      </c>
      <c r="P101" s="4"/>
      <c r="Q101" s="4"/>
      <c r="R101" s="4"/>
      <c r="S101" s="4"/>
      <c r="T101" s="4"/>
      <c r="U101" s="4"/>
      <c r="V101" s="4">
        <f t="shared" si="16"/>
        <v>346519.80000000005</v>
      </c>
      <c r="W101" s="5">
        <f>+M101-V101</f>
        <v>4180090.2</v>
      </c>
      <c r="X101" s="5"/>
      <c r="Y101" s="62"/>
      <c r="Z101" s="5">
        <f t="shared" si="27"/>
        <v>4180090.2</v>
      </c>
    </row>
    <row r="102" spans="1:27" ht="24.95" customHeight="1" x14ac:dyDescent="0.25">
      <c r="A102" s="63"/>
      <c r="B102" s="2">
        <f t="shared" si="17"/>
        <v>46</v>
      </c>
      <c r="C102" s="1" t="s">
        <v>134</v>
      </c>
      <c r="D102" s="2" t="s">
        <v>30</v>
      </c>
      <c r="E102" s="4">
        <v>4500000</v>
      </c>
      <c r="F102" s="3">
        <v>30</v>
      </c>
      <c r="G102" s="3">
        <f t="shared" si="23"/>
        <v>4500000</v>
      </c>
      <c r="H102" s="4"/>
      <c r="I102" s="4"/>
      <c r="J102" s="4"/>
      <c r="K102" s="4" t="s">
        <v>1</v>
      </c>
      <c r="L102" s="4"/>
      <c r="M102" s="4">
        <v>4500000</v>
      </c>
      <c r="N102" s="4">
        <f t="shared" si="31"/>
        <v>180000</v>
      </c>
      <c r="O102" s="4">
        <f>+E102*5%</f>
        <v>225000</v>
      </c>
      <c r="P102" s="4"/>
      <c r="Q102" s="4"/>
      <c r="R102" s="4"/>
      <c r="S102" s="4"/>
      <c r="T102" s="4"/>
      <c r="U102" s="4"/>
      <c r="V102" s="4">
        <f>SUM(N102:U102)</f>
        <v>405000</v>
      </c>
      <c r="W102" s="5">
        <f>+M102-V102</f>
        <v>4095000</v>
      </c>
      <c r="X102" s="5"/>
      <c r="Y102" s="62"/>
      <c r="Z102" s="5">
        <f>W102+X102-Y102</f>
        <v>4095000</v>
      </c>
    </row>
    <row r="103" spans="1:27" ht="24.95" customHeight="1" x14ac:dyDescent="0.25">
      <c r="A103" s="63"/>
      <c r="B103" s="2">
        <f t="shared" si="17"/>
        <v>47</v>
      </c>
      <c r="C103" s="1" t="s">
        <v>135</v>
      </c>
      <c r="D103" s="2" t="s">
        <v>43</v>
      </c>
      <c r="E103" s="4">
        <v>2000000</v>
      </c>
      <c r="F103" s="3">
        <v>30</v>
      </c>
      <c r="G103" s="3">
        <f t="shared" si="23"/>
        <v>2000000.0000000002</v>
      </c>
      <c r="H103" s="4"/>
      <c r="I103" s="4"/>
      <c r="J103" s="4"/>
      <c r="K103" s="4"/>
      <c r="L103" s="4"/>
      <c r="M103" s="4">
        <f>+G103+H103+J103+K103+L103+I103</f>
        <v>2000000.0000000002</v>
      </c>
      <c r="N103" s="4">
        <f t="shared" si="31"/>
        <v>80000</v>
      </c>
      <c r="O103" s="4">
        <f>+E103*4%</f>
        <v>80000</v>
      </c>
      <c r="P103" s="4"/>
      <c r="Q103" s="4"/>
      <c r="R103" s="7"/>
      <c r="S103" s="4"/>
      <c r="T103" s="4"/>
      <c r="U103" s="4"/>
      <c r="V103" s="4">
        <f t="shared" si="16"/>
        <v>160000</v>
      </c>
      <c r="W103" s="5">
        <f>+M103-V103</f>
        <v>1840000.0000000002</v>
      </c>
      <c r="X103" s="5"/>
      <c r="Y103" s="62"/>
      <c r="Z103" s="5">
        <f t="shared" si="27"/>
        <v>1840000.0000000002</v>
      </c>
    </row>
    <row r="104" spans="1:27" ht="24.95" customHeight="1" x14ac:dyDescent="0.25">
      <c r="A104" s="63"/>
      <c r="B104" s="2">
        <f t="shared" si="17"/>
        <v>48</v>
      </c>
      <c r="C104" s="9" t="s">
        <v>136</v>
      </c>
      <c r="D104" s="8" t="s">
        <v>30</v>
      </c>
      <c r="E104" s="4">
        <v>1600000</v>
      </c>
      <c r="F104" s="3">
        <v>30</v>
      </c>
      <c r="G104" s="3">
        <f t="shared" si="23"/>
        <v>1600000</v>
      </c>
      <c r="H104" s="4"/>
      <c r="I104" s="4"/>
      <c r="J104" s="4">
        <v>0</v>
      </c>
      <c r="K104" s="4"/>
      <c r="L104" s="4"/>
      <c r="M104" s="4">
        <f t="shared" si="24"/>
        <v>1600000</v>
      </c>
      <c r="N104" s="4">
        <f t="shared" si="31"/>
        <v>64000</v>
      </c>
      <c r="O104" s="4">
        <f>+E104*0.04</f>
        <v>64000</v>
      </c>
      <c r="P104" s="4"/>
      <c r="Q104" s="4"/>
      <c r="R104" s="4">
        <v>0</v>
      </c>
      <c r="S104" s="4"/>
      <c r="T104" s="4">
        <v>175000</v>
      </c>
      <c r="U104" s="4"/>
      <c r="V104" s="4">
        <f t="shared" si="16"/>
        <v>303000</v>
      </c>
      <c r="W104" s="5">
        <f>M104-V104</f>
        <v>1297000</v>
      </c>
      <c r="X104" s="5"/>
      <c r="Y104" s="62"/>
      <c r="Z104" s="5">
        <f t="shared" si="27"/>
        <v>1297000</v>
      </c>
    </row>
    <row r="105" spans="1:27" ht="24.95" customHeight="1" x14ac:dyDescent="0.25">
      <c r="A105" s="63"/>
      <c r="B105" s="2">
        <f t="shared" si="17"/>
        <v>49</v>
      </c>
      <c r="C105" s="9" t="s">
        <v>146</v>
      </c>
      <c r="D105" s="8"/>
      <c r="E105" s="4">
        <v>1500000</v>
      </c>
      <c r="F105" s="3">
        <v>30</v>
      </c>
      <c r="G105" s="3">
        <f t="shared" si="23"/>
        <v>1500000</v>
      </c>
      <c r="H105" s="4">
        <f>88211+44106</f>
        <v>132317</v>
      </c>
      <c r="I105" s="4"/>
      <c r="J105" s="4"/>
      <c r="K105" s="4"/>
      <c r="L105" s="4"/>
      <c r="M105" s="4">
        <f t="shared" si="24"/>
        <v>1632317</v>
      </c>
      <c r="N105" s="4">
        <f>+E105*4%</f>
        <v>60000</v>
      </c>
      <c r="O105" s="4">
        <f>+E105*0.04</f>
        <v>60000</v>
      </c>
      <c r="P105" s="4"/>
      <c r="Q105" s="4"/>
      <c r="R105" s="4">
        <v>0</v>
      </c>
      <c r="S105" s="4"/>
      <c r="T105" s="4">
        <v>0</v>
      </c>
      <c r="U105" s="4"/>
      <c r="V105" s="4">
        <f t="shared" si="16"/>
        <v>120000</v>
      </c>
      <c r="W105" s="5">
        <f>M105-V105</f>
        <v>1512317</v>
      </c>
      <c r="X105" s="5"/>
      <c r="Y105" s="62"/>
      <c r="Z105" s="5">
        <f t="shared" si="27"/>
        <v>1512317</v>
      </c>
    </row>
    <row r="106" spans="1:27" ht="24.95" customHeight="1" x14ac:dyDescent="0.25">
      <c r="A106" s="63"/>
      <c r="B106" s="2">
        <f t="shared" si="17"/>
        <v>50</v>
      </c>
      <c r="C106" s="1" t="s">
        <v>137</v>
      </c>
      <c r="D106" s="2" t="s">
        <v>30</v>
      </c>
      <c r="E106" s="4">
        <v>2300000</v>
      </c>
      <c r="F106" s="3">
        <v>30</v>
      </c>
      <c r="G106" s="3">
        <f t="shared" si="23"/>
        <v>2300000</v>
      </c>
      <c r="H106" s="4"/>
      <c r="I106" s="4"/>
      <c r="J106" s="4"/>
      <c r="K106" s="4"/>
      <c r="L106" s="4"/>
      <c r="M106" s="4">
        <f t="shared" si="24"/>
        <v>2300000</v>
      </c>
      <c r="N106" s="4">
        <f t="shared" si="31"/>
        <v>92000</v>
      </c>
      <c r="O106" s="4">
        <f>+E106*4%</f>
        <v>92000</v>
      </c>
      <c r="P106" s="4"/>
      <c r="Q106" s="4"/>
      <c r="R106" s="4">
        <v>0</v>
      </c>
      <c r="S106" s="4"/>
      <c r="T106" s="4"/>
      <c r="U106" s="4"/>
      <c r="V106" s="4">
        <f t="shared" si="16"/>
        <v>184000</v>
      </c>
      <c r="W106" s="5">
        <f t="shared" ref="W106:W110" si="32">+M106-V106</f>
        <v>2116000</v>
      </c>
      <c r="X106" s="5"/>
      <c r="Y106" s="62"/>
      <c r="Z106" s="5">
        <f t="shared" si="27"/>
        <v>2116000</v>
      </c>
    </row>
    <row r="107" spans="1:27" ht="24.95" customHeight="1" x14ac:dyDescent="0.25">
      <c r="A107" s="63"/>
      <c r="B107" s="2">
        <f t="shared" si="17"/>
        <v>51</v>
      </c>
      <c r="C107" s="1" t="s">
        <v>138</v>
      </c>
      <c r="D107" s="2"/>
      <c r="E107" s="4">
        <v>912000</v>
      </c>
      <c r="F107" s="3">
        <v>30</v>
      </c>
      <c r="G107" s="3">
        <f t="shared" si="23"/>
        <v>912000</v>
      </c>
      <c r="H107" s="4">
        <v>88211</v>
      </c>
      <c r="I107" s="4"/>
      <c r="J107" s="4">
        <v>0</v>
      </c>
      <c r="K107" s="4"/>
      <c r="L107" s="4"/>
      <c r="M107" s="4">
        <f t="shared" si="24"/>
        <v>1000211</v>
      </c>
      <c r="N107" s="4">
        <f>+E107*0.04</f>
        <v>36480</v>
      </c>
      <c r="O107" s="4">
        <f>+E107*0.04</f>
        <v>36480</v>
      </c>
      <c r="P107" s="4"/>
      <c r="Q107" s="4"/>
      <c r="R107" s="4"/>
      <c r="S107" s="4"/>
      <c r="T107" s="4"/>
      <c r="U107" s="4"/>
      <c r="V107" s="4">
        <f>SUM(N107:U107)</f>
        <v>72960</v>
      </c>
      <c r="W107" s="5">
        <f>+M107-V107</f>
        <v>927251</v>
      </c>
      <c r="X107" s="5"/>
      <c r="Y107" s="62"/>
      <c r="Z107" s="5">
        <f>W107+X107-Y107</f>
        <v>927251</v>
      </c>
    </row>
    <row r="108" spans="1:27" ht="24.95" customHeight="1" x14ac:dyDescent="0.25">
      <c r="A108" s="63"/>
      <c r="B108" s="2">
        <f t="shared" si="17"/>
        <v>52</v>
      </c>
      <c r="C108" s="1" t="s">
        <v>139</v>
      </c>
      <c r="D108" s="2" t="s">
        <v>30</v>
      </c>
      <c r="E108" s="4">
        <v>2700000</v>
      </c>
      <c r="F108" s="3">
        <v>30</v>
      </c>
      <c r="G108" s="3">
        <f t="shared" si="23"/>
        <v>2700000</v>
      </c>
      <c r="H108" s="4"/>
      <c r="I108" s="4"/>
      <c r="J108" s="4"/>
      <c r="K108" s="4"/>
      <c r="L108" s="4"/>
      <c r="M108" s="4">
        <f t="shared" si="24"/>
        <v>2700000</v>
      </c>
      <c r="N108" s="4">
        <f>+E108*0.04</f>
        <v>108000</v>
      </c>
      <c r="O108" s="4">
        <f>+E108*0.04</f>
        <v>108000</v>
      </c>
      <c r="P108" s="4"/>
      <c r="Q108" s="4"/>
      <c r="R108" s="4"/>
      <c r="S108" s="4"/>
      <c r="T108" s="4"/>
      <c r="U108" s="4"/>
      <c r="V108" s="4">
        <f t="shared" si="16"/>
        <v>216000</v>
      </c>
      <c r="W108" s="5">
        <f t="shared" si="32"/>
        <v>2484000</v>
      </c>
      <c r="X108" s="5"/>
      <c r="Y108" s="62"/>
      <c r="Z108" s="5">
        <f t="shared" si="27"/>
        <v>2484000</v>
      </c>
    </row>
    <row r="109" spans="1:27" ht="24.95" customHeight="1" x14ac:dyDescent="0.25">
      <c r="A109" s="63"/>
      <c r="B109" s="2">
        <f t="shared" si="17"/>
        <v>53</v>
      </c>
      <c r="C109" s="1" t="s">
        <v>140</v>
      </c>
      <c r="D109" s="2"/>
      <c r="E109" s="4">
        <v>2000000</v>
      </c>
      <c r="F109" s="3">
        <v>30</v>
      </c>
      <c r="G109" s="3">
        <f t="shared" si="23"/>
        <v>2000000.0000000002</v>
      </c>
      <c r="H109" s="4"/>
      <c r="I109" s="4"/>
      <c r="J109" s="4"/>
      <c r="K109" s="4"/>
      <c r="L109" s="4"/>
      <c r="M109" s="4">
        <f t="shared" si="24"/>
        <v>2000000.0000000002</v>
      </c>
      <c r="N109" s="4">
        <f>+E109*4%</f>
        <v>80000</v>
      </c>
      <c r="O109" s="4">
        <f>+E109*4%</f>
        <v>80000</v>
      </c>
      <c r="P109" s="4"/>
      <c r="Q109" s="4"/>
      <c r="R109" s="4">
        <v>0</v>
      </c>
      <c r="S109" s="4"/>
      <c r="T109" s="4"/>
      <c r="U109" s="4"/>
      <c r="V109" s="4">
        <f t="shared" si="16"/>
        <v>160000</v>
      </c>
      <c r="W109" s="5">
        <f t="shared" si="32"/>
        <v>1840000.0000000002</v>
      </c>
      <c r="X109" s="5"/>
      <c r="Y109" s="62"/>
      <c r="Z109" s="5">
        <f t="shared" si="27"/>
        <v>1840000.0000000002</v>
      </c>
    </row>
    <row r="110" spans="1:27" ht="17.25" customHeight="1" x14ac:dyDescent="0.25">
      <c r="A110" s="63"/>
      <c r="B110" s="2">
        <f t="shared" si="17"/>
        <v>54</v>
      </c>
      <c r="C110" s="1" t="s">
        <v>142</v>
      </c>
      <c r="D110" s="2"/>
      <c r="E110" s="4">
        <v>1200000</v>
      </c>
      <c r="F110" s="3">
        <v>30</v>
      </c>
      <c r="G110" s="3">
        <f>+E110-J110</f>
        <v>1120000</v>
      </c>
      <c r="H110" s="4">
        <v>88211</v>
      </c>
      <c r="I110" s="4"/>
      <c r="J110" s="4">
        <v>80000</v>
      </c>
      <c r="K110" s="4"/>
      <c r="L110" s="4"/>
      <c r="M110" s="4">
        <f t="shared" si="24"/>
        <v>1288211</v>
      </c>
      <c r="N110" s="4">
        <f>+E110*4%</f>
        <v>48000</v>
      </c>
      <c r="O110" s="4">
        <f>+E110*4%</f>
        <v>48000</v>
      </c>
      <c r="P110" s="4"/>
      <c r="Q110" s="4"/>
      <c r="R110" s="4">
        <v>0</v>
      </c>
      <c r="S110" s="4"/>
      <c r="T110" s="4"/>
      <c r="U110" s="4"/>
      <c r="V110" s="4">
        <f t="shared" si="16"/>
        <v>96000</v>
      </c>
      <c r="W110" s="5">
        <f t="shared" si="32"/>
        <v>1192211</v>
      </c>
      <c r="X110" s="5"/>
      <c r="Y110" s="62"/>
      <c r="Z110" s="5">
        <f t="shared" si="27"/>
        <v>1192211</v>
      </c>
    </row>
    <row r="111" spans="1:27" x14ac:dyDescent="0.25">
      <c r="E111" s="12">
        <f>SUM(E4:E110)</f>
        <v>410875096</v>
      </c>
      <c r="F111" s="12"/>
      <c r="G111" s="12">
        <f t="shared" ref="G111:Z111" si="33">SUM(G4:G110)</f>
        <v>381000535.66666663</v>
      </c>
      <c r="H111" s="12">
        <f t="shared" si="33"/>
        <v>1367271</v>
      </c>
      <c r="I111" s="12">
        <f t="shared" si="33"/>
        <v>92975</v>
      </c>
      <c r="J111" s="12">
        <f t="shared" si="33"/>
        <v>2095640.6666666667</v>
      </c>
      <c r="K111" s="12">
        <f t="shared" si="33"/>
        <v>15563302</v>
      </c>
      <c r="L111" s="12">
        <f t="shared" si="33"/>
        <v>14143963</v>
      </c>
      <c r="M111" s="12">
        <f t="shared" si="33"/>
        <v>414263687.33333331</v>
      </c>
      <c r="N111" s="12">
        <f t="shared" si="33"/>
        <v>15788213.293333331</v>
      </c>
      <c r="O111" s="12">
        <f t="shared" si="33"/>
        <v>19054985.349999998</v>
      </c>
      <c r="P111" s="12">
        <f t="shared" si="33"/>
        <v>112700</v>
      </c>
      <c r="Q111" s="12">
        <f t="shared" si="33"/>
        <v>2938762</v>
      </c>
      <c r="R111" s="12">
        <f t="shared" si="33"/>
        <v>4222727</v>
      </c>
      <c r="S111" s="12">
        <f t="shared" si="33"/>
        <v>10015000</v>
      </c>
      <c r="T111" s="12">
        <f t="shared" si="33"/>
        <v>519614</v>
      </c>
      <c r="U111" s="12">
        <f t="shared" si="33"/>
        <v>14328165</v>
      </c>
      <c r="V111" s="12">
        <f t="shared" si="33"/>
        <v>66980166.643333331</v>
      </c>
      <c r="W111" s="12">
        <f t="shared" si="33"/>
        <v>347283520.68999994</v>
      </c>
      <c r="X111" s="12">
        <f t="shared" si="33"/>
        <v>0</v>
      </c>
      <c r="Y111" s="12">
        <f t="shared" si="33"/>
        <v>0</v>
      </c>
      <c r="Z111" s="87">
        <f t="shared" si="33"/>
        <v>342782820.68999994</v>
      </c>
    </row>
    <row r="112" spans="1:27" x14ac:dyDescent="0.25">
      <c r="D112" s="66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64"/>
      <c r="X112" s="66"/>
      <c r="Y112" s="68"/>
      <c r="Z112" s="64"/>
    </row>
    <row r="113" spans="2:30" x14ac:dyDescent="0.25">
      <c r="D113" s="66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T113" s="12"/>
      <c r="U113" s="12"/>
      <c r="V113" s="12"/>
      <c r="W113" s="64"/>
      <c r="X113" s="66"/>
      <c r="Y113" s="68"/>
      <c r="Z113" s="64"/>
    </row>
    <row r="114" spans="2:30" x14ac:dyDescent="0.25">
      <c r="C114" s="70"/>
      <c r="D114" s="66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T114" s="12"/>
      <c r="U114" s="12"/>
      <c r="V114" s="12"/>
      <c r="W114" s="66"/>
      <c r="X114" s="66"/>
      <c r="Y114" s="68"/>
      <c r="Z114" s="64"/>
    </row>
    <row r="115" spans="2:30" x14ac:dyDescent="0.25">
      <c r="C115" s="70"/>
      <c r="D115" s="66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66"/>
      <c r="X115" s="66"/>
      <c r="Y115" s="68"/>
      <c r="Z115" s="66"/>
      <c r="AA115" s="66"/>
      <c r="AB115" s="66"/>
      <c r="AC115" s="66"/>
      <c r="AD115" s="66"/>
    </row>
    <row r="116" spans="2:30" x14ac:dyDescent="0.25">
      <c r="B116" s="66"/>
      <c r="C116" s="70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12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66"/>
      <c r="AB116" s="66"/>
      <c r="AC116" s="66"/>
      <c r="AD116" s="66"/>
    </row>
    <row r="117" spans="2:30" x14ac:dyDescent="0.25">
      <c r="B117" s="66"/>
      <c r="C117" s="70"/>
      <c r="D117" s="6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66"/>
      <c r="X117" s="66"/>
      <c r="Y117" s="68"/>
      <c r="Z117" s="66"/>
      <c r="AA117" s="66"/>
      <c r="AB117" s="66"/>
      <c r="AC117" s="66"/>
      <c r="AD117" s="66"/>
    </row>
    <row r="118" spans="2:30" x14ac:dyDescent="0.25">
      <c r="B118" s="66"/>
      <c r="C118" s="70"/>
      <c r="D118" s="66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66"/>
      <c r="X118" s="66"/>
      <c r="Y118" s="68"/>
      <c r="Z118" s="66"/>
      <c r="AA118" s="66"/>
      <c r="AB118" s="66"/>
      <c r="AC118" s="66"/>
      <c r="AD118" s="66"/>
    </row>
    <row r="119" spans="2:30" x14ac:dyDescent="0.25">
      <c r="B119" s="66"/>
      <c r="C119" s="70"/>
      <c r="D119" s="66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66"/>
      <c r="X119" s="66"/>
      <c r="Y119" s="68"/>
      <c r="Z119" s="66"/>
      <c r="AA119" s="66"/>
      <c r="AB119" s="66"/>
      <c r="AC119" s="66"/>
      <c r="AD119" s="66"/>
    </row>
    <row r="120" spans="2:30" x14ac:dyDescent="0.25">
      <c r="B120" s="66"/>
      <c r="C120" s="72"/>
      <c r="D120" s="72"/>
      <c r="E120" s="72"/>
      <c r="F120" s="72"/>
      <c r="G120" s="88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3"/>
      <c r="Y120" s="74"/>
      <c r="Z120" s="73"/>
      <c r="AA120" s="66"/>
      <c r="AB120" s="66"/>
      <c r="AC120" s="66"/>
      <c r="AD120" s="66"/>
    </row>
    <row r="121" spans="2:30" x14ac:dyDescent="0.25">
      <c r="B121" s="75"/>
      <c r="C121" s="89"/>
      <c r="D121" s="73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3"/>
      <c r="X121" s="73"/>
      <c r="Y121" s="74"/>
      <c r="Z121" s="73"/>
      <c r="AA121" s="66"/>
      <c r="AB121" s="66"/>
      <c r="AC121" s="66"/>
      <c r="AD121" s="66"/>
    </row>
    <row r="122" spans="2:30" x14ac:dyDescent="0.25">
      <c r="B122" s="66"/>
      <c r="C122" s="90"/>
      <c r="D122" s="66"/>
      <c r="E122" s="12"/>
      <c r="F122" s="12"/>
      <c r="G122" s="77"/>
      <c r="H122" s="12"/>
      <c r="I122" s="12"/>
      <c r="J122" s="12"/>
      <c r="K122" s="12"/>
      <c r="L122" s="12"/>
      <c r="M122" s="12"/>
      <c r="N122" s="12"/>
      <c r="O122" s="12"/>
      <c r="P122" s="78"/>
      <c r="Q122" s="78"/>
      <c r="R122" s="78"/>
      <c r="S122" s="78"/>
      <c r="T122" s="78"/>
      <c r="U122" s="12"/>
      <c r="V122" s="12"/>
      <c r="W122" s="66"/>
      <c r="X122" s="66"/>
      <c r="Y122" s="68"/>
      <c r="Z122" s="66"/>
      <c r="AA122" s="66"/>
      <c r="AB122" s="66"/>
      <c r="AC122" s="66"/>
      <c r="AD122" s="66"/>
    </row>
    <row r="123" spans="2:30" x14ac:dyDescent="0.25">
      <c r="B123" s="66"/>
      <c r="C123" s="79"/>
      <c r="D123" s="73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3"/>
      <c r="X123" s="73"/>
      <c r="Y123" s="74"/>
      <c r="Z123" s="73"/>
      <c r="AA123" s="66"/>
      <c r="AB123" s="66"/>
      <c r="AC123" s="66"/>
      <c r="AD123" s="66"/>
    </row>
    <row r="124" spans="2:30" x14ac:dyDescent="0.25">
      <c r="B124" s="73"/>
      <c r="C124" s="79"/>
      <c r="D124" s="73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3"/>
      <c r="X124" s="73"/>
      <c r="Y124" s="74"/>
      <c r="Z124" s="73"/>
      <c r="AA124" s="66"/>
      <c r="AB124" s="66"/>
      <c r="AC124" s="66"/>
      <c r="AD124" s="66"/>
    </row>
    <row r="125" spans="2:30" x14ac:dyDescent="0.25">
      <c r="B125" s="66"/>
      <c r="C125" s="79"/>
      <c r="D125" s="7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64"/>
      <c r="X125" s="64"/>
      <c r="Y125" s="68"/>
      <c r="Z125" s="64"/>
      <c r="AA125" s="66"/>
      <c r="AB125" s="66"/>
      <c r="AC125" s="66"/>
      <c r="AD125" s="66"/>
    </row>
    <row r="126" spans="2:30" x14ac:dyDescent="0.25">
      <c r="C126" s="79"/>
      <c r="D126" s="7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64"/>
      <c r="X126" s="64"/>
      <c r="Y126" s="68"/>
      <c r="Z126" s="64"/>
      <c r="AA126" s="66"/>
      <c r="AB126" s="66"/>
      <c r="AC126" s="66"/>
      <c r="AD126" s="66"/>
    </row>
    <row r="127" spans="2:30" x14ac:dyDescent="0.25">
      <c r="C127" s="79"/>
      <c r="D127" s="7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64"/>
      <c r="X127" s="64"/>
      <c r="Y127" s="68"/>
      <c r="Z127" s="64"/>
      <c r="AA127" s="66"/>
      <c r="AB127" s="66"/>
      <c r="AC127" s="66"/>
      <c r="AD127" s="66"/>
    </row>
    <row r="128" spans="2:30" x14ac:dyDescent="0.25">
      <c r="C128" s="79"/>
      <c r="D128" s="7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64"/>
      <c r="X128" s="64"/>
      <c r="Y128" s="68"/>
      <c r="Z128" s="64"/>
      <c r="AA128" s="66"/>
      <c r="AB128" s="66"/>
      <c r="AC128" s="66"/>
      <c r="AD128" s="66"/>
    </row>
    <row r="129" spans="3:30" x14ac:dyDescent="0.25">
      <c r="C129" s="79"/>
      <c r="D129" s="7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64"/>
      <c r="X129" s="64"/>
      <c r="Y129" s="68"/>
      <c r="Z129" s="64"/>
      <c r="AA129" s="66"/>
      <c r="AB129" s="66"/>
      <c r="AC129" s="66"/>
      <c r="AD129" s="66"/>
    </row>
    <row r="130" spans="3:30" x14ac:dyDescent="0.25">
      <c r="C130" s="79"/>
      <c r="D130" s="7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64"/>
      <c r="X130" s="64"/>
      <c r="Y130" s="68"/>
      <c r="Z130" s="64"/>
      <c r="AA130" s="66"/>
      <c r="AB130" s="66"/>
      <c r="AC130" s="66"/>
      <c r="AD130" s="66"/>
    </row>
    <row r="131" spans="3:30" x14ac:dyDescent="0.25">
      <c r="C131" s="70"/>
      <c r="D131" s="66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64"/>
      <c r="X131" s="64"/>
      <c r="Y131" s="68"/>
      <c r="Z131" s="64"/>
      <c r="AA131" s="66"/>
      <c r="AB131" s="66"/>
      <c r="AC131" s="66"/>
      <c r="AD131" s="66"/>
    </row>
    <row r="132" spans="3:30" x14ac:dyDescent="0.25">
      <c r="C132" s="79"/>
      <c r="D132" s="66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64"/>
      <c r="X132" s="64"/>
      <c r="Y132" s="68"/>
      <c r="Z132" s="64"/>
      <c r="AA132" s="66"/>
      <c r="AB132" s="66"/>
      <c r="AC132" s="66"/>
      <c r="AD132" s="66"/>
    </row>
    <row r="133" spans="3:30" x14ac:dyDescent="0.25">
      <c r="C133" s="79"/>
      <c r="D133" s="66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64"/>
      <c r="X133" s="64"/>
      <c r="Y133" s="68"/>
      <c r="Z133" s="64"/>
      <c r="AA133" s="66"/>
      <c r="AB133" s="66"/>
      <c r="AC133" s="66"/>
      <c r="AD133" s="66"/>
    </row>
    <row r="134" spans="3:30" x14ac:dyDescent="0.25">
      <c r="C134" s="79"/>
      <c r="D134" s="66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64"/>
      <c r="X134" s="64"/>
      <c r="Y134" s="68"/>
      <c r="Z134" s="64"/>
      <c r="AA134" s="66"/>
      <c r="AB134" s="66"/>
      <c r="AC134" s="66"/>
      <c r="AD134" s="66"/>
    </row>
    <row r="135" spans="3:30" x14ac:dyDescent="0.25">
      <c r="C135" s="79"/>
      <c r="D135" s="66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64"/>
      <c r="X135" s="64"/>
      <c r="Y135" s="68"/>
      <c r="Z135" s="64"/>
      <c r="AA135" s="66"/>
      <c r="AB135" s="66"/>
      <c r="AC135" s="66"/>
      <c r="AD135" s="66"/>
    </row>
    <row r="136" spans="3:30" x14ac:dyDescent="0.25">
      <c r="C136" s="79"/>
      <c r="D136" s="66"/>
      <c r="E136" s="12"/>
      <c r="F136" s="12"/>
      <c r="G136" s="12"/>
      <c r="H136" s="12"/>
      <c r="I136" s="12"/>
      <c r="J136" s="12"/>
      <c r="K136" s="12"/>
      <c r="L136" s="12"/>
      <c r="M136" s="12">
        <f>737717*4</f>
        <v>2950868</v>
      </c>
      <c r="N136" s="12">
        <f>737717*2</f>
        <v>1475434</v>
      </c>
      <c r="O136" s="12"/>
      <c r="P136" s="12"/>
      <c r="Q136" s="12"/>
      <c r="R136" s="12"/>
      <c r="S136" s="12"/>
      <c r="T136" s="12"/>
      <c r="U136" s="12"/>
      <c r="V136" s="12"/>
      <c r="W136" s="64"/>
      <c r="X136" s="64"/>
      <c r="Y136" s="68"/>
      <c r="Z136" s="64"/>
      <c r="AA136" s="66"/>
      <c r="AB136" s="66"/>
      <c r="AC136" s="66"/>
      <c r="AD136" s="66"/>
    </row>
    <row r="137" spans="3:30" x14ac:dyDescent="0.25">
      <c r="C137" s="79"/>
      <c r="D137" s="6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64"/>
      <c r="X137" s="64"/>
      <c r="Y137" s="68"/>
      <c r="Z137" s="64"/>
      <c r="AA137" s="66"/>
      <c r="AB137" s="66"/>
      <c r="AC137" s="66"/>
      <c r="AD137" s="66"/>
    </row>
    <row r="138" spans="3:30" x14ac:dyDescent="0.25">
      <c r="C138" s="79"/>
      <c r="D138" s="6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64"/>
      <c r="X138" s="64"/>
      <c r="Y138" s="68"/>
      <c r="Z138" s="64"/>
      <c r="AA138" s="66"/>
      <c r="AB138" s="66"/>
      <c r="AC138" s="66"/>
      <c r="AD138" s="66"/>
    </row>
    <row r="139" spans="3:30" x14ac:dyDescent="0.25">
      <c r="C139" s="79"/>
      <c r="D139" s="6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64"/>
      <c r="X139" s="64"/>
      <c r="Y139" s="68"/>
      <c r="Z139" s="64"/>
      <c r="AA139" s="66"/>
      <c r="AB139" s="66"/>
      <c r="AC139" s="66"/>
      <c r="AD139" s="66"/>
    </row>
    <row r="140" spans="3:30" x14ac:dyDescent="0.25">
      <c r="C140" s="79"/>
      <c r="D140" s="6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64"/>
      <c r="X140" s="64"/>
      <c r="Y140" s="68"/>
      <c r="Z140" s="64"/>
      <c r="AA140" s="66"/>
      <c r="AB140" s="66"/>
      <c r="AC140" s="66"/>
      <c r="AD140" s="66"/>
    </row>
    <row r="141" spans="3:30" x14ac:dyDescent="0.25">
      <c r="C141" s="79"/>
      <c r="D141" s="66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64"/>
      <c r="X141" s="64"/>
      <c r="Y141" s="68"/>
      <c r="Z141" s="64"/>
      <c r="AA141" s="66"/>
      <c r="AB141" s="66"/>
      <c r="AC141" s="66"/>
      <c r="AD141" s="66"/>
    </row>
    <row r="142" spans="3:30" x14ac:dyDescent="0.25">
      <c r="C142" s="79"/>
      <c r="D142" s="6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64"/>
      <c r="X142" s="64"/>
      <c r="Y142" s="68"/>
      <c r="Z142" s="64"/>
      <c r="AA142" s="66"/>
      <c r="AB142" s="66"/>
      <c r="AC142" s="66"/>
      <c r="AD142" s="66"/>
    </row>
    <row r="143" spans="3:30" x14ac:dyDescent="0.25">
      <c r="C143" s="70"/>
      <c r="D143" s="66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66"/>
      <c r="X143" s="66"/>
      <c r="Y143" s="68"/>
      <c r="Z143" s="66"/>
      <c r="AA143" s="66"/>
      <c r="AB143" s="66"/>
      <c r="AC143" s="66"/>
      <c r="AD143" s="66"/>
    </row>
    <row r="144" spans="3:30" x14ac:dyDescent="0.25">
      <c r="C144" s="70"/>
      <c r="D144" s="66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66"/>
      <c r="U144" s="12"/>
      <c r="V144" s="12"/>
      <c r="W144" s="66"/>
      <c r="X144" s="66"/>
      <c r="Y144" s="68"/>
      <c r="Z144" s="66"/>
      <c r="AA144" s="66"/>
      <c r="AB144" s="66"/>
      <c r="AC144" s="66"/>
      <c r="AD144" s="66"/>
    </row>
    <row r="145" spans="2:30" x14ac:dyDescent="0.25">
      <c r="B145" s="66"/>
      <c r="C145" s="70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  <c r="AA145" s="66"/>
      <c r="AB145" s="66"/>
      <c r="AC145" s="66"/>
      <c r="AD145" s="66"/>
    </row>
    <row r="146" spans="2:30" x14ac:dyDescent="0.25">
      <c r="B146" s="66"/>
      <c r="C146" s="70"/>
      <c r="D146" s="6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3"/>
      <c r="X146" s="73"/>
      <c r="Y146" s="74"/>
      <c r="Z146" s="73"/>
      <c r="AA146" s="66"/>
      <c r="AB146" s="66"/>
      <c r="AC146" s="66"/>
      <c r="AD146" s="66"/>
    </row>
    <row r="147" spans="2:30" x14ac:dyDescent="0.25">
      <c r="B147" s="66"/>
      <c r="C147" s="79"/>
      <c r="D147" s="73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3"/>
      <c r="X147" s="73"/>
      <c r="Y147" s="74"/>
      <c r="Z147" s="73"/>
    </row>
    <row r="148" spans="2:30" x14ac:dyDescent="0.25">
      <c r="B148" s="82"/>
      <c r="C148" s="79"/>
      <c r="D148" s="73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3"/>
      <c r="X148" s="73"/>
      <c r="Y148" s="74"/>
      <c r="Z148" s="73"/>
    </row>
    <row r="149" spans="2:30" x14ac:dyDescent="0.25">
      <c r="C149" s="79"/>
      <c r="D149" s="7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64"/>
      <c r="X149" s="64"/>
      <c r="Y149" s="68"/>
      <c r="Z149" s="64"/>
    </row>
    <row r="150" spans="2:30" x14ac:dyDescent="0.25">
      <c r="C150" s="79"/>
      <c r="D150" s="7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64"/>
      <c r="X150" s="64"/>
      <c r="Y150" s="68"/>
      <c r="Z150" s="64"/>
    </row>
    <row r="151" spans="2:30" x14ac:dyDescent="0.25">
      <c r="C151" s="79"/>
      <c r="D151" s="7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64"/>
      <c r="X151" s="64"/>
      <c r="Y151" s="68"/>
      <c r="Z151" s="64"/>
    </row>
    <row r="152" spans="2:30" x14ac:dyDescent="0.25">
      <c r="C152" s="70"/>
      <c r="D152" s="66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64"/>
      <c r="X152" s="64"/>
      <c r="Y152" s="68"/>
      <c r="Z152" s="64"/>
    </row>
    <row r="153" spans="2:30" x14ac:dyDescent="0.25">
      <c r="C153" s="79"/>
      <c r="D153" s="66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64"/>
      <c r="X153" s="64"/>
      <c r="Y153" s="68"/>
      <c r="Z153" s="64"/>
    </row>
    <row r="154" spans="2:30" x14ac:dyDescent="0.25">
      <c r="C154" s="70"/>
      <c r="D154" s="66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66"/>
      <c r="X154" s="66"/>
      <c r="Y154" s="68"/>
      <c r="Z154" s="66"/>
    </row>
    <row r="155" spans="2:30" x14ac:dyDescent="0.25">
      <c r="C155" s="70"/>
      <c r="D155" s="66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64"/>
      <c r="X155" s="64"/>
      <c r="Y155" s="68"/>
      <c r="Z155" s="64"/>
    </row>
    <row r="156" spans="2:30" x14ac:dyDescent="0.25">
      <c r="B156" s="66"/>
      <c r="C156" s="70"/>
      <c r="D156" s="66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66"/>
      <c r="X156" s="66"/>
      <c r="Y156" s="68"/>
      <c r="Z156" s="66"/>
    </row>
    <row r="157" spans="2:30" x14ac:dyDescent="0.25">
      <c r="B157" s="66"/>
      <c r="C157" s="70"/>
      <c r="D157" s="6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66"/>
      <c r="X157" s="66"/>
      <c r="Y157" s="68"/>
      <c r="Z157" s="66"/>
    </row>
    <row r="158" spans="2:30" x14ac:dyDescent="0.25">
      <c r="B158" s="66"/>
      <c r="C158" s="70"/>
      <c r="D158" s="6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83"/>
      <c r="X158" s="83"/>
      <c r="Y158" s="68"/>
      <c r="Z158" s="83"/>
    </row>
    <row r="159" spans="2:30" x14ac:dyDescent="0.25">
      <c r="B159" s="66"/>
      <c r="C159" s="70"/>
      <c r="D159" s="6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84"/>
      <c r="X159" s="84"/>
      <c r="Y159" s="68"/>
      <c r="Z159" s="84"/>
    </row>
    <row r="160" spans="2:30" x14ac:dyDescent="0.25">
      <c r="C160" s="70"/>
      <c r="D160" s="6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66"/>
      <c r="X160" s="66"/>
      <c r="Y160" s="68"/>
      <c r="Z160" s="66"/>
    </row>
    <row r="161" spans="3:26" x14ac:dyDescent="0.25">
      <c r="C161" s="70"/>
      <c r="D161" s="6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66"/>
      <c r="X161" s="66"/>
      <c r="Y161" s="68"/>
      <c r="Z161" s="66"/>
    </row>
    <row r="162" spans="3:26" x14ac:dyDescent="0.25">
      <c r="C162" s="70"/>
      <c r="D162" s="6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66"/>
      <c r="X162" s="66"/>
      <c r="Y162" s="68"/>
      <c r="Z162" s="66"/>
    </row>
    <row r="163" spans="3:26" x14ac:dyDescent="0.25">
      <c r="C163" s="70"/>
      <c r="D163" s="6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66"/>
      <c r="X163" s="66"/>
      <c r="Y163" s="68"/>
      <c r="Z163" s="66"/>
    </row>
    <row r="164" spans="3:26" x14ac:dyDescent="0.25">
      <c r="C164" s="70"/>
      <c r="D164" s="6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66"/>
      <c r="X164" s="66"/>
      <c r="Y164" s="68"/>
      <c r="Z164" s="66"/>
    </row>
    <row r="165" spans="3:26" x14ac:dyDescent="0.25">
      <c r="C165" s="70"/>
      <c r="D165" s="6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66"/>
      <c r="X165" s="66"/>
      <c r="Y165" s="68"/>
      <c r="Z165" s="66"/>
    </row>
    <row r="166" spans="3:26" x14ac:dyDescent="0.25">
      <c r="C166" s="70"/>
      <c r="D166" s="6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66"/>
      <c r="X166" s="66"/>
      <c r="Y166" s="68"/>
      <c r="Z166" s="66"/>
    </row>
    <row r="167" spans="3:26" x14ac:dyDescent="0.25">
      <c r="C167" s="70"/>
      <c r="D167" s="66"/>
      <c r="E167" s="12"/>
      <c r="F167" s="12"/>
      <c r="G167" s="12"/>
      <c r="H167" s="12"/>
      <c r="I167" s="12"/>
      <c r="J167" s="12"/>
      <c r="K167" s="12"/>
      <c r="L167" s="12"/>
      <c r="M167" s="12"/>
      <c r="N167" s="12">
        <v>3003000</v>
      </c>
      <c r="O167" s="12"/>
      <c r="P167" s="12"/>
      <c r="Q167" s="12"/>
      <c r="R167" s="12"/>
      <c r="S167" s="12"/>
      <c r="T167" s="12"/>
      <c r="U167" s="12"/>
      <c r="V167" s="12"/>
      <c r="W167" s="66"/>
      <c r="X167" s="66"/>
      <c r="Y167" s="68"/>
      <c r="Z167" s="66"/>
    </row>
    <row r="168" spans="3:26" x14ac:dyDescent="0.25">
      <c r="C168" s="79"/>
      <c r="D168" s="6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66"/>
      <c r="X168" s="66"/>
      <c r="Y168" s="68"/>
      <c r="Z168" s="66"/>
    </row>
    <row r="169" spans="3:26" x14ac:dyDescent="0.25">
      <c r="C169" s="79"/>
      <c r="D169" s="6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66"/>
      <c r="X169" s="66"/>
      <c r="Y169" s="68"/>
      <c r="Z169" s="66"/>
    </row>
    <row r="170" spans="3:26" x14ac:dyDescent="0.25">
      <c r="C170" s="79"/>
      <c r="D170" s="6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66"/>
      <c r="X170" s="66"/>
      <c r="Y170" s="68"/>
      <c r="Z170" s="66"/>
    </row>
    <row r="171" spans="3:26" x14ac:dyDescent="0.25">
      <c r="C171" s="79"/>
      <c r="D171" s="6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66"/>
      <c r="X171" s="66"/>
      <c r="Y171" s="68"/>
      <c r="Z171" s="66"/>
    </row>
    <row r="172" spans="3:26" x14ac:dyDescent="0.25">
      <c r="C172" s="70">
        <v>42614840</v>
      </c>
      <c r="D172" s="6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v>412608</v>
      </c>
      <c r="W172" s="66"/>
      <c r="X172" s="66"/>
      <c r="Y172" s="68"/>
      <c r="Z172" s="66"/>
    </row>
    <row r="173" spans="3:26" x14ac:dyDescent="0.25">
      <c r="C173" s="70">
        <v>9675182</v>
      </c>
      <c r="D173" s="6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>
        <v>1880000</v>
      </c>
      <c r="W173" s="66"/>
      <c r="X173" s="66"/>
      <c r="Y173" s="68"/>
      <c r="Z173" s="66"/>
    </row>
    <row r="174" spans="3:26" x14ac:dyDescent="0.25">
      <c r="C174" s="70">
        <v>17903600</v>
      </c>
      <c r="D174" s="6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66"/>
      <c r="X174" s="66"/>
      <c r="Y174" s="68"/>
      <c r="Z174" s="66"/>
    </row>
    <row r="175" spans="3:26" x14ac:dyDescent="0.25">
      <c r="C175" s="70">
        <f>SUM(C172:C174)</f>
        <v>70193622</v>
      </c>
      <c r="D175" s="6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66"/>
      <c r="X175" s="66"/>
      <c r="Y175" s="68"/>
      <c r="Z175" s="66"/>
    </row>
    <row r="176" spans="3:26" x14ac:dyDescent="0.25">
      <c r="C176" s="70">
        <v>400000</v>
      </c>
      <c r="D176" s="6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66"/>
      <c r="X176" s="66"/>
      <c r="Y176" s="68"/>
      <c r="Z176" s="66"/>
    </row>
    <row r="177" spans="3:26" x14ac:dyDescent="0.25">
      <c r="C177" s="70">
        <f>+C175+C176</f>
        <v>70593622</v>
      </c>
      <c r="D177" s="6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66"/>
      <c r="X177" s="66"/>
      <c r="Y177" s="68"/>
      <c r="Z177" s="66"/>
    </row>
    <row r="181" spans="3:26" x14ac:dyDescent="0.25">
      <c r="C181" s="13">
        <v>11000000</v>
      </c>
    </row>
    <row r="182" spans="3:26" x14ac:dyDescent="0.25">
      <c r="C182" s="13">
        <f>+C180+C181</f>
        <v>11000000</v>
      </c>
    </row>
    <row r="187" spans="3:26" x14ac:dyDescent="0.25">
      <c r="C187" s="13">
        <v>3185000</v>
      </c>
    </row>
    <row r="188" spans="3:26" x14ac:dyDescent="0.25">
      <c r="C188" s="13">
        <v>1080000</v>
      </c>
    </row>
    <row r="189" spans="3:26" x14ac:dyDescent="0.25">
      <c r="C189" s="13">
        <v>4850100</v>
      </c>
    </row>
    <row r="190" spans="3:26" x14ac:dyDescent="0.25">
      <c r="C190" s="13">
        <v>5027500</v>
      </c>
    </row>
    <row r="191" spans="3:26" x14ac:dyDescent="0.25">
      <c r="C191" s="13">
        <v>4566000</v>
      </c>
    </row>
    <row r="192" spans="3:26" x14ac:dyDescent="0.25">
      <c r="C192" s="13">
        <v>1050000</v>
      </c>
    </row>
    <row r="193" spans="3:3" x14ac:dyDescent="0.25">
      <c r="C193" s="13">
        <v>3877333</v>
      </c>
    </row>
    <row r="194" spans="3:3" x14ac:dyDescent="0.25">
      <c r="C194" s="13">
        <v>6732440</v>
      </c>
    </row>
    <row r="195" spans="3:3" x14ac:dyDescent="0.25">
      <c r="C195" s="13">
        <v>3460000</v>
      </c>
    </row>
    <row r="196" spans="3:3" x14ac:dyDescent="0.25">
      <c r="C196" s="13">
        <v>588800</v>
      </c>
    </row>
    <row r="197" spans="3:3" x14ac:dyDescent="0.25">
      <c r="C197" s="13">
        <v>1868000</v>
      </c>
    </row>
    <row r="198" spans="3:3" x14ac:dyDescent="0.25">
      <c r="C198" s="13">
        <v>10313000</v>
      </c>
    </row>
    <row r="199" spans="3:3" x14ac:dyDescent="0.25">
      <c r="C199" s="13">
        <v>3443800</v>
      </c>
    </row>
    <row r="200" spans="3:3" x14ac:dyDescent="0.25">
      <c r="C200" s="13">
        <v>8136400</v>
      </c>
    </row>
    <row r="201" spans="3:3" x14ac:dyDescent="0.25">
      <c r="C201" s="13">
        <v>9675183</v>
      </c>
    </row>
    <row r="202" spans="3:3" x14ac:dyDescent="0.25">
      <c r="C202" s="13">
        <f>SUM(C186:C201)</f>
        <v>67853556</v>
      </c>
    </row>
  </sheetData>
  <mergeCells count="7">
    <mergeCell ref="D145:Z145"/>
    <mergeCell ref="C1:W1"/>
    <mergeCell ref="E2:M2"/>
    <mergeCell ref="N2:V2"/>
    <mergeCell ref="A4:A56"/>
    <mergeCell ref="A57:A110"/>
    <mergeCell ref="E144:S14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2F656-F20D-4EC4-B7FE-1CC6D84AD79C}">
  <dimension ref="A1:Y204"/>
  <sheetViews>
    <sheetView workbookViewId="0">
      <selection activeCell="F6" sqref="F6"/>
    </sheetView>
  </sheetViews>
  <sheetFormatPr baseColWidth="10" defaultRowHeight="12" x14ac:dyDescent="0.25"/>
  <cols>
    <col min="1" max="1" width="6.7109375" style="20" customWidth="1"/>
    <col min="2" max="2" width="4.85546875" style="20" customWidth="1"/>
    <col min="3" max="3" width="32.28515625" style="42" customWidth="1"/>
    <col min="4" max="4" width="8.5703125" style="20" customWidth="1"/>
    <col min="5" max="5" width="11" style="20" customWidth="1"/>
    <col min="6" max="6" width="11.7109375" style="43" customWidth="1"/>
    <col min="7" max="7" width="4.42578125" style="43" customWidth="1"/>
    <col min="8" max="8" width="12.28515625" style="43" customWidth="1"/>
    <col min="9" max="10" width="11.28515625" style="43" customWidth="1"/>
    <col min="11" max="11" width="9.5703125" style="43" customWidth="1"/>
    <col min="12" max="12" width="12.28515625" style="43" customWidth="1"/>
    <col min="13" max="13" width="12.5703125" style="43" customWidth="1"/>
    <col min="14" max="14" width="13.28515625" style="43" customWidth="1"/>
    <col min="15" max="16" width="12.28515625" style="43" customWidth="1"/>
    <col min="17" max="19" width="11.28515625" style="43" customWidth="1"/>
    <col min="20" max="20" width="12.28515625" style="43" customWidth="1"/>
    <col min="21" max="21" width="11.28515625" style="43" customWidth="1"/>
    <col min="22" max="22" width="15.7109375" style="43" customWidth="1"/>
    <col min="23" max="23" width="12.42578125" style="43" customWidth="1"/>
    <col min="24" max="24" width="18" style="20" bestFit="1" customWidth="1"/>
    <col min="25" max="25" width="11.85546875" style="20" bestFit="1" customWidth="1"/>
    <col min="26" max="244" width="11.42578125" style="20"/>
    <col min="245" max="245" width="10.5703125" style="20" customWidth="1"/>
    <col min="246" max="246" width="4.85546875" style="20" customWidth="1"/>
    <col min="247" max="247" width="32.42578125" style="20" customWidth="1"/>
    <col min="248" max="248" width="9.85546875" style="20" customWidth="1"/>
    <col min="249" max="249" width="10.140625" style="20" customWidth="1"/>
    <col min="250" max="250" width="12.28515625" style="20" customWidth="1"/>
    <col min="251" max="251" width="15.42578125" style="20" customWidth="1"/>
    <col min="252" max="252" width="11.85546875" style="20" customWidth="1"/>
    <col min="253" max="253" width="13.28515625" style="20" customWidth="1"/>
    <col min="254" max="254" width="15.28515625" style="20" customWidth="1"/>
    <col min="255" max="255" width="11.85546875" style="20" customWidth="1"/>
    <col min="256" max="256" width="6.140625" style="20" customWidth="1"/>
    <col min="257" max="257" width="11.85546875" style="20" customWidth="1"/>
    <col min="258" max="258" width="9.42578125" style="20" customWidth="1"/>
    <col min="259" max="259" width="14.7109375" style="20" customWidth="1"/>
    <col min="260" max="260" width="11.5703125" style="20" customWidth="1"/>
    <col min="261" max="261" width="0.42578125" style="20" customWidth="1"/>
    <col min="262" max="262" width="10.5703125" style="20" bestFit="1" customWidth="1"/>
    <col min="263" max="263" width="12.28515625" style="20" customWidth="1"/>
    <col min="264" max="264" width="12.5703125" style="20" customWidth="1"/>
    <col min="265" max="265" width="10.5703125" style="20" customWidth="1"/>
    <col min="266" max="266" width="10.140625" style="20" customWidth="1"/>
    <col min="267" max="267" width="8.42578125" style="20" customWidth="1"/>
    <col min="268" max="268" width="18.85546875" style="20" customWidth="1"/>
    <col min="269" max="269" width="10.28515625" style="20" customWidth="1"/>
    <col min="270" max="270" width="11.42578125" style="20"/>
    <col min="271" max="271" width="12.140625" style="20" customWidth="1"/>
    <col min="272" max="272" width="10.5703125" style="20" customWidth="1"/>
    <col min="273" max="273" width="12.42578125" style="20" customWidth="1"/>
    <col min="274" max="274" width="15.140625" style="20" customWidth="1"/>
    <col min="275" max="275" width="13.5703125" style="20" customWidth="1"/>
    <col min="276" max="276" width="13.140625" style="20" customWidth="1"/>
    <col min="277" max="277" width="15.7109375" style="20" customWidth="1"/>
    <col min="278" max="278" width="37.5703125" style="20" customWidth="1"/>
    <col min="279" max="500" width="11.42578125" style="20"/>
    <col min="501" max="501" width="10.5703125" style="20" customWidth="1"/>
    <col min="502" max="502" width="4.85546875" style="20" customWidth="1"/>
    <col min="503" max="503" width="32.42578125" style="20" customWidth="1"/>
    <col min="504" max="504" width="9.85546875" style="20" customWidth="1"/>
    <col min="505" max="505" width="10.140625" style="20" customWidth="1"/>
    <col min="506" max="506" width="12.28515625" style="20" customWidth="1"/>
    <col min="507" max="507" width="15.42578125" style="20" customWidth="1"/>
    <col min="508" max="508" width="11.85546875" style="20" customWidth="1"/>
    <col min="509" max="509" width="13.28515625" style="20" customWidth="1"/>
    <col min="510" max="510" width="15.28515625" style="20" customWidth="1"/>
    <col min="511" max="511" width="11.85546875" style="20" customWidth="1"/>
    <col min="512" max="512" width="6.140625" style="20" customWidth="1"/>
    <col min="513" max="513" width="11.85546875" style="20" customWidth="1"/>
    <col min="514" max="514" width="9.42578125" style="20" customWidth="1"/>
    <col min="515" max="515" width="14.7109375" style="20" customWidth="1"/>
    <col min="516" max="516" width="11.5703125" style="20" customWidth="1"/>
    <col min="517" max="517" width="0.42578125" style="20" customWidth="1"/>
    <col min="518" max="518" width="10.5703125" style="20" bestFit="1" customWidth="1"/>
    <col min="519" max="519" width="12.28515625" style="20" customWidth="1"/>
    <col min="520" max="520" width="12.5703125" style="20" customWidth="1"/>
    <col min="521" max="521" width="10.5703125" style="20" customWidth="1"/>
    <col min="522" max="522" width="10.140625" style="20" customWidth="1"/>
    <col min="523" max="523" width="8.42578125" style="20" customWidth="1"/>
    <col min="524" max="524" width="18.85546875" style="20" customWidth="1"/>
    <col min="525" max="525" width="10.28515625" style="20" customWidth="1"/>
    <col min="526" max="526" width="11.42578125" style="20"/>
    <col min="527" max="527" width="12.140625" style="20" customWidth="1"/>
    <col min="528" max="528" width="10.5703125" style="20" customWidth="1"/>
    <col min="529" max="529" width="12.42578125" style="20" customWidth="1"/>
    <col min="530" max="530" width="15.140625" style="20" customWidth="1"/>
    <col min="531" max="531" width="13.5703125" style="20" customWidth="1"/>
    <col min="532" max="532" width="13.140625" style="20" customWidth="1"/>
    <col min="533" max="533" width="15.7109375" style="20" customWidth="1"/>
    <col min="534" max="534" width="37.5703125" style="20" customWidth="1"/>
    <col min="535" max="756" width="11.42578125" style="20"/>
    <col min="757" max="757" width="10.5703125" style="20" customWidth="1"/>
    <col min="758" max="758" width="4.85546875" style="20" customWidth="1"/>
    <col min="759" max="759" width="32.42578125" style="20" customWidth="1"/>
    <col min="760" max="760" width="9.85546875" style="20" customWidth="1"/>
    <col min="761" max="761" width="10.140625" style="20" customWidth="1"/>
    <col min="762" max="762" width="12.28515625" style="20" customWidth="1"/>
    <col min="763" max="763" width="15.42578125" style="20" customWidth="1"/>
    <col min="764" max="764" width="11.85546875" style="20" customWidth="1"/>
    <col min="765" max="765" width="13.28515625" style="20" customWidth="1"/>
    <col min="766" max="766" width="15.28515625" style="20" customWidth="1"/>
    <col min="767" max="767" width="11.85546875" style="20" customWidth="1"/>
    <col min="768" max="768" width="6.140625" style="20" customWidth="1"/>
    <col min="769" max="769" width="11.85546875" style="20" customWidth="1"/>
    <col min="770" max="770" width="9.42578125" style="20" customWidth="1"/>
    <col min="771" max="771" width="14.7109375" style="20" customWidth="1"/>
    <col min="772" max="772" width="11.5703125" style="20" customWidth="1"/>
    <col min="773" max="773" width="0.42578125" style="20" customWidth="1"/>
    <col min="774" max="774" width="10.5703125" style="20" bestFit="1" customWidth="1"/>
    <col min="775" max="775" width="12.28515625" style="20" customWidth="1"/>
    <col min="776" max="776" width="12.5703125" style="20" customWidth="1"/>
    <col min="777" max="777" width="10.5703125" style="20" customWidth="1"/>
    <col min="778" max="778" width="10.140625" style="20" customWidth="1"/>
    <col min="779" max="779" width="8.42578125" style="20" customWidth="1"/>
    <col min="780" max="780" width="18.85546875" style="20" customWidth="1"/>
    <col min="781" max="781" width="10.28515625" style="20" customWidth="1"/>
    <col min="782" max="782" width="11.42578125" style="20"/>
    <col min="783" max="783" width="12.140625" style="20" customWidth="1"/>
    <col min="784" max="784" width="10.5703125" style="20" customWidth="1"/>
    <col min="785" max="785" width="12.42578125" style="20" customWidth="1"/>
    <col min="786" max="786" width="15.140625" style="20" customWidth="1"/>
    <col min="787" max="787" width="13.5703125" style="20" customWidth="1"/>
    <col min="788" max="788" width="13.140625" style="20" customWidth="1"/>
    <col min="789" max="789" width="15.7109375" style="20" customWidth="1"/>
    <col min="790" max="790" width="37.5703125" style="20" customWidth="1"/>
    <col min="791" max="1012" width="11.42578125" style="20"/>
    <col min="1013" max="1013" width="10.5703125" style="20" customWidth="1"/>
    <col min="1014" max="1014" width="4.85546875" style="20" customWidth="1"/>
    <col min="1015" max="1015" width="32.42578125" style="20" customWidth="1"/>
    <col min="1016" max="1016" width="9.85546875" style="20" customWidth="1"/>
    <col min="1017" max="1017" width="10.140625" style="20" customWidth="1"/>
    <col min="1018" max="1018" width="12.28515625" style="20" customWidth="1"/>
    <col min="1019" max="1019" width="15.42578125" style="20" customWidth="1"/>
    <col min="1020" max="1020" width="11.85546875" style="20" customWidth="1"/>
    <col min="1021" max="1021" width="13.28515625" style="20" customWidth="1"/>
    <col min="1022" max="1022" width="15.28515625" style="20" customWidth="1"/>
    <col min="1023" max="1023" width="11.85546875" style="20" customWidth="1"/>
    <col min="1024" max="1024" width="6.140625" style="20" customWidth="1"/>
    <col min="1025" max="1025" width="11.85546875" style="20" customWidth="1"/>
    <col min="1026" max="1026" width="9.42578125" style="20" customWidth="1"/>
    <col min="1027" max="1027" width="14.7109375" style="20" customWidth="1"/>
    <col min="1028" max="1028" width="11.5703125" style="20" customWidth="1"/>
    <col min="1029" max="1029" width="0.42578125" style="20" customWidth="1"/>
    <col min="1030" max="1030" width="10.5703125" style="20" bestFit="1" customWidth="1"/>
    <col min="1031" max="1031" width="12.28515625" style="20" customWidth="1"/>
    <col min="1032" max="1032" width="12.5703125" style="20" customWidth="1"/>
    <col min="1033" max="1033" width="10.5703125" style="20" customWidth="1"/>
    <col min="1034" max="1034" width="10.140625" style="20" customWidth="1"/>
    <col min="1035" max="1035" width="8.42578125" style="20" customWidth="1"/>
    <col min="1036" max="1036" width="18.85546875" style="20" customWidth="1"/>
    <col min="1037" max="1037" width="10.28515625" style="20" customWidth="1"/>
    <col min="1038" max="1038" width="11.42578125" style="20"/>
    <col min="1039" max="1039" width="12.140625" style="20" customWidth="1"/>
    <col min="1040" max="1040" width="10.5703125" style="20" customWidth="1"/>
    <col min="1041" max="1041" width="12.42578125" style="20" customWidth="1"/>
    <col min="1042" max="1042" width="15.140625" style="20" customWidth="1"/>
    <col min="1043" max="1043" width="13.5703125" style="20" customWidth="1"/>
    <col min="1044" max="1044" width="13.140625" style="20" customWidth="1"/>
    <col min="1045" max="1045" width="15.7109375" style="20" customWidth="1"/>
    <col min="1046" max="1046" width="37.5703125" style="20" customWidth="1"/>
    <col min="1047" max="1268" width="11.42578125" style="20"/>
    <col min="1269" max="1269" width="10.5703125" style="20" customWidth="1"/>
    <col min="1270" max="1270" width="4.85546875" style="20" customWidth="1"/>
    <col min="1271" max="1271" width="32.42578125" style="20" customWidth="1"/>
    <col min="1272" max="1272" width="9.85546875" style="20" customWidth="1"/>
    <col min="1273" max="1273" width="10.140625" style="20" customWidth="1"/>
    <col min="1274" max="1274" width="12.28515625" style="20" customWidth="1"/>
    <col min="1275" max="1275" width="15.42578125" style="20" customWidth="1"/>
    <col min="1276" max="1276" width="11.85546875" style="20" customWidth="1"/>
    <col min="1277" max="1277" width="13.28515625" style="20" customWidth="1"/>
    <col min="1278" max="1278" width="15.28515625" style="20" customWidth="1"/>
    <col min="1279" max="1279" width="11.85546875" style="20" customWidth="1"/>
    <col min="1280" max="1280" width="6.140625" style="20" customWidth="1"/>
    <col min="1281" max="1281" width="11.85546875" style="20" customWidth="1"/>
    <col min="1282" max="1282" width="9.42578125" style="20" customWidth="1"/>
    <col min="1283" max="1283" width="14.7109375" style="20" customWidth="1"/>
    <col min="1284" max="1284" width="11.5703125" style="20" customWidth="1"/>
    <col min="1285" max="1285" width="0.42578125" style="20" customWidth="1"/>
    <col min="1286" max="1286" width="10.5703125" style="20" bestFit="1" customWidth="1"/>
    <col min="1287" max="1287" width="12.28515625" style="20" customWidth="1"/>
    <col min="1288" max="1288" width="12.5703125" style="20" customWidth="1"/>
    <col min="1289" max="1289" width="10.5703125" style="20" customWidth="1"/>
    <col min="1290" max="1290" width="10.140625" style="20" customWidth="1"/>
    <col min="1291" max="1291" width="8.42578125" style="20" customWidth="1"/>
    <col min="1292" max="1292" width="18.85546875" style="20" customWidth="1"/>
    <col min="1293" max="1293" width="10.28515625" style="20" customWidth="1"/>
    <col min="1294" max="1294" width="11.42578125" style="20"/>
    <col min="1295" max="1295" width="12.140625" style="20" customWidth="1"/>
    <col min="1296" max="1296" width="10.5703125" style="20" customWidth="1"/>
    <col min="1297" max="1297" width="12.42578125" style="20" customWidth="1"/>
    <col min="1298" max="1298" width="15.140625" style="20" customWidth="1"/>
    <col min="1299" max="1299" width="13.5703125" style="20" customWidth="1"/>
    <col min="1300" max="1300" width="13.140625" style="20" customWidth="1"/>
    <col min="1301" max="1301" width="15.7109375" style="20" customWidth="1"/>
    <col min="1302" max="1302" width="37.5703125" style="20" customWidth="1"/>
    <col min="1303" max="1524" width="11.42578125" style="20"/>
    <col min="1525" max="1525" width="10.5703125" style="20" customWidth="1"/>
    <col min="1526" max="1526" width="4.85546875" style="20" customWidth="1"/>
    <col min="1527" max="1527" width="32.42578125" style="20" customWidth="1"/>
    <col min="1528" max="1528" width="9.85546875" style="20" customWidth="1"/>
    <col min="1529" max="1529" width="10.140625" style="20" customWidth="1"/>
    <col min="1530" max="1530" width="12.28515625" style="20" customWidth="1"/>
    <col min="1531" max="1531" width="15.42578125" style="20" customWidth="1"/>
    <col min="1532" max="1532" width="11.85546875" style="20" customWidth="1"/>
    <col min="1533" max="1533" width="13.28515625" style="20" customWidth="1"/>
    <col min="1534" max="1534" width="15.28515625" style="20" customWidth="1"/>
    <col min="1535" max="1535" width="11.85546875" style="20" customWidth="1"/>
    <col min="1536" max="1536" width="6.140625" style="20" customWidth="1"/>
    <col min="1537" max="1537" width="11.85546875" style="20" customWidth="1"/>
    <col min="1538" max="1538" width="9.42578125" style="20" customWidth="1"/>
    <col min="1539" max="1539" width="14.7109375" style="20" customWidth="1"/>
    <col min="1540" max="1540" width="11.5703125" style="20" customWidth="1"/>
    <col min="1541" max="1541" width="0.42578125" style="20" customWidth="1"/>
    <col min="1542" max="1542" width="10.5703125" style="20" bestFit="1" customWidth="1"/>
    <col min="1543" max="1543" width="12.28515625" style="20" customWidth="1"/>
    <col min="1544" max="1544" width="12.5703125" style="20" customWidth="1"/>
    <col min="1545" max="1545" width="10.5703125" style="20" customWidth="1"/>
    <col min="1546" max="1546" width="10.140625" style="20" customWidth="1"/>
    <col min="1547" max="1547" width="8.42578125" style="20" customWidth="1"/>
    <col min="1548" max="1548" width="18.85546875" style="20" customWidth="1"/>
    <col min="1549" max="1549" width="10.28515625" style="20" customWidth="1"/>
    <col min="1550" max="1550" width="11.42578125" style="20"/>
    <col min="1551" max="1551" width="12.140625" style="20" customWidth="1"/>
    <col min="1552" max="1552" width="10.5703125" style="20" customWidth="1"/>
    <col min="1553" max="1553" width="12.42578125" style="20" customWidth="1"/>
    <col min="1554" max="1554" width="15.140625" style="20" customWidth="1"/>
    <col min="1555" max="1555" width="13.5703125" style="20" customWidth="1"/>
    <col min="1556" max="1556" width="13.140625" style="20" customWidth="1"/>
    <col min="1557" max="1557" width="15.7109375" style="20" customWidth="1"/>
    <col min="1558" max="1558" width="37.5703125" style="20" customWidth="1"/>
    <col min="1559" max="1780" width="11.42578125" style="20"/>
    <col min="1781" max="1781" width="10.5703125" style="20" customWidth="1"/>
    <col min="1782" max="1782" width="4.85546875" style="20" customWidth="1"/>
    <col min="1783" max="1783" width="32.42578125" style="20" customWidth="1"/>
    <col min="1784" max="1784" width="9.85546875" style="20" customWidth="1"/>
    <col min="1785" max="1785" width="10.140625" style="20" customWidth="1"/>
    <col min="1786" max="1786" width="12.28515625" style="20" customWidth="1"/>
    <col min="1787" max="1787" width="15.42578125" style="20" customWidth="1"/>
    <col min="1788" max="1788" width="11.85546875" style="20" customWidth="1"/>
    <col min="1789" max="1789" width="13.28515625" style="20" customWidth="1"/>
    <col min="1790" max="1790" width="15.28515625" style="20" customWidth="1"/>
    <col min="1791" max="1791" width="11.85546875" style="20" customWidth="1"/>
    <col min="1792" max="1792" width="6.140625" style="20" customWidth="1"/>
    <col min="1793" max="1793" width="11.85546875" style="20" customWidth="1"/>
    <col min="1794" max="1794" width="9.42578125" style="20" customWidth="1"/>
    <col min="1795" max="1795" width="14.7109375" style="20" customWidth="1"/>
    <col min="1796" max="1796" width="11.5703125" style="20" customWidth="1"/>
    <col min="1797" max="1797" width="0.42578125" style="20" customWidth="1"/>
    <col min="1798" max="1798" width="10.5703125" style="20" bestFit="1" customWidth="1"/>
    <col min="1799" max="1799" width="12.28515625" style="20" customWidth="1"/>
    <col min="1800" max="1800" width="12.5703125" style="20" customWidth="1"/>
    <col min="1801" max="1801" width="10.5703125" style="20" customWidth="1"/>
    <col min="1802" max="1802" width="10.140625" style="20" customWidth="1"/>
    <col min="1803" max="1803" width="8.42578125" style="20" customWidth="1"/>
    <col min="1804" max="1804" width="18.85546875" style="20" customWidth="1"/>
    <col min="1805" max="1805" width="10.28515625" style="20" customWidth="1"/>
    <col min="1806" max="1806" width="11.42578125" style="20"/>
    <col min="1807" max="1807" width="12.140625" style="20" customWidth="1"/>
    <col min="1808" max="1808" width="10.5703125" style="20" customWidth="1"/>
    <col min="1809" max="1809" width="12.42578125" style="20" customWidth="1"/>
    <col min="1810" max="1810" width="15.140625" style="20" customWidth="1"/>
    <col min="1811" max="1811" width="13.5703125" style="20" customWidth="1"/>
    <col min="1812" max="1812" width="13.140625" style="20" customWidth="1"/>
    <col min="1813" max="1813" width="15.7109375" style="20" customWidth="1"/>
    <col min="1814" max="1814" width="37.5703125" style="20" customWidth="1"/>
    <col min="1815" max="2036" width="11.42578125" style="20"/>
    <col min="2037" max="2037" width="10.5703125" style="20" customWidth="1"/>
    <col min="2038" max="2038" width="4.85546875" style="20" customWidth="1"/>
    <col min="2039" max="2039" width="32.42578125" style="20" customWidth="1"/>
    <col min="2040" max="2040" width="9.85546875" style="20" customWidth="1"/>
    <col min="2041" max="2041" width="10.140625" style="20" customWidth="1"/>
    <col min="2042" max="2042" width="12.28515625" style="20" customWidth="1"/>
    <col min="2043" max="2043" width="15.42578125" style="20" customWidth="1"/>
    <col min="2044" max="2044" width="11.85546875" style="20" customWidth="1"/>
    <col min="2045" max="2045" width="13.28515625" style="20" customWidth="1"/>
    <col min="2046" max="2046" width="15.28515625" style="20" customWidth="1"/>
    <col min="2047" max="2047" width="11.85546875" style="20" customWidth="1"/>
    <col min="2048" max="2048" width="6.140625" style="20" customWidth="1"/>
    <col min="2049" max="2049" width="11.85546875" style="20" customWidth="1"/>
    <col min="2050" max="2050" width="9.42578125" style="20" customWidth="1"/>
    <col min="2051" max="2051" width="14.7109375" style="20" customWidth="1"/>
    <col min="2052" max="2052" width="11.5703125" style="20" customWidth="1"/>
    <col min="2053" max="2053" width="0.42578125" style="20" customWidth="1"/>
    <col min="2054" max="2054" width="10.5703125" style="20" bestFit="1" customWidth="1"/>
    <col min="2055" max="2055" width="12.28515625" style="20" customWidth="1"/>
    <col min="2056" max="2056" width="12.5703125" style="20" customWidth="1"/>
    <col min="2057" max="2057" width="10.5703125" style="20" customWidth="1"/>
    <col min="2058" max="2058" width="10.140625" style="20" customWidth="1"/>
    <col min="2059" max="2059" width="8.42578125" style="20" customWidth="1"/>
    <col min="2060" max="2060" width="18.85546875" style="20" customWidth="1"/>
    <col min="2061" max="2061" width="10.28515625" style="20" customWidth="1"/>
    <col min="2062" max="2062" width="11.42578125" style="20"/>
    <col min="2063" max="2063" width="12.140625" style="20" customWidth="1"/>
    <col min="2064" max="2064" width="10.5703125" style="20" customWidth="1"/>
    <col min="2065" max="2065" width="12.42578125" style="20" customWidth="1"/>
    <col min="2066" max="2066" width="15.140625" style="20" customWidth="1"/>
    <col min="2067" max="2067" width="13.5703125" style="20" customWidth="1"/>
    <col min="2068" max="2068" width="13.140625" style="20" customWidth="1"/>
    <col min="2069" max="2069" width="15.7109375" style="20" customWidth="1"/>
    <col min="2070" max="2070" width="37.5703125" style="20" customWidth="1"/>
    <col min="2071" max="2292" width="11.42578125" style="20"/>
    <col min="2293" max="2293" width="10.5703125" style="20" customWidth="1"/>
    <col min="2294" max="2294" width="4.85546875" style="20" customWidth="1"/>
    <col min="2295" max="2295" width="32.42578125" style="20" customWidth="1"/>
    <col min="2296" max="2296" width="9.85546875" style="20" customWidth="1"/>
    <col min="2297" max="2297" width="10.140625" style="20" customWidth="1"/>
    <col min="2298" max="2298" width="12.28515625" style="20" customWidth="1"/>
    <col min="2299" max="2299" width="15.42578125" style="20" customWidth="1"/>
    <col min="2300" max="2300" width="11.85546875" style="20" customWidth="1"/>
    <col min="2301" max="2301" width="13.28515625" style="20" customWidth="1"/>
    <col min="2302" max="2302" width="15.28515625" style="20" customWidth="1"/>
    <col min="2303" max="2303" width="11.85546875" style="20" customWidth="1"/>
    <col min="2304" max="2304" width="6.140625" style="20" customWidth="1"/>
    <col min="2305" max="2305" width="11.85546875" style="20" customWidth="1"/>
    <col min="2306" max="2306" width="9.42578125" style="20" customWidth="1"/>
    <col min="2307" max="2307" width="14.7109375" style="20" customWidth="1"/>
    <col min="2308" max="2308" width="11.5703125" style="20" customWidth="1"/>
    <col min="2309" max="2309" width="0.42578125" style="20" customWidth="1"/>
    <col min="2310" max="2310" width="10.5703125" style="20" bestFit="1" customWidth="1"/>
    <col min="2311" max="2311" width="12.28515625" style="20" customWidth="1"/>
    <col min="2312" max="2312" width="12.5703125" style="20" customWidth="1"/>
    <col min="2313" max="2313" width="10.5703125" style="20" customWidth="1"/>
    <col min="2314" max="2314" width="10.140625" style="20" customWidth="1"/>
    <col min="2315" max="2315" width="8.42578125" style="20" customWidth="1"/>
    <col min="2316" max="2316" width="18.85546875" style="20" customWidth="1"/>
    <col min="2317" max="2317" width="10.28515625" style="20" customWidth="1"/>
    <col min="2318" max="2318" width="11.42578125" style="20"/>
    <col min="2319" max="2319" width="12.140625" style="20" customWidth="1"/>
    <col min="2320" max="2320" width="10.5703125" style="20" customWidth="1"/>
    <col min="2321" max="2321" width="12.42578125" style="20" customWidth="1"/>
    <col min="2322" max="2322" width="15.140625" style="20" customWidth="1"/>
    <col min="2323" max="2323" width="13.5703125" style="20" customWidth="1"/>
    <col min="2324" max="2324" width="13.140625" style="20" customWidth="1"/>
    <col min="2325" max="2325" width="15.7109375" style="20" customWidth="1"/>
    <col min="2326" max="2326" width="37.5703125" style="20" customWidth="1"/>
    <col min="2327" max="2548" width="11.42578125" style="20"/>
    <col min="2549" max="2549" width="10.5703125" style="20" customWidth="1"/>
    <col min="2550" max="2550" width="4.85546875" style="20" customWidth="1"/>
    <col min="2551" max="2551" width="32.42578125" style="20" customWidth="1"/>
    <col min="2552" max="2552" width="9.85546875" style="20" customWidth="1"/>
    <col min="2553" max="2553" width="10.140625" style="20" customWidth="1"/>
    <col min="2554" max="2554" width="12.28515625" style="20" customWidth="1"/>
    <col min="2555" max="2555" width="15.42578125" style="20" customWidth="1"/>
    <col min="2556" max="2556" width="11.85546875" style="20" customWidth="1"/>
    <col min="2557" max="2557" width="13.28515625" style="20" customWidth="1"/>
    <col min="2558" max="2558" width="15.28515625" style="20" customWidth="1"/>
    <col min="2559" max="2559" width="11.85546875" style="20" customWidth="1"/>
    <col min="2560" max="2560" width="6.140625" style="20" customWidth="1"/>
    <col min="2561" max="2561" width="11.85546875" style="20" customWidth="1"/>
    <col min="2562" max="2562" width="9.42578125" style="20" customWidth="1"/>
    <col min="2563" max="2563" width="14.7109375" style="20" customWidth="1"/>
    <col min="2564" max="2564" width="11.5703125" style="20" customWidth="1"/>
    <col min="2565" max="2565" width="0.42578125" style="20" customWidth="1"/>
    <col min="2566" max="2566" width="10.5703125" style="20" bestFit="1" customWidth="1"/>
    <col min="2567" max="2567" width="12.28515625" style="20" customWidth="1"/>
    <col min="2568" max="2568" width="12.5703125" style="20" customWidth="1"/>
    <col min="2569" max="2569" width="10.5703125" style="20" customWidth="1"/>
    <col min="2570" max="2570" width="10.140625" style="20" customWidth="1"/>
    <col min="2571" max="2571" width="8.42578125" style="20" customWidth="1"/>
    <col min="2572" max="2572" width="18.85546875" style="20" customWidth="1"/>
    <col min="2573" max="2573" width="10.28515625" style="20" customWidth="1"/>
    <col min="2574" max="2574" width="11.42578125" style="20"/>
    <col min="2575" max="2575" width="12.140625" style="20" customWidth="1"/>
    <col min="2576" max="2576" width="10.5703125" style="20" customWidth="1"/>
    <col min="2577" max="2577" width="12.42578125" style="20" customWidth="1"/>
    <col min="2578" max="2578" width="15.140625" style="20" customWidth="1"/>
    <col min="2579" max="2579" width="13.5703125" style="20" customWidth="1"/>
    <col min="2580" max="2580" width="13.140625" style="20" customWidth="1"/>
    <col min="2581" max="2581" width="15.7109375" style="20" customWidth="1"/>
    <col min="2582" max="2582" width="37.5703125" style="20" customWidth="1"/>
    <col min="2583" max="2804" width="11.42578125" style="20"/>
    <col min="2805" max="2805" width="10.5703125" style="20" customWidth="1"/>
    <col min="2806" max="2806" width="4.85546875" style="20" customWidth="1"/>
    <col min="2807" max="2807" width="32.42578125" style="20" customWidth="1"/>
    <col min="2808" max="2808" width="9.85546875" style="20" customWidth="1"/>
    <col min="2809" max="2809" width="10.140625" style="20" customWidth="1"/>
    <col min="2810" max="2810" width="12.28515625" style="20" customWidth="1"/>
    <col min="2811" max="2811" width="15.42578125" style="20" customWidth="1"/>
    <col min="2812" max="2812" width="11.85546875" style="20" customWidth="1"/>
    <col min="2813" max="2813" width="13.28515625" style="20" customWidth="1"/>
    <col min="2814" max="2814" width="15.28515625" style="20" customWidth="1"/>
    <col min="2815" max="2815" width="11.85546875" style="20" customWidth="1"/>
    <col min="2816" max="2816" width="6.140625" style="20" customWidth="1"/>
    <col min="2817" max="2817" width="11.85546875" style="20" customWidth="1"/>
    <col min="2818" max="2818" width="9.42578125" style="20" customWidth="1"/>
    <col min="2819" max="2819" width="14.7109375" style="20" customWidth="1"/>
    <col min="2820" max="2820" width="11.5703125" style="20" customWidth="1"/>
    <col min="2821" max="2821" width="0.42578125" style="20" customWidth="1"/>
    <col min="2822" max="2822" width="10.5703125" style="20" bestFit="1" customWidth="1"/>
    <col min="2823" max="2823" width="12.28515625" style="20" customWidth="1"/>
    <col min="2824" max="2824" width="12.5703125" style="20" customWidth="1"/>
    <col min="2825" max="2825" width="10.5703125" style="20" customWidth="1"/>
    <col min="2826" max="2826" width="10.140625" style="20" customWidth="1"/>
    <col min="2827" max="2827" width="8.42578125" style="20" customWidth="1"/>
    <col min="2828" max="2828" width="18.85546875" style="20" customWidth="1"/>
    <col min="2829" max="2829" width="10.28515625" style="20" customWidth="1"/>
    <col min="2830" max="2830" width="11.42578125" style="20"/>
    <col min="2831" max="2831" width="12.140625" style="20" customWidth="1"/>
    <col min="2832" max="2832" width="10.5703125" style="20" customWidth="1"/>
    <col min="2833" max="2833" width="12.42578125" style="20" customWidth="1"/>
    <col min="2834" max="2834" width="15.140625" style="20" customWidth="1"/>
    <col min="2835" max="2835" width="13.5703125" style="20" customWidth="1"/>
    <col min="2836" max="2836" width="13.140625" style="20" customWidth="1"/>
    <col min="2837" max="2837" width="15.7109375" style="20" customWidth="1"/>
    <col min="2838" max="2838" width="37.5703125" style="20" customWidth="1"/>
    <col min="2839" max="3060" width="11.42578125" style="20"/>
    <col min="3061" max="3061" width="10.5703125" style="20" customWidth="1"/>
    <col min="3062" max="3062" width="4.85546875" style="20" customWidth="1"/>
    <col min="3063" max="3063" width="32.42578125" style="20" customWidth="1"/>
    <col min="3064" max="3064" width="9.85546875" style="20" customWidth="1"/>
    <col min="3065" max="3065" width="10.140625" style="20" customWidth="1"/>
    <col min="3066" max="3066" width="12.28515625" style="20" customWidth="1"/>
    <col min="3067" max="3067" width="15.42578125" style="20" customWidth="1"/>
    <col min="3068" max="3068" width="11.85546875" style="20" customWidth="1"/>
    <col min="3069" max="3069" width="13.28515625" style="20" customWidth="1"/>
    <col min="3070" max="3070" width="15.28515625" style="20" customWidth="1"/>
    <col min="3071" max="3071" width="11.85546875" style="20" customWidth="1"/>
    <col min="3072" max="3072" width="6.140625" style="20" customWidth="1"/>
    <col min="3073" max="3073" width="11.85546875" style="20" customWidth="1"/>
    <col min="3074" max="3074" width="9.42578125" style="20" customWidth="1"/>
    <col min="3075" max="3075" width="14.7109375" style="20" customWidth="1"/>
    <col min="3076" max="3076" width="11.5703125" style="20" customWidth="1"/>
    <col min="3077" max="3077" width="0.42578125" style="20" customWidth="1"/>
    <col min="3078" max="3078" width="10.5703125" style="20" bestFit="1" customWidth="1"/>
    <col min="3079" max="3079" width="12.28515625" style="20" customWidth="1"/>
    <col min="3080" max="3080" width="12.5703125" style="20" customWidth="1"/>
    <col min="3081" max="3081" width="10.5703125" style="20" customWidth="1"/>
    <col min="3082" max="3082" width="10.140625" style="20" customWidth="1"/>
    <col min="3083" max="3083" width="8.42578125" style="20" customWidth="1"/>
    <col min="3084" max="3084" width="18.85546875" style="20" customWidth="1"/>
    <col min="3085" max="3085" width="10.28515625" style="20" customWidth="1"/>
    <col min="3086" max="3086" width="11.42578125" style="20"/>
    <col min="3087" max="3087" width="12.140625" style="20" customWidth="1"/>
    <col min="3088" max="3088" width="10.5703125" style="20" customWidth="1"/>
    <col min="3089" max="3089" width="12.42578125" style="20" customWidth="1"/>
    <col min="3090" max="3090" width="15.140625" style="20" customWidth="1"/>
    <col min="3091" max="3091" width="13.5703125" style="20" customWidth="1"/>
    <col min="3092" max="3092" width="13.140625" style="20" customWidth="1"/>
    <col min="3093" max="3093" width="15.7109375" style="20" customWidth="1"/>
    <col min="3094" max="3094" width="37.5703125" style="20" customWidth="1"/>
    <col min="3095" max="3316" width="11.42578125" style="20"/>
    <col min="3317" max="3317" width="10.5703125" style="20" customWidth="1"/>
    <col min="3318" max="3318" width="4.85546875" style="20" customWidth="1"/>
    <col min="3319" max="3319" width="32.42578125" style="20" customWidth="1"/>
    <col min="3320" max="3320" width="9.85546875" style="20" customWidth="1"/>
    <col min="3321" max="3321" width="10.140625" style="20" customWidth="1"/>
    <col min="3322" max="3322" width="12.28515625" style="20" customWidth="1"/>
    <col min="3323" max="3323" width="15.42578125" style="20" customWidth="1"/>
    <col min="3324" max="3324" width="11.85546875" style="20" customWidth="1"/>
    <col min="3325" max="3325" width="13.28515625" style="20" customWidth="1"/>
    <col min="3326" max="3326" width="15.28515625" style="20" customWidth="1"/>
    <col min="3327" max="3327" width="11.85546875" style="20" customWidth="1"/>
    <col min="3328" max="3328" width="6.140625" style="20" customWidth="1"/>
    <col min="3329" max="3329" width="11.85546875" style="20" customWidth="1"/>
    <col min="3330" max="3330" width="9.42578125" style="20" customWidth="1"/>
    <col min="3331" max="3331" width="14.7109375" style="20" customWidth="1"/>
    <col min="3332" max="3332" width="11.5703125" style="20" customWidth="1"/>
    <col min="3333" max="3333" width="0.42578125" style="20" customWidth="1"/>
    <col min="3334" max="3334" width="10.5703125" style="20" bestFit="1" customWidth="1"/>
    <col min="3335" max="3335" width="12.28515625" style="20" customWidth="1"/>
    <col min="3336" max="3336" width="12.5703125" style="20" customWidth="1"/>
    <col min="3337" max="3337" width="10.5703125" style="20" customWidth="1"/>
    <col min="3338" max="3338" width="10.140625" style="20" customWidth="1"/>
    <col min="3339" max="3339" width="8.42578125" style="20" customWidth="1"/>
    <col min="3340" max="3340" width="18.85546875" style="20" customWidth="1"/>
    <col min="3341" max="3341" width="10.28515625" style="20" customWidth="1"/>
    <col min="3342" max="3342" width="11.42578125" style="20"/>
    <col min="3343" max="3343" width="12.140625" style="20" customWidth="1"/>
    <col min="3344" max="3344" width="10.5703125" style="20" customWidth="1"/>
    <col min="3345" max="3345" width="12.42578125" style="20" customWidth="1"/>
    <col min="3346" max="3346" width="15.140625" style="20" customWidth="1"/>
    <col min="3347" max="3347" width="13.5703125" style="20" customWidth="1"/>
    <col min="3348" max="3348" width="13.140625" style="20" customWidth="1"/>
    <col min="3349" max="3349" width="15.7109375" style="20" customWidth="1"/>
    <col min="3350" max="3350" width="37.5703125" style="20" customWidth="1"/>
    <col min="3351" max="3572" width="11.42578125" style="20"/>
    <col min="3573" max="3573" width="10.5703125" style="20" customWidth="1"/>
    <col min="3574" max="3574" width="4.85546875" style="20" customWidth="1"/>
    <col min="3575" max="3575" width="32.42578125" style="20" customWidth="1"/>
    <col min="3576" max="3576" width="9.85546875" style="20" customWidth="1"/>
    <col min="3577" max="3577" width="10.140625" style="20" customWidth="1"/>
    <col min="3578" max="3578" width="12.28515625" style="20" customWidth="1"/>
    <col min="3579" max="3579" width="15.42578125" style="20" customWidth="1"/>
    <col min="3580" max="3580" width="11.85546875" style="20" customWidth="1"/>
    <col min="3581" max="3581" width="13.28515625" style="20" customWidth="1"/>
    <col min="3582" max="3582" width="15.28515625" style="20" customWidth="1"/>
    <col min="3583" max="3583" width="11.85546875" style="20" customWidth="1"/>
    <col min="3584" max="3584" width="6.140625" style="20" customWidth="1"/>
    <col min="3585" max="3585" width="11.85546875" style="20" customWidth="1"/>
    <col min="3586" max="3586" width="9.42578125" style="20" customWidth="1"/>
    <col min="3587" max="3587" width="14.7109375" style="20" customWidth="1"/>
    <col min="3588" max="3588" width="11.5703125" style="20" customWidth="1"/>
    <col min="3589" max="3589" width="0.42578125" style="20" customWidth="1"/>
    <col min="3590" max="3590" width="10.5703125" style="20" bestFit="1" customWidth="1"/>
    <col min="3591" max="3591" width="12.28515625" style="20" customWidth="1"/>
    <col min="3592" max="3592" width="12.5703125" style="20" customWidth="1"/>
    <col min="3593" max="3593" width="10.5703125" style="20" customWidth="1"/>
    <col min="3594" max="3594" width="10.140625" style="20" customWidth="1"/>
    <col min="3595" max="3595" width="8.42578125" style="20" customWidth="1"/>
    <col min="3596" max="3596" width="18.85546875" style="20" customWidth="1"/>
    <col min="3597" max="3597" width="10.28515625" style="20" customWidth="1"/>
    <col min="3598" max="3598" width="11.42578125" style="20"/>
    <col min="3599" max="3599" width="12.140625" style="20" customWidth="1"/>
    <col min="3600" max="3600" width="10.5703125" style="20" customWidth="1"/>
    <col min="3601" max="3601" width="12.42578125" style="20" customWidth="1"/>
    <col min="3602" max="3602" width="15.140625" style="20" customWidth="1"/>
    <col min="3603" max="3603" width="13.5703125" style="20" customWidth="1"/>
    <col min="3604" max="3604" width="13.140625" style="20" customWidth="1"/>
    <col min="3605" max="3605" width="15.7109375" style="20" customWidth="1"/>
    <col min="3606" max="3606" width="37.5703125" style="20" customWidth="1"/>
    <col min="3607" max="3828" width="11.42578125" style="20"/>
    <col min="3829" max="3829" width="10.5703125" style="20" customWidth="1"/>
    <col min="3830" max="3830" width="4.85546875" style="20" customWidth="1"/>
    <col min="3831" max="3831" width="32.42578125" style="20" customWidth="1"/>
    <col min="3832" max="3832" width="9.85546875" style="20" customWidth="1"/>
    <col min="3833" max="3833" width="10.140625" style="20" customWidth="1"/>
    <col min="3834" max="3834" width="12.28515625" style="20" customWidth="1"/>
    <col min="3835" max="3835" width="15.42578125" style="20" customWidth="1"/>
    <col min="3836" max="3836" width="11.85546875" style="20" customWidth="1"/>
    <col min="3837" max="3837" width="13.28515625" style="20" customWidth="1"/>
    <col min="3838" max="3838" width="15.28515625" style="20" customWidth="1"/>
    <col min="3839" max="3839" width="11.85546875" style="20" customWidth="1"/>
    <col min="3840" max="3840" width="6.140625" style="20" customWidth="1"/>
    <col min="3841" max="3841" width="11.85546875" style="20" customWidth="1"/>
    <col min="3842" max="3842" width="9.42578125" style="20" customWidth="1"/>
    <col min="3843" max="3843" width="14.7109375" style="20" customWidth="1"/>
    <col min="3844" max="3844" width="11.5703125" style="20" customWidth="1"/>
    <col min="3845" max="3845" width="0.42578125" style="20" customWidth="1"/>
    <col min="3846" max="3846" width="10.5703125" style="20" bestFit="1" customWidth="1"/>
    <col min="3847" max="3847" width="12.28515625" style="20" customWidth="1"/>
    <col min="3848" max="3848" width="12.5703125" style="20" customWidth="1"/>
    <col min="3849" max="3849" width="10.5703125" style="20" customWidth="1"/>
    <col min="3850" max="3850" width="10.140625" style="20" customWidth="1"/>
    <col min="3851" max="3851" width="8.42578125" style="20" customWidth="1"/>
    <col min="3852" max="3852" width="18.85546875" style="20" customWidth="1"/>
    <col min="3853" max="3853" width="10.28515625" style="20" customWidth="1"/>
    <col min="3854" max="3854" width="11.42578125" style="20"/>
    <col min="3855" max="3855" width="12.140625" style="20" customWidth="1"/>
    <col min="3856" max="3856" width="10.5703125" style="20" customWidth="1"/>
    <col min="3857" max="3857" width="12.42578125" style="20" customWidth="1"/>
    <col min="3858" max="3858" width="15.140625" style="20" customWidth="1"/>
    <col min="3859" max="3859" width="13.5703125" style="20" customWidth="1"/>
    <col min="3860" max="3860" width="13.140625" style="20" customWidth="1"/>
    <col min="3861" max="3861" width="15.7109375" style="20" customWidth="1"/>
    <col min="3862" max="3862" width="37.5703125" style="20" customWidth="1"/>
    <col min="3863" max="4084" width="11.42578125" style="20"/>
    <col min="4085" max="4085" width="10.5703125" style="20" customWidth="1"/>
    <col min="4086" max="4086" width="4.85546875" style="20" customWidth="1"/>
    <col min="4087" max="4087" width="32.42578125" style="20" customWidth="1"/>
    <col min="4088" max="4088" width="9.85546875" style="20" customWidth="1"/>
    <col min="4089" max="4089" width="10.140625" style="20" customWidth="1"/>
    <col min="4090" max="4090" width="12.28515625" style="20" customWidth="1"/>
    <col min="4091" max="4091" width="15.42578125" style="20" customWidth="1"/>
    <col min="4092" max="4092" width="11.85546875" style="20" customWidth="1"/>
    <col min="4093" max="4093" width="13.28515625" style="20" customWidth="1"/>
    <col min="4094" max="4094" width="15.28515625" style="20" customWidth="1"/>
    <col min="4095" max="4095" width="11.85546875" style="20" customWidth="1"/>
    <col min="4096" max="4096" width="6.140625" style="20" customWidth="1"/>
    <col min="4097" max="4097" width="11.85546875" style="20" customWidth="1"/>
    <col min="4098" max="4098" width="9.42578125" style="20" customWidth="1"/>
    <col min="4099" max="4099" width="14.7109375" style="20" customWidth="1"/>
    <col min="4100" max="4100" width="11.5703125" style="20" customWidth="1"/>
    <col min="4101" max="4101" width="0.42578125" style="20" customWidth="1"/>
    <col min="4102" max="4102" width="10.5703125" style="20" bestFit="1" customWidth="1"/>
    <col min="4103" max="4103" width="12.28515625" style="20" customWidth="1"/>
    <col min="4104" max="4104" width="12.5703125" style="20" customWidth="1"/>
    <col min="4105" max="4105" width="10.5703125" style="20" customWidth="1"/>
    <col min="4106" max="4106" width="10.140625" style="20" customWidth="1"/>
    <col min="4107" max="4107" width="8.42578125" style="20" customWidth="1"/>
    <col min="4108" max="4108" width="18.85546875" style="20" customWidth="1"/>
    <col min="4109" max="4109" width="10.28515625" style="20" customWidth="1"/>
    <col min="4110" max="4110" width="11.42578125" style="20"/>
    <col min="4111" max="4111" width="12.140625" style="20" customWidth="1"/>
    <col min="4112" max="4112" width="10.5703125" style="20" customWidth="1"/>
    <col min="4113" max="4113" width="12.42578125" style="20" customWidth="1"/>
    <col min="4114" max="4114" width="15.140625" style="20" customWidth="1"/>
    <col min="4115" max="4115" width="13.5703125" style="20" customWidth="1"/>
    <col min="4116" max="4116" width="13.140625" style="20" customWidth="1"/>
    <col min="4117" max="4117" width="15.7109375" style="20" customWidth="1"/>
    <col min="4118" max="4118" width="37.5703125" style="20" customWidth="1"/>
    <col min="4119" max="4340" width="11.42578125" style="20"/>
    <col min="4341" max="4341" width="10.5703125" style="20" customWidth="1"/>
    <col min="4342" max="4342" width="4.85546875" style="20" customWidth="1"/>
    <col min="4343" max="4343" width="32.42578125" style="20" customWidth="1"/>
    <col min="4344" max="4344" width="9.85546875" style="20" customWidth="1"/>
    <col min="4345" max="4345" width="10.140625" style="20" customWidth="1"/>
    <col min="4346" max="4346" width="12.28515625" style="20" customWidth="1"/>
    <col min="4347" max="4347" width="15.42578125" style="20" customWidth="1"/>
    <col min="4348" max="4348" width="11.85546875" style="20" customWidth="1"/>
    <col min="4349" max="4349" width="13.28515625" style="20" customWidth="1"/>
    <col min="4350" max="4350" width="15.28515625" style="20" customWidth="1"/>
    <col min="4351" max="4351" width="11.85546875" style="20" customWidth="1"/>
    <col min="4352" max="4352" width="6.140625" style="20" customWidth="1"/>
    <col min="4353" max="4353" width="11.85546875" style="20" customWidth="1"/>
    <col min="4354" max="4354" width="9.42578125" style="20" customWidth="1"/>
    <col min="4355" max="4355" width="14.7109375" style="20" customWidth="1"/>
    <col min="4356" max="4356" width="11.5703125" style="20" customWidth="1"/>
    <col min="4357" max="4357" width="0.42578125" style="20" customWidth="1"/>
    <col min="4358" max="4358" width="10.5703125" style="20" bestFit="1" customWidth="1"/>
    <col min="4359" max="4359" width="12.28515625" style="20" customWidth="1"/>
    <col min="4360" max="4360" width="12.5703125" style="20" customWidth="1"/>
    <col min="4361" max="4361" width="10.5703125" style="20" customWidth="1"/>
    <col min="4362" max="4362" width="10.140625" style="20" customWidth="1"/>
    <col min="4363" max="4363" width="8.42578125" style="20" customWidth="1"/>
    <col min="4364" max="4364" width="18.85546875" style="20" customWidth="1"/>
    <col min="4365" max="4365" width="10.28515625" style="20" customWidth="1"/>
    <col min="4366" max="4366" width="11.42578125" style="20"/>
    <col min="4367" max="4367" width="12.140625" style="20" customWidth="1"/>
    <col min="4368" max="4368" width="10.5703125" style="20" customWidth="1"/>
    <col min="4369" max="4369" width="12.42578125" style="20" customWidth="1"/>
    <col min="4370" max="4370" width="15.140625" style="20" customWidth="1"/>
    <col min="4371" max="4371" width="13.5703125" style="20" customWidth="1"/>
    <col min="4372" max="4372" width="13.140625" style="20" customWidth="1"/>
    <col min="4373" max="4373" width="15.7109375" style="20" customWidth="1"/>
    <col min="4374" max="4374" width="37.5703125" style="20" customWidth="1"/>
    <col min="4375" max="4596" width="11.42578125" style="20"/>
    <col min="4597" max="4597" width="10.5703125" style="20" customWidth="1"/>
    <col min="4598" max="4598" width="4.85546875" style="20" customWidth="1"/>
    <col min="4599" max="4599" width="32.42578125" style="20" customWidth="1"/>
    <col min="4600" max="4600" width="9.85546875" style="20" customWidth="1"/>
    <col min="4601" max="4601" width="10.140625" style="20" customWidth="1"/>
    <col min="4602" max="4602" width="12.28515625" style="20" customWidth="1"/>
    <col min="4603" max="4603" width="15.42578125" style="20" customWidth="1"/>
    <col min="4604" max="4604" width="11.85546875" style="20" customWidth="1"/>
    <col min="4605" max="4605" width="13.28515625" style="20" customWidth="1"/>
    <col min="4606" max="4606" width="15.28515625" style="20" customWidth="1"/>
    <col min="4607" max="4607" width="11.85546875" style="20" customWidth="1"/>
    <col min="4608" max="4608" width="6.140625" style="20" customWidth="1"/>
    <col min="4609" max="4609" width="11.85546875" style="20" customWidth="1"/>
    <col min="4610" max="4610" width="9.42578125" style="20" customWidth="1"/>
    <col min="4611" max="4611" width="14.7109375" style="20" customWidth="1"/>
    <col min="4612" max="4612" width="11.5703125" style="20" customWidth="1"/>
    <col min="4613" max="4613" width="0.42578125" style="20" customWidth="1"/>
    <col min="4614" max="4614" width="10.5703125" style="20" bestFit="1" customWidth="1"/>
    <col min="4615" max="4615" width="12.28515625" style="20" customWidth="1"/>
    <col min="4616" max="4616" width="12.5703125" style="20" customWidth="1"/>
    <col min="4617" max="4617" width="10.5703125" style="20" customWidth="1"/>
    <col min="4618" max="4618" width="10.140625" style="20" customWidth="1"/>
    <col min="4619" max="4619" width="8.42578125" style="20" customWidth="1"/>
    <col min="4620" max="4620" width="18.85546875" style="20" customWidth="1"/>
    <col min="4621" max="4621" width="10.28515625" style="20" customWidth="1"/>
    <col min="4622" max="4622" width="11.42578125" style="20"/>
    <col min="4623" max="4623" width="12.140625" style="20" customWidth="1"/>
    <col min="4624" max="4624" width="10.5703125" style="20" customWidth="1"/>
    <col min="4625" max="4625" width="12.42578125" style="20" customWidth="1"/>
    <col min="4626" max="4626" width="15.140625" style="20" customWidth="1"/>
    <col min="4627" max="4627" width="13.5703125" style="20" customWidth="1"/>
    <col min="4628" max="4628" width="13.140625" style="20" customWidth="1"/>
    <col min="4629" max="4629" width="15.7109375" style="20" customWidth="1"/>
    <col min="4630" max="4630" width="37.5703125" style="20" customWidth="1"/>
    <col min="4631" max="4852" width="11.42578125" style="20"/>
    <col min="4853" max="4853" width="10.5703125" style="20" customWidth="1"/>
    <col min="4854" max="4854" width="4.85546875" style="20" customWidth="1"/>
    <col min="4855" max="4855" width="32.42578125" style="20" customWidth="1"/>
    <col min="4856" max="4856" width="9.85546875" style="20" customWidth="1"/>
    <col min="4857" max="4857" width="10.140625" style="20" customWidth="1"/>
    <col min="4858" max="4858" width="12.28515625" style="20" customWidth="1"/>
    <col min="4859" max="4859" width="15.42578125" style="20" customWidth="1"/>
    <col min="4860" max="4860" width="11.85546875" style="20" customWidth="1"/>
    <col min="4861" max="4861" width="13.28515625" style="20" customWidth="1"/>
    <col min="4862" max="4862" width="15.28515625" style="20" customWidth="1"/>
    <col min="4863" max="4863" width="11.85546875" style="20" customWidth="1"/>
    <col min="4864" max="4864" width="6.140625" style="20" customWidth="1"/>
    <col min="4865" max="4865" width="11.85546875" style="20" customWidth="1"/>
    <col min="4866" max="4866" width="9.42578125" style="20" customWidth="1"/>
    <col min="4867" max="4867" width="14.7109375" style="20" customWidth="1"/>
    <col min="4868" max="4868" width="11.5703125" style="20" customWidth="1"/>
    <col min="4869" max="4869" width="0.42578125" style="20" customWidth="1"/>
    <col min="4870" max="4870" width="10.5703125" style="20" bestFit="1" customWidth="1"/>
    <col min="4871" max="4871" width="12.28515625" style="20" customWidth="1"/>
    <col min="4872" max="4872" width="12.5703125" style="20" customWidth="1"/>
    <col min="4873" max="4873" width="10.5703125" style="20" customWidth="1"/>
    <col min="4874" max="4874" width="10.140625" style="20" customWidth="1"/>
    <col min="4875" max="4875" width="8.42578125" style="20" customWidth="1"/>
    <col min="4876" max="4876" width="18.85546875" style="20" customWidth="1"/>
    <col min="4877" max="4877" width="10.28515625" style="20" customWidth="1"/>
    <col min="4878" max="4878" width="11.42578125" style="20"/>
    <col min="4879" max="4879" width="12.140625" style="20" customWidth="1"/>
    <col min="4880" max="4880" width="10.5703125" style="20" customWidth="1"/>
    <col min="4881" max="4881" width="12.42578125" style="20" customWidth="1"/>
    <col min="4882" max="4882" width="15.140625" style="20" customWidth="1"/>
    <col min="4883" max="4883" width="13.5703125" style="20" customWidth="1"/>
    <col min="4884" max="4884" width="13.140625" style="20" customWidth="1"/>
    <col min="4885" max="4885" width="15.7109375" style="20" customWidth="1"/>
    <col min="4886" max="4886" width="37.5703125" style="20" customWidth="1"/>
    <col min="4887" max="5108" width="11.42578125" style="20"/>
    <col min="5109" max="5109" width="10.5703125" style="20" customWidth="1"/>
    <col min="5110" max="5110" width="4.85546875" style="20" customWidth="1"/>
    <col min="5111" max="5111" width="32.42578125" style="20" customWidth="1"/>
    <col min="5112" max="5112" width="9.85546875" style="20" customWidth="1"/>
    <col min="5113" max="5113" width="10.140625" style="20" customWidth="1"/>
    <col min="5114" max="5114" width="12.28515625" style="20" customWidth="1"/>
    <col min="5115" max="5115" width="15.42578125" style="20" customWidth="1"/>
    <col min="5116" max="5116" width="11.85546875" style="20" customWidth="1"/>
    <col min="5117" max="5117" width="13.28515625" style="20" customWidth="1"/>
    <col min="5118" max="5118" width="15.28515625" style="20" customWidth="1"/>
    <col min="5119" max="5119" width="11.85546875" style="20" customWidth="1"/>
    <col min="5120" max="5120" width="6.140625" style="20" customWidth="1"/>
    <col min="5121" max="5121" width="11.85546875" style="20" customWidth="1"/>
    <col min="5122" max="5122" width="9.42578125" style="20" customWidth="1"/>
    <col min="5123" max="5123" width="14.7109375" style="20" customWidth="1"/>
    <col min="5124" max="5124" width="11.5703125" style="20" customWidth="1"/>
    <col min="5125" max="5125" width="0.42578125" style="20" customWidth="1"/>
    <col min="5126" max="5126" width="10.5703125" style="20" bestFit="1" customWidth="1"/>
    <col min="5127" max="5127" width="12.28515625" style="20" customWidth="1"/>
    <col min="5128" max="5128" width="12.5703125" style="20" customWidth="1"/>
    <col min="5129" max="5129" width="10.5703125" style="20" customWidth="1"/>
    <col min="5130" max="5130" width="10.140625" style="20" customWidth="1"/>
    <col min="5131" max="5131" width="8.42578125" style="20" customWidth="1"/>
    <col min="5132" max="5132" width="18.85546875" style="20" customWidth="1"/>
    <col min="5133" max="5133" width="10.28515625" style="20" customWidth="1"/>
    <col min="5134" max="5134" width="11.42578125" style="20"/>
    <col min="5135" max="5135" width="12.140625" style="20" customWidth="1"/>
    <col min="5136" max="5136" width="10.5703125" style="20" customWidth="1"/>
    <col min="5137" max="5137" width="12.42578125" style="20" customWidth="1"/>
    <col min="5138" max="5138" width="15.140625" style="20" customWidth="1"/>
    <col min="5139" max="5139" width="13.5703125" style="20" customWidth="1"/>
    <col min="5140" max="5140" width="13.140625" style="20" customWidth="1"/>
    <col min="5141" max="5141" width="15.7109375" style="20" customWidth="1"/>
    <col min="5142" max="5142" width="37.5703125" style="20" customWidth="1"/>
    <col min="5143" max="5364" width="11.42578125" style="20"/>
    <col min="5365" max="5365" width="10.5703125" style="20" customWidth="1"/>
    <col min="5366" max="5366" width="4.85546875" style="20" customWidth="1"/>
    <col min="5367" max="5367" width="32.42578125" style="20" customWidth="1"/>
    <col min="5368" max="5368" width="9.85546875" style="20" customWidth="1"/>
    <col min="5369" max="5369" width="10.140625" style="20" customWidth="1"/>
    <col min="5370" max="5370" width="12.28515625" style="20" customWidth="1"/>
    <col min="5371" max="5371" width="15.42578125" style="20" customWidth="1"/>
    <col min="5372" max="5372" width="11.85546875" style="20" customWidth="1"/>
    <col min="5373" max="5373" width="13.28515625" style="20" customWidth="1"/>
    <col min="5374" max="5374" width="15.28515625" style="20" customWidth="1"/>
    <col min="5375" max="5375" width="11.85546875" style="20" customWidth="1"/>
    <col min="5376" max="5376" width="6.140625" style="20" customWidth="1"/>
    <col min="5377" max="5377" width="11.85546875" style="20" customWidth="1"/>
    <col min="5378" max="5378" width="9.42578125" style="20" customWidth="1"/>
    <col min="5379" max="5379" width="14.7109375" style="20" customWidth="1"/>
    <col min="5380" max="5380" width="11.5703125" style="20" customWidth="1"/>
    <col min="5381" max="5381" width="0.42578125" style="20" customWidth="1"/>
    <col min="5382" max="5382" width="10.5703125" style="20" bestFit="1" customWidth="1"/>
    <col min="5383" max="5383" width="12.28515625" style="20" customWidth="1"/>
    <col min="5384" max="5384" width="12.5703125" style="20" customWidth="1"/>
    <col min="5385" max="5385" width="10.5703125" style="20" customWidth="1"/>
    <col min="5386" max="5386" width="10.140625" style="20" customWidth="1"/>
    <col min="5387" max="5387" width="8.42578125" style="20" customWidth="1"/>
    <col min="5388" max="5388" width="18.85546875" style="20" customWidth="1"/>
    <col min="5389" max="5389" width="10.28515625" style="20" customWidth="1"/>
    <col min="5390" max="5390" width="11.42578125" style="20"/>
    <col min="5391" max="5391" width="12.140625" style="20" customWidth="1"/>
    <col min="5392" max="5392" width="10.5703125" style="20" customWidth="1"/>
    <col min="5393" max="5393" width="12.42578125" style="20" customWidth="1"/>
    <col min="5394" max="5394" width="15.140625" style="20" customWidth="1"/>
    <col min="5395" max="5395" width="13.5703125" style="20" customWidth="1"/>
    <col min="5396" max="5396" width="13.140625" style="20" customWidth="1"/>
    <col min="5397" max="5397" width="15.7109375" style="20" customWidth="1"/>
    <col min="5398" max="5398" width="37.5703125" style="20" customWidth="1"/>
    <col min="5399" max="5620" width="11.42578125" style="20"/>
    <col min="5621" max="5621" width="10.5703125" style="20" customWidth="1"/>
    <col min="5622" max="5622" width="4.85546875" style="20" customWidth="1"/>
    <col min="5623" max="5623" width="32.42578125" style="20" customWidth="1"/>
    <col min="5624" max="5624" width="9.85546875" style="20" customWidth="1"/>
    <col min="5625" max="5625" width="10.140625" style="20" customWidth="1"/>
    <col min="5626" max="5626" width="12.28515625" style="20" customWidth="1"/>
    <col min="5627" max="5627" width="15.42578125" style="20" customWidth="1"/>
    <col min="5628" max="5628" width="11.85546875" style="20" customWidth="1"/>
    <col min="5629" max="5629" width="13.28515625" style="20" customWidth="1"/>
    <col min="5630" max="5630" width="15.28515625" style="20" customWidth="1"/>
    <col min="5631" max="5631" width="11.85546875" style="20" customWidth="1"/>
    <col min="5632" max="5632" width="6.140625" style="20" customWidth="1"/>
    <col min="5633" max="5633" width="11.85546875" style="20" customWidth="1"/>
    <col min="5634" max="5634" width="9.42578125" style="20" customWidth="1"/>
    <col min="5635" max="5635" width="14.7109375" style="20" customWidth="1"/>
    <col min="5636" max="5636" width="11.5703125" style="20" customWidth="1"/>
    <col min="5637" max="5637" width="0.42578125" style="20" customWidth="1"/>
    <col min="5638" max="5638" width="10.5703125" style="20" bestFit="1" customWidth="1"/>
    <col min="5639" max="5639" width="12.28515625" style="20" customWidth="1"/>
    <col min="5640" max="5640" width="12.5703125" style="20" customWidth="1"/>
    <col min="5641" max="5641" width="10.5703125" style="20" customWidth="1"/>
    <col min="5642" max="5642" width="10.140625" style="20" customWidth="1"/>
    <col min="5643" max="5643" width="8.42578125" style="20" customWidth="1"/>
    <col min="5644" max="5644" width="18.85546875" style="20" customWidth="1"/>
    <col min="5645" max="5645" width="10.28515625" style="20" customWidth="1"/>
    <col min="5646" max="5646" width="11.42578125" style="20"/>
    <col min="5647" max="5647" width="12.140625" style="20" customWidth="1"/>
    <col min="5648" max="5648" width="10.5703125" style="20" customWidth="1"/>
    <col min="5649" max="5649" width="12.42578125" style="20" customWidth="1"/>
    <col min="5650" max="5650" width="15.140625" style="20" customWidth="1"/>
    <col min="5651" max="5651" width="13.5703125" style="20" customWidth="1"/>
    <col min="5652" max="5652" width="13.140625" style="20" customWidth="1"/>
    <col min="5653" max="5653" width="15.7109375" style="20" customWidth="1"/>
    <col min="5654" max="5654" width="37.5703125" style="20" customWidth="1"/>
    <col min="5655" max="5876" width="11.42578125" style="20"/>
    <col min="5877" max="5877" width="10.5703125" style="20" customWidth="1"/>
    <col min="5878" max="5878" width="4.85546875" style="20" customWidth="1"/>
    <col min="5879" max="5879" width="32.42578125" style="20" customWidth="1"/>
    <col min="5880" max="5880" width="9.85546875" style="20" customWidth="1"/>
    <col min="5881" max="5881" width="10.140625" style="20" customWidth="1"/>
    <col min="5882" max="5882" width="12.28515625" style="20" customWidth="1"/>
    <col min="5883" max="5883" width="15.42578125" style="20" customWidth="1"/>
    <col min="5884" max="5884" width="11.85546875" style="20" customWidth="1"/>
    <col min="5885" max="5885" width="13.28515625" style="20" customWidth="1"/>
    <col min="5886" max="5886" width="15.28515625" style="20" customWidth="1"/>
    <col min="5887" max="5887" width="11.85546875" style="20" customWidth="1"/>
    <col min="5888" max="5888" width="6.140625" style="20" customWidth="1"/>
    <col min="5889" max="5889" width="11.85546875" style="20" customWidth="1"/>
    <col min="5890" max="5890" width="9.42578125" style="20" customWidth="1"/>
    <col min="5891" max="5891" width="14.7109375" style="20" customWidth="1"/>
    <col min="5892" max="5892" width="11.5703125" style="20" customWidth="1"/>
    <col min="5893" max="5893" width="0.42578125" style="20" customWidth="1"/>
    <col min="5894" max="5894" width="10.5703125" style="20" bestFit="1" customWidth="1"/>
    <col min="5895" max="5895" width="12.28515625" style="20" customWidth="1"/>
    <col min="5896" max="5896" width="12.5703125" style="20" customWidth="1"/>
    <col min="5897" max="5897" width="10.5703125" style="20" customWidth="1"/>
    <col min="5898" max="5898" width="10.140625" style="20" customWidth="1"/>
    <col min="5899" max="5899" width="8.42578125" style="20" customWidth="1"/>
    <col min="5900" max="5900" width="18.85546875" style="20" customWidth="1"/>
    <col min="5901" max="5901" width="10.28515625" style="20" customWidth="1"/>
    <col min="5902" max="5902" width="11.42578125" style="20"/>
    <col min="5903" max="5903" width="12.140625" style="20" customWidth="1"/>
    <col min="5904" max="5904" width="10.5703125" style="20" customWidth="1"/>
    <col min="5905" max="5905" width="12.42578125" style="20" customWidth="1"/>
    <col min="5906" max="5906" width="15.140625" style="20" customWidth="1"/>
    <col min="5907" max="5907" width="13.5703125" style="20" customWidth="1"/>
    <col min="5908" max="5908" width="13.140625" style="20" customWidth="1"/>
    <col min="5909" max="5909" width="15.7109375" style="20" customWidth="1"/>
    <col min="5910" max="5910" width="37.5703125" style="20" customWidth="1"/>
    <col min="5911" max="6132" width="11.42578125" style="20"/>
    <col min="6133" max="6133" width="10.5703125" style="20" customWidth="1"/>
    <col min="6134" max="6134" width="4.85546875" style="20" customWidth="1"/>
    <col min="6135" max="6135" width="32.42578125" style="20" customWidth="1"/>
    <col min="6136" max="6136" width="9.85546875" style="20" customWidth="1"/>
    <col min="6137" max="6137" width="10.140625" style="20" customWidth="1"/>
    <col min="6138" max="6138" width="12.28515625" style="20" customWidth="1"/>
    <col min="6139" max="6139" width="15.42578125" style="20" customWidth="1"/>
    <col min="6140" max="6140" width="11.85546875" style="20" customWidth="1"/>
    <col min="6141" max="6141" width="13.28515625" style="20" customWidth="1"/>
    <col min="6142" max="6142" width="15.28515625" style="20" customWidth="1"/>
    <col min="6143" max="6143" width="11.85546875" style="20" customWidth="1"/>
    <col min="6144" max="6144" width="6.140625" style="20" customWidth="1"/>
    <col min="6145" max="6145" width="11.85546875" style="20" customWidth="1"/>
    <col min="6146" max="6146" width="9.42578125" style="20" customWidth="1"/>
    <col min="6147" max="6147" width="14.7109375" style="20" customWidth="1"/>
    <col min="6148" max="6148" width="11.5703125" style="20" customWidth="1"/>
    <col min="6149" max="6149" width="0.42578125" style="20" customWidth="1"/>
    <col min="6150" max="6150" width="10.5703125" style="20" bestFit="1" customWidth="1"/>
    <col min="6151" max="6151" width="12.28515625" style="20" customWidth="1"/>
    <col min="6152" max="6152" width="12.5703125" style="20" customWidth="1"/>
    <col min="6153" max="6153" width="10.5703125" style="20" customWidth="1"/>
    <col min="6154" max="6154" width="10.140625" style="20" customWidth="1"/>
    <col min="6155" max="6155" width="8.42578125" style="20" customWidth="1"/>
    <col min="6156" max="6156" width="18.85546875" style="20" customWidth="1"/>
    <col min="6157" max="6157" width="10.28515625" style="20" customWidth="1"/>
    <col min="6158" max="6158" width="11.42578125" style="20"/>
    <col min="6159" max="6159" width="12.140625" style="20" customWidth="1"/>
    <col min="6160" max="6160" width="10.5703125" style="20" customWidth="1"/>
    <col min="6161" max="6161" width="12.42578125" style="20" customWidth="1"/>
    <col min="6162" max="6162" width="15.140625" style="20" customWidth="1"/>
    <col min="6163" max="6163" width="13.5703125" style="20" customWidth="1"/>
    <col min="6164" max="6164" width="13.140625" style="20" customWidth="1"/>
    <col min="6165" max="6165" width="15.7109375" style="20" customWidth="1"/>
    <col min="6166" max="6166" width="37.5703125" style="20" customWidth="1"/>
    <col min="6167" max="6388" width="11.42578125" style="20"/>
    <col min="6389" max="6389" width="10.5703125" style="20" customWidth="1"/>
    <col min="6390" max="6390" width="4.85546875" style="20" customWidth="1"/>
    <col min="6391" max="6391" width="32.42578125" style="20" customWidth="1"/>
    <col min="6392" max="6392" width="9.85546875" style="20" customWidth="1"/>
    <col min="6393" max="6393" width="10.140625" style="20" customWidth="1"/>
    <col min="6394" max="6394" width="12.28515625" style="20" customWidth="1"/>
    <col min="6395" max="6395" width="15.42578125" style="20" customWidth="1"/>
    <col min="6396" max="6396" width="11.85546875" style="20" customWidth="1"/>
    <col min="6397" max="6397" width="13.28515625" style="20" customWidth="1"/>
    <col min="6398" max="6398" width="15.28515625" style="20" customWidth="1"/>
    <col min="6399" max="6399" width="11.85546875" style="20" customWidth="1"/>
    <col min="6400" max="6400" width="6.140625" style="20" customWidth="1"/>
    <col min="6401" max="6401" width="11.85546875" style="20" customWidth="1"/>
    <col min="6402" max="6402" width="9.42578125" style="20" customWidth="1"/>
    <col min="6403" max="6403" width="14.7109375" style="20" customWidth="1"/>
    <col min="6404" max="6404" width="11.5703125" style="20" customWidth="1"/>
    <col min="6405" max="6405" width="0.42578125" style="20" customWidth="1"/>
    <col min="6406" max="6406" width="10.5703125" style="20" bestFit="1" customWidth="1"/>
    <col min="6407" max="6407" width="12.28515625" style="20" customWidth="1"/>
    <col min="6408" max="6408" width="12.5703125" style="20" customWidth="1"/>
    <col min="6409" max="6409" width="10.5703125" style="20" customWidth="1"/>
    <col min="6410" max="6410" width="10.140625" style="20" customWidth="1"/>
    <col min="6411" max="6411" width="8.42578125" style="20" customWidth="1"/>
    <col min="6412" max="6412" width="18.85546875" style="20" customWidth="1"/>
    <col min="6413" max="6413" width="10.28515625" style="20" customWidth="1"/>
    <col min="6414" max="6414" width="11.42578125" style="20"/>
    <col min="6415" max="6415" width="12.140625" style="20" customWidth="1"/>
    <col min="6416" max="6416" width="10.5703125" style="20" customWidth="1"/>
    <col min="6417" max="6417" width="12.42578125" style="20" customWidth="1"/>
    <col min="6418" max="6418" width="15.140625" style="20" customWidth="1"/>
    <col min="6419" max="6419" width="13.5703125" style="20" customWidth="1"/>
    <col min="6420" max="6420" width="13.140625" style="20" customWidth="1"/>
    <col min="6421" max="6421" width="15.7109375" style="20" customWidth="1"/>
    <col min="6422" max="6422" width="37.5703125" style="20" customWidth="1"/>
    <col min="6423" max="6644" width="11.42578125" style="20"/>
    <col min="6645" max="6645" width="10.5703125" style="20" customWidth="1"/>
    <col min="6646" max="6646" width="4.85546875" style="20" customWidth="1"/>
    <col min="6647" max="6647" width="32.42578125" style="20" customWidth="1"/>
    <col min="6648" max="6648" width="9.85546875" style="20" customWidth="1"/>
    <col min="6649" max="6649" width="10.140625" style="20" customWidth="1"/>
    <col min="6650" max="6650" width="12.28515625" style="20" customWidth="1"/>
    <col min="6651" max="6651" width="15.42578125" style="20" customWidth="1"/>
    <col min="6652" max="6652" width="11.85546875" style="20" customWidth="1"/>
    <col min="6653" max="6653" width="13.28515625" style="20" customWidth="1"/>
    <col min="6654" max="6654" width="15.28515625" style="20" customWidth="1"/>
    <col min="6655" max="6655" width="11.85546875" style="20" customWidth="1"/>
    <col min="6656" max="6656" width="6.140625" style="20" customWidth="1"/>
    <col min="6657" max="6657" width="11.85546875" style="20" customWidth="1"/>
    <col min="6658" max="6658" width="9.42578125" style="20" customWidth="1"/>
    <col min="6659" max="6659" width="14.7109375" style="20" customWidth="1"/>
    <col min="6660" max="6660" width="11.5703125" style="20" customWidth="1"/>
    <col min="6661" max="6661" width="0.42578125" style="20" customWidth="1"/>
    <col min="6662" max="6662" width="10.5703125" style="20" bestFit="1" customWidth="1"/>
    <col min="6663" max="6663" width="12.28515625" style="20" customWidth="1"/>
    <col min="6664" max="6664" width="12.5703125" style="20" customWidth="1"/>
    <col min="6665" max="6665" width="10.5703125" style="20" customWidth="1"/>
    <col min="6666" max="6666" width="10.140625" style="20" customWidth="1"/>
    <col min="6667" max="6667" width="8.42578125" style="20" customWidth="1"/>
    <col min="6668" max="6668" width="18.85546875" style="20" customWidth="1"/>
    <col min="6669" max="6669" width="10.28515625" style="20" customWidth="1"/>
    <col min="6670" max="6670" width="11.42578125" style="20"/>
    <col min="6671" max="6671" width="12.140625" style="20" customWidth="1"/>
    <col min="6672" max="6672" width="10.5703125" style="20" customWidth="1"/>
    <col min="6673" max="6673" width="12.42578125" style="20" customWidth="1"/>
    <col min="6674" max="6674" width="15.140625" style="20" customWidth="1"/>
    <col min="6675" max="6675" width="13.5703125" style="20" customWidth="1"/>
    <col min="6676" max="6676" width="13.140625" style="20" customWidth="1"/>
    <col min="6677" max="6677" width="15.7109375" style="20" customWidth="1"/>
    <col min="6678" max="6678" width="37.5703125" style="20" customWidth="1"/>
    <col min="6679" max="6900" width="11.42578125" style="20"/>
    <col min="6901" max="6901" width="10.5703125" style="20" customWidth="1"/>
    <col min="6902" max="6902" width="4.85546875" style="20" customWidth="1"/>
    <col min="6903" max="6903" width="32.42578125" style="20" customWidth="1"/>
    <col min="6904" max="6904" width="9.85546875" style="20" customWidth="1"/>
    <col min="6905" max="6905" width="10.140625" style="20" customWidth="1"/>
    <col min="6906" max="6906" width="12.28515625" style="20" customWidth="1"/>
    <col min="6907" max="6907" width="15.42578125" style="20" customWidth="1"/>
    <col min="6908" max="6908" width="11.85546875" style="20" customWidth="1"/>
    <col min="6909" max="6909" width="13.28515625" style="20" customWidth="1"/>
    <col min="6910" max="6910" width="15.28515625" style="20" customWidth="1"/>
    <col min="6911" max="6911" width="11.85546875" style="20" customWidth="1"/>
    <col min="6912" max="6912" width="6.140625" style="20" customWidth="1"/>
    <col min="6913" max="6913" width="11.85546875" style="20" customWidth="1"/>
    <col min="6914" max="6914" width="9.42578125" style="20" customWidth="1"/>
    <col min="6915" max="6915" width="14.7109375" style="20" customWidth="1"/>
    <col min="6916" max="6916" width="11.5703125" style="20" customWidth="1"/>
    <col min="6917" max="6917" width="0.42578125" style="20" customWidth="1"/>
    <col min="6918" max="6918" width="10.5703125" style="20" bestFit="1" customWidth="1"/>
    <col min="6919" max="6919" width="12.28515625" style="20" customWidth="1"/>
    <col min="6920" max="6920" width="12.5703125" style="20" customWidth="1"/>
    <col min="6921" max="6921" width="10.5703125" style="20" customWidth="1"/>
    <col min="6922" max="6922" width="10.140625" style="20" customWidth="1"/>
    <col min="6923" max="6923" width="8.42578125" style="20" customWidth="1"/>
    <col min="6924" max="6924" width="18.85546875" style="20" customWidth="1"/>
    <col min="6925" max="6925" width="10.28515625" style="20" customWidth="1"/>
    <col min="6926" max="6926" width="11.42578125" style="20"/>
    <col min="6927" max="6927" width="12.140625" style="20" customWidth="1"/>
    <col min="6928" max="6928" width="10.5703125" style="20" customWidth="1"/>
    <col min="6929" max="6929" width="12.42578125" style="20" customWidth="1"/>
    <col min="6930" max="6930" width="15.140625" style="20" customWidth="1"/>
    <col min="6931" max="6931" width="13.5703125" style="20" customWidth="1"/>
    <col min="6932" max="6932" width="13.140625" style="20" customWidth="1"/>
    <col min="6933" max="6933" width="15.7109375" style="20" customWidth="1"/>
    <col min="6934" max="6934" width="37.5703125" style="20" customWidth="1"/>
    <col min="6935" max="7156" width="11.42578125" style="20"/>
    <col min="7157" max="7157" width="10.5703125" style="20" customWidth="1"/>
    <col min="7158" max="7158" width="4.85546875" style="20" customWidth="1"/>
    <col min="7159" max="7159" width="32.42578125" style="20" customWidth="1"/>
    <col min="7160" max="7160" width="9.85546875" style="20" customWidth="1"/>
    <col min="7161" max="7161" width="10.140625" style="20" customWidth="1"/>
    <col min="7162" max="7162" width="12.28515625" style="20" customWidth="1"/>
    <col min="7163" max="7163" width="15.42578125" style="20" customWidth="1"/>
    <col min="7164" max="7164" width="11.85546875" style="20" customWidth="1"/>
    <col min="7165" max="7165" width="13.28515625" style="20" customWidth="1"/>
    <col min="7166" max="7166" width="15.28515625" style="20" customWidth="1"/>
    <col min="7167" max="7167" width="11.85546875" style="20" customWidth="1"/>
    <col min="7168" max="7168" width="6.140625" style="20" customWidth="1"/>
    <col min="7169" max="7169" width="11.85546875" style="20" customWidth="1"/>
    <col min="7170" max="7170" width="9.42578125" style="20" customWidth="1"/>
    <col min="7171" max="7171" width="14.7109375" style="20" customWidth="1"/>
    <col min="7172" max="7172" width="11.5703125" style="20" customWidth="1"/>
    <col min="7173" max="7173" width="0.42578125" style="20" customWidth="1"/>
    <col min="7174" max="7174" width="10.5703125" style="20" bestFit="1" customWidth="1"/>
    <col min="7175" max="7175" width="12.28515625" style="20" customWidth="1"/>
    <col min="7176" max="7176" width="12.5703125" style="20" customWidth="1"/>
    <col min="7177" max="7177" width="10.5703125" style="20" customWidth="1"/>
    <col min="7178" max="7178" width="10.140625" style="20" customWidth="1"/>
    <col min="7179" max="7179" width="8.42578125" style="20" customWidth="1"/>
    <col min="7180" max="7180" width="18.85546875" style="20" customWidth="1"/>
    <col min="7181" max="7181" width="10.28515625" style="20" customWidth="1"/>
    <col min="7182" max="7182" width="11.42578125" style="20"/>
    <col min="7183" max="7183" width="12.140625" style="20" customWidth="1"/>
    <col min="7184" max="7184" width="10.5703125" style="20" customWidth="1"/>
    <col min="7185" max="7185" width="12.42578125" style="20" customWidth="1"/>
    <col min="7186" max="7186" width="15.140625" style="20" customWidth="1"/>
    <col min="7187" max="7187" width="13.5703125" style="20" customWidth="1"/>
    <col min="7188" max="7188" width="13.140625" style="20" customWidth="1"/>
    <col min="7189" max="7189" width="15.7109375" style="20" customWidth="1"/>
    <col min="7190" max="7190" width="37.5703125" style="20" customWidth="1"/>
    <col min="7191" max="7412" width="11.42578125" style="20"/>
    <col min="7413" max="7413" width="10.5703125" style="20" customWidth="1"/>
    <col min="7414" max="7414" width="4.85546875" style="20" customWidth="1"/>
    <col min="7415" max="7415" width="32.42578125" style="20" customWidth="1"/>
    <col min="7416" max="7416" width="9.85546875" style="20" customWidth="1"/>
    <col min="7417" max="7417" width="10.140625" style="20" customWidth="1"/>
    <col min="7418" max="7418" width="12.28515625" style="20" customWidth="1"/>
    <col min="7419" max="7419" width="15.42578125" style="20" customWidth="1"/>
    <col min="7420" max="7420" width="11.85546875" style="20" customWidth="1"/>
    <col min="7421" max="7421" width="13.28515625" style="20" customWidth="1"/>
    <col min="7422" max="7422" width="15.28515625" style="20" customWidth="1"/>
    <col min="7423" max="7423" width="11.85546875" style="20" customWidth="1"/>
    <col min="7424" max="7424" width="6.140625" style="20" customWidth="1"/>
    <col min="7425" max="7425" width="11.85546875" style="20" customWidth="1"/>
    <col min="7426" max="7426" width="9.42578125" style="20" customWidth="1"/>
    <col min="7427" max="7427" width="14.7109375" style="20" customWidth="1"/>
    <col min="7428" max="7428" width="11.5703125" style="20" customWidth="1"/>
    <col min="7429" max="7429" width="0.42578125" style="20" customWidth="1"/>
    <col min="7430" max="7430" width="10.5703125" style="20" bestFit="1" customWidth="1"/>
    <col min="7431" max="7431" width="12.28515625" style="20" customWidth="1"/>
    <col min="7432" max="7432" width="12.5703125" style="20" customWidth="1"/>
    <col min="7433" max="7433" width="10.5703125" style="20" customWidth="1"/>
    <col min="7434" max="7434" width="10.140625" style="20" customWidth="1"/>
    <col min="7435" max="7435" width="8.42578125" style="20" customWidth="1"/>
    <col min="7436" max="7436" width="18.85546875" style="20" customWidth="1"/>
    <col min="7437" max="7437" width="10.28515625" style="20" customWidth="1"/>
    <col min="7438" max="7438" width="11.42578125" style="20"/>
    <col min="7439" max="7439" width="12.140625" style="20" customWidth="1"/>
    <col min="7440" max="7440" width="10.5703125" style="20" customWidth="1"/>
    <col min="7441" max="7441" width="12.42578125" style="20" customWidth="1"/>
    <col min="7442" max="7442" width="15.140625" style="20" customWidth="1"/>
    <col min="7443" max="7443" width="13.5703125" style="20" customWidth="1"/>
    <col min="7444" max="7444" width="13.140625" style="20" customWidth="1"/>
    <col min="7445" max="7445" width="15.7109375" style="20" customWidth="1"/>
    <col min="7446" max="7446" width="37.5703125" style="20" customWidth="1"/>
    <col min="7447" max="7668" width="11.42578125" style="20"/>
    <col min="7669" max="7669" width="10.5703125" style="20" customWidth="1"/>
    <col min="7670" max="7670" width="4.85546875" style="20" customWidth="1"/>
    <col min="7671" max="7671" width="32.42578125" style="20" customWidth="1"/>
    <col min="7672" max="7672" width="9.85546875" style="20" customWidth="1"/>
    <col min="7673" max="7673" width="10.140625" style="20" customWidth="1"/>
    <col min="7674" max="7674" width="12.28515625" style="20" customWidth="1"/>
    <col min="7675" max="7675" width="15.42578125" style="20" customWidth="1"/>
    <col min="7676" max="7676" width="11.85546875" style="20" customWidth="1"/>
    <col min="7677" max="7677" width="13.28515625" style="20" customWidth="1"/>
    <col min="7678" max="7678" width="15.28515625" style="20" customWidth="1"/>
    <col min="7679" max="7679" width="11.85546875" style="20" customWidth="1"/>
    <col min="7680" max="7680" width="6.140625" style="20" customWidth="1"/>
    <col min="7681" max="7681" width="11.85546875" style="20" customWidth="1"/>
    <col min="7682" max="7682" width="9.42578125" style="20" customWidth="1"/>
    <col min="7683" max="7683" width="14.7109375" style="20" customWidth="1"/>
    <col min="7684" max="7684" width="11.5703125" style="20" customWidth="1"/>
    <col min="7685" max="7685" width="0.42578125" style="20" customWidth="1"/>
    <col min="7686" max="7686" width="10.5703125" style="20" bestFit="1" customWidth="1"/>
    <col min="7687" max="7687" width="12.28515625" style="20" customWidth="1"/>
    <col min="7688" max="7688" width="12.5703125" style="20" customWidth="1"/>
    <col min="7689" max="7689" width="10.5703125" style="20" customWidth="1"/>
    <col min="7690" max="7690" width="10.140625" style="20" customWidth="1"/>
    <col min="7691" max="7691" width="8.42578125" style="20" customWidth="1"/>
    <col min="7692" max="7692" width="18.85546875" style="20" customWidth="1"/>
    <col min="7693" max="7693" width="10.28515625" style="20" customWidth="1"/>
    <col min="7694" max="7694" width="11.42578125" style="20"/>
    <col min="7695" max="7695" width="12.140625" style="20" customWidth="1"/>
    <col min="7696" max="7696" width="10.5703125" style="20" customWidth="1"/>
    <col min="7697" max="7697" width="12.42578125" style="20" customWidth="1"/>
    <col min="7698" max="7698" width="15.140625" style="20" customWidth="1"/>
    <col min="7699" max="7699" width="13.5703125" style="20" customWidth="1"/>
    <col min="7700" max="7700" width="13.140625" style="20" customWidth="1"/>
    <col min="7701" max="7701" width="15.7109375" style="20" customWidth="1"/>
    <col min="7702" max="7702" width="37.5703125" style="20" customWidth="1"/>
    <col min="7703" max="7924" width="11.42578125" style="20"/>
    <col min="7925" max="7925" width="10.5703125" style="20" customWidth="1"/>
    <col min="7926" max="7926" width="4.85546875" style="20" customWidth="1"/>
    <col min="7927" max="7927" width="32.42578125" style="20" customWidth="1"/>
    <col min="7928" max="7928" width="9.85546875" style="20" customWidth="1"/>
    <col min="7929" max="7929" width="10.140625" style="20" customWidth="1"/>
    <col min="7930" max="7930" width="12.28515625" style="20" customWidth="1"/>
    <col min="7931" max="7931" width="15.42578125" style="20" customWidth="1"/>
    <col min="7932" max="7932" width="11.85546875" style="20" customWidth="1"/>
    <col min="7933" max="7933" width="13.28515625" style="20" customWidth="1"/>
    <col min="7934" max="7934" width="15.28515625" style="20" customWidth="1"/>
    <col min="7935" max="7935" width="11.85546875" style="20" customWidth="1"/>
    <col min="7936" max="7936" width="6.140625" style="20" customWidth="1"/>
    <col min="7937" max="7937" width="11.85546875" style="20" customWidth="1"/>
    <col min="7938" max="7938" width="9.42578125" style="20" customWidth="1"/>
    <col min="7939" max="7939" width="14.7109375" style="20" customWidth="1"/>
    <col min="7940" max="7940" width="11.5703125" style="20" customWidth="1"/>
    <col min="7941" max="7941" width="0.42578125" style="20" customWidth="1"/>
    <col min="7942" max="7942" width="10.5703125" style="20" bestFit="1" customWidth="1"/>
    <col min="7943" max="7943" width="12.28515625" style="20" customWidth="1"/>
    <col min="7944" max="7944" width="12.5703125" style="20" customWidth="1"/>
    <col min="7945" max="7945" width="10.5703125" style="20" customWidth="1"/>
    <col min="7946" max="7946" width="10.140625" style="20" customWidth="1"/>
    <col min="7947" max="7947" width="8.42578125" style="20" customWidth="1"/>
    <col min="7948" max="7948" width="18.85546875" style="20" customWidth="1"/>
    <col min="7949" max="7949" width="10.28515625" style="20" customWidth="1"/>
    <col min="7950" max="7950" width="11.42578125" style="20"/>
    <col min="7951" max="7951" width="12.140625" style="20" customWidth="1"/>
    <col min="7952" max="7952" width="10.5703125" style="20" customWidth="1"/>
    <col min="7953" max="7953" width="12.42578125" style="20" customWidth="1"/>
    <col min="7954" max="7954" width="15.140625" style="20" customWidth="1"/>
    <col min="7955" max="7955" width="13.5703125" style="20" customWidth="1"/>
    <col min="7956" max="7956" width="13.140625" style="20" customWidth="1"/>
    <col min="7957" max="7957" width="15.7109375" style="20" customWidth="1"/>
    <col min="7958" max="7958" width="37.5703125" style="20" customWidth="1"/>
    <col min="7959" max="8180" width="11.42578125" style="20"/>
    <col min="8181" max="8181" width="10.5703125" style="20" customWidth="1"/>
    <col min="8182" max="8182" width="4.85546875" style="20" customWidth="1"/>
    <col min="8183" max="8183" width="32.42578125" style="20" customWidth="1"/>
    <col min="8184" max="8184" width="9.85546875" style="20" customWidth="1"/>
    <col min="8185" max="8185" width="10.140625" style="20" customWidth="1"/>
    <col min="8186" max="8186" width="12.28515625" style="20" customWidth="1"/>
    <col min="8187" max="8187" width="15.42578125" style="20" customWidth="1"/>
    <col min="8188" max="8188" width="11.85546875" style="20" customWidth="1"/>
    <col min="8189" max="8189" width="13.28515625" style="20" customWidth="1"/>
    <col min="8190" max="8190" width="15.28515625" style="20" customWidth="1"/>
    <col min="8191" max="8191" width="11.85546875" style="20" customWidth="1"/>
    <col min="8192" max="8192" width="6.140625" style="20" customWidth="1"/>
    <col min="8193" max="8193" width="11.85546875" style="20" customWidth="1"/>
    <col min="8194" max="8194" width="9.42578125" style="20" customWidth="1"/>
    <col min="8195" max="8195" width="14.7109375" style="20" customWidth="1"/>
    <col min="8196" max="8196" width="11.5703125" style="20" customWidth="1"/>
    <col min="8197" max="8197" width="0.42578125" style="20" customWidth="1"/>
    <col min="8198" max="8198" width="10.5703125" style="20" bestFit="1" customWidth="1"/>
    <col min="8199" max="8199" width="12.28515625" style="20" customWidth="1"/>
    <col min="8200" max="8200" width="12.5703125" style="20" customWidth="1"/>
    <col min="8201" max="8201" width="10.5703125" style="20" customWidth="1"/>
    <col min="8202" max="8202" width="10.140625" style="20" customWidth="1"/>
    <col min="8203" max="8203" width="8.42578125" style="20" customWidth="1"/>
    <col min="8204" max="8204" width="18.85546875" style="20" customWidth="1"/>
    <col min="8205" max="8205" width="10.28515625" style="20" customWidth="1"/>
    <col min="8206" max="8206" width="11.42578125" style="20"/>
    <col min="8207" max="8207" width="12.140625" style="20" customWidth="1"/>
    <col min="8208" max="8208" width="10.5703125" style="20" customWidth="1"/>
    <col min="8209" max="8209" width="12.42578125" style="20" customWidth="1"/>
    <col min="8210" max="8210" width="15.140625" style="20" customWidth="1"/>
    <col min="8211" max="8211" width="13.5703125" style="20" customWidth="1"/>
    <col min="8212" max="8212" width="13.140625" style="20" customWidth="1"/>
    <col min="8213" max="8213" width="15.7109375" style="20" customWidth="1"/>
    <col min="8214" max="8214" width="37.5703125" style="20" customWidth="1"/>
    <col min="8215" max="8436" width="11.42578125" style="20"/>
    <col min="8437" max="8437" width="10.5703125" style="20" customWidth="1"/>
    <col min="8438" max="8438" width="4.85546875" style="20" customWidth="1"/>
    <col min="8439" max="8439" width="32.42578125" style="20" customWidth="1"/>
    <col min="8440" max="8440" width="9.85546875" style="20" customWidth="1"/>
    <col min="8441" max="8441" width="10.140625" style="20" customWidth="1"/>
    <col min="8442" max="8442" width="12.28515625" style="20" customWidth="1"/>
    <col min="8443" max="8443" width="15.42578125" style="20" customWidth="1"/>
    <col min="8444" max="8444" width="11.85546875" style="20" customWidth="1"/>
    <col min="8445" max="8445" width="13.28515625" style="20" customWidth="1"/>
    <col min="8446" max="8446" width="15.28515625" style="20" customWidth="1"/>
    <col min="8447" max="8447" width="11.85546875" style="20" customWidth="1"/>
    <col min="8448" max="8448" width="6.140625" style="20" customWidth="1"/>
    <col min="8449" max="8449" width="11.85546875" style="20" customWidth="1"/>
    <col min="8450" max="8450" width="9.42578125" style="20" customWidth="1"/>
    <col min="8451" max="8451" width="14.7109375" style="20" customWidth="1"/>
    <col min="8452" max="8452" width="11.5703125" style="20" customWidth="1"/>
    <col min="8453" max="8453" width="0.42578125" style="20" customWidth="1"/>
    <col min="8454" max="8454" width="10.5703125" style="20" bestFit="1" customWidth="1"/>
    <col min="8455" max="8455" width="12.28515625" style="20" customWidth="1"/>
    <col min="8456" max="8456" width="12.5703125" style="20" customWidth="1"/>
    <col min="8457" max="8457" width="10.5703125" style="20" customWidth="1"/>
    <col min="8458" max="8458" width="10.140625" style="20" customWidth="1"/>
    <col min="8459" max="8459" width="8.42578125" style="20" customWidth="1"/>
    <col min="8460" max="8460" width="18.85546875" style="20" customWidth="1"/>
    <col min="8461" max="8461" width="10.28515625" style="20" customWidth="1"/>
    <col min="8462" max="8462" width="11.42578125" style="20"/>
    <col min="8463" max="8463" width="12.140625" style="20" customWidth="1"/>
    <col min="8464" max="8464" width="10.5703125" style="20" customWidth="1"/>
    <col min="8465" max="8465" width="12.42578125" style="20" customWidth="1"/>
    <col min="8466" max="8466" width="15.140625" style="20" customWidth="1"/>
    <col min="8467" max="8467" width="13.5703125" style="20" customWidth="1"/>
    <col min="8468" max="8468" width="13.140625" style="20" customWidth="1"/>
    <col min="8469" max="8469" width="15.7109375" style="20" customWidth="1"/>
    <col min="8470" max="8470" width="37.5703125" style="20" customWidth="1"/>
    <col min="8471" max="8692" width="11.42578125" style="20"/>
    <col min="8693" max="8693" width="10.5703125" style="20" customWidth="1"/>
    <col min="8694" max="8694" width="4.85546875" style="20" customWidth="1"/>
    <col min="8695" max="8695" width="32.42578125" style="20" customWidth="1"/>
    <col min="8696" max="8696" width="9.85546875" style="20" customWidth="1"/>
    <col min="8697" max="8697" width="10.140625" style="20" customWidth="1"/>
    <col min="8698" max="8698" width="12.28515625" style="20" customWidth="1"/>
    <col min="8699" max="8699" width="15.42578125" style="20" customWidth="1"/>
    <col min="8700" max="8700" width="11.85546875" style="20" customWidth="1"/>
    <col min="8701" max="8701" width="13.28515625" style="20" customWidth="1"/>
    <col min="8702" max="8702" width="15.28515625" style="20" customWidth="1"/>
    <col min="8703" max="8703" width="11.85546875" style="20" customWidth="1"/>
    <col min="8704" max="8704" width="6.140625" style="20" customWidth="1"/>
    <col min="8705" max="8705" width="11.85546875" style="20" customWidth="1"/>
    <col min="8706" max="8706" width="9.42578125" style="20" customWidth="1"/>
    <col min="8707" max="8707" width="14.7109375" style="20" customWidth="1"/>
    <col min="8708" max="8708" width="11.5703125" style="20" customWidth="1"/>
    <col min="8709" max="8709" width="0.42578125" style="20" customWidth="1"/>
    <col min="8710" max="8710" width="10.5703125" style="20" bestFit="1" customWidth="1"/>
    <col min="8711" max="8711" width="12.28515625" style="20" customWidth="1"/>
    <col min="8712" max="8712" width="12.5703125" style="20" customWidth="1"/>
    <col min="8713" max="8713" width="10.5703125" style="20" customWidth="1"/>
    <col min="8714" max="8714" width="10.140625" style="20" customWidth="1"/>
    <col min="8715" max="8715" width="8.42578125" style="20" customWidth="1"/>
    <col min="8716" max="8716" width="18.85546875" style="20" customWidth="1"/>
    <col min="8717" max="8717" width="10.28515625" style="20" customWidth="1"/>
    <col min="8718" max="8718" width="11.42578125" style="20"/>
    <col min="8719" max="8719" width="12.140625" style="20" customWidth="1"/>
    <col min="8720" max="8720" width="10.5703125" style="20" customWidth="1"/>
    <col min="8721" max="8721" width="12.42578125" style="20" customWidth="1"/>
    <col min="8722" max="8722" width="15.140625" style="20" customWidth="1"/>
    <col min="8723" max="8723" width="13.5703125" style="20" customWidth="1"/>
    <col min="8724" max="8724" width="13.140625" style="20" customWidth="1"/>
    <col min="8725" max="8725" width="15.7109375" style="20" customWidth="1"/>
    <col min="8726" max="8726" width="37.5703125" style="20" customWidth="1"/>
    <col min="8727" max="8948" width="11.42578125" style="20"/>
    <col min="8949" max="8949" width="10.5703125" style="20" customWidth="1"/>
    <col min="8950" max="8950" width="4.85546875" style="20" customWidth="1"/>
    <col min="8951" max="8951" width="32.42578125" style="20" customWidth="1"/>
    <col min="8952" max="8952" width="9.85546875" style="20" customWidth="1"/>
    <col min="8953" max="8953" width="10.140625" style="20" customWidth="1"/>
    <col min="8954" max="8954" width="12.28515625" style="20" customWidth="1"/>
    <col min="8955" max="8955" width="15.42578125" style="20" customWidth="1"/>
    <col min="8956" max="8956" width="11.85546875" style="20" customWidth="1"/>
    <col min="8957" max="8957" width="13.28515625" style="20" customWidth="1"/>
    <col min="8958" max="8958" width="15.28515625" style="20" customWidth="1"/>
    <col min="8959" max="8959" width="11.85546875" style="20" customWidth="1"/>
    <col min="8960" max="8960" width="6.140625" style="20" customWidth="1"/>
    <col min="8961" max="8961" width="11.85546875" style="20" customWidth="1"/>
    <col min="8962" max="8962" width="9.42578125" style="20" customWidth="1"/>
    <col min="8963" max="8963" width="14.7109375" style="20" customWidth="1"/>
    <col min="8964" max="8964" width="11.5703125" style="20" customWidth="1"/>
    <col min="8965" max="8965" width="0.42578125" style="20" customWidth="1"/>
    <col min="8966" max="8966" width="10.5703125" style="20" bestFit="1" customWidth="1"/>
    <col min="8967" max="8967" width="12.28515625" style="20" customWidth="1"/>
    <col min="8968" max="8968" width="12.5703125" style="20" customWidth="1"/>
    <col min="8969" max="8969" width="10.5703125" style="20" customWidth="1"/>
    <col min="8970" max="8970" width="10.140625" style="20" customWidth="1"/>
    <col min="8971" max="8971" width="8.42578125" style="20" customWidth="1"/>
    <col min="8972" max="8972" width="18.85546875" style="20" customWidth="1"/>
    <col min="8973" max="8973" width="10.28515625" style="20" customWidth="1"/>
    <col min="8974" max="8974" width="11.42578125" style="20"/>
    <col min="8975" max="8975" width="12.140625" style="20" customWidth="1"/>
    <col min="8976" max="8976" width="10.5703125" style="20" customWidth="1"/>
    <col min="8977" max="8977" width="12.42578125" style="20" customWidth="1"/>
    <col min="8978" max="8978" width="15.140625" style="20" customWidth="1"/>
    <col min="8979" max="8979" width="13.5703125" style="20" customWidth="1"/>
    <col min="8980" max="8980" width="13.140625" style="20" customWidth="1"/>
    <col min="8981" max="8981" width="15.7109375" style="20" customWidth="1"/>
    <col min="8982" max="8982" width="37.5703125" style="20" customWidth="1"/>
    <col min="8983" max="9204" width="11.42578125" style="20"/>
    <col min="9205" max="9205" width="10.5703125" style="20" customWidth="1"/>
    <col min="9206" max="9206" width="4.85546875" style="20" customWidth="1"/>
    <col min="9207" max="9207" width="32.42578125" style="20" customWidth="1"/>
    <col min="9208" max="9208" width="9.85546875" style="20" customWidth="1"/>
    <col min="9209" max="9209" width="10.140625" style="20" customWidth="1"/>
    <col min="9210" max="9210" width="12.28515625" style="20" customWidth="1"/>
    <col min="9211" max="9211" width="15.42578125" style="20" customWidth="1"/>
    <col min="9212" max="9212" width="11.85546875" style="20" customWidth="1"/>
    <col min="9213" max="9213" width="13.28515625" style="20" customWidth="1"/>
    <col min="9214" max="9214" width="15.28515625" style="20" customWidth="1"/>
    <col min="9215" max="9215" width="11.85546875" style="20" customWidth="1"/>
    <col min="9216" max="9216" width="6.140625" style="20" customWidth="1"/>
    <col min="9217" max="9217" width="11.85546875" style="20" customWidth="1"/>
    <col min="9218" max="9218" width="9.42578125" style="20" customWidth="1"/>
    <col min="9219" max="9219" width="14.7109375" style="20" customWidth="1"/>
    <col min="9220" max="9220" width="11.5703125" style="20" customWidth="1"/>
    <col min="9221" max="9221" width="0.42578125" style="20" customWidth="1"/>
    <col min="9222" max="9222" width="10.5703125" style="20" bestFit="1" customWidth="1"/>
    <col min="9223" max="9223" width="12.28515625" style="20" customWidth="1"/>
    <col min="9224" max="9224" width="12.5703125" style="20" customWidth="1"/>
    <col min="9225" max="9225" width="10.5703125" style="20" customWidth="1"/>
    <col min="9226" max="9226" width="10.140625" style="20" customWidth="1"/>
    <col min="9227" max="9227" width="8.42578125" style="20" customWidth="1"/>
    <col min="9228" max="9228" width="18.85546875" style="20" customWidth="1"/>
    <col min="9229" max="9229" width="10.28515625" style="20" customWidth="1"/>
    <col min="9230" max="9230" width="11.42578125" style="20"/>
    <col min="9231" max="9231" width="12.140625" style="20" customWidth="1"/>
    <col min="9232" max="9232" width="10.5703125" style="20" customWidth="1"/>
    <col min="9233" max="9233" width="12.42578125" style="20" customWidth="1"/>
    <col min="9234" max="9234" width="15.140625" style="20" customWidth="1"/>
    <col min="9235" max="9235" width="13.5703125" style="20" customWidth="1"/>
    <col min="9236" max="9236" width="13.140625" style="20" customWidth="1"/>
    <col min="9237" max="9237" width="15.7109375" style="20" customWidth="1"/>
    <col min="9238" max="9238" width="37.5703125" style="20" customWidth="1"/>
    <col min="9239" max="9460" width="11.42578125" style="20"/>
    <col min="9461" max="9461" width="10.5703125" style="20" customWidth="1"/>
    <col min="9462" max="9462" width="4.85546875" style="20" customWidth="1"/>
    <col min="9463" max="9463" width="32.42578125" style="20" customWidth="1"/>
    <col min="9464" max="9464" width="9.85546875" style="20" customWidth="1"/>
    <col min="9465" max="9465" width="10.140625" style="20" customWidth="1"/>
    <col min="9466" max="9466" width="12.28515625" style="20" customWidth="1"/>
    <col min="9467" max="9467" width="15.42578125" style="20" customWidth="1"/>
    <col min="9468" max="9468" width="11.85546875" style="20" customWidth="1"/>
    <col min="9469" max="9469" width="13.28515625" style="20" customWidth="1"/>
    <col min="9470" max="9470" width="15.28515625" style="20" customWidth="1"/>
    <col min="9471" max="9471" width="11.85546875" style="20" customWidth="1"/>
    <col min="9472" max="9472" width="6.140625" style="20" customWidth="1"/>
    <col min="9473" max="9473" width="11.85546875" style="20" customWidth="1"/>
    <col min="9474" max="9474" width="9.42578125" style="20" customWidth="1"/>
    <col min="9475" max="9475" width="14.7109375" style="20" customWidth="1"/>
    <col min="9476" max="9476" width="11.5703125" style="20" customWidth="1"/>
    <col min="9477" max="9477" width="0.42578125" style="20" customWidth="1"/>
    <col min="9478" max="9478" width="10.5703125" style="20" bestFit="1" customWidth="1"/>
    <col min="9479" max="9479" width="12.28515625" style="20" customWidth="1"/>
    <col min="9480" max="9480" width="12.5703125" style="20" customWidth="1"/>
    <col min="9481" max="9481" width="10.5703125" style="20" customWidth="1"/>
    <col min="9482" max="9482" width="10.140625" style="20" customWidth="1"/>
    <col min="9483" max="9483" width="8.42578125" style="20" customWidth="1"/>
    <col min="9484" max="9484" width="18.85546875" style="20" customWidth="1"/>
    <col min="9485" max="9485" width="10.28515625" style="20" customWidth="1"/>
    <col min="9486" max="9486" width="11.42578125" style="20"/>
    <col min="9487" max="9487" width="12.140625" style="20" customWidth="1"/>
    <col min="9488" max="9488" width="10.5703125" style="20" customWidth="1"/>
    <col min="9489" max="9489" width="12.42578125" style="20" customWidth="1"/>
    <col min="9490" max="9490" width="15.140625" style="20" customWidth="1"/>
    <col min="9491" max="9491" width="13.5703125" style="20" customWidth="1"/>
    <col min="9492" max="9492" width="13.140625" style="20" customWidth="1"/>
    <col min="9493" max="9493" width="15.7109375" style="20" customWidth="1"/>
    <col min="9494" max="9494" width="37.5703125" style="20" customWidth="1"/>
    <col min="9495" max="9716" width="11.42578125" style="20"/>
    <col min="9717" max="9717" width="10.5703125" style="20" customWidth="1"/>
    <col min="9718" max="9718" width="4.85546875" style="20" customWidth="1"/>
    <col min="9719" max="9719" width="32.42578125" style="20" customWidth="1"/>
    <col min="9720" max="9720" width="9.85546875" style="20" customWidth="1"/>
    <col min="9721" max="9721" width="10.140625" style="20" customWidth="1"/>
    <col min="9722" max="9722" width="12.28515625" style="20" customWidth="1"/>
    <col min="9723" max="9723" width="15.42578125" style="20" customWidth="1"/>
    <col min="9724" max="9724" width="11.85546875" style="20" customWidth="1"/>
    <col min="9725" max="9725" width="13.28515625" style="20" customWidth="1"/>
    <col min="9726" max="9726" width="15.28515625" style="20" customWidth="1"/>
    <col min="9727" max="9727" width="11.85546875" style="20" customWidth="1"/>
    <col min="9728" max="9728" width="6.140625" style="20" customWidth="1"/>
    <col min="9729" max="9729" width="11.85546875" style="20" customWidth="1"/>
    <col min="9730" max="9730" width="9.42578125" style="20" customWidth="1"/>
    <col min="9731" max="9731" width="14.7109375" style="20" customWidth="1"/>
    <col min="9732" max="9732" width="11.5703125" style="20" customWidth="1"/>
    <col min="9733" max="9733" width="0.42578125" style="20" customWidth="1"/>
    <col min="9734" max="9734" width="10.5703125" style="20" bestFit="1" customWidth="1"/>
    <col min="9735" max="9735" width="12.28515625" style="20" customWidth="1"/>
    <col min="9736" max="9736" width="12.5703125" style="20" customWidth="1"/>
    <col min="9737" max="9737" width="10.5703125" style="20" customWidth="1"/>
    <col min="9738" max="9738" width="10.140625" style="20" customWidth="1"/>
    <col min="9739" max="9739" width="8.42578125" style="20" customWidth="1"/>
    <col min="9740" max="9740" width="18.85546875" style="20" customWidth="1"/>
    <col min="9741" max="9741" width="10.28515625" style="20" customWidth="1"/>
    <col min="9742" max="9742" width="11.42578125" style="20"/>
    <col min="9743" max="9743" width="12.140625" style="20" customWidth="1"/>
    <col min="9744" max="9744" width="10.5703125" style="20" customWidth="1"/>
    <col min="9745" max="9745" width="12.42578125" style="20" customWidth="1"/>
    <col min="9746" max="9746" width="15.140625" style="20" customWidth="1"/>
    <col min="9747" max="9747" width="13.5703125" style="20" customWidth="1"/>
    <col min="9748" max="9748" width="13.140625" style="20" customWidth="1"/>
    <col min="9749" max="9749" width="15.7109375" style="20" customWidth="1"/>
    <col min="9750" max="9750" width="37.5703125" style="20" customWidth="1"/>
    <col min="9751" max="9972" width="11.42578125" style="20"/>
    <col min="9973" max="9973" width="10.5703125" style="20" customWidth="1"/>
    <col min="9974" max="9974" width="4.85546875" style="20" customWidth="1"/>
    <col min="9975" max="9975" width="32.42578125" style="20" customWidth="1"/>
    <col min="9976" max="9976" width="9.85546875" style="20" customWidth="1"/>
    <col min="9977" max="9977" width="10.140625" style="20" customWidth="1"/>
    <col min="9978" max="9978" width="12.28515625" style="20" customWidth="1"/>
    <col min="9979" max="9979" width="15.42578125" style="20" customWidth="1"/>
    <col min="9980" max="9980" width="11.85546875" style="20" customWidth="1"/>
    <col min="9981" max="9981" width="13.28515625" style="20" customWidth="1"/>
    <col min="9982" max="9982" width="15.28515625" style="20" customWidth="1"/>
    <col min="9983" max="9983" width="11.85546875" style="20" customWidth="1"/>
    <col min="9984" max="9984" width="6.140625" style="20" customWidth="1"/>
    <col min="9985" max="9985" width="11.85546875" style="20" customWidth="1"/>
    <col min="9986" max="9986" width="9.42578125" style="20" customWidth="1"/>
    <col min="9987" max="9987" width="14.7109375" style="20" customWidth="1"/>
    <col min="9988" max="9988" width="11.5703125" style="20" customWidth="1"/>
    <col min="9989" max="9989" width="0.42578125" style="20" customWidth="1"/>
    <col min="9990" max="9990" width="10.5703125" style="20" bestFit="1" customWidth="1"/>
    <col min="9991" max="9991" width="12.28515625" style="20" customWidth="1"/>
    <col min="9992" max="9992" width="12.5703125" style="20" customWidth="1"/>
    <col min="9993" max="9993" width="10.5703125" style="20" customWidth="1"/>
    <col min="9994" max="9994" width="10.140625" style="20" customWidth="1"/>
    <col min="9995" max="9995" width="8.42578125" style="20" customWidth="1"/>
    <col min="9996" max="9996" width="18.85546875" style="20" customWidth="1"/>
    <col min="9997" max="9997" width="10.28515625" style="20" customWidth="1"/>
    <col min="9998" max="9998" width="11.42578125" style="20"/>
    <col min="9999" max="9999" width="12.140625" style="20" customWidth="1"/>
    <col min="10000" max="10000" width="10.5703125" style="20" customWidth="1"/>
    <col min="10001" max="10001" width="12.42578125" style="20" customWidth="1"/>
    <col min="10002" max="10002" width="15.140625" style="20" customWidth="1"/>
    <col min="10003" max="10003" width="13.5703125" style="20" customWidth="1"/>
    <col min="10004" max="10004" width="13.140625" style="20" customWidth="1"/>
    <col min="10005" max="10005" width="15.7109375" style="20" customWidth="1"/>
    <col min="10006" max="10006" width="37.5703125" style="20" customWidth="1"/>
    <col min="10007" max="10228" width="11.42578125" style="20"/>
    <col min="10229" max="10229" width="10.5703125" style="20" customWidth="1"/>
    <col min="10230" max="10230" width="4.85546875" style="20" customWidth="1"/>
    <col min="10231" max="10231" width="32.42578125" style="20" customWidth="1"/>
    <col min="10232" max="10232" width="9.85546875" style="20" customWidth="1"/>
    <col min="10233" max="10233" width="10.140625" style="20" customWidth="1"/>
    <col min="10234" max="10234" width="12.28515625" style="20" customWidth="1"/>
    <col min="10235" max="10235" width="15.42578125" style="20" customWidth="1"/>
    <col min="10236" max="10236" width="11.85546875" style="20" customWidth="1"/>
    <col min="10237" max="10237" width="13.28515625" style="20" customWidth="1"/>
    <col min="10238" max="10238" width="15.28515625" style="20" customWidth="1"/>
    <col min="10239" max="10239" width="11.85546875" style="20" customWidth="1"/>
    <col min="10240" max="10240" width="6.140625" style="20" customWidth="1"/>
    <col min="10241" max="10241" width="11.85546875" style="20" customWidth="1"/>
    <col min="10242" max="10242" width="9.42578125" style="20" customWidth="1"/>
    <col min="10243" max="10243" width="14.7109375" style="20" customWidth="1"/>
    <col min="10244" max="10244" width="11.5703125" style="20" customWidth="1"/>
    <col min="10245" max="10245" width="0.42578125" style="20" customWidth="1"/>
    <col min="10246" max="10246" width="10.5703125" style="20" bestFit="1" customWidth="1"/>
    <col min="10247" max="10247" width="12.28515625" style="20" customWidth="1"/>
    <col min="10248" max="10248" width="12.5703125" style="20" customWidth="1"/>
    <col min="10249" max="10249" width="10.5703125" style="20" customWidth="1"/>
    <col min="10250" max="10250" width="10.140625" style="20" customWidth="1"/>
    <col min="10251" max="10251" width="8.42578125" style="20" customWidth="1"/>
    <col min="10252" max="10252" width="18.85546875" style="20" customWidth="1"/>
    <col min="10253" max="10253" width="10.28515625" style="20" customWidth="1"/>
    <col min="10254" max="10254" width="11.42578125" style="20"/>
    <col min="10255" max="10255" width="12.140625" style="20" customWidth="1"/>
    <col min="10256" max="10256" width="10.5703125" style="20" customWidth="1"/>
    <col min="10257" max="10257" width="12.42578125" style="20" customWidth="1"/>
    <col min="10258" max="10258" width="15.140625" style="20" customWidth="1"/>
    <col min="10259" max="10259" width="13.5703125" style="20" customWidth="1"/>
    <col min="10260" max="10260" width="13.140625" style="20" customWidth="1"/>
    <col min="10261" max="10261" width="15.7109375" style="20" customWidth="1"/>
    <col min="10262" max="10262" width="37.5703125" style="20" customWidth="1"/>
    <col min="10263" max="10484" width="11.42578125" style="20"/>
    <col min="10485" max="10485" width="10.5703125" style="20" customWidth="1"/>
    <col min="10486" max="10486" width="4.85546875" style="20" customWidth="1"/>
    <col min="10487" max="10487" width="32.42578125" style="20" customWidth="1"/>
    <col min="10488" max="10488" width="9.85546875" style="20" customWidth="1"/>
    <col min="10489" max="10489" width="10.140625" style="20" customWidth="1"/>
    <col min="10490" max="10490" width="12.28515625" style="20" customWidth="1"/>
    <col min="10491" max="10491" width="15.42578125" style="20" customWidth="1"/>
    <col min="10492" max="10492" width="11.85546875" style="20" customWidth="1"/>
    <col min="10493" max="10493" width="13.28515625" style="20" customWidth="1"/>
    <col min="10494" max="10494" width="15.28515625" style="20" customWidth="1"/>
    <col min="10495" max="10495" width="11.85546875" style="20" customWidth="1"/>
    <col min="10496" max="10496" width="6.140625" style="20" customWidth="1"/>
    <col min="10497" max="10497" width="11.85546875" style="20" customWidth="1"/>
    <col min="10498" max="10498" width="9.42578125" style="20" customWidth="1"/>
    <col min="10499" max="10499" width="14.7109375" style="20" customWidth="1"/>
    <col min="10500" max="10500" width="11.5703125" style="20" customWidth="1"/>
    <col min="10501" max="10501" width="0.42578125" style="20" customWidth="1"/>
    <col min="10502" max="10502" width="10.5703125" style="20" bestFit="1" customWidth="1"/>
    <col min="10503" max="10503" width="12.28515625" style="20" customWidth="1"/>
    <col min="10504" max="10504" width="12.5703125" style="20" customWidth="1"/>
    <col min="10505" max="10505" width="10.5703125" style="20" customWidth="1"/>
    <col min="10506" max="10506" width="10.140625" style="20" customWidth="1"/>
    <col min="10507" max="10507" width="8.42578125" style="20" customWidth="1"/>
    <col min="10508" max="10508" width="18.85546875" style="20" customWidth="1"/>
    <col min="10509" max="10509" width="10.28515625" style="20" customWidth="1"/>
    <col min="10510" max="10510" width="11.42578125" style="20"/>
    <col min="10511" max="10511" width="12.140625" style="20" customWidth="1"/>
    <col min="10512" max="10512" width="10.5703125" style="20" customWidth="1"/>
    <col min="10513" max="10513" width="12.42578125" style="20" customWidth="1"/>
    <col min="10514" max="10514" width="15.140625" style="20" customWidth="1"/>
    <col min="10515" max="10515" width="13.5703125" style="20" customWidth="1"/>
    <col min="10516" max="10516" width="13.140625" style="20" customWidth="1"/>
    <col min="10517" max="10517" width="15.7109375" style="20" customWidth="1"/>
    <col min="10518" max="10518" width="37.5703125" style="20" customWidth="1"/>
    <col min="10519" max="10740" width="11.42578125" style="20"/>
    <col min="10741" max="10741" width="10.5703125" style="20" customWidth="1"/>
    <col min="10742" max="10742" width="4.85546875" style="20" customWidth="1"/>
    <col min="10743" max="10743" width="32.42578125" style="20" customWidth="1"/>
    <col min="10744" max="10744" width="9.85546875" style="20" customWidth="1"/>
    <col min="10745" max="10745" width="10.140625" style="20" customWidth="1"/>
    <col min="10746" max="10746" width="12.28515625" style="20" customWidth="1"/>
    <col min="10747" max="10747" width="15.42578125" style="20" customWidth="1"/>
    <col min="10748" max="10748" width="11.85546875" style="20" customWidth="1"/>
    <col min="10749" max="10749" width="13.28515625" style="20" customWidth="1"/>
    <col min="10750" max="10750" width="15.28515625" style="20" customWidth="1"/>
    <col min="10751" max="10751" width="11.85546875" style="20" customWidth="1"/>
    <col min="10752" max="10752" width="6.140625" style="20" customWidth="1"/>
    <col min="10753" max="10753" width="11.85546875" style="20" customWidth="1"/>
    <col min="10754" max="10754" width="9.42578125" style="20" customWidth="1"/>
    <col min="10755" max="10755" width="14.7109375" style="20" customWidth="1"/>
    <col min="10756" max="10756" width="11.5703125" style="20" customWidth="1"/>
    <col min="10757" max="10757" width="0.42578125" style="20" customWidth="1"/>
    <col min="10758" max="10758" width="10.5703125" style="20" bestFit="1" customWidth="1"/>
    <col min="10759" max="10759" width="12.28515625" style="20" customWidth="1"/>
    <col min="10760" max="10760" width="12.5703125" style="20" customWidth="1"/>
    <col min="10761" max="10761" width="10.5703125" style="20" customWidth="1"/>
    <col min="10762" max="10762" width="10.140625" style="20" customWidth="1"/>
    <col min="10763" max="10763" width="8.42578125" style="20" customWidth="1"/>
    <col min="10764" max="10764" width="18.85546875" style="20" customWidth="1"/>
    <col min="10765" max="10765" width="10.28515625" style="20" customWidth="1"/>
    <col min="10766" max="10766" width="11.42578125" style="20"/>
    <col min="10767" max="10767" width="12.140625" style="20" customWidth="1"/>
    <col min="10768" max="10768" width="10.5703125" style="20" customWidth="1"/>
    <col min="10769" max="10769" width="12.42578125" style="20" customWidth="1"/>
    <col min="10770" max="10770" width="15.140625" style="20" customWidth="1"/>
    <col min="10771" max="10771" width="13.5703125" style="20" customWidth="1"/>
    <col min="10772" max="10772" width="13.140625" style="20" customWidth="1"/>
    <col min="10773" max="10773" width="15.7109375" style="20" customWidth="1"/>
    <col min="10774" max="10774" width="37.5703125" style="20" customWidth="1"/>
    <col min="10775" max="10996" width="11.42578125" style="20"/>
    <col min="10997" max="10997" width="10.5703125" style="20" customWidth="1"/>
    <col min="10998" max="10998" width="4.85546875" style="20" customWidth="1"/>
    <col min="10999" max="10999" width="32.42578125" style="20" customWidth="1"/>
    <col min="11000" max="11000" width="9.85546875" style="20" customWidth="1"/>
    <col min="11001" max="11001" width="10.140625" style="20" customWidth="1"/>
    <col min="11002" max="11002" width="12.28515625" style="20" customWidth="1"/>
    <col min="11003" max="11003" width="15.42578125" style="20" customWidth="1"/>
    <col min="11004" max="11004" width="11.85546875" style="20" customWidth="1"/>
    <col min="11005" max="11005" width="13.28515625" style="20" customWidth="1"/>
    <col min="11006" max="11006" width="15.28515625" style="20" customWidth="1"/>
    <col min="11007" max="11007" width="11.85546875" style="20" customWidth="1"/>
    <col min="11008" max="11008" width="6.140625" style="20" customWidth="1"/>
    <col min="11009" max="11009" width="11.85546875" style="20" customWidth="1"/>
    <col min="11010" max="11010" width="9.42578125" style="20" customWidth="1"/>
    <col min="11011" max="11011" width="14.7109375" style="20" customWidth="1"/>
    <col min="11012" max="11012" width="11.5703125" style="20" customWidth="1"/>
    <col min="11013" max="11013" width="0.42578125" style="20" customWidth="1"/>
    <col min="11014" max="11014" width="10.5703125" style="20" bestFit="1" customWidth="1"/>
    <col min="11015" max="11015" width="12.28515625" style="20" customWidth="1"/>
    <col min="11016" max="11016" width="12.5703125" style="20" customWidth="1"/>
    <col min="11017" max="11017" width="10.5703125" style="20" customWidth="1"/>
    <col min="11018" max="11018" width="10.140625" style="20" customWidth="1"/>
    <col min="11019" max="11019" width="8.42578125" style="20" customWidth="1"/>
    <col min="11020" max="11020" width="18.85546875" style="20" customWidth="1"/>
    <col min="11021" max="11021" width="10.28515625" style="20" customWidth="1"/>
    <col min="11022" max="11022" width="11.42578125" style="20"/>
    <col min="11023" max="11023" width="12.140625" style="20" customWidth="1"/>
    <col min="11024" max="11024" width="10.5703125" style="20" customWidth="1"/>
    <col min="11025" max="11025" width="12.42578125" style="20" customWidth="1"/>
    <col min="11026" max="11026" width="15.140625" style="20" customWidth="1"/>
    <col min="11027" max="11027" width="13.5703125" style="20" customWidth="1"/>
    <col min="11028" max="11028" width="13.140625" style="20" customWidth="1"/>
    <col min="11029" max="11029" width="15.7109375" style="20" customWidth="1"/>
    <col min="11030" max="11030" width="37.5703125" style="20" customWidth="1"/>
    <col min="11031" max="11252" width="11.42578125" style="20"/>
    <col min="11253" max="11253" width="10.5703125" style="20" customWidth="1"/>
    <col min="11254" max="11254" width="4.85546875" style="20" customWidth="1"/>
    <col min="11255" max="11255" width="32.42578125" style="20" customWidth="1"/>
    <col min="11256" max="11256" width="9.85546875" style="20" customWidth="1"/>
    <col min="11257" max="11257" width="10.140625" style="20" customWidth="1"/>
    <col min="11258" max="11258" width="12.28515625" style="20" customWidth="1"/>
    <col min="11259" max="11259" width="15.42578125" style="20" customWidth="1"/>
    <col min="11260" max="11260" width="11.85546875" style="20" customWidth="1"/>
    <col min="11261" max="11261" width="13.28515625" style="20" customWidth="1"/>
    <col min="11262" max="11262" width="15.28515625" style="20" customWidth="1"/>
    <col min="11263" max="11263" width="11.85546875" style="20" customWidth="1"/>
    <col min="11264" max="11264" width="6.140625" style="20" customWidth="1"/>
    <col min="11265" max="11265" width="11.85546875" style="20" customWidth="1"/>
    <col min="11266" max="11266" width="9.42578125" style="20" customWidth="1"/>
    <col min="11267" max="11267" width="14.7109375" style="20" customWidth="1"/>
    <col min="11268" max="11268" width="11.5703125" style="20" customWidth="1"/>
    <col min="11269" max="11269" width="0.42578125" style="20" customWidth="1"/>
    <col min="11270" max="11270" width="10.5703125" style="20" bestFit="1" customWidth="1"/>
    <col min="11271" max="11271" width="12.28515625" style="20" customWidth="1"/>
    <col min="11272" max="11272" width="12.5703125" style="20" customWidth="1"/>
    <col min="11273" max="11273" width="10.5703125" style="20" customWidth="1"/>
    <col min="11274" max="11274" width="10.140625" style="20" customWidth="1"/>
    <col min="11275" max="11275" width="8.42578125" style="20" customWidth="1"/>
    <col min="11276" max="11276" width="18.85546875" style="20" customWidth="1"/>
    <col min="11277" max="11277" width="10.28515625" style="20" customWidth="1"/>
    <col min="11278" max="11278" width="11.42578125" style="20"/>
    <col min="11279" max="11279" width="12.140625" style="20" customWidth="1"/>
    <col min="11280" max="11280" width="10.5703125" style="20" customWidth="1"/>
    <col min="11281" max="11281" width="12.42578125" style="20" customWidth="1"/>
    <col min="11282" max="11282" width="15.140625" style="20" customWidth="1"/>
    <col min="11283" max="11283" width="13.5703125" style="20" customWidth="1"/>
    <col min="11284" max="11284" width="13.140625" style="20" customWidth="1"/>
    <col min="11285" max="11285" width="15.7109375" style="20" customWidth="1"/>
    <col min="11286" max="11286" width="37.5703125" style="20" customWidth="1"/>
    <col min="11287" max="11508" width="11.42578125" style="20"/>
    <col min="11509" max="11509" width="10.5703125" style="20" customWidth="1"/>
    <col min="11510" max="11510" width="4.85546875" style="20" customWidth="1"/>
    <col min="11511" max="11511" width="32.42578125" style="20" customWidth="1"/>
    <col min="11512" max="11512" width="9.85546875" style="20" customWidth="1"/>
    <col min="11513" max="11513" width="10.140625" style="20" customWidth="1"/>
    <col min="11514" max="11514" width="12.28515625" style="20" customWidth="1"/>
    <col min="11515" max="11515" width="15.42578125" style="20" customWidth="1"/>
    <col min="11516" max="11516" width="11.85546875" style="20" customWidth="1"/>
    <col min="11517" max="11517" width="13.28515625" style="20" customWidth="1"/>
    <col min="11518" max="11518" width="15.28515625" style="20" customWidth="1"/>
    <col min="11519" max="11519" width="11.85546875" style="20" customWidth="1"/>
    <col min="11520" max="11520" width="6.140625" style="20" customWidth="1"/>
    <col min="11521" max="11521" width="11.85546875" style="20" customWidth="1"/>
    <col min="11522" max="11522" width="9.42578125" style="20" customWidth="1"/>
    <col min="11523" max="11523" width="14.7109375" style="20" customWidth="1"/>
    <col min="11524" max="11524" width="11.5703125" style="20" customWidth="1"/>
    <col min="11525" max="11525" width="0.42578125" style="20" customWidth="1"/>
    <col min="11526" max="11526" width="10.5703125" style="20" bestFit="1" customWidth="1"/>
    <col min="11527" max="11527" width="12.28515625" style="20" customWidth="1"/>
    <col min="11528" max="11528" width="12.5703125" style="20" customWidth="1"/>
    <col min="11529" max="11529" width="10.5703125" style="20" customWidth="1"/>
    <col min="11530" max="11530" width="10.140625" style="20" customWidth="1"/>
    <col min="11531" max="11531" width="8.42578125" style="20" customWidth="1"/>
    <col min="11532" max="11532" width="18.85546875" style="20" customWidth="1"/>
    <col min="11533" max="11533" width="10.28515625" style="20" customWidth="1"/>
    <col min="11534" max="11534" width="11.42578125" style="20"/>
    <col min="11535" max="11535" width="12.140625" style="20" customWidth="1"/>
    <col min="11536" max="11536" width="10.5703125" style="20" customWidth="1"/>
    <col min="11537" max="11537" width="12.42578125" style="20" customWidth="1"/>
    <col min="11538" max="11538" width="15.140625" style="20" customWidth="1"/>
    <col min="11539" max="11539" width="13.5703125" style="20" customWidth="1"/>
    <col min="11540" max="11540" width="13.140625" style="20" customWidth="1"/>
    <col min="11541" max="11541" width="15.7109375" style="20" customWidth="1"/>
    <col min="11542" max="11542" width="37.5703125" style="20" customWidth="1"/>
    <col min="11543" max="11764" width="11.42578125" style="20"/>
    <col min="11765" max="11765" width="10.5703125" style="20" customWidth="1"/>
    <col min="11766" max="11766" width="4.85546875" style="20" customWidth="1"/>
    <col min="11767" max="11767" width="32.42578125" style="20" customWidth="1"/>
    <col min="11768" max="11768" width="9.85546875" style="20" customWidth="1"/>
    <col min="11769" max="11769" width="10.140625" style="20" customWidth="1"/>
    <col min="11770" max="11770" width="12.28515625" style="20" customWidth="1"/>
    <col min="11771" max="11771" width="15.42578125" style="20" customWidth="1"/>
    <col min="11772" max="11772" width="11.85546875" style="20" customWidth="1"/>
    <col min="11773" max="11773" width="13.28515625" style="20" customWidth="1"/>
    <col min="11774" max="11774" width="15.28515625" style="20" customWidth="1"/>
    <col min="11775" max="11775" width="11.85546875" style="20" customWidth="1"/>
    <col min="11776" max="11776" width="6.140625" style="20" customWidth="1"/>
    <col min="11777" max="11777" width="11.85546875" style="20" customWidth="1"/>
    <col min="11778" max="11778" width="9.42578125" style="20" customWidth="1"/>
    <col min="11779" max="11779" width="14.7109375" style="20" customWidth="1"/>
    <col min="11780" max="11780" width="11.5703125" style="20" customWidth="1"/>
    <col min="11781" max="11781" width="0.42578125" style="20" customWidth="1"/>
    <col min="11782" max="11782" width="10.5703125" style="20" bestFit="1" customWidth="1"/>
    <col min="11783" max="11783" width="12.28515625" style="20" customWidth="1"/>
    <col min="11784" max="11784" width="12.5703125" style="20" customWidth="1"/>
    <col min="11785" max="11785" width="10.5703125" style="20" customWidth="1"/>
    <col min="11786" max="11786" width="10.140625" style="20" customWidth="1"/>
    <col min="11787" max="11787" width="8.42578125" style="20" customWidth="1"/>
    <col min="11788" max="11788" width="18.85546875" style="20" customWidth="1"/>
    <col min="11789" max="11789" width="10.28515625" style="20" customWidth="1"/>
    <col min="11790" max="11790" width="11.42578125" style="20"/>
    <col min="11791" max="11791" width="12.140625" style="20" customWidth="1"/>
    <col min="11792" max="11792" width="10.5703125" style="20" customWidth="1"/>
    <col min="11793" max="11793" width="12.42578125" style="20" customWidth="1"/>
    <col min="11794" max="11794" width="15.140625" style="20" customWidth="1"/>
    <col min="11795" max="11795" width="13.5703125" style="20" customWidth="1"/>
    <col min="11796" max="11796" width="13.140625" style="20" customWidth="1"/>
    <col min="11797" max="11797" width="15.7109375" style="20" customWidth="1"/>
    <col min="11798" max="11798" width="37.5703125" style="20" customWidth="1"/>
    <col min="11799" max="12020" width="11.42578125" style="20"/>
    <col min="12021" max="12021" width="10.5703125" style="20" customWidth="1"/>
    <col min="12022" max="12022" width="4.85546875" style="20" customWidth="1"/>
    <col min="12023" max="12023" width="32.42578125" style="20" customWidth="1"/>
    <col min="12024" max="12024" width="9.85546875" style="20" customWidth="1"/>
    <col min="12025" max="12025" width="10.140625" style="20" customWidth="1"/>
    <col min="12026" max="12026" width="12.28515625" style="20" customWidth="1"/>
    <col min="12027" max="12027" width="15.42578125" style="20" customWidth="1"/>
    <col min="12028" max="12028" width="11.85546875" style="20" customWidth="1"/>
    <col min="12029" max="12029" width="13.28515625" style="20" customWidth="1"/>
    <col min="12030" max="12030" width="15.28515625" style="20" customWidth="1"/>
    <col min="12031" max="12031" width="11.85546875" style="20" customWidth="1"/>
    <col min="12032" max="12032" width="6.140625" style="20" customWidth="1"/>
    <col min="12033" max="12033" width="11.85546875" style="20" customWidth="1"/>
    <col min="12034" max="12034" width="9.42578125" style="20" customWidth="1"/>
    <col min="12035" max="12035" width="14.7109375" style="20" customWidth="1"/>
    <col min="12036" max="12036" width="11.5703125" style="20" customWidth="1"/>
    <col min="12037" max="12037" width="0.42578125" style="20" customWidth="1"/>
    <col min="12038" max="12038" width="10.5703125" style="20" bestFit="1" customWidth="1"/>
    <col min="12039" max="12039" width="12.28515625" style="20" customWidth="1"/>
    <col min="12040" max="12040" width="12.5703125" style="20" customWidth="1"/>
    <col min="12041" max="12041" width="10.5703125" style="20" customWidth="1"/>
    <col min="12042" max="12042" width="10.140625" style="20" customWidth="1"/>
    <col min="12043" max="12043" width="8.42578125" style="20" customWidth="1"/>
    <col min="12044" max="12044" width="18.85546875" style="20" customWidth="1"/>
    <col min="12045" max="12045" width="10.28515625" style="20" customWidth="1"/>
    <col min="12046" max="12046" width="11.42578125" style="20"/>
    <col min="12047" max="12047" width="12.140625" style="20" customWidth="1"/>
    <col min="12048" max="12048" width="10.5703125" style="20" customWidth="1"/>
    <col min="12049" max="12049" width="12.42578125" style="20" customWidth="1"/>
    <col min="12050" max="12050" width="15.140625" style="20" customWidth="1"/>
    <col min="12051" max="12051" width="13.5703125" style="20" customWidth="1"/>
    <col min="12052" max="12052" width="13.140625" style="20" customWidth="1"/>
    <col min="12053" max="12053" width="15.7109375" style="20" customWidth="1"/>
    <col min="12054" max="12054" width="37.5703125" style="20" customWidth="1"/>
    <col min="12055" max="12276" width="11.42578125" style="20"/>
    <col min="12277" max="12277" width="10.5703125" style="20" customWidth="1"/>
    <col min="12278" max="12278" width="4.85546875" style="20" customWidth="1"/>
    <col min="12279" max="12279" width="32.42578125" style="20" customWidth="1"/>
    <col min="12280" max="12280" width="9.85546875" style="20" customWidth="1"/>
    <col min="12281" max="12281" width="10.140625" style="20" customWidth="1"/>
    <col min="12282" max="12282" width="12.28515625" style="20" customWidth="1"/>
    <col min="12283" max="12283" width="15.42578125" style="20" customWidth="1"/>
    <col min="12284" max="12284" width="11.85546875" style="20" customWidth="1"/>
    <col min="12285" max="12285" width="13.28515625" style="20" customWidth="1"/>
    <col min="12286" max="12286" width="15.28515625" style="20" customWidth="1"/>
    <col min="12287" max="12287" width="11.85546875" style="20" customWidth="1"/>
    <col min="12288" max="12288" width="6.140625" style="20" customWidth="1"/>
    <col min="12289" max="12289" width="11.85546875" style="20" customWidth="1"/>
    <col min="12290" max="12290" width="9.42578125" style="20" customWidth="1"/>
    <col min="12291" max="12291" width="14.7109375" style="20" customWidth="1"/>
    <col min="12292" max="12292" width="11.5703125" style="20" customWidth="1"/>
    <col min="12293" max="12293" width="0.42578125" style="20" customWidth="1"/>
    <col min="12294" max="12294" width="10.5703125" style="20" bestFit="1" customWidth="1"/>
    <col min="12295" max="12295" width="12.28515625" style="20" customWidth="1"/>
    <col min="12296" max="12296" width="12.5703125" style="20" customWidth="1"/>
    <col min="12297" max="12297" width="10.5703125" style="20" customWidth="1"/>
    <col min="12298" max="12298" width="10.140625" style="20" customWidth="1"/>
    <col min="12299" max="12299" width="8.42578125" style="20" customWidth="1"/>
    <col min="12300" max="12300" width="18.85546875" style="20" customWidth="1"/>
    <col min="12301" max="12301" width="10.28515625" style="20" customWidth="1"/>
    <col min="12302" max="12302" width="11.42578125" style="20"/>
    <col min="12303" max="12303" width="12.140625" style="20" customWidth="1"/>
    <col min="12304" max="12304" width="10.5703125" style="20" customWidth="1"/>
    <col min="12305" max="12305" width="12.42578125" style="20" customWidth="1"/>
    <col min="12306" max="12306" width="15.140625" style="20" customWidth="1"/>
    <col min="12307" max="12307" width="13.5703125" style="20" customWidth="1"/>
    <col min="12308" max="12308" width="13.140625" style="20" customWidth="1"/>
    <col min="12309" max="12309" width="15.7109375" style="20" customWidth="1"/>
    <col min="12310" max="12310" width="37.5703125" style="20" customWidth="1"/>
    <col min="12311" max="12532" width="11.42578125" style="20"/>
    <col min="12533" max="12533" width="10.5703125" style="20" customWidth="1"/>
    <col min="12534" max="12534" width="4.85546875" style="20" customWidth="1"/>
    <col min="12535" max="12535" width="32.42578125" style="20" customWidth="1"/>
    <col min="12536" max="12536" width="9.85546875" style="20" customWidth="1"/>
    <col min="12537" max="12537" width="10.140625" style="20" customWidth="1"/>
    <col min="12538" max="12538" width="12.28515625" style="20" customWidth="1"/>
    <col min="12539" max="12539" width="15.42578125" style="20" customWidth="1"/>
    <col min="12540" max="12540" width="11.85546875" style="20" customWidth="1"/>
    <col min="12541" max="12541" width="13.28515625" style="20" customWidth="1"/>
    <col min="12542" max="12542" width="15.28515625" style="20" customWidth="1"/>
    <col min="12543" max="12543" width="11.85546875" style="20" customWidth="1"/>
    <col min="12544" max="12544" width="6.140625" style="20" customWidth="1"/>
    <col min="12545" max="12545" width="11.85546875" style="20" customWidth="1"/>
    <col min="12546" max="12546" width="9.42578125" style="20" customWidth="1"/>
    <col min="12547" max="12547" width="14.7109375" style="20" customWidth="1"/>
    <col min="12548" max="12548" width="11.5703125" style="20" customWidth="1"/>
    <col min="12549" max="12549" width="0.42578125" style="20" customWidth="1"/>
    <col min="12550" max="12550" width="10.5703125" style="20" bestFit="1" customWidth="1"/>
    <col min="12551" max="12551" width="12.28515625" style="20" customWidth="1"/>
    <col min="12552" max="12552" width="12.5703125" style="20" customWidth="1"/>
    <col min="12553" max="12553" width="10.5703125" style="20" customWidth="1"/>
    <col min="12554" max="12554" width="10.140625" style="20" customWidth="1"/>
    <col min="12555" max="12555" width="8.42578125" style="20" customWidth="1"/>
    <col min="12556" max="12556" width="18.85546875" style="20" customWidth="1"/>
    <col min="12557" max="12557" width="10.28515625" style="20" customWidth="1"/>
    <col min="12558" max="12558" width="11.42578125" style="20"/>
    <col min="12559" max="12559" width="12.140625" style="20" customWidth="1"/>
    <col min="12560" max="12560" width="10.5703125" style="20" customWidth="1"/>
    <col min="12561" max="12561" width="12.42578125" style="20" customWidth="1"/>
    <col min="12562" max="12562" width="15.140625" style="20" customWidth="1"/>
    <col min="12563" max="12563" width="13.5703125" style="20" customWidth="1"/>
    <col min="12564" max="12564" width="13.140625" style="20" customWidth="1"/>
    <col min="12565" max="12565" width="15.7109375" style="20" customWidth="1"/>
    <col min="12566" max="12566" width="37.5703125" style="20" customWidth="1"/>
    <col min="12567" max="12788" width="11.42578125" style="20"/>
    <col min="12789" max="12789" width="10.5703125" style="20" customWidth="1"/>
    <col min="12790" max="12790" width="4.85546875" style="20" customWidth="1"/>
    <col min="12791" max="12791" width="32.42578125" style="20" customWidth="1"/>
    <col min="12792" max="12792" width="9.85546875" style="20" customWidth="1"/>
    <col min="12793" max="12793" width="10.140625" style="20" customWidth="1"/>
    <col min="12794" max="12794" width="12.28515625" style="20" customWidth="1"/>
    <col min="12795" max="12795" width="15.42578125" style="20" customWidth="1"/>
    <col min="12796" max="12796" width="11.85546875" style="20" customWidth="1"/>
    <col min="12797" max="12797" width="13.28515625" style="20" customWidth="1"/>
    <col min="12798" max="12798" width="15.28515625" style="20" customWidth="1"/>
    <col min="12799" max="12799" width="11.85546875" style="20" customWidth="1"/>
    <col min="12800" max="12800" width="6.140625" style="20" customWidth="1"/>
    <col min="12801" max="12801" width="11.85546875" style="20" customWidth="1"/>
    <col min="12802" max="12802" width="9.42578125" style="20" customWidth="1"/>
    <col min="12803" max="12803" width="14.7109375" style="20" customWidth="1"/>
    <col min="12804" max="12804" width="11.5703125" style="20" customWidth="1"/>
    <col min="12805" max="12805" width="0.42578125" style="20" customWidth="1"/>
    <col min="12806" max="12806" width="10.5703125" style="20" bestFit="1" customWidth="1"/>
    <col min="12807" max="12807" width="12.28515625" style="20" customWidth="1"/>
    <col min="12808" max="12808" width="12.5703125" style="20" customWidth="1"/>
    <col min="12809" max="12809" width="10.5703125" style="20" customWidth="1"/>
    <col min="12810" max="12810" width="10.140625" style="20" customWidth="1"/>
    <col min="12811" max="12811" width="8.42578125" style="20" customWidth="1"/>
    <col min="12812" max="12812" width="18.85546875" style="20" customWidth="1"/>
    <col min="12813" max="12813" width="10.28515625" style="20" customWidth="1"/>
    <col min="12814" max="12814" width="11.42578125" style="20"/>
    <col min="12815" max="12815" width="12.140625" style="20" customWidth="1"/>
    <col min="12816" max="12816" width="10.5703125" style="20" customWidth="1"/>
    <col min="12817" max="12817" width="12.42578125" style="20" customWidth="1"/>
    <col min="12818" max="12818" width="15.140625" style="20" customWidth="1"/>
    <col min="12819" max="12819" width="13.5703125" style="20" customWidth="1"/>
    <col min="12820" max="12820" width="13.140625" style="20" customWidth="1"/>
    <col min="12821" max="12821" width="15.7109375" style="20" customWidth="1"/>
    <col min="12822" max="12822" width="37.5703125" style="20" customWidth="1"/>
    <col min="12823" max="13044" width="11.42578125" style="20"/>
    <col min="13045" max="13045" width="10.5703125" style="20" customWidth="1"/>
    <col min="13046" max="13046" width="4.85546875" style="20" customWidth="1"/>
    <col min="13047" max="13047" width="32.42578125" style="20" customWidth="1"/>
    <col min="13048" max="13048" width="9.85546875" style="20" customWidth="1"/>
    <col min="13049" max="13049" width="10.140625" style="20" customWidth="1"/>
    <col min="13050" max="13050" width="12.28515625" style="20" customWidth="1"/>
    <col min="13051" max="13051" width="15.42578125" style="20" customWidth="1"/>
    <col min="13052" max="13052" width="11.85546875" style="20" customWidth="1"/>
    <col min="13053" max="13053" width="13.28515625" style="20" customWidth="1"/>
    <col min="13054" max="13054" width="15.28515625" style="20" customWidth="1"/>
    <col min="13055" max="13055" width="11.85546875" style="20" customWidth="1"/>
    <col min="13056" max="13056" width="6.140625" style="20" customWidth="1"/>
    <col min="13057" max="13057" width="11.85546875" style="20" customWidth="1"/>
    <col min="13058" max="13058" width="9.42578125" style="20" customWidth="1"/>
    <col min="13059" max="13059" width="14.7109375" style="20" customWidth="1"/>
    <col min="13060" max="13060" width="11.5703125" style="20" customWidth="1"/>
    <col min="13061" max="13061" width="0.42578125" style="20" customWidth="1"/>
    <col min="13062" max="13062" width="10.5703125" style="20" bestFit="1" customWidth="1"/>
    <col min="13063" max="13063" width="12.28515625" style="20" customWidth="1"/>
    <col min="13064" max="13064" width="12.5703125" style="20" customWidth="1"/>
    <col min="13065" max="13065" width="10.5703125" style="20" customWidth="1"/>
    <col min="13066" max="13066" width="10.140625" style="20" customWidth="1"/>
    <col min="13067" max="13067" width="8.42578125" style="20" customWidth="1"/>
    <col min="13068" max="13068" width="18.85546875" style="20" customWidth="1"/>
    <col min="13069" max="13069" width="10.28515625" style="20" customWidth="1"/>
    <col min="13070" max="13070" width="11.42578125" style="20"/>
    <col min="13071" max="13071" width="12.140625" style="20" customWidth="1"/>
    <col min="13072" max="13072" width="10.5703125" style="20" customWidth="1"/>
    <col min="13073" max="13073" width="12.42578125" style="20" customWidth="1"/>
    <col min="13074" max="13074" width="15.140625" style="20" customWidth="1"/>
    <col min="13075" max="13075" width="13.5703125" style="20" customWidth="1"/>
    <col min="13076" max="13076" width="13.140625" style="20" customWidth="1"/>
    <col min="13077" max="13077" width="15.7109375" style="20" customWidth="1"/>
    <col min="13078" max="13078" width="37.5703125" style="20" customWidth="1"/>
    <col min="13079" max="13300" width="11.42578125" style="20"/>
    <col min="13301" max="13301" width="10.5703125" style="20" customWidth="1"/>
    <col min="13302" max="13302" width="4.85546875" style="20" customWidth="1"/>
    <col min="13303" max="13303" width="32.42578125" style="20" customWidth="1"/>
    <col min="13304" max="13304" width="9.85546875" style="20" customWidth="1"/>
    <col min="13305" max="13305" width="10.140625" style="20" customWidth="1"/>
    <col min="13306" max="13306" width="12.28515625" style="20" customWidth="1"/>
    <col min="13307" max="13307" width="15.42578125" style="20" customWidth="1"/>
    <col min="13308" max="13308" width="11.85546875" style="20" customWidth="1"/>
    <col min="13309" max="13309" width="13.28515625" style="20" customWidth="1"/>
    <col min="13310" max="13310" width="15.28515625" style="20" customWidth="1"/>
    <col min="13311" max="13311" width="11.85546875" style="20" customWidth="1"/>
    <col min="13312" max="13312" width="6.140625" style="20" customWidth="1"/>
    <col min="13313" max="13313" width="11.85546875" style="20" customWidth="1"/>
    <col min="13314" max="13314" width="9.42578125" style="20" customWidth="1"/>
    <col min="13315" max="13315" width="14.7109375" style="20" customWidth="1"/>
    <col min="13316" max="13316" width="11.5703125" style="20" customWidth="1"/>
    <col min="13317" max="13317" width="0.42578125" style="20" customWidth="1"/>
    <col min="13318" max="13318" width="10.5703125" style="20" bestFit="1" customWidth="1"/>
    <col min="13319" max="13319" width="12.28515625" style="20" customWidth="1"/>
    <col min="13320" max="13320" width="12.5703125" style="20" customWidth="1"/>
    <col min="13321" max="13321" width="10.5703125" style="20" customWidth="1"/>
    <col min="13322" max="13322" width="10.140625" style="20" customWidth="1"/>
    <col min="13323" max="13323" width="8.42578125" style="20" customWidth="1"/>
    <col min="13324" max="13324" width="18.85546875" style="20" customWidth="1"/>
    <col min="13325" max="13325" width="10.28515625" style="20" customWidth="1"/>
    <col min="13326" max="13326" width="11.42578125" style="20"/>
    <col min="13327" max="13327" width="12.140625" style="20" customWidth="1"/>
    <col min="13328" max="13328" width="10.5703125" style="20" customWidth="1"/>
    <col min="13329" max="13329" width="12.42578125" style="20" customWidth="1"/>
    <col min="13330" max="13330" width="15.140625" style="20" customWidth="1"/>
    <col min="13331" max="13331" width="13.5703125" style="20" customWidth="1"/>
    <col min="13332" max="13332" width="13.140625" style="20" customWidth="1"/>
    <col min="13333" max="13333" width="15.7109375" style="20" customWidth="1"/>
    <col min="13334" max="13334" width="37.5703125" style="20" customWidth="1"/>
    <col min="13335" max="13556" width="11.42578125" style="20"/>
    <col min="13557" max="13557" width="10.5703125" style="20" customWidth="1"/>
    <col min="13558" max="13558" width="4.85546875" style="20" customWidth="1"/>
    <col min="13559" max="13559" width="32.42578125" style="20" customWidth="1"/>
    <col min="13560" max="13560" width="9.85546875" style="20" customWidth="1"/>
    <col min="13561" max="13561" width="10.140625" style="20" customWidth="1"/>
    <col min="13562" max="13562" width="12.28515625" style="20" customWidth="1"/>
    <col min="13563" max="13563" width="15.42578125" style="20" customWidth="1"/>
    <col min="13564" max="13564" width="11.85546875" style="20" customWidth="1"/>
    <col min="13565" max="13565" width="13.28515625" style="20" customWidth="1"/>
    <col min="13566" max="13566" width="15.28515625" style="20" customWidth="1"/>
    <col min="13567" max="13567" width="11.85546875" style="20" customWidth="1"/>
    <col min="13568" max="13568" width="6.140625" style="20" customWidth="1"/>
    <col min="13569" max="13569" width="11.85546875" style="20" customWidth="1"/>
    <col min="13570" max="13570" width="9.42578125" style="20" customWidth="1"/>
    <col min="13571" max="13571" width="14.7109375" style="20" customWidth="1"/>
    <col min="13572" max="13572" width="11.5703125" style="20" customWidth="1"/>
    <col min="13573" max="13573" width="0.42578125" style="20" customWidth="1"/>
    <col min="13574" max="13574" width="10.5703125" style="20" bestFit="1" customWidth="1"/>
    <col min="13575" max="13575" width="12.28515625" style="20" customWidth="1"/>
    <col min="13576" max="13576" width="12.5703125" style="20" customWidth="1"/>
    <col min="13577" max="13577" width="10.5703125" style="20" customWidth="1"/>
    <col min="13578" max="13578" width="10.140625" style="20" customWidth="1"/>
    <col min="13579" max="13579" width="8.42578125" style="20" customWidth="1"/>
    <col min="13580" max="13580" width="18.85546875" style="20" customWidth="1"/>
    <col min="13581" max="13581" width="10.28515625" style="20" customWidth="1"/>
    <col min="13582" max="13582" width="11.42578125" style="20"/>
    <col min="13583" max="13583" width="12.140625" style="20" customWidth="1"/>
    <col min="13584" max="13584" width="10.5703125" style="20" customWidth="1"/>
    <col min="13585" max="13585" width="12.42578125" style="20" customWidth="1"/>
    <col min="13586" max="13586" width="15.140625" style="20" customWidth="1"/>
    <col min="13587" max="13587" width="13.5703125" style="20" customWidth="1"/>
    <col min="13588" max="13588" width="13.140625" style="20" customWidth="1"/>
    <col min="13589" max="13589" width="15.7109375" style="20" customWidth="1"/>
    <col min="13590" max="13590" width="37.5703125" style="20" customWidth="1"/>
    <col min="13591" max="13812" width="11.42578125" style="20"/>
    <col min="13813" max="13813" width="10.5703125" style="20" customWidth="1"/>
    <col min="13814" max="13814" width="4.85546875" style="20" customWidth="1"/>
    <col min="13815" max="13815" width="32.42578125" style="20" customWidth="1"/>
    <col min="13816" max="13816" width="9.85546875" style="20" customWidth="1"/>
    <col min="13817" max="13817" width="10.140625" style="20" customWidth="1"/>
    <col min="13818" max="13818" width="12.28515625" style="20" customWidth="1"/>
    <col min="13819" max="13819" width="15.42578125" style="20" customWidth="1"/>
    <col min="13820" max="13820" width="11.85546875" style="20" customWidth="1"/>
    <col min="13821" max="13821" width="13.28515625" style="20" customWidth="1"/>
    <col min="13822" max="13822" width="15.28515625" style="20" customWidth="1"/>
    <col min="13823" max="13823" width="11.85546875" style="20" customWidth="1"/>
    <col min="13824" max="13824" width="6.140625" style="20" customWidth="1"/>
    <col min="13825" max="13825" width="11.85546875" style="20" customWidth="1"/>
    <col min="13826" max="13826" width="9.42578125" style="20" customWidth="1"/>
    <col min="13827" max="13827" width="14.7109375" style="20" customWidth="1"/>
    <col min="13828" max="13828" width="11.5703125" style="20" customWidth="1"/>
    <col min="13829" max="13829" width="0.42578125" style="20" customWidth="1"/>
    <col min="13830" max="13830" width="10.5703125" style="20" bestFit="1" customWidth="1"/>
    <col min="13831" max="13831" width="12.28515625" style="20" customWidth="1"/>
    <col min="13832" max="13832" width="12.5703125" style="20" customWidth="1"/>
    <col min="13833" max="13833" width="10.5703125" style="20" customWidth="1"/>
    <col min="13834" max="13834" width="10.140625" style="20" customWidth="1"/>
    <col min="13835" max="13835" width="8.42578125" style="20" customWidth="1"/>
    <col min="13836" max="13836" width="18.85546875" style="20" customWidth="1"/>
    <col min="13837" max="13837" width="10.28515625" style="20" customWidth="1"/>
    <col min="13838" max="13838" width="11.42578125" style="20"/>
    <col min="13839" max="13839" width="12.140625" style="20" customWidth="1"/>
    <col min="13840" max="13840" width="10.5703125" style="20" customWidth="1"/>
    <col min="13841" max="13841" width="12.42578125" style="20" customWidth="1"/>
    <col min="13842" max="13842" width="15.140625" style="20" customWidth="1"/>
    <col min="13843" max="13843" width="13.5703125" style="20" customWidth="1"/>
    <col min="13844" max="13844" width="13.140625" style="20" customWidth="1"/>
    <col min="13845" max="13845" width="15.7109375" style="20" customWidth="1"/>
    <col min="13846" max="13846" width="37.5703125" style="20" customWidth="1"/>
    <col min="13847" max="14068" width="11.42578125" style="20"/>
    <col min="14069" max="14069" width="10.5703125" style="20" customWidth="1"/>
    <col min="14070" max="14070" width="4.85546875" style="20" customWidth="1"/>
    <col min="14071" max="14071" width="32.42578125" style="20" customWidth="1"/>
    <col min="14072" max="14072" width="9.85546875" style="20" customWidth="1"/>
    <col min="14073" max="14073" width="10.140625" style="20" customWidth="1"/>
    <col min="14074" max="14074" width="12.28515625" style="20" customWidth="1"/>
    <col min="14075" max="14075" width="15.42578125" style="20" customWidth="1"/>
    <col min="14076" max="14076" width="11.85546875" style="20" customWidth="1"/>
    <col min="14077" max="14077" width="13.28515625" style="20" customWidth="1"/>
    <col min="14078" max="14078" width="15.28515625" style="20" customWidth="1"/>
    <col min="14079" max="14079" width="11.85546875" style="20" customWidth="1"/>
    <col min="14080" max="14080" width="6.140625" style="20" customWidth="1"/>
    <col min="14081" max="14081" width="11.85546875" style="20" customWidth="1"/>
    <col min="14082" max="14082" width="9.42578125" style="20" customWidth="1"/>
    <col min="14083" max="14083" width="14.7109375" style="20" customWidth="1"/>
    <col min="14084" max="14084" width="11.5703125" style="20" customWidth="1"/>
    <col min="14085" max="14085" width="0.42578125" style="20" customWidth="1"/>
    <col min="14086" max="14086" width="10.5703125" style="20" bestFit="1" customWidth="1"/>
    <col min="14087" max="14087" width="12.28515625" style="20" customWidth="1"/>
    <col min="14088" max="14088" width="12.5703125" style="20" customWidth="1"/>
    <col min="14089" max="14089" width="10.5703125" style="20" customWidth="1"/>
    <col min="14090" max="14090" width="10.140625" style="20" customWidth="1"/>
    <col min="14091" max="14091" width="8.42578125" style="20" customWidth="1"/>
    <col min="14092" max="14092" width="18.85546875" style="20" customWidth="1"/>
    <col min="14093" max="14093" width="10.28515625" style="20" customWidth="1"/>
    <col min="14094" max="14094" width="11.42578125" style="20"/>
    <col min="14095" max="14095" width="12.140625" style="20" customWidth="1"/>
    <col min="14096" max="14096" width="10.5703125" style="20" customWidth="1"/>
    <col min="14097" max="14097" width="12.42578125" style="20" customWidth="1"/>
    <col min="14098" max="14098" width="15.140625" style="20" customWidth="1"/>
    <col min="14099" max="14099" width="13.5703125" style="20" customWidth="1"/>
    <col min="14100" max="14100" width="13.140625" style="20" customWidth="1"/>
    <col min="14101" max="14101" width="15.7109375" style="20" customWidth="1"/>
    <col min="14102" max="14102" width="37.5703125" style="20" customWidth="1"/>
    <col min="14103" max="14324" width="11.42578125" style="20"/>
    <col min="14325" max="14325" width="10.5703125" style="20" customWidth="1"/>
    <col min="14326" max="14326" width="4.85546875" style="20" customWidth="1"/>
    <col min="14327" max="14327" width="32.42578125" style="20" customWidth="1"/>
    <col min="14328" max="14328" width="9.85546875" style="20" customWidth="1"/>
    <col min="14329" max="14329" width="10.140625" style="20" customWidth="1"/>
    <col min="14330" max="14330" width="12.28515625" style="20" customWidth="1"/>
    <col min="14331" max="14331" width="15.42578125" style="20" customWidth="1"/>
    <col min="14332" max="14332" width="11.85546875" style="20" customWidth="1"/>
    <col min="14333" max="14333" width="13.28515625" style="20" customWidth="1"/>
    <col min="14334" max="14334" width="15.28515625" style="20" customWidth="1"/>
    <col min="14335" max="14335" width="11.85546875" style="20" customWidth="1"/>
    <col min="14336" max="14336" width="6.140625" style="20" customWidth="1"/>
    <col min="14337" max="14337" width="11.85546875" style="20" customWidth="1"/>
    <col min="14338" max="14338" width="9.42578125" style="20" customWidth="1"/>
    <col min="14339" max="14339" width="14.7109375" style="20" customWidth="1"/>
    <col min="14340" max="14340" width="11.5703125" style="20" customWidth="1"/>
    <col min="14341" max="14341" width="0.42578125" style="20" customWidth="1"/>
    <col min="14342" max="14342" width="10.5703125" style="20" bestFit="1" customWidth="1"/>
    <col min="14343" max="14343" width="12.28515625" style="20" customWidth="1"/>
    <col min="14344" max="14344" width="12.5703125" style="20" customWidth="1"/>
    <col min="14345" max="14345" width="10.5703125" style="20" customWidth="1"/>
    <col min="14346" max="14346" width="10.140625" style="20" customWidth="1"/>
    <col min="14347" max="14347" width="8.42578125" style="20" customWidth="1"/>
    <col min="14348" max="14348" width="18.85546875" style="20" customWidth="1"/>
    <col min="14349" max="14349" width="10.28515625" style="20" customWidth="1"/>
    <col min="14350" max="14350" width="11.42578125" style="20"/>
    <col min="14351" max="14351" width="12.140625" style="20" customWidth="1"/>
    <col min="14352" max="14352" width="10.5703125" style="20" customWidth="1"/>
    <col min="14353" max="14353" width="12.42578125" style="20" customWidth="1"/>
    <col min="14354" max="14354" width="15.140625" style="20" customWidth="1"/>
    <col min="14355" max="14355" width="13.5703125" style="20" customWidth="1"/>
    <col min="14356" max="14356" width="13.140625" style="20" customWidth="1"/>
    <col min="14357" max="14357" width="15.7109375" style="20" customWidth="1"/>
    <col min="14358" max="14358" width="37.5703125" style="20" customWidth="1"/>
    <col min="14359" max="14580" width="11.42578125" style="20"/>
    <col min="14581" max="14581" width="10.5703125" style="20" customWidth="1"/>
    <col min="14582" max="14582" width="4.85546875" style="20" customWidth="1"/>
    <col min="14583" max="14583" width="32.42578125" style="20" customWidth="1"/>
    <col min="14584" max="14584" width="9.85546875" style="20" customWidth="1"/>
    <col min="14585" max="14585" width="10.140625" style="20" customWidth="1"/>
    <col min="14586" max="14586" width="12.28515625" style="20" customWidth="1"/>
    <col min="14587" max="14587" width="15.42578125" style="20" customWidth="1"/>
    <col min="14588" max="14588" width="11.85546875" style="20" customWidth="1"/>
    <col min="14589" max="14589" width="13.28515625" style="20" customWidth="1"/>
    <col min="14590" max="14590" width="15.28515625" style="20" customWidth="1"/>
    <col min="14591" max="14591" width="11.85546875" style="20" customWidth="1"/>
    <col min="14592" max="14592" width="6.140625" style="20" customWidth="1"/>
    <col min="14593" max="14593" width="11.85546875" style="20" customWidth="1"/>
    <col min="14594" max="14594" width="9.42578125" style="20" customWidth="1"/>
    <col min="14595" max="14595" width="14.7109375" style="20" customWidth="1"/>
    <col min="14596" max="14596" width="11.5703125" style="20" customWidth="1"/>
    <col min="14597" max="14597" width="0.42578125" style="20" customWidth="1"/>
    <col min="14598" max="14598" width="10.5703125" style="20" bestFit="1" customWidth="1"/>
    <col min="14599" max="14599" width="12.28515625" style="20" customWidth="1"/>
    <col min="14600" max="14600" width="12.5703125" style="20" customWidth="1"/>
    <col min="14601" max="14601" width="10.5703125" style="20" customWidth="1"/>
    <col min="14602" max="14602" width="10.140625" style="20" customWidth="1"/>
    <col min="14603" max="14603" width="8.42578125" style="20" customWidth="1"/>
    <col min="14604" max="14604" width="18.85546875" style="20" customWidth="1"/>
    <col min="14605" max="14605" width="10.28515625" style="20" customWidth="1"/>
    <col min="14606" max="14606" width="11.42578125" style="20"/>
    <col min="14607" max="14607" width="12.140625" style="20" customWidth="1"/>
    <col min="14608" max="14608" width="10.5703125" style="20" customWidth="1"/>
    <col min="14609" max="14609" width="12.42578125" style="20" customWidth="1"/>
    <col min="14610" max="14610" width="15.140625" style="20" customWidth="1"/>
    <col min="14611" max="14611" width="13.5703125" style="20" customWidth="1"/>
    <col min="14612" max="14612" width="13.140625" style="20" customWidth="1"/>
    <col min="14613" max="14613" width="15.7109375" style="20" customWidth="1"/>
    <col min="14614" max="14614" width="37.5703125" style="20" customWidth="1"/>
    <col min="14615" max="14836" width="11.42578125" style="20"/>
    <col min="14837" max="14837" width="10.5703125" style="20" customWidth="1"/>
    <col min="14838" max="14838" width="4.85546875" style="20" customWidth="1"/>
    <col min="14839" max="14839" width="32.42578125" style="20" customWidth="1"/>
    <col min="14840" max="14840" width="9.85546875" style="20" customWidth="1"/>
    <col min="14841" max="14841" width="10.140625" style="20" customWidth="1"/>
    <col min="14842" max="14842" width="12.28515625" style="20" customWidth="1"/>
    <col min="14843" max="14843" width="15.42578125" style="20" customWidth="1"/>
    <col min="14844" max="14844" width="11.85546875" style="20" customWidth="1"/>
    <col min="14845" max="14845" width="13.28515625" style="20" customWidth="1"/>
    <col min="14846" max="14846" width="15.28515625" style="20" customWidth="1"/>
    <col min="14847" max="14847" width="11.85546875" style="20" customWidth="1"/>
    <col min="14848" max="14848" width="6.140625" style="20" customWidth="1"/>
    <col min="14849" max="14849" width="11.85546875" style="20" customWidth="1"/>
    <col min="14850" max="14850" width="9.42578125" style="20" customWidth="1"/>
    <col min="14851" max="14851" width="14.7109375" style="20" customWidth="1"/>
    <col min="14852" max="14852" width="11.5703125" style="20" customWidth="1"/>
    <col min="14853" max="14853" width="0.42578125" style="20" customWidth="1"/>
    <col min="14854" max="14854" width="10.5703125" style="20" bestFit="1" customWidth="1"/>
    <col min="14855" max="14855" width="12.28515625" style="20" customWidth="1"/>
    <col min="14856" max="14856" width="12.5703125" style="20" customWidth="1"/>
    <col min="14857" max="14857" width="10.5703125" style="20" customWidth="1"/>
    <col min="14858" max="14858" width="10.140625" style="20" customWidth="1"/>
    <col min="14859" max="14859" width="8.42578125" style="20" customWidth="1"/>
    <col min="14860" max="14860" width="18.85546875" style="20" customWidth="1"/>
    <col min="14861" max="14861" width="10.28515625" style="20" customWidth="1"/>
    <col min="14862" max="14862" width="11.42578125" style="20"/>
    <col min="14863" max="14863" width="12.140625" style="20" customWidth="1"/>
    <col min="14864" max="14864" width="10.5703125" style="20" customWidth="1"/>
    <col min="14865" max="14865" width="12.42578125" style="20" customWidth="1"/>
    <col min="14866" max="14866" width="15.140625" style="20" customWidth="1"/>
    <col min="14867" max="14867" width="13.5703125" style="20" customWidth="1"/>
    <col min="14868" max="14868" width="13.140625" style="20" customWidth="1"/>
    <col min="14869" max="14869" width="15.7109375" style="20" customWidth="1"/>
    <col min="14870" max="14870" width="37.5703125" style="20" customWidth="1"/>
    <col min="14871" max="15092" width="11.42578125" style="20"/>
    <col min="15093" max="15093" width="10.5703125" style="20" customWidth="1"/>
    <col min="15094" max="15094" width="4.85546875" style="20" customWidth="1"/>
    <col min="15095" max="15095" width="32.42578125" style="20" customWidth="1"/>
    <col min="15096" max="15096" width="9.85546875" style="20" customWidth="1"/>
    <col min="15097" max="15097" width="10.140625" style="20" customWidth="1"/>
    <col min="15098" max="15098" width="12.28515625" style="20" customWidth="1"/>
    <col min="15099" max="15099" width="15.42578125" style="20" customWidth="1"/>
    <col min="15100" max="15100" width="11.85546875" style="20" customWidth="1"/>
    <col min="15101" max="15101" width="13.28515625" style="20" customWidth="1"/>
    <col min="15102" max="15102" width="15.28515625" style="20" customWidth="1"/>
    <col min="15103" max="15103" width="11.85546875" style="20" customWidth="1"/>
    <col min="15104" max="15104" width="6.140625" style="20" customWidth="1"/>
    <col min="15105" max="15105" width="11.85546875" style="20" customWidth="1"/>
    <col min="15106" max="15106" width="9.42578125" style="20" customWidth="1"/>
    <col min="15107" max="15107" width="14.7109375" style="20" customWidth="1"/>
    <col min="15108" max="15108" width="11.5703125" style="20" customWidth="1"/>
    <col min="15109" max="15109" width="0.42578125" style="20" customWidth="1"/>
    <col min="15110" max="15110" width="10.5703125" style="20" bestFit="1" customWidth="1"/>
    <col min="15111" max="15111" width="12.28515625" style="20" customWidth="1"/>
    <col min="15112" max="15112" width="12.5703125" style="20" customWidth="1"/>
    <col min="15113" max="15113" width="10.5703125" style="20" customWidth="1"/>
    <col min="15114" max="15114" width="10.140625" style="20" customWidth="1"/>
    <col min="15115" max="15115" width="8.42578125" style="20" customWidth="1"/>
    <col min="15116" max="15116" width="18.85546875" style="20" customWidth="1"/>
    <col min="15117" max="15117" width="10.28515625" style="20" customWidth="1"/>
    <col min="15118" max="15118" width="11.42578125" style="20"/>
    <col min="15119" max="15119" width="12.140625" style="20" customWidth="1"/>
    <col min="15120" max="15120" width="10.5703125" style="20" customWidth="1"/>
    <col min="15121" max="15121" width="12.42578125" style="20" customWidth="1"/>
    <col min="15122" max="15122" width="15.140625" style="20" customWidth="1"/>
    <col min="15123" max="15123" width="13.5703125" style="20" customWidth="1"/>
    <col min="15124" max="15124" width="13.140625" style="20" customWidth="1"/>
    <col min="15125" max="15125" width="15.7109375" style="20" customWidth="1"/>
    <col min="15126" max="15126" width="37.5703125" style="20" customWidth="1"/>
    <col min="15127" max="15348" width="11.42578125" style="20"/>
    <col min="15349" max="15349" width="10.5703125" style="20" customWidth="1"/>
    <col min="15350" max="15350" width="4.85546875" style="20" customWidth="1"/>
    <col min="15351" max="15351" width="32.42578125" style="20" customWidth="1"/>
    <col min="15352" max="15352" width="9.85546875" style="20" customWidth="1"/>
    <col min="15353" max="15353" width="10.140625" style="20" customWidth="1"/>
    <col min="15354" max="15354" width="12.28515625" style="20" customWidth="1"/>
    <col min="15355" max="15355" width="15.42578125" style="20" customWidth="1"/>
    <col min="15356" max="15356" width="11.85546875" style="20" customWidth="1"/>
    <col min="15357" max="15357" width="13.28515625" style="20" customWidth="1"/>
    <col min="15358" max="15358" width="15.28515625" style="20" customWidth="1"/>
    <col min="15359" max="15359" width="11.85546875" style="20" customWidth="1"/>
    <col min="15360" max="15360" width="6.140625" style="20" customWidth="1"/>
    <col min="15361" max="15361" width="11.85546875" style="20" customWidth="1"/>
    <col min="15362" max="15362" width="9.42578125" style="20" customWidth="1"/>
    <col min="15363" max="15363" width="14.7109375" style="20" customWidth="1"/>
    <col min="15364" max="15364" width="11.5703125" style="20" customWidth="1"/>
    <col min="15365" max="15365" width="0.42578125" style="20" customWidth="1"/>
    <col min="15366" max="15366" width="10.5703125" style="20" bestFit="1" customWidth="1"/>
    <col min="15367" max="15367" width="12.28515625" style="20" customWidth="1"/>
    <col min="15368" max="15368" width="12.5703125" style="20" customWidth="1"/>
    <col min="15369" max="15369" width="10.5703125" style="20" customWidth="1"/>
    <col min="15370" max="15370" width="10.140625" style="20" customWidth="1"/>
    <col min="15371" max="15371" width="8.42578125" style="20" customWidth="1"/>
    <col min="15372" max="15372" width="18.85546875" style="20" customWidth="1"/>
    <col min="15373" max="15373" width="10.28515625" style="20" customWidth="1"/>
    <col min="15374" max="15374" width="11.42578125" style="20"/>
    <col min="15375" max="15375" width="12.140625" style="20" customWidth="1"/>
    <col min="15376" max="15376" width="10.5703125" style="20" customWidth="1"/>
    <col min="15377" max="15377" width="12.42578125" style="20" customWidth="1"/>
    <col min="15378" max="15378" width="15.140625" style="20" customWidth="1"/>
    <col min="15379" max="15379" width="13.5703125" style="20" customWidth="1"/>
    <col min="15380" max="15380" width="13.140625" style="20" customWidth="1"/>
    <col min="15381" max="15381" width="15.7109375" style="20" customWidth="1"/>
    <col min="15382" max="15382" width="37.5703125" style="20" customWidth="1"/>
    <col min="15383" max="15604" width="11.42578125" style="20"/>
    <col min="15605" max="15605" width="10.5703125" style="20" customWidth="1"/>
    <col min="15606" max="15606" width="4.85546875" style="20" customWidth="1"/>
    <col min="15607" max="15607" width="32.42578125" style="20" customWidth="1"/>
    <col min="15608" max="15608" width="9.85546875" style="20" customWidth="1"/>
    <col min="15609" max="15609" width="10.140625" style="20" customWidth="1"/>
    <col min="15610" max="15610" width="12.28515625" style="20" customWidth="1"/>
    <col min="15611" max="15611" width="15.42578125" style="20" customWidth="1"/>
    <col min="15612" max="15612" width="11.85546875" style="20" customWidth="1"/>
    <col min="15613" max="15613" width="13.28515625" style="20" customWidth="1"/>
    <col min="15614" max="15614" width="15.28515625" style="20" customWidth="1"/>
    <col min="15615" max="15615" width="11.85546875" style="20" customWidth="1"/>
    <col min="15616" max="15616" width="6.140625" style="20" customWidth="1"/>
    <col min="15617" max="15617" width="11.85546875" style="20" customWidth="1"/>
    <col min="15618" max="15618" width="9.42578125" style="20" customWidth="1"/>
    <col min="15619" max="15619" width="14.7109375" style="20" customWidth="1"/>
    <col min="15620" max="15620" width="11.5703125" style="20" customWidth="1"/>
    <col min="15621" max="15621" width="0.42578125" style="20" customWidth="1"/>
    <col min="15622" max="15622" width="10.5703125" style="20" bestFit="1" customWidth="1"/>
    <col min="15623" max="15623" width="12.28515625" style="20" customWidth="1"/>
    <col min="15624" max="15624" width="12.5703125" style="20" customWidth="1"/>
    <col min="15625" max="15625" width="10.5703125" style="20" customWidth="1"/>
    <col min="15626" max="15626" width="10.140625" style="20" customWidth="1"/>
    <col min="15627" max="15627" width="8.42578125" style="20" customWidth="1"/>
    <col min="15628" max="15628" width="18.85546875" style="20" customWidth="1"/>
    <col min="15629" max="15629" width="10.28515625" style="20" customWidth="1"/>
    <col min="15630" max="15630" width="11.42578125" style="20"/>
    <col min="15631" max="15631" width="12.140625" style="20" customWidth="1"/>
    <col min="15632" max="15632" width="10.5703125" style="20" customWidth="1"/>
    <col min="15633" max="15633" width="12.42578125" style="20" customWidth="1"/>
    <col min="15634" max="15634" width="15.140625" style="20" customWidth="1"/>
    <col min="15635" max="15635" width="13.5703125" style="20" customWidth="1"/>
    <col min="15636" max="15636" width="13.140625" style="20" customWidth="1"/>
    <col min="15637" max="15637" width="15.7109375" style="20" customWidth="1"/>
    <col min="15638" max="15638" width="37.5703125" style="20" customWidth="1"/>
    <col min="15639" max="15860" width="11.42578125" style="20"/>
    <col min="15861" max="15861" width="10.5703125" style="20" customWidth="1"/>
    <col min="15862" max="15862" width="4.85546875" style="20" customWidth="1"/>
    <col min="15863" max="15863" width="32.42578125" style="20" customWidth="1"/>
    <col min="15864" max="15864" width="9.85546875" style="20" customWidth="1"/>
    <col min="15865" max="15865" width="10.140625" style="20" customWidth="1"/>
    <col min="15866" max="15866" width="12.28515625" style="20" customWidth="1"/>
    <col min="15867" max="15867" width="15.42578125" style="20" customWidth="1"/>
    <col min="15868" max="15868" width="11.85546875" style="20" customWidth="1"/>
    <col min="15869" max="15869" width="13.28515625" style="20" customWidth="1"/>
    <col min="15870" max="15870" width="15.28515625" style="20" customWidth="1"/>
    <col min="15871" max="15871" width="11.85546875" style="20" customWidth="1"/>
    <col min="15872" max="15872" width="6.140625" style="20" customWidth="1"/>
    <col min="15873" max="15873" width="11.85546875" style="20" customWidth="1"/>
    <col min="15874" max="15874" width="9.42578125" style="20" customWidth="1"/>
    <col min="15875" max="15875" width="14.7109375" style="20" customWidth="1"/>
    <col min="15876" max="15876" width="11.5703125" style="20" customWidth="1"/>
    <col min="15877" max="15877" width="0.42578125" style="20" customWidth="1"/>
    <col min="15878" max="15878" width="10.5703125" style="20" bestFit="1" customWidth="1"/>
    <col min="15879" max="15879" width="12.28515625" style="20" customWidth="1"/>
    <col min="15880" max="15880" width="12.5703125" style="20" customWidth="1"/>
    <col min="15881" max="15881" width="10.5703125" style="20" customWidth="1"/>
    <col min="15882" max="15882" width="10.140625" style="20" customWidth="1"/>
    <col min="15883" max="15883" width="8.42578125" style="20" customWidth="1"/>
    <col min="15884" max="15884" width="18.85546875" style="20" customWidth="1"/>
    <col min="15885" max="15885" width="10.28515625" style="20" customWidth="1"/>
    <col min="15886" max="15886" width="11.42578125" style="20"/>
    <col min="15887" max="15887" width="12.140625" style="20" customWidth="1"/>
    <col min="15888" max="15888" width="10.5703125" style="20" customWidth="1"/>
    <col min="15889" max="15889" width="12.42578125" style="20" customWidth="1"/>
    <col min="15890" max="15890" width="15.140625" style="20" customWidth="1"/>
    <col min="15891" max="15891" width="13.5703125" style="20" customWidth="1"/>
    <col min="15892" max="15892" width="13.140625" style="20" customWidth="1"/>
    <col min="15893" max="15893" width="15.7109375" style="20" customWidth="1"/>
    <col min="15894" max="15894" width="37.5703125" style="20" customWidth="1"/>
    <col min="15895" max="16116" width="11.42578125" style="20"/>
    <col min="16117" max="16117" width="10.5703125" style="20" customWidth="1"/>
    <col min="16118" max="16118" width="4.85546875" style="20" customWidth="1"/>
    <col min="16119" max="16119" width="32.42578125" style="20" customWidth="1"/>
    <col min="16120" max="16120" width="9.85546875" style="20" customWidth="1"/>
    <col min="16121" max="16121" width="10.140625" style="20" customWidth="1"/>
    <col min="16122" max="16122" width="12.28515625" style="20" customWidth="1"/>
    <col min="16123" max="16123" width="15.42578125" style="20" customWidth="1"/>
    <col min="16124" max="16124" width="11.85546875" style="20" customWidth="1"/>
    <col min="16125" max="16125" width="13.28515625" style="20" customWidth="1"/>
    <col min="16126" max="16126" width="15.28515625" style="20" customWidth="1"/>
    <col min="16127" max="16127" width="11.85546875" style="20" customWidth="1"/>
    <col min="16128" max="16128" width="6.140625" style="20" customWidth="1"/>
    <col min="16129" max="16129" width="11.85546875" style="20" customWidth="1"/>
    <col min="16130" max="16130" width="9.42578125" style="20" customWidth="1"/>
    <col min="16131" max="16131" width="14.7109375" style="20" customWidth="1"/>
    <col min="16132" max="16132" width="11.5703125" style="20" customWidth="1"/>
    <col min="16133" max="16133" width="0.42578125" style="20" customWidth="1"/>
    <col min="16134" max="16134" width="10.5703125" style="20" bestFit="1" customWidth="1"/>
    <col min="16135" max="16135" width="12.28515625" style="20" customWidth="1"/>
    <col min="16136" max="16136" width="12.5703125" style="20" customWidth="1"/>
    <col min="16137" max="16137" width="10.5703125" style="20" customWidth="1"/>
    <col min="16138" max="16138" width="10.140625" style="20" customWidth="1"/>
    <col min="16139" max="16139" width="8.42578125" style="20" customWidth="1"/>
    <col min="16140" max="16140" width="18.85546875" style="20" customWidth="1"/>
    <col min="16141" max="16141" width="10.28515625" style="20" customWidth="1"/>
    <col min="16142" max="16142" width="11.42578125" style="20"/>
    <col min="16143" max="16143" width="12.140625" style="20" customWidth="1"/>
    <col min="16144" max="16144" width="10.5703125" style="20" customWidth="1"/>
    <col min="16145" max="16145" width="12.42578125" style="20" customWidth="1"/>
    <col min="16146" max="16146" width="15.140625" style="20" customWidth="1"/>
    <col min="16147" max="16147" width="13.5703125" style="20" customWidth="1"/>
    <col min="16148" max="16148" width="13.140625" style="20" customWidth="1"/>
    <col min="16149" max="16149" width="15.7109375" style="20" customWidth="1"/>
    <col min="16150" max="16150" width="37.5703125" style="20" customWidth="1"/>
    <col min="16151" max="16384" width="11.42578125" style="20"/>
  </cols>
  <sheetData>
    <row r="1" spans="1:24" x14ac:dyDescent="0.25">
      <c r="C1" s="21" t="s">
        <v>156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x14ac:dyDescent="0.25">
      <c r="C2" s="22" t="s">
        <v>1</v>
      </c>
      <c r="D2" s="23"/>
      <c r="E2" s="23"/>
      <c r="F2" s="24" t="s">
        <v>2</v>
      </c>
      <c r="G2" s="24"/>
      <c r="H2" s="24"/>
      <c r="I2" s="24"/>
      <c r="J2" s="24"/>
      <c r="K2" s="24"/>
      <c r="L2" s="24"/>
      <c r="M2" s="24"/>
      <c r="N2" s="24"/>
      <c r="O2" s="24" t="s">
        <v>3</v>
      </c>
      <c r="P2" s="24"/>
      <c r="Q2" s="24"/>
      <c r="R2" s="24"/>
      <c r="S2" s="24"/>
      <c r="T2" s="24"/>
      <c r="U2" s="24"/>
      <c r="V2" s="24"/>
      <c r="W2" s="24"/>
      <c r="X2" s="23"/>
    </row>
    <row r="3" spans="1:24" ht="24.95" customHeight="1" x14ac:dyDescent="0.25">
      <c r="B3" s="25" t="s">
        <v>4</v>
      </c>
      <c r="C3" s="25" t="s">
        <v>5</v>
      </c>
      <c r="D3" s="25" t="s">
        <v>6</v>
      </c>
      <c r="E3" s="25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144</v>
      </c>
      <c r="K3" s="26" t="s">
        <v>12</v>
      </c>
      <c r="L3" s="26" t="s">
        <v>13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157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5" t="s">
        <v>26</v>
      </c>
    </row>
    <row r="4" spans="1:24" s="33" customFormat="1" ht="24.95" customHeight="1" x14ac:dyDescent="0.25">
      <c r="A4" s="27" t="s">
        <v>28</v>
      </c>
      <c r="B4" s="25">
        <v>1</v>
      </c>
      <c r="C4" s="28" t="s">
        <v>145</v>
      </c>
      <c r="D4" s="28" t="s">
        <v>30</v>
      </c>
      <c r="E4" s="29" t="s">
        <v>31</v>
      </c>
      <c r="F4" s="30">
        <v>4500000</v>
      </c>
      <c r="G4" s="30">
        <v>30</v>
      </c>
      <c r="H4" s="30">
        <f>+F4/30*G4</f>
        <v>4500000</v>
      </c>
      <c r="I4" s="30"/>
      <c r="J4" s="30"/>
      <c r="K4" s="30"/>
      <c r="L4" s="30"/>
      <c r="M4" s="30"/>
      <c r="N4" s="30">
        <f>+H4+M4+L4+K4+J4+I4</f>
        <v>4500000</v>
      </c>
      <c r="O4" s="30">
        <f>+F4*0.04</f>
        <v>180000</v>
      </c>
      <c r="P4" s="30">
        <f>+F4*0.05</f>
        <v>225000</v>
      </c>
      <c r="Q4" s="30"/>
      <c r="R4" s="30"/>
      <c r="S4" s="30"/>
      <c r="T4" s="30"/>
      <c r="U4" s="30"/>
      <c r="V4" s="30"/>
      <c r="W4" s="31">
        <f>SUM(O4:V4)</f>
        <v>405000</v>
      </c>
      <c r="X4" s="32">
        <f>+N4-W4</f>
        <v>4095000</v>
      </c>
    </row>
    <row r="5" spans="1:24" ht="24.95" customHeight="1" x14ac:dyDescent="0.25">
      <c r="A5" s="27"/>
      <c r="B5" s="25">
        <v>2</v>
      </c>
      <c r="C5" s="28" t="s">
        <v>29</v>
      </c>
      <c r="D5" s="28" t="s">
        <v>30</v>
      </c>
      <c r="E5" s="29" t="s">
        <v>31</v>
      </c>
      <c r="F5" s="31">
        <v>4500000</v>
      </c>
      <c r="G5" s="30">
        <v>30</v>
      </c>
      <c r="H5" s="30">
        <f>+F5/30*G5</f>
        <v>4500000</v>
      </c>
      <c r="I5" s="31"/>
      <c r="J5" s="31"/>
      <c r="K5" s="31"/>
      <c r="L5" s="31">
        <v>500000</v>
      </c>
      <c r="M5" s="31">
        <f>25125*60</f>
        <v>1507500</v>
      </c>
      <c r="N5" s="31">
        <f>+H5+I5+K5+L5+M5+J5</f>
        <v>6507500</v>
      </c>
      <c r="O5" s="31">
        <f>+F5*4%+60280</f>
        <v>240280</v>
      </c>
      <c r="P5" s="31">
        <f>+F5*5%+60280</f>
        <v>285280</v>
      </c>
      <c r="Q5" s="31"/>
      <c r="R5" s="31"/>
      <c r="S5" s="31">
        <v>30672</v>
      </c>
      <c r="T5" s="31"/>
      <c r="U5" s="31"/>
      <c r="V5" s="31"/>
      <c r="W5" s="31">
        <f t="shared" ref="W5:W10" si="0">SUM(O5:V5)</f>
        <v>556232</v>
      </c>
      <c r="X5" s="32">
        <f>+N5-W5</f>
        <v>5951268</v>
      </c>
    </row>
    <row r="6" spans="1:24" ht="24.95" customHeight="1" x14ac:dyDescent="0.25">
      <c r="A6" s="27"/>
      <c r="B6" s="25">
        <v>3</v>
      </c>
      <c r="C6" s="28" t="s">
        <v>32</v>
      </c>
      <c r="D6" s="28" t="s">
        <v>30</v>
      </c>
      <c r="E6" s="29" t="s">
        <v>31</v>
      </c>
      <c r="F6" s="31">
        <v>6000000</v>
      </c>
      <c r="G6" s="30">
        <v>30</v>
      </c>
      <c r="H6" s="30">
        <f t="shared" ref="H6:H78" si="1">+F6/30*G6</f>
        <v>6000000</v>
      </c>
      <c r="I6" s="31"/>
      <c r="J6" s="31"/>
      <c r="K6" s="31"/>
      <c r="L6" s="31">
        <v>600000</v>
      </c>
      <c r="M6" s="31"/>
      <c r="N6" s="31">
        <f t="shared" ref="N6:N78" si="2">+H6+I6+K6+L6+M6+J6</f>
        <v>6600000</v>
      </c>
      <c r="O6" s="31">
        <f>F6*4%</f>
        <v>240000</v>
      </c>
      <c r="P6" s="31">
        <f>F6*5%</f>
        <v>300000</v>
      </c>
      <c r="Q6" s="31"/>
      <c r="R6" s="31"/>
      <c r="S6" s="31">
        <v>102000</v>
      </c>
      <c r="T6" s="31"/>
      <c r="U6" s="31"/>
      <c r="V6" s="31">
        <v>1212777</v>
      </c>
      <c r="W6" s="31">
        <f t="shared" si="0"/>
        <v>1854777</v>
      </c>
      <c r="X6" s="32">
        <f t="shared" ref="X6:X7" si="3">+N6-W6</f>
        <v>4745223</v>
      </c>
    </row>
    <row r="7" spans="1:24" ht="24.95" customHeight="1" x14ac:dyDescent="0.25">
      <c r="A7" s="27"/>
      <c r="B7" s="25">
        <v>4</v>
      </c>
      <c r="C7" s="28" t="s">
        <v>33</v>
      </c>
      <c r="D7" s="28" t="s">
        <v>30</v>
      </c>
      <c r="E7" s="29" t="s">
        <v>31</v>
      </c>
      <c r="F7" s="31">
        <v>6000000</v>
      </c>
      <c r="G7" s="30">
        <v>30</v>
      </c>
      <c r="H7" s="30">
        <f t="shared" si="1"/>
        <v>6000000</v>
      </c>
      <c r="I7" s="31"/>
      <c r="J7" s="31"/>
      <c r="K7" s="31"/>
      <c r="L7" s="31"/>
      <c r="M7" s="31"/>
      <c r="N7" s="31">
        <f t="shared" si="2"/>
        <v>6000000</v>
      </c>
      <c r="O7" s="31">
        <f t="shared" ref="O7:O16" si="4">+F7*4%</f>
        <v>240000</v>
      </c>
      <c r="P7" s="31">
        <f t="shared" ref="P7:P13" si="5">+F7*5%</f>
        <v>300000</v>
      </c>
      <c r="Q7" s="31"/>
      <c r="R7" s="31">
        <v>63687</v>
      </c>
      <c r="S7" s="34">
        <v>98000</v>
      </c>
      <c r="T7" s="31"/>
      <c r="U7" s="31"/>
      <c r="V7" s="31">
        <v>726520</v>
      </c>
      <c r="W7" s="31">
        <f t="shared" si="0"/>
        <v>1428207</v>
      </c>
      <c r="X7" s="32">
        <f t="shared" si="3"/>
        <v>4571793</v>
      </c>
    </row>
    <row r="8" spans="1:24" ht="24.95" customHeight="1" x14ac:dyDescent="0.25">
      <c r="A8" s="27"/>
      <c r="B8" s="25">
        <v>5</v>
      </c>
      <c r="C8" s="28" t="s">
        <v>34</v>
      </c>
      <c r="D8" s="28" t="s">
        <v>30</v>
      </c>
      <c r="E8" s="29" t="s">
        <v>31</v>
      </c>
      <c r="F8" s="31">
        <v>5000000</v>
      </c>
      <c r="G8" s="30">
        <v>30</v>
      </c>
      <c r="H8" s="30">
        <f>+F8-M8</f>
        <v>4833333</v>
      </c>
      <c r="I8" s="31"/>
      <c r="J8" s="31">
        <v>787800</v>
      </c>
      <c r="K8" s="31"/>
      <c r="L8" s="31"/>
      <c r="M8" s="31">
        <v>166667</v>
      </c>
      <c r="N8" s="31">
        <f t="shared" si="2"/>
        <v>5787800</v>
      </c>
      <c r="O8" s="31">
        <f t="shared" si="4"/>
        <v>200000</v>
      </c>
      <c r="P8" s="31">
        <f t="shared" si="5"/>
        <v>250000</v>
      </c>
      <c r="Q8" s="31"/>
      <c r="R8" s="31"/>
      <c r="S8" s="34">
        <v>21409</v>
      </c>
      <c r="T8" s="31">
        <v>500000</v>
      </c>
      <c r="U8" s="31">
        <v>111000</v>
      </c>
      <c r="V8" s="31"/>
      <c r="W8" s="31">
        <f t="shared" si="0"/>
        <v>1082409</v>
      </c>
      <c r="X8" s="32">
        <f>+N8-W8</f>
        <v>4705391</v>
      </c>
    </row>
    <row r="9" spans="1:24" ht="24.95" customHeight="1" x14ac:dyDescent="0.25">
      <c r="A9" s="27"/>
      <c r="B9" s="25">
        <v>6</v>
      </c>
      <c r="C9" s="28" t="s">
        <v>35</v>
      </c>
      <c r="D9" s="28" t="s">
        <v>30</v>
      </c>
      <c r="E9" s="29" t="s">
        <v>31</v>
      </c>
      <c r="F9" s="31">
        <v>5300000</v>
      </c>
      <c r="G9" s="30">
        <v>30</v>
      </c>
      <c r="H9" s="30">
        <f t="shared" si="1"/>
        <v>5300000</v>
      </c>
      <c r="I9" s="31"/>
      <c r="J9" s="31"/>
      <c r="K9" s="31"/>
      <c r="L9" s="31">
        <v>2012670</v>
      </c>
      <c r="M9" s="31"/>
      <c r="N9" s="31">
        <f t="shared" si="2"/>
        <v>7312670</v>
      </c>
      <c r="O9" s="31">
        <f t="shared" si="4"/>
        <v>212000</v>
      </c>
      <c r="P9" s="31">
        <f t="shared" si="5"/>
        <v>265000</v>
      </c>
      <c r="Q9" s="31"/>
      <c r="R9" s="31"/>
      <c r="S9" s="31">
        <v>50000</v>
      </c>
      <c r="T9" s="31">
        <v>700000</v>
      </c>
      <c r="U9" s="31"/>
      <c r="V9" s="31"/>
      <c r="W9" s="31">
        <f t="shared" si="0"/>
        <v>1227000</v>
      </c>
      <c r="X9" s="32">
        <f>+N9-W9</f>
        <v>6085670</v>
      </c>
    </row>
    <row r="10" spans="1:24" ht="24.95" customHeight="1" x14ac:dyDescent="0.25">
      <c r="A10" s="27"/>
      <c r="B10" s="25">
        <v>7</v>
      </c>
      <c r="C10" s="28" t="s">
        <v>36</v>
      </c>
      <c r="D10" s="28" t="s">
        <v>30</v>
      </c>
      <c r="E10" s="29" t="s">
        <v>31</v>
      </c>
      <c r="F10" s="31">
        <v>5200000</v>
      </c>
      <c r="G10" s="30">
        <v>30</v>
      </c>
      <c r="H10" s="30">
        <f>+F10-M10</f>
        <v>5200000</v>
      </c>
      <c r="I10" s="31"/>
      <c r="J10" s="31">
        <v>0</v>
      </c>
      <c r="K10" s="31"/>
      <c r="L10" s="31"/>
      <c r="M10" s="31"/>
      <c r="N10" s="31">
        <f t="shared" si="2"/>
        <v>5200000</v>
      </c>
      <c r="O10" s="31">
        <f>+F10*4%</f>
        <v>208000</v>
      </c>
      <c r="P10" s="31">
        <f>+F10*5%</f>
        <v>260000</v>
      </c>
      <c r="Q10" s="31"/>
      <c r="R10" s="31"/>
      <c r="S10" s="31">
        <v>0</v>
      </c>
      <c r="T10" s="31"/>
      <c r="U10" s="31"/>
      <c r="V10" s="31">
        <f>945750+420786</f>
        <v>1366536</v>
      </c>
      <c r="W10" s="31">
        <f t="shared" si="0"/>
        <v>1834536</v>
      </c>
      <c r="X10" s="32">
        <f>N10-W10</f>
        <v>3365464</v>
      </c>
    </row>
    <row r="11" spans="1:24" ht="24.95" customHeight="1" x14ac:dyDescent="0.25">
      <c r="A11" s="27"/>
      <c r="B11" s="25">
        <v>8</v>
      </c>
      <c r="C11" s="28" t="s">
        <v>37</v>
      </c>
      <c r="D11" s="28" t="s">
        <v>30</v>
      </c>
      <c r="E11" s="29" t="s">
        <v>31</v>
      </c>
      <c r="F11" s="31">
        <v>4800000</v>
      </c>
      <c r="G11" s="30">
        <v>30</v>
      </c>
      <c r="H11" s="30">
        <f t="shared" si="1"/>
        <v>4800000</v>
      </c>
      <c r="I11" s="31"/>
      <c r="J11" s="31"/>
      <c r="K11" s="31"/>
      <c r="L11" s="31"/>
      <c r="M11" s="31"/>
      <c r="N11" s="31">
        <f t="shared" si="2"/>
        <v>4800000</v>
      </c>
      <c r="O11" s="31">
        <f t="shared" si="4"/>
        <v>192000</v>
      </c>
      <c r="P11" s="31">
        <f t="shared" si="5"/>
        <v>240000</v>
      </c>
      <c r="Q11" s="31"/>
      <c r="R11" s="31"/>
      <c r="S11" s="31">
        <v>0</v>
      </c>
      <c r="T11" s="31"/>
      <c r="U11" s="31"/>
      <c r="V11" s="31"/>
      <c r="W11" s="31">
        <f t="shared" ref="W11:W62" si="6">SUM(O11:V11)</f>
        <v>432000</v>
      </c>
      <c r="X11" s="32">
        <f>N11-W11</f>
        <v>4368000</v>
      </c>
    </row>
    <row r="12" spans="1:24" ht="24.95" customHeight="1" x14ac:dyDescent="0.25">
      <c r="A12" s="27"/>
      <c r="B12" s="25">
        <v>9</v>
      </c>
      <c r="C12" s="28" t="s">
        <v>158</v>
      </c>
      <c r="D12" s="28" t="s">
        <v>43</v>
      </c>
      <c r="E12" s="29" t="s">
        <v>31</v>
      </c>
      <c r="F12" s="31">
        <v>3700000</v>
      </c>
      <c r="G12" s="30">
        <v>34</v>
      </c>
      <c r="H12" s="30">
        <f t="shared" si="1"/>
        <v>4193333.333333333</v>
      </c>
      <c r="I12" s="31"/>
      <c r="J12" s="31"/>
      <c r="K12" s="31"/>
      <c r="L12" s="31"/>
      <c r="M12" s="31"/>
      <c r="N12" s="31">
        <f t="shared" si="2"/>
        <v>4193333.333333333</v>
      </c>
      <c r="O12" s="31">
        <f>+H12*4%</f>
        <v>167733.33333333331</v>
      </c>
      <c r="P12" s="31">
        <f>+H12*5%</f>
        <v>209666.66666666666</v>
      </c>
      <c r="Q12" s="31"/>
      <c r="R12" s="31"/>
      <c r="S12" s="31"/>
      <c r="T12" s="31"/>
      <c r="U12" s="31"/>
      <c r="V12" s="31"/>
      <c r="W12" s="31">
        <f t="shared" ref="W12" si="7">SUM(O12:V12)</f>
        <v>377400</v>
      </c>
      <c r="X12" s="32">
        <f>N12-W12</f>
        <v>3815933.333333333</v>
      </c>
    </row>
    <row r="13" spans="1:24" ht="24.95" customHeight="1" x14ac:dyDescent="0.25">
      <c r="A13" s="27"/>
      <c r="B13" s="25">
        <v>10</v>
      </c>
      <c r="C13" s="28" t="s">
        <v>38</v>
      </c>
      <c r="D13" s="28" t="s">
        <v>30</v>
      </c>
      <c r="E13" s="29" t="s">
        <v>31</v>
      </c>
      <c r="F13" s="31">
        <v>5725000</v>
      </c>
      <c r="G13" s="30">
        <v>30</v>
      </c>
      <c r="H13" s="30">
        <f>+F13-M13</f>
        <v>5725000</v>
      </c>
      <c r="I13" s="31"/>
      <c r="J13" s="31"/>
      <c r="K13" s="31"/>
      <c r="L13" s="31"/>
      <c r="M13" s="31"/>
      <c r="N13" s="31">
        <f t="shared" si="2"/>
        <v>5725000</v>
      </c>
      <c r="O13" s="31">
        <f t="shared" si="4"/>
        <v>229000</v>
      </c>
      <c r="P13" s="31">
        <f t="shared" si="5"/>
        <v>286250</v>
      </c>
      <c r="Q13" s="31"/>
      <c r="R13" s="31">
        <v>2781617</v>
      </c>
      <c r="S13" s="31">
        <v>0</v>
      </c>
      <c r="T13" s="31"/>
      <c r="U13" s="31"/>
      <c r="V13" s="31"/>
      <c r="W13" s="31">
        <f t="shared" si="6"/>
        <v>3296867</v>
      </c>
      <c r="X13" s="32">
        <f t="shared" ref="X13:X24" si="8">+N13-W13</f>
        <v>2428133</v>
      </c>
    </row>
    <row r="14" spans="1:24" ht="24.95" customHeight="1" x14ac:dyDescent="0.25">
      <c r="A14" s="27"/>
      <c r="B14" s="25">
        <v>11</v>
      </c>
      <c r="C14" s="28" t="s">
        <v>39</v>
      </c>
      <c r="D14" s="28" t="s">
        <v>30</v>
      </c>
      <c r="E14" s="29" t="s">
        <v>31</v>
      </c>
      <c r="F14" s="31">
        <v>4500000</v>
      </c>
      <c r="G14" s="30">
        <v>30</v>
      </c>
      <c r="H14" s="30">
        <f>+F14-K14</f>
        <v>4500000</v>
      </c>
      <c r="I14" s="31"/>
      <c r="J14" s="31"/>
      <c r="K14" s="31"/>
      <c r="L14" s="31"/>
      <c r="M14" s="31"/>
      <c r="N14" s="31">
        <f t="shared" si="2"/>
        <v>4500000</v>
      </c>
      <c r="O14" s="31">
        <f t="shared" si="4"/>
        <v>180000</v>
      </c>
      <c r="P14" s="31">
        <f>+H14*5%</f>
        <v>225000</v>
      </c>
      <c r="Q14" s="31"/>
      <c r="R14" s="31">
        <v>232251</v>
      </c>
      <c r="S14" s="34">
        <v>0</v>
      </c>
      <c r="T14" s="31"/>
      <c r="U14" s="31"/>
      <c r="V14" s="31"/>
      <c r="W14" s="31">
        <f t="shared" si="6"/>
        <v>637251</v>
      </c>
      <c r="X14" s="32">
        <f t="shared" si="8"/>
        <v>3862749</v>
      </c>
    </row>
    <row r="15" spans="1:24" ht="24.95" customHeight="1" x14ac:dyDescent="0.25">
      <c r="A15" s="27"/>
      <c r="B15" s="25">
        <v>12</v>
      </c>
      <c r="C15" s="28" t="s">
        <v>91</v>
      </c>
      <c r="D15" s="28" t="s">
        <v>30</v>
      </c>
      <c r="E15" s="29" t="s">
        <v>31</v>
      </c>
      <c r="F15" s="31">
        <v>3500000</v>
      </c>
      <c r="G15" s="30">
        <v>30</v>
      </c>
      <c r="H15" s="30">
        <f t="shared" ref="H15" si="9">+F15/30*G15</f>
        <v>3500000</v>
      </c>
      <c r="I15" s="31"/>
      <c r="J15" s="31"/>
      <c r="K15" s="31"/>
      <c r="L15" s="31"/>
      <c r="M15" s="31"/>
      <c r="N15" s="31">
        <f t="shared" si="2"/>
        <v>3500000</v>
      </c>
      <c r="O15" s="31">
        <f t="shared" si="4"/>
        <v>140000</v>
      </c>
      <c r="P15" s="31">
        <f>+F15*5%</f>
        <v>175000</v>
      </c>
      <c r="Q15" s="31"/>
      <c r="R15" s="31"/>
      <c r="S15" s="31">
        <v>0</v>
      </c>
      <c r="T15" s="31"/>
      <c r="U15" s="31"/>
      <c r="V15" s="31">
        <v>774624</v>
      </c>
      <c r="W15" s="31">
        <f t="shared" ref="W15" si="10">SUM(O15:V15)</f>
        <v>1089624</v>
      </c>
      <c r="X15" s="35">
        <f t="shared" si="8"/>
        <v>2410376</v>
      </c>
    </row>
    <row r="16" spans="1:24" ht="24.95" customHeight="1" x14ac:dyDescent="0.25">
      <c r="A16" s="27"/>
      <c r="B16" s="25">
        <v>13</v>
      </c>
      <c r="C16" s="36" t="s">
        <v>40</v>
      </c>
      <c r="D16" s="28" t="s">
        <v>30</v>
      </c>
      <c r="E16" s="29" t="s">
        <v>31</v>
      </c>
      <c r="F16" s="31">
        <v>4800000</v>
      </c>
      <c r="G16" s="30">
        <v>30</v>
      </c>
      <c r="H16" s="30">
        <f t="shared" si="1"/>
        <v>4800000</v>
      </c>
      <c r="I16" s="31"/>
      <c r="J16" s="31"/>
      <c r="K16" s="31"/>
      <c r="L16" s="31"/>
      <c r="M16" s="31"/>
      <c r="N16" s="31">
        <f t="shared" si="2"/>
        <v>4800000</v>
      </c>
      <c r="O16" s="31">
        <f t="shared" si="4"/>
        <v>192000</v>
      </c>
      <c r="P16" s="31">
        <f>+F16*0.05</f>
        <v>240000</v>
      </c>
      <c r="Q16" s="31"/>
      <c r="R16" s="31"/>
      <c r="S16" s="31">
        <v>0</v>
      </c>
      <c r="T16" s="31"/>
      <c r="U16" s="31"/>
      <c r="V16" s="31"/>
      <c r="W16" s="31">
        <f t="shared" si="6"/>
        <v>432000</v>
      </c>
      <c r="X16" s="32">
        <f t="shared" si="8"/>
        <v>4368000</v>
      </c>
    </row>
    <row r="17" spans="1:24" ht="24.95" customHeight="1" x14ac:dyDescent="0.25">
      <c r="A17" s="27"/>
      <c r="B17" s="25">
        <v>14</v>
      </c>
      <c r="C17" s="36" t="s">
        <v>159</v>
      </c>
      <c r="D17" s="28" t="s">
        <v>30</v>
      </c>
      <c r="E17" s="29" t="s">
        <v>31</v>
      </c>
      <c r="F17" s="31">
        <v>4600000</v>
      </c>
      <c r="G17" s="30">
        <v>8</v>
      </c>
      <c r="H17" s="30">
        <f t="shared" si="1"/>
        <v>1226666.6666666667</v>
      </c>
      <c r="I17" s="31"/>
      <c r="J17" s="31"/>
      <c r="K17" s="31"/>
      <c r="L17" s="31"/>
      <c r="M17" s="31"/>
      <c r="N17" s="31">
        <f t="shared" si="2"/>
        <v>1226666.6666666667</v>
      </c>
      <c r="O17" s="31">
        <f>+H17*4%</f>
        <v>49066.666666666672</v>
      </c>
      <c r="P17" s="31">
        <f>+H17*0.04</f>
        <v>49066.666666666672</v>
      </c>
      <c r="Q17" s="31"/>
      <c r="R17" s="31"/>
      <c r="S17" s="31"/>
      <c r="T17" s="31"/>
      <c r="U17" s="31"/>
      <c r="V17" s="31"/>
      <c r="W17" s="31">
        <f t="shared" ref="W17" si="11">SUM(O17:V17)</f>
        <v>98133.333333333343</v>
      </c>
      <c r="X17" s="32">
        <f t="shared" si="8"/>
        <v>1128533.3333333335</v>
      </c>
    </row>
    <row r="18" spans="1:24" ht="24.95" customHeight="1" x14ac:dyDescent="0.25">
      <c r="A18" s="27"/>
      <c r="B18" s="25">
        <v>15</v>
      </c>
      <c r="C18" s="36" t="s">
        <v>41</v>
      </c>
      <c r="D18" s="28" t="s">
        <v>30</v>
      </c>
      <c r="E18" s="29" t="s">
        <v>31</v>
      </c>
      <c r="F18" s="31">
        <v>5200000</v>
      </c>
      <c r="G18" s="30">
        <v>30</v>
      </c>
      <c r="H18" s="30">
        <f t="shared" si="1"/>
        <v>5200000</v>
      </c>
      <c r="I18" s="31"/>
      <c r="J18" s="31"/>
      <c r="K18" s="31"/>
      <c r="L18" s="31">
        <v>0</v>
      </c>
      <c r="M18" s="31"/>
      <c r="N18" s="31">
        <f>+H18+I18+K18+L18+M18+J18</f>
        <v>5200000</v>
      </c>
      <c r="O18" s="31">
        <f>+F18*4%</f>
        <v>208000</v>
      </c>
      <c r="P18" s="31">
        <f>+F18*5%</f>
        <v>260000</v>
      </c>
      <c r="Q18" s="31"/>
      <c r="R18" s="31"/>
      <c r="S18" s="31">
        <v>81000</v>
      </c>
      <c r="T18" s="31"/>
      <c r="U18" s="31"/>
      <c r="V18" s="31">
        <v>0</v>
      </c>
      <c r="W18" s="31">
        <f t="shared" si="6"/>
        <v>549000</v>
      </c>
      <c r="X18" s="32">
        <f t="shared" si="8"/>
        <v>4651000</v>
      </c>
    </row>
    <row r="19" spans="1:24" ht="24.95" customHeight="1" x14ac:dyDescent="0.25">
      <c r="A19" s="27"/>
      <c r="B19" s="25">
        <v>16</v>
      </c>
      <c r="C19" s="36" t="s">
        <v>42</v>
      </c>
      <c r="D19" s="28" t="s">
        <v>30</v>
      </c>
      <c r="E19" s="29" t="s">
        <v>31</v>
      </c>
      <c r="F19" s="31">
        <v>4400000</v>
      </c>
      <c r="G19" s="30">
        <v>30</v>
      </c>
      <c r="H19" s="30">
        <f t="shared" si="1"/>
        <v>4400000</v>
      </c>
      <c r="I19" s="31"/>
      <c r="J19" s="31"/>
      <c r="K19" s="31"/>
      <c r="L19" s="31"/>
      <c r="M19" s="31">
        <f>+F19-H19</f>
        <v>0</v>
      </c>
      <c r="N19" s="31">
        <f t="shared" si="2"/>
        <v>4400000</v>
      </c>
      <c r="O19" s="31">
        <f>+F19*0.04</f>
        <v>176000</v>
      </c>
      <c r="P19" s="31">
        <f>+F19*0.05</f>
        <v>220000</v>
      </c>
      <c r="Q19" s="31"/>
      <c r="R19" s="31"/>
      <c r="S19" s="31"/>
      <c r="T19" s="31"/>
      <c r="U19" s="31"/>
      <c r="V19" s="31"/>
      <c r="W19" s="31">
        <f t="shared" si="6"/>
        <v>396000</v>
      </c>
      <c r="X19" s="32">
        <f t="shared" si="8"/>
        <v>4004000</v>
      </c>
    </row>
    <row r="20" spans="1:24" ht="24.95" customHeight="1" x14ac:dyDescent="0.25">
      <c r="A20" s="27"/>
      <c r="B20" s="25">
        <v>17</v>
      </c>
      <c r="C20" s="36" t="s">
        <v>44</v>
      </c>
      <c r="D20" s="28" t="s">
        <v>30</v>
      </c>
      <c r="E20" s="29" t="s">
        <v>31</v>
      </c>
      <c r="F20" s="31">
        <v>5500000</v>
      </c>
      <c r="G20" s="30">
        <v>30</v>
      </c>
      <c r="H20" s="30">
        <f>+F20-K20</f>
        <v>5500000</v>
      </c>
      <c r="I20" s="31"/>
      <c r="J20" s="31"/>
      <c r="K20" s="31"/>
      <c r="L20" s="31"/>
      <c r="M20" s="31"/>
      <c r="N20" s="31">
        <f t="shared" si="2"/>
        <v>5500000</v>
      </c>
      <c r="O20" s="31">
        <f>+F20*0.04</f>
        <v>220000</v>
      </c>
      <c r="P20" s="31">
        <f>+F20*0.05</f>
        <v>275000</v>
      </c>
      <c r="Q20" s="31"/>
      <c r="R20" s="31"/>
      <c r="S20" s="31">
        <v>83397</v>
      </c>
      <c r="T20" s="31"/>
      <c r="U20" s="31"/>
      <c r="V20" s="31"/>
      <c r="W20" s="31">
        <f t="shared" si="6"/>
        <v>578397</v>
      </c>
      <c r="X20" s="32">
        <f t="shared" si="8"/>
        <v>4921603</v>
      </c>
    </row>
    <row r="21" spans="1:24" ht="24.95" customHeight="1" x14ac:dyDescent="0.25">
      <c r="A21" s="27"/>
      <c r="B21" s="25">
        <v>18</v>
      </c>
      <c r="C21" s="36" t="s">
        <v>160</v>
      </c>
      <c r="D21" s="28" t="s">
        <v>30</v>
      </c>
      <c r="E21" s="29" t="s">
        <v>31</v>
      </c>
      <c r="F21" s="31">
        <v>5000000</v>
      </c>
      <c r="G21" s="30">
        <v>8</v>
      </c>
      <c r="H21" s="30">
        <f t="shared" si="1"/>
        <v>1333333.3333333333</v>
      </c>
      <c r="I21" s="31"/>
      <c r="J21" s="31"/>
      <c r="K21" s="31"/>
      <c r="L21" s="31"/>
      <c r="M21" s="31"/>
      <c r="N21" s="31">
        <f t="shared" si="2"/>
        <v>1333333.3333333333</v>
      </c>
      <c r="O21" s="31">
        <f>+H21*4%</f>
        <v>53333.333333333328</v>
      </c>
      <c r="P21" s="31">
        <f>+H21*0.04</f>
        <v>53333.333333333328</v>
      </c>
      <c r="Q21" s="31"/>
      <c r="R21" s="31"/>
      <c r="S21" s="31"/>
      <c r="T21" s="31"/>
      <c r="U21" s="31"/>
      <c r="V21" s="31"/>
      <c r="W21" s="31">
        <f t="shared" si="6"/>
        <v>106666.66666666666</v>
      </c>
      <c r="X21" s="32">
        <f t="shared" si="8"/>
        <v>1226666.6666666665</v>
      </c>
    </row>
    <row r="22" spans="1:24" ht="24.95" customHeight="1" x14ac:dyDescent="0.25">
      <c r="A22" s="27"/>
      <c r="B22" s="25">
        <v>19</v>
      </c>
      <c r="C22" s="28" t="s">
        <v>148</v>
      </c>
      <c r="D22" s="28" t="s">
        <v>30</v>
      </c>
      <c r="E22" s="29" t="s">
        <v>31</v>
      </c>
      <c r="F22" s="31">
        <v>7000000</v>
      </c>
      <c r="G22" s="30">
        <v>30</v>
      </c>
      <c r="H22" s="30">
        <f>+F22/30*G22</f>
        <v>7000000</v>
      </c>
      <c r="I22" s="31"/>
      <c r="J22" s="31"/>
      <c r="K22" s="31"/>
      <c r="L22" s="31"/>
      <c r="M22" s="31"/>
      <c r="N22" s="31">
        <f>+H22+I22+K22+L22+M22+J22</f>
        <v>7000000</v>
      </c>
      <c r="O22" s="31">
        <f>H22*4%</f>
        <v>280000</v>
      </c>
      <c r="P22" s="31">
        <f>+H22*5%</f>
        <v>350000</v>
      </c>
      <c r="Q22" s="31">
        <v>114000</v>
      </c>
      <c r="R22" s="31">
        <v>1762690</v>
      </c>
      <c r="S22" s="31">
        <v>209509</v>
      </c>
      <c r="T22" s="31"/>
      <c r="U22" s="31"/>
      <c r="V22" s="31"/>
      <c r="W22" s="31">
        <f>SUM(O22:V22)</f>
        <v>2716199</v>
      </c>
      <c r="X22" s="35">
        <f>N22-W22</f>
        <v>4283801</v>
      </c>
    </row>
    <row r="23" spans="1:24" ht="24.95" customHeight="1" x14ac:dyDescent="0.25">
      <c r="A23" s="27"/>
      <c r="B23" s="25">
        <v>20</v>
      </c>
      <c r="C23" s="36" t="s">
        <v>45</v>
      </c>
      <c r="D23" s="28" t="s">
        <v>30</v>
      </c>
      <c r="E23" s="29" t="s">
        <v>31</v>
      </c>
      <c r="F23" s="31">
        <v>5200000</v>
      </c>
      <c r="G23" s="30">
        <v>30</v>
      </c>
      <c r="H23" s="30">
        <f t="shared" si="1"/>
        <v>5200000</v>
      </c>
      <c r="I23" s="31"/>
      <c r="J23" s="31"/>
      <c r="K23" s="31"/>
      <c r="L23" s="31"/>
      <c r="M23" s="31">
        <v>0</v>
      </c>
      <c r="N23" s="31">
        <f t="shared" si="2"/>
        <v>5200000</v>
      </c>
      <c r="O23" s="31">
        <f>+F23*4%</f>
        <v>208000</v>
      </c>
      <c r="P23" s="31">
        <f>+F23*5%</f>
        <v>260000</v>
      </c>
      <c r="Q23" s="31"/>
      <c r="R23" s="31"/>
      <c r="S23" s="31">
        <v>46204</v>
      </c>
      <c r="T23" s="31"/>
      <c r="U23" s="31"/>
      <c r="V23" s="31"/>
      <c r="W23" s="31">
        <f t="shared" si="6"/>
        <v>514204</v>
      </c>
      <c r="X23" s="32">
        <f t="shared" si="8"/>
        <v>4685796</v>
      </c>
    </row>
    <row r="24" spans="1:24" ht="24.95" customHeight="1" x14ac:dyDescent="0.25">
      <c r="A24" s="27"/>
      <c r="B24" s="25">
        <v>21</v>
      </c>
      <c r="C24" s="28" t="s">
        <v>46</v>
      </c>
      <c r="D24" s="28" t="s">
        <v>30</v>
      </c>
      <c r="E24" s="29" t="s">
        <v>31</v>
      </c>
      <c r="F24" s="31">
        <v>5500000</v>
      </c>
      <c r="G24" s="30">
        <v>30</v>
      </c>
      <c r="H24" s="30">
        <f t="shared" si="1"/>
        <v>5500000</v>
      </c>
      <c r="I24" s="31"/>
      <c r="J24" s="31"/>
      <c r="K24" s="31"/>
      <c r="L24" s="31">
        <v>450000</v>
      </c>
      <c r="M24" s="31"/>
      <c r="N24" s="31">
        <f t="shared" si="2"/>
        <v>5950000</v>
      </c>
      <c r="O24" s="31">
        <f>+F24*4%</f>
        <v>220000</v>
      </c>
      <c r="P24" s="31">
        <f>+F24*5%</f>
        <v>275000</v>
      </c>
      <c r="Q24" s="31"/>
      <c r="R24" s="31"/>
      <c r="S24" s="34">
        <v>150521</v>
      </c>
      <c r="T24" s="31">
        <v>1365000</v>
      </c>
      <c r="U24" s="31"/>
      <c r="V24" s="31"/>
      <c r="W24" s="31">
        <f t="shared" si="6"/>
        <v>2010521</v>
      </c>
      <c r="X24" s="32">
        <f t="shared" si="8"/>
        <v>3939479</v>
      </c>
    </row>
    <row r="25" spans="1:24" ht="24.95" customHeight="1" x14ac:dyDescent="0.25">
      <c r="A25" s="27"/>
      <c r="B25" s="25">
        <v>22</v>
      </c>
      <c r="C25" s="28" t="s">
        <v>47</v>
      </c>
      <c r="D25" s="28" t="s">
        <v>30</v>
      </c>
      <c r="E25" s="29" t="s">
        <v>31</v>
      </c>
      <c r="F25" s="31">
        <v>5350000</v>
      </c>
      <c r="G25" s="30">
        <v>30</v>
      </c>
      <c r="H25" s="30">
        <f t="shared" si="1"/>
        <v>5350000</v>
      </c>
      <c r="I25" s="31"/>
      <c r="J25" s="31"/>
      <c r="K25" s="31"/>
      <c r="L25" s="31">
        <v>1000000</v>
      </c>
      <c r="M25" s="31"/>
      <c r="N25" s="31">
        <f t="shared" si="2"/>
        <v>6350000</v>
      </c>
      <c r="O25" s="31">
        <f>+F25*4%</f>
        <v>214000</v>
      </c>
      <c r="P25" s="31">
        <f>+F25*0.05</f>
        <v>267500</v>
      </c>
      <c r="Q25" s="31"/>
      <c r="R25" s="31"/>
      <c r="S25" s="34">
        <v>96000</v>
      </c>
      <c r="T25" s="31"/>
      <c r="U25" s="31"/>
      <c r="V25" s="31">
        <v>810005</v>
      </c>
      <c r="W25" s="31">
        <f t="shared" si="6"/>
        <v>1387505</v>
      </c>
      <c r="X25" s="32">
        <f>N25-W25</f>
        <v>4962495</v>
      </c>
    </row>
    <row r="26" spans="1:24" ht="24.95" customHeight="1" x14ac:dyDescent="0.25">
      <c r="A26" s="27"/>
      <c r="B26" s="25">
        <v>23</v>
      </c>
      <c r="C26" s="28" t="s">
        <v>48</v>
      </c>
      <c r="D26" s="28" t="s">
        <v>30</v>
      </c>
      <c r="E26" s="29" t="s">
        <v>31</v>
      </c>
      <c r="F26" s="31">
        <v>7000000</v>
      </c>
      <c r="G26" s="30">
        <v>30</v>
      </c>
      <c r="H26" s="30">
        <f>+F26-M26</f>
        <v>6766667</v>
      </c>
      <c r="I26" s="31"/>
      <c r="J26" s="31"/>
      <c r="K26" s="31"/>
      <c r="L26" s="31"/>
      <c r="M26" s="31">
        <v>233333</v>
      </c>
      <c r="N26" s="31">
        <f t="shared" si="2"/>
        <v>7000000</v>
      </c>
      <c r="O26" s="31">
        <f>+F26*4%</f>
        <v>280000</v>
      </c>
      <c r="P26" s="31">
        <f>+F26*0.05</f>
        <v>350000</v>
      </c>
      <c r="Q26" s="31"/>
      <c r="R26" s="31"/>
      <c r="S26" s="34">
        <v>269359</v>
      </c>
      <c r="T26" s="31"/>
      <c r="U26" s="31"/>
      <c r="V26" s="37"/>
      <c r="W26" s="31">
        <f t="shared" si="6"/>
        <v>899359</v>
      </c>
      <c r="X26" s="32">
        <f>N26-W26</f>
        <v>6100641</v>
      </c>
    </row>
    <row r="27" spans="1:24" ht="24.95" customHeight="1" x14ac:dyDescent="0.25">
      <c r="A27" s="27"/>
      <c r="B27" s="25">
        <v>24</v>
      </c>
      <c r="C27" s="28" t="s">
        <v>49</v>
      </c>
      <c r="D27" s="28" t="s">
        <v>30</v>
      </c>
      <c r="E27" s="29" t="s">
        <v>31</v>
      </c>
      <c r="F27" s="31">
        <v>6900000</v>
      </c>
      <c r="G27" s="30">
        <v>30</v>
      </c>
      <c r="H27" s="30">
        <f t="shared" si="1"/>
        <v>6900000</v>
      </c>
      <c r="I27" s="31"/>
      <c r="J27" s="31"/>
      <c r="K27" s="31"/>
      <c r="L27" s="31">
        <v>1400000</v>
      </c>
      <c r="M27" s="38"/>
      <c r="N27" s="31">
        <f t="shared" si="2"/>
        <v>8300000</v>
      </c>
      <c r="O27" s="31">
        <f>+F27*4%</f>
        <v>276000</v>
      </c>
      <c r="P27" s="31">
        <f>+F27*5%</f>
        <v>345000</v>
      </c>
      <c r="Q27" s="31"/>
      <c r="R27" s="31"/>
      <c r="S27" s="34">
        <v>113000</v>
      </c>
      <c r="T27" s="31">
        <v>1300000</v>
      </c>
      <c r="U27" s="31"/>
      <c r="V27" s="37"/>
      <c r="W27" s="31">
        <f t="shared" si="6"/>
        <v>2034000</v>
      </c>
      <c r="X27" s="32">
        <f>N27-W27</f>
        <v>6266000</v>
      </c>
    </row>
    <row r="28" spans="1:24" ht="24.95" customHeight="1" x14ac:dyDescent="0.25">
      <c r="A28" s="27"/>
      <c r="B28" s="25">
        <v>25</v>
      </c>
      <c r="C28" s="36" t="s">
        <v>149</v>
      </c>
      <c r="D28" s="28" t="s">
        <v>30</v>
      </c>
      <c r="E28" s="29" t="s">
        <v>31</v>
      </c>
      <c r="F28" s="31">
        <v>4000000</v>
      </c>
      <c r="G28" s="30">
        <v>30</v>
      </c>
      <c r="H28" s="30">
        <f>+F28/30*G28</f>
        <v>4000000.0000000005</v>
      </c>
      <c r="I28" s="31"/>
      <c r="J28" s="31"/>
      <c r="K28" s="31"/>
      <c r="L28" s="31"/>
      <c r="M28" s="31"/>
      <c r="N28" s="31">
        <f>+H28+I28+K28+L28+M28+J28</f>
        <v>4000000.0000000005</v>
      </c>
      <c r="O28" s="31">
        <f>+H28*4%</f>
        <v>160000.00000000003</v>
      </c>
      <c r="P28" s="31">
        <f>+H28*5%</f>
        <v>200000.00000000003</v>
      </c>
      <c r="Q28" s="31"/>
      <c r="R28" s="31"/>
      <c r="S28" s="31"/>
      <c r="T28" s="31"/>
      <c r="U28" s="31"/>
      <c r="V28" s="31"/>
      <c r="W28" s="31">
        <f>SUM(O28:V28)</f>
        <v>360000.00000000006</v>
      </c>
      <c r="X28" s="35">
        <f>N28-W28</f>
        <v>3640000.0000000005</v>
      </c>
    </row>
    <row r="29" spans="1:24" ht="24.95" customHeight="1" x14ac:dyDescent="0.25">
      <c r="A29" s="27"/>
      <c r="B29" s="25">
        <v>26</v>
      </c>
      <c r="C29" s="28" t="s">
        <v>50</v>
      </c>
      <c r="D29" s="28" t="s">
        <v>30</v>
      </c>
      <c r="E29" s="29" t="s">
        <v>31</v>
      </c>
      <c r="F29" s="31">
        <v>4000000</v>
      </c>
      <c r="G29" s="30">
        <v>30</v>
      </c>
      <c r="H29" s="30">
        <f t="shared" si="1"/>
        <v>4000000.0000000005</v>
      </c>
      <c r="I29" s="31"/>
      <c r="J29" s="31"/>
      <c r="K29" s="31"/>
      <c r="L29" s="31">
        <v>360000</v>
      </c>
      <c r="M29" s="31"/>
      <c r="N29" s="31">
        <f t="shared" si="2"/>
        <v>4360000</v>
      </c>
      <c r="O29" s="31">
        <f t="shared" ref="O29:O59" si="12">F29*4/100</f>
        <v>160000</v>
      </c>
      <c r="P29" s="31">
        <f t="shared" ref="P29:P59" si="13">+F29*0.05</f>
        <v>200000</v>
      </c>
      <c r="Q29" s="31"/>
      <c r="R29" s="31"/>
      <c r="S29" s="31"/>
      <c r="T29" s="31"/>
      <c r="U29" s="31"/>
      <c r="V29" s="31"/>
      <c r="W29" s="31">
        <f t="shared" si="6"/>
        <v>360000</v>
      </c>
      <c r="X29" s="32">
        <f t="shared" ref="X29:X34" si="14">+N29-W29</f>
        <v>4000000</v>
      </c>
    </row>
    <row r="30" spans="1:24" ht="24.95" customHeight="1" x14ac:dyDescent="0.25">
      <c r="A30" s="27"/>
      <c r="B30" s="25">
        <v>27</v>
      </c>
      <c r="C30" s="28" t="s">
        <v>150</v>
      </c>
      <c r="D30" s="28" t="s">
        <v>30</v>
      </c>
      <c r="E30" s="29" t="s">
        <v>31</v>
      </c>
      <c r="F30" s="31">
        <v>4500000</v>
      </c>
      <c r="G30" s="30">
        <v>30</v>
      </c>
      <c r="H30" s="30">
        <f>+F30/30*G30</f>
        <v>4500000</v>
      </c>
      <c r="I30" s="31"/>
      <c r="J30" s="31"/>
      <c r="K30" s="31"/>
      <c r="L30" s="31"/>
      <c r="M30" s="31"/>
      <c r="N30" s="31">
        <f t="shared" si="2"/>
        <v>4500000</v>
      </c>
      <c r="O30" s="31">
        <f>H30*4/100</f>
        <v>180000</v>
      </c>
      <c r="P30" s="31">
        <f>+H30*0.05</f>
        <v>225000</v>
      </c>
      <c r="Q30" s="31"/>
      <c r="R30" s="31"/>
      <c r="S30" s="34">
        <v>11000</v>
      </c>
      <c r="T30" s="31"/>
      <c r="U30" s="31"/>
      <c r="V30" s="31"/>
      <c r="W30" s="31">
        <f>SUM(O30:V30)</f>
        <v>416000</v>
      </c>
      <c r="X30" s="32">
        <f t="shared" si="14"/>
        <v>4084000</v>
      </c>
    </row>
    <row r="31" spans="1:24" ht="24.95" customHeight="1" x14ac:dyDescent="0.25">
      <c r="A31" s="27"/>
      <c r="B31" s="25">
        <v>28</v>
      </c>
      <c r="C31" s="28" t="s">
        <v>51</v>
      </c>
      <c r="D31" s="28" t="s">
        <v>30</v>
      </c>
      <c r="E31" s="29" t="s">
        <v>31</v>
      </c>
      <c r="F31" s="31">
        <v>5300000</v>
      </c>
      <c r="G31" s="30">
        <v>30</v>
      </c>
      <c r="H31" s="30">
        <f t="shared" si="1"/>
        <v>5300000</v>
      </c>
      <c r="I31" s="31"/>
      <c r="J31" s="31"/>
      <c r="K31" s="31"/>
      <c r="L31" s="31">
        <v>1621317</v>
      </c>
      <c r="M31" s="31"/>
      <c r="N31" s="31">
        <f t="shared" si="2"/>
        <v>6921317</v>
      </c>
      <c r="O31" s="31">
        <f t="shared" si="12"/>
        <v>212000</v>
      </c>
      <c r="P31" s="31">
        <f t="shared" si="13"/>
        <v>265000</v>
      </c>
      <c r="Q31" s="31"/>
      <c r="R31" s="31"/>
      <c r="S31" s="34">
        <v>100000</v>
      </c>
      <c r="T31" s="31"/>
      <c r="U31" s="31"/>
      <c r="V31" s="31">
        <f>884747</f>
        <v>884747</v>
      </c>
      <c r="W31" s="31">
        <f t="shared" si="6"/>
        <v>1461747</v>
      </c>
      <c r="X31" s="32">
        <f t="shared" si="14"/>
        <v>5459570</v>
      </c>
    </row>
    <row r="32" spans="1:24" ht="24.95" customHeight="1" x14ac:dyDescent="0.25">
      <c r="A32" s="27"/>
      <c r="B32" s="25">
        <v>29</v>
      </c>
      <c r="C32" s="28" t="s">
        <v>52</v>
      </c>
      <c r="D32" s="28" t="s">
        <v>30</v>
      </c>
      <c r="E32" s="29" t="s">
        <v>31</v>
      </c>
      <c r="F32" s="31">
        <v>4800000</v>
      </c>
      <c r="G32" s="30">
        <v>30</v>
      </c>
      <c r="H32" s="30">
        <f t="shared" si="1"/>
        <v>4800000</v>
      </c>
      <c r="I32" s="31"/>
      <c r="J32" s="31"/>
      <c r="K32" s="31"/>
      <c r="L32" s="31">
        <v>92925</v>
      </c>
      <c r="M32" s="31"/>
      <c r="N32" s="31">
        <f t="shared" si="2"/>
        <v>4892925</v>
      </c>
      <c r="O32" s="31">
        <f t="shared" si="12"/>
        <v>192000</v>
      </c>
      <c r="P32" s="31">
        <f t="shared" si="13"/>
        <v>240000</v>
      </c>
      <c r="Q32" s="31"/>
      <c r="R32" s="31"/>
      <c r="S32" s="34">
        <v>0</v>
      </c>
      <c r="T32" s="31"/>
      <c r="U32" s="31"/>
      <c r="V32" s="31"/>
      <c r="W32" s="31">
        <f t="shared" si="6"/>
        <v>432000</v>
      </c>
      <c r="X32" s="32">
        <f t="shared" si="14"/>
        <v>4460925</v>
      </c>
    </row>
    <row r="33" spans="1:25" ht="24.95" customHeight="1" x14ac:dyDescent="0.25">
      <c r="A33" s="27"/>
      <c r="B33" s="25">
        <v>30</v>
      </c>
      <c r="C33" s="28" t="s">
        <v>53</v>
      </c>
      <c r="D33" s="28" t="s">
        <v>30</v>
      </c>
      <c r="E33" s="29" t="s">
        <v>31</v>
      </c>
      <c r="F33" s="31">
        <v>5500000</v>
      </c>
      <c r="G33" s="30">
        <v>30</v>
      </c>
      <c r="H33" s="30">
        <f t="shared" si="1"/>
        <v>5500000</v>
      </c>
      <c r="I33" s="31"/>
      <c r="J33" s="31"/>
      <c r="K33" s="31"/>
      <c r="L33" s="31"/>
      <c r="M33" s="37"/>
      <c r="N33" s="31">
        <f t="shared" si="2"/>
        <v>5500000</v>
      </c>
      <c r="O33" s="31">
        <f t="shared" si="12"/>
        <v>220000</v>
      </c>
      <c r="P33" s="31">
        <f t="shared" si="13"/>
        <v>275000</v>
      </c>
      <c r="Q33" s="31"/>
      <c r="R33" s="31"/>
      <c r="S33" s="31">
        <v>5022</v>
      </c>
      <c r="T33" s="31"/>
      <c r="U33" s="31"/>
      <c r="V33" s="31"/>
      <c r="W33" s="31">
        <f t="shared" si="6"/>
        <v>500022</v>
      </c>
      <c r="X33" s="32">
        <f t="shared" si="14"/>
        <v>4999978</v>
      </c>
    </row>
    <row r="34" spans="1:25" ht="24.95" customHeight="1" x14ac:dyDescent="0.25">
      <c r="A34" s="27"/>
      <c r="B34" s="25">
        <v>31</v>
      </c>
      <c r="C34" s="28" t="s">
        <v>54</v>
      </c>
      <c r="D34" s="28" t="s">
        <v>30</v>
      </c>
      <c r="E34" s="29" t="s">
        <v>31</v>
      </c>
      <c r="F34" s="31">
        <v>5500000</v>
      </c>
      <c r="G34" s="30">
        <v>30</v>
      </c>
      <c r="H34" s="30">
        <f t="shared" si="1"/>
        <v>5500000</v>
      </c>
      <c r="I34" s="31"/>
      <c r="J34" s="31"/>
      <c r="K34" s="31"/>
      <c r="L34" s="31"/>
      <c r="M34" s="31"/>
      <c r="N34" s="31">
        <f t="shared" si="2"/>
        <v>5500000</v>
      </c>
      <c r="O34" s="31">
        <f t="shared" si="12"/>
        <v>220000</v>
      </c>
      <c r="P34" s="31">
        <f t="shared" si="13"/>
        <v>275000</v>
      </c>
      <c r="Q34" s="31"/>
      <c r="R34" s="31"/>
      <c r="S34" s="34">
        <v>141000</v>
      </c>
      <c r="T34" s="31"/>
      <c r="U34" s="31"/>
      <c r="V34" s="31"/>
      <c r="W34" s="31">
        <f t="shared" si="6"/>
        <v>636000</v>
      </c>
      <c r="X34" s="32">
        <f t="shared" si="14"/>
        <v>4864000</v>
      </c>
    </row>
    <row r="35" spans="1:25" ht="24.95" customHeight="1" x14ac:dyDescent="0.25">
      <c r="A35" s="27"/>
      <c r="B35" s="25">
        <v>32</v>
      </c>
      <c r="C35" s="28" t="s">
        <v>110</v>
      </c>
      <c r="D35" s="28" t="s">
        <v>30</v>
      </c>
      <c r="E35" s="29" t="s">
        <v>31</v>
      </c>
      <c r="F35" s="31">
        <v>4300000</v>
      </c>
      <c r="G35" s="30">
        <v>30</v>
      </c>
      <c r="H35" s="30">
        <f t="shared" si="1"/>
        <v>4300000</v>
      </c>
      <c r="I35" s="31"/>
      <c r="J35" s="31"/>
      <c r="K35" s="31"/>
      <c r="L35" s="31"/>
      <c r="M35" s="31">
        <f>+F35-H35</f>
        <v>0</v>
      </c>
      <c r="N35" s="31">
        <f t="shared" si="2"/>
        <v>4300000</v>
      </c>
      <c r="O35" s="31">
        <f>+F35*4%</f>
        <v>172000</v>
      </c>
      <c r="P35" s="31">
        <f>+F35*5%</f>
        <v>215000</v>
      </c>
      <c r="Q35" s="31"/>
      <c r="R35" s="31"/>
      <c r="S35" s="34">
        <v>0</v>
      </c>
      <c r="T35" s="31"/>
      <c r="U35" s="31">
        <v>0</v>
      </c>
      <c r="V35" s="31"/>
      <c r="W35" s="31">
        <f t="shared" ref="W35" si="15">SUM(O35:V35)</f>
        <v>387000</v>
      </c>
      <c r="X35" s="35">
        <f>+N35-W35</f>
        <v>3913000</v>
      </c>
      <c r="Y35" s="39"/>
    </row>
    <row r="36" spans="1:25" ht="24.95" customHeight="1" x14ac:dyDescent="0.25">
      <c r="A36" s="27"/>
      <c r="B36" s="25">
        <v>33</v>
      </c>
      <c r="C36" s="28" t="s">
        <v>57</v>
      </c>
      <c r="D36" s="28" t="s">
        <v>30</v>
      </c>
      <c r="E36" s="29" t="s">
        <v>31</v>
      </c>
      <c r="F36" s="31">
        <v>6600000</v>
      </c>
      <c r="G36" s="30">
        <v>30</v>
      </c>
      <c r="H36" s="30">
        <f t="shared" si="1"/>
        <v>6600000</v>
      </c>
      <c r="I36" s="31"/>
      <c r="J36" s="31"/>
      <c r="K36" s="31"/>
      <c r="L36" s="31"/>
      <c r="M36" s="38"/>
      <c r="N36" s="31">
        <f t="shared" si="2"/>
        <v>6600000</v>
      </c>
      <c r="O36" s="31">
        <f t="shared" si="12"/>
        <v>264000</v>
      </c>
      <c r="P36" s="31">
        <f t="shared" si="13"/>
        <v>330000</v>
      </c>
      <c r="Q36" s="31"/>
      <c r="R36" s="31"/>
      <c r="S36" s="34">
        <v>86000</v>
      </c>
      <c r="T36" s="31"/>
      <c r="U36" s="31"/>
      <c r="V36" s="31"/>
      <c r="W36" s="31">
        <f t="shared" si="6"/>
        <v>680000</v>
      </c>
      <c r="X36" s="32">
        <f>N36-W36</f>
        <v>5920000</v>
      </c>
    </row>
    <row r="37" spans="1:25" ht="24.95" customHeight="1" x14ac:dyDescent="0.25">
      <c r="A37" s="27"/>
      <c r="B37" s="25">
        <v>34</v>
      </c>
      <c r="C37" s="28" t="s">
        <v>111</v>
      </c>
      <c r="D37" s="28" t="s">
        <v>30</v>
      </c>
      <c r="E37" s="29" t="s">
        <v>31</v>
      </c>
      <c r="F37" s="31">
        <v>4770000</v>
      </c>
      <c r="G37" s="30">
        <v>30</v>
      </c>
      <c r="H37" s="30">
        <f t="shared" si="1"/>
        <v>4770000</v>
      </c>
      <c r="I37" s="31"/>
      <c r="J37" s="31"/>
      <c r="K37" s="31"/>
      <c r="L37" s="31">
        <v>160000</v>
      </c>
      <c r="M37" s="31">
        <f>+F37-H37</f>
        <v>0</v>
      </c>
      <c r="N37" s="31">
        <f t="shared" si="2"/>
        <v>4930000</v>
      </c>
      <c r="O37" s="31">
        <f t="shared" ref="O37" si="16">+F37*4%</f>
        <v>190800</v>
      </c>
      <c r="P37" s="31">
        <f>+F37*5%</f>
        <v>238500</v>
      </c>
      <c r="Q37" s="31"/>
      <c r="R37" s="31"/>
      <c r="S37" s="34">
        <v>0</v>
      </c>
      <c r="T37" s="31"/>
      <c r="U37" s="31"/>
      <c r="V37" s="31"/>
      <c r="W37" s="31">
        <f t="shared" ref="W37" si="17">SUM(O37:V37)</f>
        <v>429300</v>
      </c>
      <c r="X37" s="32">
        <f t="shared" ref="X37" si="18">+N37-W37</f>
        <v>4500700</v>
      </c>
    </row>
    <row r="38" spans="1:25" ht="24.95" customHeight="1" x14ac:dyDescent="0.25">
      <c r="A38" s="27"/>
      <c r="B38" s="25">
        <v>35</v>
      </c>
      <c r="C38" s="28" t="s">
        <v>58</v>
      </c>
      <c r="D38" s="28" t="s">
        <v>30</v>
      </c>
      <c r="E38" s="29" t="s">
        <v>31</v>
      </c>
      <c r="F38" s="31">
        <v>7000000</v>
      </c>
      <c r="G38" s="30">
        <v>30</v>
      </c>
      <c r="H38" s="30">
        <f t="shared" si="1"/>
        <v>7000000</v>
      </c>
      <c r="I38" s="31"/>
      <c r="J38" s="31"/>
      <c r="K38" s="31"/>
      <c r="L38" s="31"/>
      <c r="M38" s="40"/>
      <c r="N38" s="31">
        <f t="shared" si="2"/>
        <v>7000000</v>
      </c>
      <c r="O38" s="31">
        <f t="shared" si="12"/>
        <v>280000</v>
      </c>
      <c r="P38" s="31">
        <f t="shared" si="13"/>
        <v>350000</v>
      </c>
      <c r="Q38" s="31"/>
      <c r="R38" s="31"/>
      <c r="S38" s="34">
        <v>86000</v>
      </c>
      <c r="T38" s="31"/>
      <c r="U38" s="31"/>
      <c r="V38" s="31"/>
      <c r="W38" s="31">
        <f t="shared" si="6"/>
        <v>716000</v>
      </c>
      <c r="X38" s="32">
        <f>N38-W38</f>
        <v>6284000</v>
      </c>
    </row>
    <row r="39" spans="1:25" ht="24.95" customHeight="1" x14ac:dyDescent="0.25">
      <c r="A39" s="27"/>
      <c r="B39" s="25">
        <v>36</v>
      </c>
      <c r="C39" s="28" t="s">
        <v>60</v>
      </c>
      <c r="D39" s="28" t="s">
        <v>30</v>
      </c>
      <c r="E39" s="29" t="s">
        <v>31</v>
      </c>
      <c r="F39" s="31">
        <v>5088000</v>
      </c>
      <c r="G39" s="30">
        <v>30</v>
      </c>
      <c r="H39" s="30">
        <f t="shared" si="1"/>
        <v>5088000</v>
      </c>
      <c r="I39" s="31"/>
      <c r="J39" s="31"/>
      <c r="K39" s="31"/>
      <c r="L39" s="31"/>
      <c r="M39" s="31"/>
      <c r="N39" s="31">
        <f t="shared" si="2"/>
        <v>5088000</v>
      </c>
      <c r="O39" s="31">
        <f>F39*4/100</f>
        <v>203520</v>
      </c>
      <c r="P39" s="31">
        <f>+F39*0.05</f>
        <v>254400</v>
      </c>
      <c r="Q39" s="31"/>
      <c r="R39" s="31"/>
      <c r="S39" s="31">
        <v>0</v>
      </c>
      <c r="T39" s="31">
        <f>1150000</f>
        <v>1150000</v>
      </c>
      <c r="U39" s="31"/>
      <c r="V39" s="31">
        <f>209579</f>
        <v>209579</v>
      </c>
      <c r="W39" s="31">
        <f t="shared" si="6"/>
        <v>1817499</v>
      </c>
      <c r="X39" s="32">
        <f>N39-W39</f>
        <v>3270501</v>
      </c>
    </row>
    <row r="40" spans="1:25" ht="24.95" customHeight="1" x14ac:dyDescent="0.25">
      <c r="A40" s="27"/>
      <c r="B40" s="25">
        <v>37</v>
      </c>
      <c r="C40" s="28" t="s">
        <v>61</v>
      </c>
      <c r="D40" s="28" t="s">
        <v>30</v>
      </c>
      <c r="E40" s="29" t="s">
        <v>31</v>
      </c>
      <c r="F40" s="31">
        <v>4540000</v>
      </c>
      <c r="G40" s="30">
        <v>30</v>
      </c>
      <c r="H40" s="30">
        <f t="shared" si="1"/>
        <v>4540000</v>
      </c>
      <c r="I40" s="31"/>
      <c r="J40" s="31"/>
      <c r="K40" s="31"/>
      <c r="L40" s="31"/>
      <c r="M40" s="31"/>
      <c r="N40" s="31">
        <f t="shared" si="2"/>
        <v>4540000</v>
      </c>
      <c r="O40" s="31">
        <f t="shared" si="12"/>
        <v>181600</v>
      </c>
      <c r="P40" s="31">
        <f t="shared" si="13"/>
        <v>227000</v>
      </c>
      <c r="Q40" s="31"/>
      <c r="R40" s="31"/>
      <c r="S40" s="34">
        <v>0</v>
      </c>
      <c r="T40" s="31"/>
      <c r="U40" s="31"/>
      <c r="V40" s="31" t="s">
        <v>1</v>
      </c>
      <c r="W40" s="31">
        <f t="shared" si="6"/>
        <v>408600</v>
      </c>
      <c r="X40" s="32">
        <f>N40-W40</f>
        <v>4131400</v>
      </c>
    </row>
    <row r="41" spans="1:25" ht="24.95" customHeight="1" x14ac:dyDescent="0.25">
      <c r="A41" s="27"/>
      <c r="B41" s="25">
        <v>38</v>
      </c>
      <c r="C41" s="28" t="s">
        <v>62</v>
      </c>
      <c r="D41" s="28" t="s">
        <v>30</v>
      </c>
      <c r="E41" s="29" t="s">
        <v>31</v>
      </c>
      <c r="F41" s="31">
        <v>3500000</v>
      </c>
      <c r="G41" s="30">
        <v>30</v>
      </c>
      <c r="H41" s="30">
        <f>+F41-M41</f>
        <v>3500000</v>
      </c>
      <c r="I41" s="31"/>
      <c r="J41" s="31"/>
      <c r="K41" s="31"/>
      <c r="L41" s="31"/>
      <c r="M41" s="31"/>
      <c r="N41" s="31">
        <f t="shared" si="2"/>
        <v>3500000</v>
      </c>
      <c r="O41" s="31">
        <f t="shared" si="12"/>
        <v>140000</v>
      </c>
      <c r="P41" s="31">
        <f t="shared" si="13"/>
        <v>175000</v>
      </c>
      <c r="Q41" s="31"/>
      <c r="R41" s="31"/>
      <c r="S41" s="31">
        <v>0</v>
      </c>
      <c r="T41" s="31"/>
      <c r="U41" s="31"/>
      <c r="V41" s="31">
        <v>257196</v>
      </c>
      <c r="W41" s="31">
        <f t="shared" si="6"/>
        <v>572196</v>
      </c>
      <c r="X41" s="32">
        <f>+N41-W41</f>
        <v>2927804</v>
      </c>
    </row>
    <row r="42" spans="1:25" ht="24.95" customHeight="1" x14ac:dyDescent="0.25">
      <c r="A42" s="27"/>
      <c r="B42" s="25">
        <v>39</v>
      </c>
      <c r="C42" s="28" t="s">
        <v>63</v>
      </c>
      <c r="D42" s="28" t="s">
        <v>30</v>
      </c>
      <c r="E42" s="29" t="s">
        <v>31</v>
      </c>
      <c r="F42" s="31">
        <v>4500000</v>
      </c>
      <c r="G42" s="30">
        <v>30</v>
      </c>
      <c r="H42" s="30">
        <f t="shared" si="1"/>
        <v>4500000</v>
      </c>
      <c r="I42" s="31"/>
      <c r="J42" s="31"/>
      <c r="K42" s="31"/>
      <c r="L42" s="31"/>
      <c r="M42" s="31"/>
      <c r="N42" s="31">
        <f t="shared" si="2"/>
        <v>4500000</v>
      </c>
      <c r="O42" s="31">
        <f t="shared" si="12"/>
        <v>180000</v>
      </c>
      <c r="P42" s="31">
        <f t="shared" si="13"/>
        <v>225000</v>
      </c>
      <c r="Q42" s="31"/>
      <c r="R42" s="31"/>
      <c r="S42" s="31">
        <v>0</v>
      </c>
      <c r="T42" s="31"/>
      <c r="U42" s="31"/>
      <c r="V42" s="31"/>
      <c r="W42" s="31">
        <f t="shared" si="6"/>
        <v>405000</v>
      </c>
      <c r="X42" s="32">
        <f>+N42-W42</f>
        <v>4095000</v>
      </c>
    </row>
    <row r="43" spans="1:25" ht="24.95" customHeight="1" x14ac:dyDescent="0.25">
      <c r="A43" s="27"/>
      <c r="B43" s="25">
        <v>40</v>
      </c>
      <c r="C43" s="28" t="s">
        <v>64</v>
      </c>
      <c r="D43" s="28" t="s">
        <v>30</v>
      </c>
      <c r="E43" s="29" t="s">
        <v>31</v>
      </c>
      <c r="F43" s="31">
        <v>6360000</v>
      </c>
      <c r="G43" s="30">
        <v>30</v>
      </c>
      <c r="H43" s="30">
        <f>+F43-M43</f>
        <v>6360000</v>
      </c>
      <c r="I43" s="31"/>
      <c r="J43" s="31"/>
      <c r="K43" s="31"/>
      <c r="L43" s="31"/>
      <c r="M43" s="31"/>
      <c r="N43" s="31">
        <f t="shared" si="2"/>
        <v>6360000</v>
      </c>
      <c r="O43" s="31">
        <f t="shared" si="12"/>
        <v>254400</v>
      </c>
      <c r="P43" s="31">
        <f t="shared" si="13"/>
        <v>318000</v>
      </c>
      <c r="Q43" s="31"/>
      <c r="R43" s="31"/>
      <c r="S43" s="31">
        <v>208000</v>
      </c>
      <c r="T43" s="31"/>
      <c r="U43" s="31">
        <v>122614</v>
      </c>
      <c r="V43" s="31"/>
      <c r="W43" s="31">
        <f t="shared" si="6"/>
        <v>903014</v>
      </c>
      <c r="X43" s="32">
        <f>+N43-W43</f>
        <v>5456986</v>
      </c>
    </row>
    <row r="44" spans="1:25" ht="24.95" customHeight="1" x14ac:dyDescent="0.25">
      <c r="A44" s="27"/>
      <c r="B44" s="25">
        <v>41</v>
      </c>
      <c r="C44" s="28" t="s">
        <v>151</v>
      </c>
      <c r="D44" s="28" t="s">
        <v>30</v>
      </c>
      <c r="E44" s="29" t="s">
        <v>31</v>
      </c>
      <c r="F44" s="31">
        <v>3500000</v>
      </c>
      <c r="G44" s="30">
        <v>30</v>
      </c>
      <c r="H44" s="30">
        <f>+F44/30*G44</f>
        <v>3500000</v>
      </c>
      <c r="I44" s="31"/>
      <c r="J44" s="31"/>
      <c r="K44" s="31"/>
      <c r="L44" s="31"/>
      <c r="M44" s="31"/>
      <c r="N44" s="31">
        <f>+H44+I44+K44+L44+M44+J44</f>
        <v>3500000</v>
      </c>
      <c r="O44" s="31">
        <f>H44*4/100</f>
        <v>140000</v>
      </c>
      <c r="P44" s="31">
        <f>+H44*0.05</f>
        <v>175000</v>
      </c>
      <c r="Q44" s="31"/>
      <c r="R44" s="31"/>
      <c r="S44" s="31">
        <v>0</v>
      </c>
      <c r="T44" s="31"/>
      <c r="U44" s="31">
        <v>0</v>
      </c>
      <c r="V44" s="31"/>
      <c r="W44" s="31">
        <f t="shared" ref="W44" si="19">SUM(O44:V44)</f>
        <v>315000</v>
      </c>
      <c r="X44" s="32">
        <f>+N44-W44</f>
        <v>3185000</v>
      </c>
    </row>
    <row r="45" spans="1:25" ht="24.95" customHeight="1" x14ac:dyDescent="0.25">
      <c r="A45" s="27"/>
      <c r="B45" s="25">
        <v>42</v>
      </c>
      <c r="C45" s="28" t="s">
        <v>65</v>
      </c>
      <c r="D45" s="28" t="s">
        <v>30</v>
      </c>
      <c r="E45" s="29" t="s">
        <v>31</v>
      </c>
      <c r="F45" s="31">
        <v>4770000</v>
      </c>
      <c r="G45" s="30">
        <v>30</v>
      </c>
      <c r="H45" s="30">
        <f t="shared" si="1"/>
        <v>4770000</v>
      </c>
      <c r="I45" s="31"/>
      <c r="J45" s="31"/>
      <c r="K45" s="31"/>
      <c r="L45" s="31">
        <v>500000</v>
      </c>
      <c r="M45" s="31"/>
      <c r="N45" s="31">
        <f t="shared" si="2"/>
        <v>5270000</v>
      </c>
      <c r="O45" s="31">
        <f t="shared" si="12"/>
        <v>190800</v>
      </c>
      <c r="P45" s="31">
        <f t="shared" si="13"/>
        <v>238500</v>
      </c>
      <c r="Q45" s="31"/>
      <c r="R45" s="31"/>
      <c r="S45" s="31">
        <v>0</v>
      </c>
      <c r="T45" s="31"/>
      <c r="U45" s="31"/>
      <c r="V45" s="31">
        <v>551399</v>
      </c>
      <c r="W45" s="31">
        <f t="shared" si="6"/>
        <v>980699</v>
      </c>
      <c r="X45" s="32">
        <f>+N45-W45</f>
        <v>4289301</v>
      </c>
    </row>
    <row r="46" spans="1:25" ht="24.95" customHeight="1" x14ac:dyDescent="0.25">
      <c r="A46" s="27"/>
      <c r="B46" s="25">
        <v>43</v>
      </c>
      <c r="C46" s="28" t="s">
        <v>67</v>
      </c>
      <c r="D46" s="28" t="s">
        <v>30</v>
      </c>
      <c r="E46" s="29" t="s">
        <v>31</v>
      </c>
      <c r="F46" s="31">
        <v>6000000</v>
      </c>
      <c r="G46" s="30">
        <v>30</v>
      </c>
      <c r="H46" s="30">
        <f>+F46-M46</f>
        <v>5800000</v>
      </c>
      <c r="I46" s="31"/>
      <c r="J46" s="31"/>
      <c r="K46" s="31"/>
      <c r="L46" s="31"/>
      <c r="M46" s="31">
        <v>200000</v>
      </c>
      <c r="N46" s="31">
        <f t="shared" si="2"/>
        <v>6000000</v>
      </c>
      <c r="O46" s="31">
        <f t="shared" si="12"/>
        <v>240000</v>
      </c>
      <c r="P46" s="31">
        <f t="shared" si="13"/>
        <v>300000</v>
      </c>
      <c r="Q46" s="31">
        <v>0</v>
      </c>
      <c r="R46" s="31"/>
      <c r="S46" s="31">
        <v>0</v>
      </c>
      <c r="T46" s="31"/>
      <c r="U46" s="31"/>
      <c r="V46" s="31"/>
      <c r="W46" s="31">
        <f t="shared" si="6"/>
        <v>540000</v>
      </c>
      <c r="X46" s="32">
        <f>N46-W46</f>
        <v>5460000</v>
      </c>
    </row>
    <row r="47" spans="1:25" ht="24.95" customHeight="1" x14ac:dyDescent="0.25">
      <c r="A47" s="27"/>
      <c r="B47" s="25">
        <v>44</v>
      </c>
      <c r="C47" s="28" t="s">
        <v>68</v>
      </c>
      <c r="D47" s="28" t="s">
        <v>30</v>
      </c>
      <c r="E47" s="29" t="s">
        <v>31</v>
      </c>
      <c r="F47" s="31">
        <v>6420000</v>
      </c>
      <c r="G47" s="30">
        <v>30</v>
      </c>
      <c r="H47" s="30">
        <f t="shared" si="1"/>
        <v>6420000</v>
      </c>
      <c r="I47" s="31"/>
      <c r="J47" s="31"/>
      <c r="K47" s="31"/>
      <c r="L47" s="31"/>
      <c r="M47" s="31"/>
      <c r="N47" s="31">
        <f t="shared" si="2"/>
        <v>6420000</v>
      </c>
      <c r="O47" s="31">
        <f t="shared" si="12"/>
        <v>256800</v>
      </c>
      <c r="P47" s="31">
        <f t="shared" si="13"/>
        <v>321000</v>
      </c>
      <c r="Q47" s="31"/>
      <c r="R47" s="31"/>
      <c r="S47" s="31">
        <v>231000</v>
      </c>
      <c r="T47" s="31"/>
      <c r="U47" s="31"/>
      <c r="V47" s="31"/>
      <c r="W47" s="31">
        <f t="shared" si="6"/>
        <v>808800</v>
      </c>
      <c r="X47" s="32">
        <f>+N47-W47</f>
        <v>5611200</v>
      </c>
    </row>
    <row r="48" spans="1:25" ht="24.95" customHeight="1" x14ac:dyDescent="0.25">
      <c r="A48" s="27"/>
      <c r="B48" s="25">
        <v>45</v>
      </c>
      <c r="C48" s="36" t="s">
        <v>69</v>
      </c>
      <c r="D48" s="28" t="s">
        <v>30</v>
      </c>
      <c r="E48" s="29" t="s">
        <v>31</v>
      </c>
      <c r="F48" s="31">
        <v>7590000</v>
      </c>
      <c r="G48" s="30">
        <v>29</v>
      </c>
      <c r="H48" s="30">
        <f t="shared" si="1"/>
        <v>7337000</v>
      </c>
      <c r="I48" s="31"/>
      <c r="J48" s="31">
        <v>0</v>
      </c>
      <c r="K48" s="31">
        <v>168675</v>
      </c>
      <c r="L48" s="31">
        <v>1500000</v>
      </c>
      <c r="M48" s="40"/>
      <c r="N48" s="31">
        <f>+H48+I48+K48+L48+M48+J48</f>
        <v>9005675</v>
      </c>
      <c r="O48" s="31">
        <f t="shared" si="12"/>
        <v>303600</v>
      </c>
      <c r="P48" s="31">
        <f t="shared" si="13"/>
        <v>379500</v>
      </c>
      <c r="Q48" s="31"/>
      <c r="R48" s="31"/>
      <c r="S48" s="31">
        <v>449811</v>
      </c>
      <c r="T48" s="31"/>
      <c r="U48" s="31"/>
      <c r="V48" s="31"/>
      <c r="W48" s="31">
        <f t="shared" si="6"/>
        <v>1132911</v>
      </c>
      <c r="X48" s="32">
        <f>N48-W48</f>
        <v>7872764</v>
      </c>
    </row>
    <row r="49" spans="1:24" ht="24.95" customHeight="1" x14ac:dyDescent="0.25">
      <c r="A49" s="27"/>
      <c r="B49" s="25">
        <v>46</v>
      </c>
      <c r="C49" s="36" t="s">
        <v>70</v>
      </c>
      <c r="D49" s="28" t="s">
        <v>30</v>
      </c>
      <c r="E49" s="29" t="s">
        <v>31</v>
      </c>
      <c r="F49" s="31">
        <v>6000000</v>
      </c>
      <c r="G49" s="30">
        <v>30</v>
      </c>
      <c r="H49" s="30">
        <f>+F49-M49</f>
        <v>6000000</v>
      </c>
      <c r="I49" s="31"/>
      <c r="J49" s="31"/>
      <c r="K49" s="31">
        <v>0</v>
      </c>
      <c r="L49" s="31">
        <v>500000</v>
      </c>
      <c r="M49" s="31"/>
      <c r="N49" s="31">
        <f t="shared" si="2"/>
        <v>6500000</v>
      </c>
      <c r="O49" s="31">
        <f t="shared" si="12"/>
        <v>240000</v>
      </c>
      <c r="P49" s="31">
        <f t="shared" si="13"/>
        <v>300000</v>
      </c>
      <c r="Q49" s="31"/>
      <c r="R49" s="31"/>
      <c r="S49" s="31">
        <v>144000</v>
      </c>
      <c r="T49" s="31"/>
      <c r="U49" s="31"/>
      <c r="V49" s="31"/>
      <c r="W49" s="31">
        <f t="shared" si="6"/>
        <v>684000</v>
      </c>
      <c r="X49" s="32">
        <f>N49-W49</f>
        <v>5816000</v>
      </c>
    </row>
    <row r="50" spans="1:24" ht="24.95" customHeight="1" x14ac:dyDescent="0.25">
      <c r="A50" s="27"/>
      <c r="B50" s="25">
        <v>47</v>
      </c>
      <c r="C50" s="28" t="s">
        <v>71</v>
      </c>
      <c r="D50" s="28" t="s">
        <v>30</v>
      </c>
      <c r="E50" s="29" t="s">
        <v>31</v>
      </c>
      <c r="F50" s="31">
        <v>5350000</v>
      </c>
      <c r="G50" s="30">
        <v>30</v>
      </c>
      <c r="H50" s="30">
        <f t="shared" si="1"/>
        <v>5350000</v>
      </c>
      <c r="I50" s="31"/>
      <c r="J50" s="31"/>
      <c r="K50" s="31"/>
      <c r="L50" s="31"/>
      <c r="M50" s="31"/>
      <c r="N50" s="31">
        <f t="shared" si="2"/>
        <v>5350000</v>
      </c>
      <c r="O50" s="31">
        <f t="shared" si="12"/>
        <v>214000</v>
      </c>
      <c r="P50" s="31">
        <f t="shared" si="13"/>
        <v>267500</v>
      </c>
      <c r="Q50" s="31"/>
      <c r="R50" s="31"/>
      <c r="S50" s="31">
        <v>95000</v>
      </c>
      <c r="T50" s="31"/>
      <c r="U50" s="31"/>
      <c r="V50" s="31"/>
      <c r="W50" s="31">
        <f t="shared" si="6"/>
        <v>576500</v>
      </c>
      <c r="X50" s="32">
        <f t="shared" ref="X50:X57" si="20">+N50-W50</f>
        <v>4773500</v>
      </c>
    </row>
    <row r="51" spans="1:24" ht="24.95" customHeight="1" x14ac:dyDescent="0.25">
      <c r="A51" s="27"/>
      <c r="B51" s="25">
        <v>48</v>
      </c>
      <c r="C51" s="28" t="s">
        <v>72</v>
      </c>
      <c r="D51" s="29" t="s">
        <v>30</v>
      </c>
      <c r="E51" s="29" t="s">
        <v>31</v>
      </c>
      <c r="F51" s="31">
        <v>4500000</v>
      </c>
      <c r="G51" s="30">
        <v>30</v>
      </c>
      <c r="H51" s="30">
        <f>+F51-M51</f>
        <v>4366667</v>
      </c>
      <c r="I51" s="31"/>
      <c r="J51" s="31"/>
      <c r="K51" s="31"/>
      <c r="L51" s="31"/>
      <c r="M51" s="31">
        <v>133333</v>
      </c>
      <c r="N51" s="31">
        <f t="shared" si="2"/>
        <v>4500000</v>
      </c>
      <c r="O51" s="31">
        <f t="shared" si="12"/>
        <v>180000</v>
      </c>
      <c r="P51" s="31">
        <f t="shared" si="13"/>
        <v>225000</v>
      </c>
      <c r="Q51" s="31"/>
      <c r="R51" s="31"/>
      <c r="S51" s="31">
        <v>0</v>
      </c>
      <c r="T51" s="31"/>
      <c r="U51" s="31"/>
      <c r="V51" s="31"/>
      <c r="W51" s="31">
        <f t="shared" si="6"/>
        <v>405000</v>
      </c>
      <c r="X51" s="32">
        <f t="shared" si="20"/>
        <v>4095000</v>
      </c>
    </row>
    <row r="52" spans="1:24" ht="24.95" customHeight="1" x14ac:dyDescent="0.25">
      <c r="A52" s="27"/>
      <c r="B52" s="25">
        <v>49</v>
      </c>
      <c r="C52" s="28" t="s">
        <v>73</v>
      </c>
      <c r="D52" s="28" t="s">
        <v>30</v>
      </c>
      <c r="E52" s="29" t="s">
        <v>31</v>
      </c>
      <c r="F52" s="31">
        <v>4770000</v>
      </c>
      <c r="G52" s="30">
        <v>30</v>
      </c>
      <c r="H52" s="30">
        <f t="shared" si="1"/>
        <v>4770000</v>
      </c>
      <c r="I52" s="31"/>
      <c r="J52" s="31"/>
      <c r="K52" s="31"/>
      <c r="L52" s="31"/>
      <c r="M52" s="31"/>
      <c r="N52" s="31">
        <f t="shared" si="2"/>
        <v>4770000</v>
      </c>
      <c r="O52" s="31">
        <f t="shared" si="12"/>
        <v>190800</v>
      </c>
      <c r="P52" s="31">
        <f t="shared" si="13"/>
        <v>238500</v>
      </c>
      <c r="Q52" s="31"/>
      <c r="R52" s="31">
        <v>551338</v>
      </c>
      <c r="S52" s="31">
        <v>0</v>
      </c>
      <c r="T52" s="31"/>
      <c r="U52" s="31"/>
      <c r="V52" s="31">
        <v>317224</v>
      </c>
      <c r="W52" s="31">
        <f t="shared" si="6"/>
        <v>1297862</v>
      </c>
      <c r="X52" s="32">
        <f t="shared" si="20"/>
        <v>3472138</v>
      </c>
    </row>
    <row r="53" spans="1:24" ht="24.95" customHeight="1" x14ac:dyDescent="0.25">
      <c r="A53" s="27"/>
      <c r="B53" s="25">
        <v>50</v>
      </c>
      <c r="C53" s="28" t="s">
        <v>161</v>
      </c>
      <c r="D53" s="28" t="s">
        <v>30</v>
      </c>
      <c r="E53" s="29" t="s">
        <v>31</v>
      </c>
      <c r="F53" s="31">
        <v>6800000</v>
      </c>
      <c r="G53" s="30">
        <v>8</v>
      </c>
      <c r="H53" s="30">
        <f t="shared" si="1"/>
        <v>1813333.3333333333</v>
      </c>
      <c r="I53" s="31"/>
      <c r="J53" s="31"/>
      <c r="K53" s="31"/>
      <c r="L53" s="31"/>
      <c r="M53" s="31"/>
      <c r="N53" s="31">
        <f t="shared" si="2"/>
        <v>1813333.3333333333</v>
      </c>
      <c r="O53" s="31">
        <f>+H53*4%</f>
        <v>72533.333333333328</v>
      </c>
      <c r="P53" s="31">
        <f>+H53*0.04</f>
        <v>72533.333333333328</v>
      </c>
      <c r="Q53" s="31"/>
      <c r="R53" s="31"/>
      <c r="S53" s="31"/>
      <c r="T53" s="31"/>
      <c r="U53" s="31"/>
      <c r="V53" s="31"/>
      <c r="W53" s="31">
        <f t="shared" ref="W53" si="21">SUM(O53:V53)</f>
        <v>145066.66666666666</v>
      </c>
      <c r="X53" s="32">
        <f t="shared" si="20"/>
        <v>1668266.6666666665</v>
      </c>
    </row>
    <row r="54" spans="1:24" ht="24.95" customHeight="1" x14ac:dyDescent="0.25">
      <c r="A54" s="27"/>
      <c r="B54" s="25">
        <v>51</v>
      </c>
      <c r="C54" s="28" t="s">
        <v>74</v>
      </c>
      <c r="D54" s="28" t="s">
        <v>30</v>
      </c>
      <c r="E54" s="29" t="s">
        <v>31</v>
      </c>
      <c r="F54" s="31">
        <v>4800000</v>
      </c>
      <c r="G54" s="30">
        <v>30</v>
      </c>
      <c r="H54" s="30">
        <f>+F54-M54</f>
        <v>4800000</v>
      </c>
      <c r="I54" s="31"/>
      <c r="J54" s="31"/>
      <c r="K54" s="31"/>
      <c r="L54" s="31"/>
      <c r="M54" s="31"/>
      <c r="N54" s="31">
        <f t="shared" si="2"/>
        <v>4800000</v>
      </c>
      <c r="O54" s="31">
        <f t="shared" si="12"/>
        <v>192000</v>
      </c>
      <c r="P54" s="31">
        <f t="shared" si="13"/>
        <v>240000</v>
      </c>
      <c r="Q54" s="31"/>
      <c r="R54" s="31">
        <v>700000</v>
      </c>
      <c r="S54" s="31">
        <v>0</v>
      </c>
      <c r="T54" s="31"/>
      <c r="U54" s="31"/>
      <c r="V54" s="31">
        <v>1198791</v>
      </c>
      <c r="W54" s="31">
        <f t="shared" si="6"/>
        <v>2330791</v>
      </c>
      <c r="X54" s="32">
        <f t="shared" si="20"/>
        <v>2469209</v>
      </c>
    </row>
    <row r="55" spans="1:24" ht="24.95" customHeight="1" x14ac:dyDescent="0.25">
      <c r="A55" s="27"/>
      <c r="B55" s="25">
        <v>52</v>
      </c>
      <c r="C55" s="28" t="s">
        <v>75</v>
      </c>
      <c r="D55" s="28" t="s">
        <v>30</v>
      </c>
      <c r="E55" s="29" t="s">
        <v>31</v>
      </c>
      <c r="F55" s="31">
        <v>4000000</v>
      </c>
      <c r="G55" s="30">
        <v>30</v>
      </c>
      <c r="H55" s="30">
        <f>+F55-M55</f>
        <v>4000000</v>
      </c>
      <c r="I55" s="31"/>
      <c r="J55" s="31"/>
      <c r="K55" s="31"/>
      <c r="L55" s="31"/>
      <c r="M55" s="31"/>
      <c r="N55" s="31">
        <f t="shared" si="2"/>
        <v>4000000</v>
      </c>
      <c r="O55" s="31">
        <f>F55*4/100</f>
        <v>160000</v>
      </c>
      <c r="P55" s="31">
        <f t="shared" si="13"/>
        <v>200000</v>
      </c>
      <c r="Q55" s="31"/>
      <c r="R55" s="31"/>
      <c r="S55" s="31">
        <v>0</v>
      </c>
      <c r="T55" s="31"/>
      <c r="U55" s="31"/>
      <c r="V55" s="31">
        <v>141077</v>
      </c>
      <c r="W55" s="31">
        <f t="shared" si="6"/>
        <v>501077</v>
      </c>
      <c r="X55" s="32">
        <f t="shared" si="20"/>
        <v>3498923</v>
      </c>
    </row>
    <row r="56" spans="1:24" ht="24.95" customHeight="1" x14ac:dyDescent="0.25">
      <c r="A56" s="27"/>
      <c r="B56" s="25">
        <v>53</v>
      </c>
      <c r="C56" s="28" t="s">
        <v>76</v>
      </c>
      <c r="D56" s="28" t="s">
        <v>30</v>
      </c>
      <c r="E56" s="29" t="s">
        <v>31</v>
      </c>
      <c r="F56" s="31">
        <v>6000000</v>
      </c>
      <c r="G56" s="30">
        <v>30</v>
      </c>
      <c r="H56" s="30">
        <f t="shared" si="1"/>
        <v>6000000</v>
      </c>
      <c r="I56" s="31"/>
      <c r="J56" s="31"/>
      <c r="K56" s="31"/>
      <c r="L56" s="31">
        <v>400000</v>
      </c>
      <c r="M56" s="31">
        <v>3000000</v>
      </c>
      <c r="N56" s="31">
        <f t="shared" si="2"/>
        <v>9400000</v>
      </c>
      <c r="O56" s="31">
        <f>F56*4/100+120000</f>
        <v>360000</v>
      </c>
      <c r="P56" s="31">
        <f>+F56*0.05+120000</f>
        <v>420000</v>
      </c>
      <c r="Q56" s="31"/>
      <c r="R56" s="31"/>
      <c r="S56" s="31">
        <v>97000</v>
      </c>
      <c r="T56" s="31"/>
      <c r="U56" s="31"/>
      <c r="V56" s="31"/>
      <c r="W56" s="31">
        <f t="shared" si="6"/>
        <v>877000</v>
      </c>
      <c r="X56" s="32">
        <f t="shared" si="20"/>
        <v>8523000</v>
      </c>
    </row>
    <row r="57" spans="1:24" ht="24.95" customHeight="1" x14ac:dyDescent="0.25">
      <c r="A57" s="27"/>
      <c r="B57" s="25">
        <v>54</v>
      </c>
      <c r="C57" s="28" t="s">
        <v>152</v>
      </c>
      <c r="D57" s="28" t="s">
        <v>30</v>
      </c>
      <c r="E57" s="29" t="s">
        <v>31</v>
      </c>
      <c r="F57" s="31">
        <v>4000000</v>
      </c>
      <c r="G57" s="30">
        <v>30</v>
      </c>
      <c r="H57" s="30">
        <f t="shared" si="1"/>
        <v>4000000.0000000005</v>
      </c>
      <c r="I57" s="31"/>
      <c r="J57" s="31"/>
      <c r="K57" s="31"/>
      <c r="L57" s="31"/>
      <c r="M57" s="31"/>
      <c r="N57" s="31">
        <f t="shared" si="2"/>
        <v>4000000.0000000005</v>
      </c>
      <c r="O57" s="31">
        <f>H57*4/100</f>
        <v>160000.00000000003</v>
      </c>
      <c r="P57" s="31">
        <f>+H57*0.05</f>
        <v>200000.00000000003</v>
      </c>
      <c r="Q57" s="31"/>
      <c r="R57" s="31"/>
      <c r="S57" s="31"/>
      <c r="T57" s="31"/>
      <c r="U57" s="31"/>
      <c r="V57" s="31"/>
      <c r="W57" s="31">
        <f t="shared" ref="W57" si="22">SUM(O57:V57)</f>
        <v>360000.00000000006</v>
      </c>
      <c r="X57" s="32">
        <f t="shared" si="20"/>
        <v>3640000.0000000005</v>
      </c>
    </row>
    <row r="58" spans="1:24" ht="24.95" customHeight="1" x14ac:dyDescent="0.25">
      <c r="A58" s="27"/>
      <c r="B58" s="25">
        <v>55</v>
      </c>
      <c r="C58" s="28" t="s">
        <v>77</v>
      </c>
      <c r="D58" s="28" t="s">
        <v>30</v>
      </c>
      <c r="E58" s="29" t="s">
        <v>31</v>
      </c>
      <c r="F58" s="31">
        <v>4500000</v>
      </c>
      <c r="G58" s="30">
        <v>30</v>
      </c>
      <c r="H58" s="30">
        <f t="shared" si="1"/>
        <v>4500000</v>
      </c>
      <c r="I58" s="31"/>
      <c r="J58" s="31"/>
      <c r="K58" s="31"/>
      <c r="L58" s="31"/>
      <c r="M58" s="31">
        <v>0</v>
      </c>
      <c r="N58" s="31">
        <f t="shared" si="2"/>
        <v>4500000</v>
      </c>
      <c r="O58" s="31">
        <f t="shared" si="12"/>
        <v>180000</v>
      </c>
      <c r="P58" s="31">
        <f t="shared" si="13"/>
        <v>225000</v>
      </c>
      <c r="Q58" s="31"/>
      <c r="R58" s="31"/>
      <c r="S58" s="31">
        <v>0</v>
      </c>
      <c r="T58" s="31"/>
      <c r="U58" s="31"/>
      <c r="V58" s="31"/>
      <c r="W58" s="31">
        <f t="shared" si="6"/>
        <v>405000</v>
      </c>
      <c r="X58" s="32">
        <f>N58-W58</f>
        <v>4095000</v>
      </c>
    </row>
    <row r="59" spans="1:24" ht="24.95" customHeight="1" x14ac:dyDescent="0.25">
      <c r="A59" s="27"/>
      <c r="B59" s="25">
        <v>56</v>
      </c>
      <c r="C59" s="28" t="s">
        <v>78</v>
      </c>
      <c r="D59" s="28" t="s">
        <v>30</v>
      </c>
      <c r="E59" s="29" t="s">
        <v>31</v>
      </c>
      <c r="F59" s="31">
        <v>6000000</v>
      </c>
      <c r="G59" s="30">
        <v>30</v>
      </c>
      <c r="H59" s="30">
        <f t="shared" si="1"/>
        <v>6000000</v>
      </c>
      <c r="I59" s="31"/>
      <c r="J59" s="31"/>
      <c r="K59" s="31"/>
      <c r="L59" s="31">
        <v>400000</v>
      </c>
      <c r="M59" s="31"/>
      <c r="N59" s="31">
        <f t="shared" si="2"/>
        <v>6400000</v>
      </c>
      <c r="O59" s="31">
        <f t="shared" si="12"/>
        <v>240000</v>
      </c>
      <c r="P59" s="31">
        <f t="shared" si="13"/>
        <v>300000</v>
      </c>
      <c r="Q59" s="31"/>
      <c r="R59" s="31"/>
      <c r="S59" s="31">
        <v>120000</v>
      </c>
      <c r="T59" s="31"/>
      <c r="U59" s="31"/>
      <c r="V59" s="31"/>
      <c r="W59" s="31">
        <f t="shared" si="6"/>
        <v>660000</v>
      </c>
      <c r="X59" s="32">
        <f>N59-W59</f>
        <v>5740000</v>
      </c>
    </row>
    <row r="60" spans="1:24" ht="24.95" customHeight="1" x14ac:dyDescent="0.25">
      <c r="A60" s="27"/>
      <c r="B60" s="25">
        <v>57</v>
      </c>
      <c r="C60" s="28" t="s">
        <v>79</v>
      </c>
      <c r="D60" s="28" t="s">
        <v>30</v>
      </c>
      <c r="E60" s="29" t="s">
        <v>31</v>
      </c>
      <c r="F60" s="31">
        <v>4800000</v>
      </c>
      <c r="G60" s="30">
        <v>30</v>
      </c>
      <c r="H60" s="30">
        <f>+F60-M60</f>
        <v>4800000</v>
      </c>
      <c r="I60" s="31"/>
      <c r="J60" s="31"/>
      <c r="K60" s="31"/>
      <c r="L60" s="31"/>
      <c r="M60" s="31"/>
      <c r="N60" s="31">
        <f t="shared" si="2"/>
        <v>4800000</v>
      </c>
      <c r="O60" s="31">
        <f>+F60*4%</f>
        <v>192000</v>
      </c>
      <c r="P60" s="31">
        <f>+F60*5%</f>
        <v>240000</v>
      </c>
      <c r="Q60" s="31"/>
      <c r="R60" s="31"/>
      <c r="S60" s="31">
        <v>0</v>
      </c>
      <c r="T60" s="31"/>
      <c r="U60" s="31"/>
      <c r="V60" s="31"/>
      <c r="W60" s="31">
        <f t="shared" si="6"/>
        <v>432000</v>
      </c>
      <c r="X60" s="32">
        <f>+N60-W60</f>
        <v>4368000</v>
      </c>
    </row>
    <row r="61" spans="1:24" ht="24.95" customHeight="1" x14ac:dyDescent="0.25">
      <c r="A61" s="27"/>
      <c r="B61" s="25">
        <v>58</v>
      </c>
      <c r="C61" s="28" t="s">
        <v>153</v>
      </c>
      <c r="D61" s="28" t="s">
        <v>30</v>
      </c>
      <c r="E61" s="29" t="s">
        <v>31</v>
      </c>
      <c r="F61" s="31">
        <v>4500000</v>
      </c>
      <c r="G61" s="30">
        <v>30</v>
      </c>
      <c r="H61" s="30">
        <f t="shared" si="1"/>
        <v>4500000</v>
      </c>
      <c r="I61" s="31"/>
      <c r="J61" s="31"/>
      <c r="K61" s="31"/>
      <c r="L61" s="31"/>
      <c r="M61" s="31"/>
      <c r="N61" s="31">
        <f t="shared" si="2"/>
        <v>4500000</v>
      </c>
      <c r="O61" s="31">
        <f>+H61*4%</f>
        <v>180000</v>
      </c>
      <c r="P61" s="31">
        <f>+H61*5%</f>
        <v>225000</v>
      </c>
      <c r="Q61" s="31"/>
      <c r="R61" s="31"/>
      <c r="S61" s="31"/>
      <c r="T61" s="31"/>
      <c r="U61" s="31"/>
      <c r="V61" s="31"/>
      <c r="W61" s="31">
        <f t="shared" ref="W61" si="23">SUM(O61:V61)</f>
        <v>405000</v>
      </c>
      <c r="X61" s="32">
        <f>+N61-W61</f>
        <v>4095000</v>
      </c>
    </row>
    <row r="62" spans="1:24" ht="24.95" customHeight="1" x14ac:dyDescent="0.25">
      <c r="A62" s="27"/>
      <c r="B62" s="25">
        <v>59</v>
      </c>
      <c r="C62" s="28" t="s">
        <v>80</v>
      </c>
      <c r="D62" s="28" t="s">
        <v>30</v>
      </c>
      <c r="E62" s="29" t="s">
        <v>31</v>
      </c>
      <c r="F62" s="31">
        <v>6500000</v>
      </c>
      <c r="G62" s="30">
        <v>30</v>
      </c>
      <c r="H62" s="30">
        <f t="shared" si="1"/>
        <v>6500000</v>
      </c>
      <c r="I62" s="31"/>
      <c r="J62" s="31"/>
      <c r="K62" s="31"/>
      <c r="L62" s="31"/>
      <c r="M62" s="31"/>
      <c r="N62" s="31">
        <f t="shared" si="2"/>
        <v>6500000</v>
      </c>
      <c r="O62" s="31">
        <f>+F62*0.04</f>
        <v>260000</v>
      </c>
      <c r="P62" s="31">
        <f>+F62*0.05</f>
        <v>325000</v>
      </c>
      <c r="Q62" s="31"/>
      <c r="R62" s="31">
        <v>294000</v>
      </c>
      <c r="S62" s="31">
        <v>207372</v>
      </c>
      <c r="T62" s="31"/>
      <c r="U62" s="31"/>
      <c r="V62" s="31"/>
      <c r="W62" s="31">
        <f t="shared" si="6"/>
        <v>1086372</v>
      </c>
      <c r="X62" s="32">
        <f>N62-W62</f>
        <v>5413628</v>
      </c>
    </row>
    <row r="63" spans="1:24" ht="24.95" customHeight="1" x14ac:dyDescent="0.25">
      <c r="A63" s="27" t="s">
        <v>81</v>
      </c>
      <c r="B63" s="25">
        <v>1</v>
      </c>
      <c r="C63" s="28" t="s">
        <v>82</v>
      </c>
      <c r="D63" s="28" t="s">
        <v>30</v>
      </c>
      <c r="E63" s="29" t="s">
        <v>31</v>
      </c>
      <c r="F63" s="31">
        <v>912000</v>
      </c>
      <c r="G63" s="30">
        <v>30</v>
      </c>
      <c r="H63" s="30">
        <f t="shared" si="1"/>
        <v>912000</v>
      </c>
      <c r="I63" s="31">
        <v>88211</v>
      </c>
      <c r="J63" s="31"/>
      <c r="K63" s="31"/>
      <c r="L63" s="31"/>
      <c r="M63" s="31"/>
      <c r="N63" s="31">
        <f t="shared" si="2"/>
        <v>1000211</v>
      </c>
      <c r="O63" s="31">
        <f>+F63*0.04</f>
        <v>36480</v>
      </c>
      <c r="P63" s="31">
        <f>+F63*0.04</f>
        <v>36480</v>
      </c>
      <c r="Q63" s="31"/>
      <c r="R63" s="31"/>
      <c r="S63" s="31"/>
      <c r="T63" s="31"/>
      <c r="U63" s="31"/>
      <c r="V63" s="31"/>
      <c r="W63" s="31">
        <f>SUM(O63:V63)</f>
        <v>72960</v>
      </c>
      <c r="X63" s="35">
        <f>N63-W63</f>
        <v>927251</v>
      </c>
    </row>
    <row r="64" spans="1:24" ht="24.95" customHeight="1" x14ac:dyDescent="0.25">
      <c r="A64" s="27"/>
      <c r="B64" s="25">
        <v>2</v>
      </c>
      <c r="C64" s="28" t="s">
        <v>83</v>
      </c>
      <c r="D64" s="28" t="s">
        <v>30</v>
      </c>
      <c r="E64" s="29" t="s">
        <v>31</v>
      </c>
      <c r="F64" s="31">
        <v>3000000</v>
      </c>
      <c r="G64" s="30">
        <v>30</v>
      </c>
      <c r="H64" s="30">
        <f t="shared" si="1"/>
        <v>3000000</v>
      </c>
      <c r="I64" s="31"/>
      <c r="J64" s="31"/>
      <c r="K64" s="31"/>
      <c r="L64" s="31"/>
      <c r="M64" s="31">
        <f>+F64-H64</f>
        <v>0</v>
      </c>
      <c r="N64" s="31">
        <f t="shared" si="2"/>
        <v>3000000</v>
      </c>
      <c r="O64" s="31">
        <f>+F64*0.04</f>
        <v>120000</v>
      </c>
      <c r="P64" s="31">
        <f>+F64*0.04</f>
        <v>120000</v>
      </c>
      <c r="Q64" s="31"/>
      <c r="R64" s="31">
        <v>95000</v>
      </c>
      <c r="S64" s="31"/>
      <c r="T64" s="31"/>
      <c r="U64" s="31"/>
      <c r="V64" s="31"/>
      <c r="W64" s="31">
        <f t="shared" ref="W64:W112" si="24">SUM(O64:V64)</f>
        <v>335000</v>
      </c>
      <c r="X64" s="35">
        <f>N64-W64</f>
        <v>2665000</v>
      </c>
    </row>
    <row r="65" spans="1:24" ht="24.95" customHeight="1" x14ac:dyDescent="0.25">
      <c r="A65" s="27"/>
      <c r="B65" s="25">
        <v>3</v>
      </c>
      <c r="C65" s="36" t="s">
        <v>84</v>
      </c>
      <c r="D65" s="28" t="s">
        <v>30</v>
      </c>
      <c r="E65" s="29" t="s">
        <v>31</v>
      </c>
      <c r="F65" s="31">
        <v>2500000</v>
      </c>
      <c r="G65" s="30">
        <v>30</v>
      </c>
      <c r="H65" s="30">
        <f t="shared" si="1"/>
        <v>2500000</v>
      </c>
      <c r="I65" s="31"/>
      <c r="J65" s="31"/>
      <c r="K65" s="31">
        <v>0</v>
      </c>
      <c r="L65" s="31"/>
      <c r="M65" s="31"/>
      <c r="N65" s="31">
        <f t="shared" si="2"/>
        <v>2500000</v>
      </c>
      <c r="O65" s="31">
        <f>+F65*4%</f>
        <v>100000</v>
      </c>
      <c r="P65" s="31">
        <f>+F65*4%</f>
        <v>100000</v>
      </c>
      <c r="Q65" s="31"/>
      <c r="R65" s="31"/>
      <c r="S65" s="31"/>
      <c r="T65" s="31"/>
      <c r="U65" s="31"/>
      <c r="V65" s="31"/>
      <c r="W65" s="31">
        <f t="shared" si="24"/>
        <v>200000</v>
      </c>
      <c r="X65" s="35">
        <f>N65-W65</f>
        <v>2300000</v>
      </c>
    </row>
    <row r="66" spans="1:24" s="19" customFormat="1" ht="24.95" customHeight="1" x14ac:dyDescent="0.25">
      <c r="A66" s="27"/>
      <c r="B66" s="14">
        <v>4</v>
      </c>
      <c r="C66" s="15" t="s">
        <v>85</v>
      </c>
      <c r="D66" s="15" t="s">
        <v>30</v>
      </c>
      <c r="E66" s="16" t="s">
        <v>31</v>
      </c>
      <c r="F66" s="6">
        <v>3000000</v>
      </c>
      <c r="G66" s="17">
        <v>30</v>
      </c>
      <c r="H66" s="17">
        <f t="shared" si="1"/>
        <v>3000000</v>
      </c>
      <c r="I66" s="6">
        <v>0</v>
      </c>
      <c r="J66" s="6"/>
      <c r="K66" s="6"/>
      <c r="L66" s="6"/>
      <c r="M66" s="6"/>
      <c r="N66" s="6">
        <f t="shared" si="2"/>
        <v>3000000</v>
      </c>
      <c r="O66" s="6">
        <f>+F66*4%</f>
        <v>120000</v>
      </c>
      <c r="P66" s="6">
        <f>+F66*4%</f>
        <v>120000</v>
      </c>
      <c r="Q66" s="6"/>
      <c r="R66" s="6"/>
      <c r="S66" s="41"/>
      <c r="T66" s="6"/>
      <c r="U66" s="6"/>
      <c r="V66" s="6"/>
      <c r="W66" s="6">
        <f t="shared" si="24"/>
        <v>240000</v>
      </c>
      <c r="X66" s="18">
        <f t="shared" ref="X66:X76" si="25">+N66-W66</f>
        <v>2760000</v>
      </c>
    </row>
    <row r="67" spans="1:24" ht="24.95" customHeight="1" x14ac:dyDescent="0.25">
      <c r="A67" s="27"/>
      <c r="B67" s="25">
        <v>5</v>
      </c>
      <c r="C67" s="28" t="s">
        <v>154</v>
      </c>
      <c r="D67" s="28" t="s">
        <v>30</v>
      </c>
      <c r="E67" s="29" t="s">
        <v>100</v>
      </c>
      <c r="F67" s="31">
        <v>781242</v>
      </c>
      <c r="G67" s="30">
        <v>15</v>
      </c>
      <c r="H67" s="30">
        <f t="shared" si="1"/>
        <v>390621</v>
      </c>
      <c r="I67" s="31">
        <v>195310</v>
      </c>
      <c r="J67" s="31"/>
      <c r="K67" s="31"/>
      <c r="L67" s="31"/>
      <c r="M67" s="31"/>
      <c r="N67" s="31">
        <f t="shared" si="2"/>
        <v>585931</v>
      </c>
      <c r="O67" s="31">
        <v>0</v>
      </c>
      <c r="P67" s="31">
        <v>0</v>
      </c>
      <c r="Q67" s="31"/>
      <c r="R67" s="31"/>
      <c r="S67" s="34"/>
      <c r="T67" s="31"/>
      <c r="U67" s="31"/>
      <c r="V67" s="31"/>
      <c r="W67" s="31">
        <f t="shared" ref="W67" si="26">SUM(O67:V67)</f>
        <v>0</v>
      </c>
      <c r="X67" s="35">
        <f t="shared" si="25"/>
        <v>585931</v>
      </c>
    </row>
    <row r="68" spans="1:24" ht="24.95" customHeight="1" x14ac:dyDescent="0.25">
      <c r="A68" s="27"/>
      <c r="B68" s="25">
        <v>6</v>
      </c>
      <c r="C68" s="28" t="s">
        <v>87</v>
      </c>
      <c r="D68" s="28" t="s">
        <v>30</v>
      </c>
      <c r="E68" s="29" t="s">
        <v>31</v>
      </c>
      <c r="F68" s="31">
        <v>2200000</v>
      </c>
      <c r="G68" s="30">
        <v>30</v>
      </c>
      <c r="H68" s="30">
        <f>+F68-M68</f>
        <v>2126667</v>
      </c>
      <c r="I68" s="31"/>
      <c r="J68" s="31"/>
      <c r="K68" s="31"/>
      <c r="L68" s="31"/>
      <c r="M68" s="31">
        <v>73333</v>
      </c>
      <c r="N68" s="31">
        <f t="shared" si="2"/>
        <v>2200000</v>
      </c>
      <c r="O68" s="31">
        <f>+F68*4%</f>
        <v>88000</v>
      </c>
      <c r="P68" s="31">
        <f>+F68*4%</f>
        <v>88000</v>
      </c>
      <c r="Q68" s="31"/>
      <c r="R68" s="31"/>
      <c r="S68" s="34"/>
      <c r="T68" s="31"/>
      <c r="U68" s="31"/>
      <c r="V68" s="31"/>
      <c r="W68" s="31">
        <f t="shared" si="24"/>
        <v>176000</v>
      </c>
      <c r="X68" s="35">
        <f t="shared" si="25"/>
        <v>2024000</v>
      </c>
    </row>
    <row r="69" spans="1:24" ht="24.95" customHeight="1" x14ac:dyDescent="0.25">
      <c r="A69" s="27"/>
      <c r="B69" s="25">
        <v>7</v>
      </c>
      <c r="C69" s="28" t="s">
        <v>88</v>
      </c>
      <c r="D69" s="28" t="s">
        <v>30</v>
      </c>
      <c r="E69" s="29" t="s">
        <v>31</v>
      </c>
      <c r="F69" s="31">
        <v>1800000</v>
      </c>
      <c r="G69" s="30">
        <v>30</v>
      </c>
      <c r="H69" s="30">
        <f>+F69-M69</f>
        <v>1740000</v>
      </c>
      <c r="I69" s="31">
        <v>0</v>
      </c>
      <c r="J69" s="31"/>
      <c r="K69" s="31"/>
      <c r="L69" s="31"/>
      <c r="M69" s="31">
        <v>60000</v>
      </c>
      <c r="N69" s="31">
        <f t="shared" si="2"/>
        <v>1800000</v>
      </c>
      <c r="O69" s="31">
        <f>+F69*4%</f>
        <v>72000</v>
      </c>
      <c r="P69" s="31">
        <f>+F69*4%</f>
        <v>72000</v>
      </c>
      <c r="Q69" s="31"/>
      <c r="R69" s="31"/>
      <c r="S69" s="31">
        <v>0</v>
      </c>
      <c r="T69" s="31"/>
      <c r="U69" s="31"/>
      <c r="V69" s="31"/>
      <c r="W69" s="31">
        <f t="shared" si="24"/>
        <v>144000</v>
      </c>
      <c r="X69" s="35">
        <f t="shared" si="25"/>
        <v>1656000</v>
      </c>
    </row>
    <row r="70" spans="1:24" ht="24.95" customHeight="1" x14ac:dyDescent="0.25">
      <c r="A70" s="27"/>
      <c r="B70" s="25">
        <v>8</v>
      </c>
      <c r="C70" s="28" t="s">
        <v>89</v>
      </c>
      <c r="D70" s="28" t="s">
        <v>30</v>
      </c>
      <c r="E70" s="29" t="s">
        <v>31</v>
      </c>
      <c r="F70" s="31">
        <v>781242</v>
      </c>
      <c r="G70" s="30">
        <v>30</v>
      </c>
      <c r="H70" s="30">
        <f t="shared" si="1"/>
        <v>781242</v>
      </c>
      <c r="I70" s="31">
        <v>88211</v>
      </c>
      <c r="J70" s="31"/>
      <c r="K70" s="31"/>
      <c r="L70" s="31"/>
      <c r="M70" s="31"/>
      <c r="N70" s="31">
        <f t="shared" si="2"/>
        <v>869453</v>
      </c>
      <c r="O70" s="31">
        <v>31250</v>
      </c>
      <c r="P70" s="31">
        <v>31250</v>
      </c>
      <c r="Q70" s="31"/>
      <c r="R70" s="31"/>
      <c r="S70" s="34"/>
      <c r="T70" s="31"/>
      <c r="U70" s="31"/>
      <c r="V70" s="31"/>
      <c r="W70" s="31">
        <f t="shared" si="24"/>
        <v>62500</v>
      </c>
      <c r="X70" s="35">
        <f t="shared" si="25"/>
        <v>806953</v>
      </c>
    </row>
    <row r="71" spans="1:24" ht="24.95" customHeight="1" x14ac:dyDescent="0.25">
      <c r="A71" s="27"/>
      <c r="B71" s="25">
        <v>9</v>
      </c>
      <c r="C71" s="28" t="s">
        <v>90</v>
      </c>
      <c r="D71" s="28" t="s">
        <v>30</v>
      </c>
      <c r="E71" s="29" t="s">
        <v>31</v>
      </c>
      <c r="F71" s="31">
        <v>3000000</v>
      </c>
      <c r="G71" s="30">
        <v>30</v>
      </c>
      <c r="H71" s="30">
        <f t="shared" si="1"/>
        <v>3000000</v>
      </c>
      <c r="I71" s="31"/>
      <c r="J71" s="31"/>
      <c r="K71" s="31"/>
      <c r="L71" s="31"/>
      <c r="M71" s="31"/>
      <c r="N71" s="31">
        <f t="shared" si="2"/>
        <v>3000000</v>
      </c>
      <c r="O71" s="31">
        <f t="shared" ref="O71:O77" si="27">+F71*4%</f>
        <v>120000</v>
      </c>
      <c r="P71" s="31">
        <f>+F71*4%</f>
        <v>120000</v>
      </c>
      <c r="Q71" s="31"/>
      <c r="R71" s="31">
        <v>114000</v>
      </c>
      <c r="S71" s="31"/>
      <c r="T71" s="31"/>
      <c r="U71" s="31"/>
      <c r="V71" s="31"/>
      <c r="W71" s="31">
        <f t="shared" si="24"/>
        <v>354000</v>
      </c>
      <c r="X71" s="35">
        <f t="shared" si="25"/>
        <v>2646000</v>
      </c>
    </row>
    <row r="72" spans="1:24" ht="24.95" customHeight="1" x14ac:dyDescent="0.25">
      <c r="A72" s="27"/>
      <c r="B72" s="25">
        <v>10</v>
      </c>
      <c r="C72" s="28" t="s">
        <v>92</v>
      </c>
      <c r="D72" s="28" t="s">
        <v>30</v>
      </c>
      <c r="E72" s="29" t="s">
        <v>31</v>
      </c>
      <c r="F72" s="31">
        <v>2500000</v>
      </c>
      <c r="G72" s="30">
        <v>30</v>
      </c>
      <c r="H72" s="30">
        <f t="shared" si="1"/>
        <v>2500000</v>
      </c>
      <c r="I72" s="31"/>
      <c r="J72" s="31"/>
      <c r="K72" s="31"/>
      <c r="L72" s="31">
        <v>700000</v>
      </c>
      <c r="M72" s="31"/>
      <c r="N72" s="31">
        <f t="shared" si="2"/>
        <v>3200000</v>
      </c>
      <c r="O72" s="31">
        <f t="shared" si="27"/>
        <v>100000</v>
      </c>
      <c r="P72" s="31">
        <f>+F72*4%</f>
        <v>100000</v>
      </c>
      <c r="Q72" s="31"/>
      <c r="R72" s="31"/>
      <c r="S72" s="31">
        <v>0</v>
      </c>
      <c r="T72" s="31"/>
      <c r="U72" s="31"/>
      <c r="V72" s="31">
        <v>200210</v>
      </c>
      <c r="W72" s="31">
        <f t="shared" si="24"/>
        <v>400210</v>
      </c>
      <c r="X72" s="35">
        <f t="shared" si="25"/>
        <v>2799790</v>
      </c>
    </row>
    <row r="73" spans="1:24" ht="24.95" customHeight="1" x14ac:dyDescent="0.25">
      <c r="A73" s="27"/>
      <c r="B73" s="25">
        <v>11</v>
      </c>
      <c r="C73" s="28" t="s">
        <v>93</v>
      </c>
      <c r="D73" s="28" t="s">
        <v>30</v>
      </c>
      <c r="E73" s="29" t="s">
        <v>31</v>
      </c>
      <c r="F73" s="31">
        <v>4000000</v>
      </c>
      <c r="G73" s="30">
        <v>30</v>
      </c>
      <c r="H73" s="30">
        <f t="shared" si="1"/>
        <v>4000000.0000000005</v>
      </c>
      <c r="I73" s="31"/>
      <c r="J73" s="31"/>
      <c r="K73" s="31"/>
      <c r="L73" s="31"/>
      <c r="M73" s="31"/>
      <c r="N73" s="31">
        <f t="shared" si="2"/>
        <v>4000000.0000000005</v>
      </c>
      <c r="O73" s="31">
        <f t="shared" si="27"/>
        <v>160000</v>
      </c>
      <c r="P73" s="31">
        <f>+F73*5%</f>
        <v>200000</v>
      </c>
      <c r="Q73" s="31">
        <v>0</v>
      </c>
      <c r="R73" s="31"/>
      <c r="S73" s="31">
        <v>0</v>
      </c>
      <c r="T73" s="31"/>
      <c r="U73" s="31"/>
      <c r="V73" s="31">
        <v>422966</v>
      </c>
      <c r="W73" s="31">
        <f t="shared" si="24"/>
        <v>782966</v>
      </c>
      <c r="X73" s="35">
        <f t="shared" si="25"/>
        <v>3217034.0000000005</v>
      </c>
    </row>
    <row r="74" spans="1:24" ht="24.95" customHeight="1" x14ac:dyDescent="0.25">
      <c r="A74" s="27"/>
      <c r="B74" s="25">
        <v>12</v>
      </c>
      <c r="C74" s="28" t="s">
        <v>94</v>
      </c>
      <c r="D74" s="28" t="s">
        <v>30</v>
      </c>
      <c r="E74" s="29" t="s">
        <v>31</v>
      </c>
      <c r="F74" s="31">
        <v>1500000</v>
      </c>
      <c r="G74" s="30">
        <v>30</v>
      </c>
      <c r="H74" s="30">
        <f>+F74-K74</f>
        <v>1500000</v>
      </c>
      <c r="I74" s="31">
        <v>88211</v>
      </c>
      <c r="J74" s="31"/>
      <c r="K74" s="31"/>
      <c r="L74" s="31"/>
      <c r="M74" s="31"/>
      <c r="N74" s="31">
        <f t="shared" si="2"/>
        <v>1588211</v>
      </c>
      <c r="O74" s="31">
        <f>+F74*4%</f>
        <v>60000</v>
      </c>
      <c r="P74" s="31">
        <f>+F74*4%</f>
        <v>60000</v>
      </c>
      <c r="Q74" s="31"/>
      <c r="R74" s="31"/>
      <c r="S74" s="31">
        <v>0</v>
      </c>
      <c r="T74" s="31"/>
      <c r="U74" s="31"/>
      <c r="V74" s="31"/>
      <c r="W74" s="31">
        <f t="shared" si="24"/>
        <v>120000</v>
      </c>
      <c r="X74" s="35">
        <f t="shared" si="25"/>
        <v>1468211</v>
      </c>
    </row>
    <row r="75" spans="1:24" ht="24.95" customHeight="1" x14ac:dyDescent="0.25">
      <c r="A75" s="27"/>
      <c r="B75" s="25">
        <v>13</v>
      </c>
      <c r="C75" s="28" t="s">
        <v>95</v>
      </c>
      <c r="D75" s="28" t="s">
        <v>30</v>
      </c>
      <c r="E75" s="29" t="s">
        <v>31</v>
      </c>
      <c r="F75" s="31">
        <v>3000000</v>
      </c>
      <c r="G75" s="30">
        <v>30</v>
      </c>
      <c r="H75" s="30">
        <f t="shared" si="1"/>
        <v>3000000</v>
      </c>
      <c r="I75" s="31"/>
      <c r="J75" s="31"/>
      <c r="K75" s="31"/>
      <c r="L75" s="31">
        <v>200000</v>
      </c>
      <c r="M75" s="31"/>
      <c r="N75" s="31">
        <f t="shared" si="2"/>
        <v>3200000</v>
      </c>
      <c r="O75" s="31">
        <f t="shared" si="27"/>
        <v>120000</v>
      </c>
      <c r="P75" s="31">
        <f>+F75*0.04</f>
        <v>120000</v>
      </c>
      <c r="Q75" s="31"/>
      <c r="R75" s="31"/>
      <c r="S75" s="31">
        <v>0</v>
      </c>
      <c r="T75" s="31"/>
      <c r="U75" s="31"/>
      <c r="V75" s="31">
        <v>323803</v>
      </c>
      <c r="W75" s="31">
        <f t="shared" si="24"/>
        <v>563803</v>
      </c>
      <c r="X75" s="35">
        <f t="shared" si="25"/>
        <v>2636197</v>
      </c>
    </row>
    <row r="76" spans="1:24" ht="24.95" customHeight="1" x14ac:dyDescent="0.25">
      <c r="A76" s="27"/>
      <c r="B76" s="25">
        <v>14</v>
      </c>
      <c r="C76" s="28" t="s">
        <v>96</v>
      </c>
      <c r="D76" s="28" t="s">
        <v>30</v>
      </c>
      <c r="E76" s="29" t="s">
        <v>31</v>
      </c>
      <c r="F76" s="31">
        <v>2000000</v>
      </c>
      <c r="G76" s="30">
        <v>30</v>
      </c>
      <c r="H76" s="30">
        <f t="shared" si="1"/>
        <v>2000000.0000000002</v>
      </c>
      <c r="I76" s="31"/>
      <c r="J76" s="31"/>
      <c r="K76" s="31"/>
      <c r="L76" s="31"/>
      <c r="M76" s="31"/>
      <c r="N76" s="31">
        <f t="shared" si="2"/>
        <v>2000000.0000000002</v>
      </c>
      <c r="O76" s="31">
        <f t="shared" si="27"/>
        <v>80000</v>
      </c>
      <c r="P76" s="31">
        <f>+F76*4%</f>
        <v>80000</v>
      </c>
      <c r="Q76" s="31"/>
      <c r="R76" s="31"/>
      <c r="S76" s="31">
        <v>0</v>
      </c>
      <c r="T76" s="31"/>
      <c r="U76" s="31"/>
      <c r="V76" s="31"/>
      <c r="W76" s="31">
        <f t="shared" si="24"/>
        <v>160000</v>
      </c>
      <c r="X76" s="35">
        <f t="shared" si="25"/>
        <v>1840000.0000000002</v>
      </c>
    </row>
    <row r="77" spans="1:24" ht="24.95" customHeight="1" x14ac:dyDescent="0.25">
      <c r="A77" s="27"/>
      <c r="B77" s="25">
        <v>15</v>
      </c>
      <c r="C77" s="36" t="s">
        <v>97</v>
      </c>
      <c r="D77" s="28" t="s">
        <v>30</v>
      </c>
      <c r="E77" s="29" t="s">
        <v>31</v>
      </c>
      <c r="F77" s="31">
        <v>4500000</v>
      </c>
      <c r="G77" s="30">
        <v>30</v>
      </c>
      <c r="H77" s="30">
        <f t="shared" si="1"/>
        <v>4500000</v>
      </c>
      <c r="I77" s="31"/>
      <c r="J77" s="31"/>
      <c r="K77" s="31"/>
      <c r="L77" s="31"/>
      <c r="M77" s="31"/>
      <c r="N77" s="31">
        <f t="shared" si="2"/>
        <v>4500000</v>
      </c>
      <c r="O77" s="31">
        <f t="shared" si="27"/>
        <v>180000</v>
      </c>
      <c r="P77" s="31">
        <f>+F77*5%</f>
        <v>225000</v>
      </c>
      <c r="Q77" s="31"/>
      <c r="R77" s="31">
        <v>10000</v>
      </c>
      <c r="S77" s="31">
        <v>0</v>
      </c>
      <c r="T77" s="31"/>
      <c r="U77" s="31"/>
      <c r="V77" s="31"/>
      <c r="W77" s="31">
        <f t="shared" si="24"/>
        <v>415000</v>
      </c>
      <c r="X77" s="35">
        <f t="shared" ref="X77:X85" si="28">N77-W77</f>
        <v>4085000</v>
      </c>
    </row>
    <row r="78" spans="1:24" ht="24.95" customHeight="1" x14ac:dyDescent="0.25">
      <c r="A78" s="27"/>
      <c r="B78" s="25">
        <v>16</v>
      </c>
      <c r="C78" s="28" t="s">
        <v>99</v>
      </c>
      <c r="D78" s="28" t="s">
        <v>30</v>
      </c>
      <c r="E78" s="29" t="s">
        <v>31</v>
      </c>
      <c r="F78" s="31">
        <v>1000000</v>
      </c>
      <c r="G78" s="30">
        <v>30</v>
      </c>
      <c r="H78" s="30">
        <f t="shared" si="1"/>
        <v>1000000.0000000001</v>
      </c>
      <c r="I78" s="31">
        <v>88211</v>
      </c>
      <c r="J78" s="31"/>
      <c r="K78" s="31"/>
      <c r="L78" s="31"/>
      <c r="M78" s="31"/>
      <c r="N78" s="31">
        <f t="shared" si="2"/>
        <v>1088211</v>
      </c>
      <c r="O78" s="31">
        <f>+F78*4%</f>
        <v>40000</v>
      </c>
      <c r="P78" s="31">
        <f>+F78*4%</f>
        <v>40000</v>
      </c>
      <c r="Q78" s="31"/>
      <c r="R78" s="31"/>
      <c r="S78" s="31"/>
      <c r="T78" s="31"/>
      <c r="U78" s="31"/>
      <c r="V78" s="31"/>
      <c r="W78" s="31">
        <f t="shared" si="24"/>
        <v>80000</v>
      </c>
      <c r="X78" s="35">
        <f t="shared" si="28"/>
        <v>1008211</v>
      </c>
    </row>
    <row r="79" spans="1:24" ht="24.95" customHeight="1" x14ac:dyDescent="0.25">
      <c r="A79" s="27"/>
      <c r="B79" s="25">
        <v>17</v>
      </c>
      <c r="C79" s="28" t="s">
        <v>101</v>
      </c>
      <c r="D79" s="28" t="s">
        <v>30</v>
      </c>
      <c r="E79" s="29" t="s">
        <v>31</v>
      </c>
      <c r="F79" s="31">
        <v>4200000</v>
      </c>
      <c r="G79" s="30">
        <v>30</v>
      </c>
      <c r="H79" s="30">
        <f t="shared" ref="H79:H111" si="29">+F79/30*G79</f>
        <v>4200000</v>
      </c>
      <c r="I79" s="31"/>
      <c r="J79" s="31"/>
      <c r="K79" s="31"/>
      <c r="L79" s="31"/>
      <c r="M79" s="31"/>
      <c r="N79" s="31">
        <f t="shared" ref="N79:N112" si="30">+H79+I79+K79+L79+M79+J79</f>
        <v>4200000</v>
      </c>
      <c r="O79" s="31">
        <f>+F79*0.04</f>
        <v>168000</v>
      </c>
      <c r="P79" s="31">
        <f>+F79*0.05</f>
        <v>210000</v>
      </c>
      <c r="Q79" s="31"/>
      <c r="R79" s="31"/>
      <c r="S79" s="31">
        <v>0</v>
      </c>
      <c r="T79" s="31"/>
      <c r="U79" s="31"/>
      <c r="V79" s="31"/>
      <c r="W79" s="31">
        <f t="shared" si="24"/>
        <v>378000</v>
      </c>
      <c r="X79" s="35">
        <f t="shared" si="28"/>
        <v>3822000</v>
      </c>
    </row>
    <row r="80" spans="1:24" ht="24.95" customHeight="1" x14ac:dyDescent="0.25">
      <c r="A80" s="27"/>
      <c r="B80" s="25">
        <v>18</v>
      </c>
      <c r="C80" s="28" t="s">
        <v>102</v>
      </c>
      <c r="D80" s="28" t="s">
        <v>30</v>
      </c>
      <c r="E80" s="29" t="s">
        <v>31</v>
      </c>
      <c r="F80" s="31">
        <v>2500000</v>
      </c>
      <c r="G80" s="30">
        <v>30</v>
      </c>
      <c r="H80" s="30">
        <f t="shared" si="29"/>
        <v>2500000</v>
      </c>
      <c r="I80" s="31"/>
      <c r="J80" s="31"/>
      <c r="K80" s="31"/>
      <c r="L80" s="31"/>
      <c r="M80" s="31"/>
      <c r="N80" s="31">
        <f t="shared" si="30"/>
        <v>2500000</v>
      </c>
      <c r="O80" s="31">
        <f>+F80*4%</f>
        <v>100000</v>
      </c>
      <c r="P80" s="31">
        <f>+F80*4%</f>
        <v>100000</v>
      </c>
      <c r="Q80" s="31"/>
      <c r="R80" s="31"/>
      <c r="S80" s="31"/>
      <c r="T80" s="31"/>
      <c r="U80" s="31"/>
      <c r="V80" s="31"/>
      <c r="W80" s="31">
        <f t="shared" si="24"/>
        <v>200000</v>
      </c>
      <c r="X80" s="35">
        <f t="shared" si="28"/>
        <v>2300000</v>
      </c>
    </row>
    <row r="81" spans="1:24" ht="24.95" customHeight="1" x14ac:dyDescent="0.25">
      <c r="A81" s="27"/>
      <c r="B81" s="25">
        <v>19</v>
      </c>
      <c r="C81" s="28" t="s">
        <v>103</v>
      </c>
      <c r="D81" s="28" t="s">
        <v>30</v>
      </c>
      <c r="E81" s="29" t="s">
        <v>31</v>
      </c>
      <c r="F81" s="31">
        <v>1272000</v>
      </c>
      <c r="G81" s="30">
        <v>30</v>
      </c>
      <c r="H81" s="30">
        <f t="shared" si="29"/>
        <v>1272000</v>
      </c>
      <c r="I81" s="31">
        <v>88211</v>
      </c>
      <c r="J81" s="31">
        <v>66240</v>
      </c>
      <c r="K81" s="31"/>
      <c r="L81" s="31"/>
      <c r="M81" s="31"/>
      <c r="N81" s="31">
        <f t="shared" si="30"/>
        <v>1426451</v>
      </c>
      <c r="O81" s="31">
        <f>+F81*4%</f>
        <v>50880</v>
      </c>
      <c r="P81" s="31">
        <f>+F81*4%</f>
        <v>50880</v>
      </c>
      <c r="Q81" s="31"/>
      <c r="R81" s="31"/>
      <c r="S81" s="31"/>
      <c r="T81" s="31"/>
      <c r="U81" s="31"/>
      <c r="V81" s="31"/>
      <c r="W81" s="31">
        <f t="shared" si="24"/>
        <v>101760</v>
      </c>
      <c r="X81" s="35">
        <f t="shared" si="28"/>
        <v>1324691</v>
      </c>
    </row>
    <row r="82" spans="1:24" ht="24.95" customHeight="1" x14ac:dyDescent="0.25">
      <c r="A82" s="27"/>
      <c r="B82" s="25">
        <v>20</v>
      </c>
      <c r="C82" s="28" t="s">
        <v>104</v>
      </c>
      <c r="D82" s="28" t="s">
        <v>30</v>
      </c>
      <c r="E82" s="29" t="s">
        <v>31</v>
      </c>
      <c r="F82" s="31">
        <v>2500000</v>
      </c>
      <c r="G82" s="30">
        <v>30</v>
      </c>
      <c r="H82" s="30">
        <f t="shared" si="29"/>
        <v>2500000</v>
      </c>
      <c r="I82" s="31"/>
      <c r="J82" s="31"/>
      <c r="K82" s="31"/>
      <c r="L82" s="31"/>
      <c r="M82" s="31"/>
      <c r="N82" s="31">
        <f t="shared" si="30"/>
        <v>2500000</v>
      </c>
      <c r="O82" s="31">
        <f>+F82*4%</f>
        <v>100000</v>
      </c>
      <c r="P82" s="31">
        <f>+F82*4%</f>
        <v>100000</v>
      </c>
      <c r="Q82" s="31"/>
      <c r="R82" s="31">
        <v>380000</v>
      </c>
      <c r="S82" s="31">
        <v>0</v>
      </c>
      <c r="T82" s="31"/>
      <c r="U82" s="31"/>
      <c r="V82" s="31"/>
      <c r="W82" s="31">
        <f t="shared" si="24"/>
        <v>580000</v>
      </c>
      <c r="X82" s="35">
        <f t="shared" si="28"/>
        <v>1920000</v>
      </c>
    </row>
    <row r="83" spans="1:24" ht="24.95" customHeight="1" x14ac:dyDescent="0.25">
      <c r="A83" s="27"/>
      <c r="B83" s="25">
        <v>21</v>
      </c>
      <c r="C83" s="28" t="s">
        <v>105</v>
      </c>
      <c r="D83" s="28" t="s">
        <v>30</v>
      </c>
      <c r="E83" s="29" t="s">
        <v>100</v>
      </c>
      <c r="F83" s="31">
        <v>781242</v>
      </c>
      <c r="G83" s="30">
        <v>15</v>
      </c>
      <c r="H83" s="30">
        <f t="shared" si="29"/>
        <v>390621</v>
      </c>
      <c r="I83" s="31">
        <v>195310</v>
      </c>
      <c r="J83" s="31"/>
      <c r="K83" s="31"/>
      <c r="L83" s="31"/>
      <c r="M83" s="31"/>
      <c r="N83" s="31">
        <f t="shared" si="30"/>
        <v>585931</v>
      </c>
      <c r="O83" s="31"/>
      <c r="P83" s="31"/>
      <c r="Q83" s="31"/>
      <c r="R83" s="31"/>
      <c r="S83" s="31"/>
      <c r="T83" s="31"/>
      <c r="U83" s="31"/>
      <c r="V83" s="31"/>
      <c r="W83" s="31">
        <f t="shared" si="24"/>
        <v>0</v>
      </c>
      <c r="X83" s="35">
        <f t="shared" si="28"/>
        <v>585931</v>
      </c>
    </row>
    <row r="84" spans="1:24" ht="24.95" customHeight="1" x14ac:dyDescent="0.25">
      <c r="A84" s="27"/>
      <c r="B84" s="25">
        <v>22</v>
      </c>
      <c r="C84" s="36" t="s">
        <v>107</v>
      </c>
      <c r="D84" s="28" t="s">
        <v>30</v>
      </c>
      <c r="E84" s="29" t="s">
        <v>31</v>
      </c>
      <c r="F84" s="31">
        <v>1700000</v>
      </c>
      <c r="G84" s="30">
        <v>30</v>
      </c>
      <c r="H84" s="30">
        <f t="shared" si="29"/>
        <v>1700000</v>
      </c>
      <c r="I84" s="31"/>
      <c r="J84" s="31"/>
      <c r="K84" s="31"/>
      <c r="L84" s="31"/>
      <c r="M84" s="31"/>
      <c r="N84" s="31">
        <f t="shared" si="30"/>
        <v>1700000</v>
      </c>
      <c r="O84" s="31">
        <f t="shared" ref="O84:O92" si="31">+F84*4%</f>
        <v>68000</v>
      </c>
      <c r="P84" s="31">
        <f>+F84*4%</f>
        <v>68000</v>
      </c>
      <c r="Q84" s="31"/>
      <c r="R84" s="31"/>
      <c r="S84" s="31"/>
      <c r="T84" s="31"/>
      <c r="U84" s="31"/>
      <c r="V84" s="31"/>
      <c r="W84" s="31">
        <f t="shared" si="24"/>
        <v>136000</v>
      </c>
      <c r="X84" s="35">
        <f t="shared" si="28"/>
        <v>1564000</v>
      </c>
    </row>
    <row r="85" spans="1:24" ht="24.95" customHeight="1" x14ac:dyDescent="0.25">
      <c r="A85" s="27"/>
      <c r="B85" s="25">
        <v>23</v>
      </c>
      <c r="C85" s="36" t="s">
        <v>108</v>
      </c>
      <c r="D85" s="28" t="s">
        <v>30</v>
      </c>
      <c r="E85" s="29" t="s">
        <v>31</v>
      </c>
      <c r="F85" s="31">
        <v>2400000</v>
      </c>
      <c r="G85" s="30">
        <v>30</v>
      </c>
      <c r="H85" s="30">
        <f t="shared" si="29"/>
        <v>2400000</v>
      </c>
      <c r="I85" s="31"/>
      <c r="J85" s="31"/>
      <c r="K85" s="31"/>
      <c r="L85" s="31"/>
      <c r="M85" s="31">
        <f>+F85-H85</f>
        <v>0</v>
      </c>
      <c r="N85" s="31">
        <f t="shared" si="30"/>
        <v>2400000</v>
      </c>
      <c r="O85" s="31">
        <f t="shared" si="31"/>
        <v>96000</v>
      </c>
      <c r="P85" s="31">
        <f>+F85*4%</f>
        <v>96000</v>
      </c>
      <c r="Q85" s="31"/>
      <c r="R85" s="31"/>
      <c r="S85" s="31"/>
      <c r="T85" s="31"/>
      <c r="U85" s="31"/>
      <c r="V85" s="31"/>
      <c r="W85" s="31">
        <f t="shared" si="24"/>
        <v>192000</v>
      </c>
      <c r="X85" s="35">
        <f t="shared" si="28"/>
        <v>2208000</v>
      </c>
    </row>
    <row r="86" spans="1:24" ht="24.95" customHeight="1" x14ac:dyDescent="0.25">
      <c r="A86" s="27"/>
      <c r="B86" s="25">
        <v>24</v>
      </c>
      <c r="C86" s="28" t="s">
        <v>109</v>
      </c>
      <c r="D86" s="28" t="s">
        <v>30</v>
      </c>
      <c r="E86" s="29" t="s">
        <v>31</v>
      </c>
      <c r="F86" s="31">
        <v>2200000</v>
      </c>
      <c r="G86" s="30">
        <v>30</v>
      </c>
      <c r="H86" s="30">
        <f t="shared" si="29"/>
        <v>2200000</v>
      </c>
      <c r="I86" s="31"/>
      <c r="J86" s="31"/>
      <c r="K86" s="31"/>
      <c r="L86" s="31"/>
      <c r="M86" s="31"/>
      <c r="N86" s="31">
        <f t="shared" si="30"/>
        <v>2200000</v>
      </c>
      <c r="O86" s="31">
        <f t="shared" si="31"/>
        <v>88000</v>
      </c>
      <c r="P86" s="31">
        <f>+F86*4%</f>
        <v>88000</v>
      </c>
      <c r="Q86" s="31"/>
      <c r="R86" s="31"/>
      <c r="S86" s="31">
        <v>0</v>
      </c>
      <c r="T86" s="31"/>
      <c r="U86" s="31"/>
      <c r="V86" s="31"/>
      <c r="W86" s="31">
        <f t="shared" si="24"/>
        <v>176000</v>
      </c>
      <c r="X86" s="35">
        <f>+N86-W86</f>
        <v>2024000</v>
      </c>
    </row>
    <row r="87" spans="1:24" ht="24.95" customHeight="1" x14ac:dyDescent="0.25">
      <c r="A87" s="27"/>
      <c r="B87" s="25">
        <v>25</v>
      </c>
      <c r="C87" s="28" t="s">
        <v>112</v>
      </c>
      <c r="D87" s="28" t="s">
        <v>30</v>
      </c>
      <c r="E87" s="29" t="s">
        <v>31</v>
      </c>
      <c r="F87" s="31">
        <v>5500000</v>
      </c>
      <c r="G87" s="30">
        <v>30</v>
      </c>
      <c r="H87" s="30">
        <f>+F87-K87</f>
        <v>5500000</v>
      </c>
      <c r="I87" s="31"/>
      <c r="J87" s="31"/>
      <c r="K87" s="31"/>
      <c r="L87" s="31">
        <v>500000</v>
      </c>
      <c r="M87" s="31">
        <v>0</v>
      </c>
      <c r="N87" s="31">
        <f t="shared" si="30"/>
        <v>6000000</v>
      </c>
      <c r="O87" s="31">
        <f t="shared" si="31"/>
        <v>220000</v>
      </c>
      <c r="P87" s="31">
        <f>+F87*5%</f>
        <v>275000</v>
      </c>
      <c r="Q87" s="31"/>
      <c r="R87" s="31"/>
      <c r="S87" s="34">
        <v>69147</v>
      </c>
      <c r="T87" s="31"/>
      <c r="U87" s="31"/>
      <c r="V87" s="31">
        <v>480989</v>
      </c>
      <c r="W87" s="31">
        <f t="shared" si="24"/>
        <v>1045136</v>
      </c>
      <c r="X87" s="35">
        <f t="shared" ref="X87:X90" si="32">+N87-W87</f>
        <v>4954864</v>
      </c>
    </row>
    <row r="88" spans="1:24" ht="24.95" customHeight="1" x14ac:dyDescent="0.25">
      <c r="A88" s="27"/>
      <c r="B88" s="25">
        <v>26</v>
      </c>
      <c r="C88" s="28" t="s">
        <v>114</v>
      </c>
      <c r="D88" s="28" t="s">
        <v>30</v>
      </c>
      <c r="E88" s="29" t="s">
        <v>31</v>
      </c>
      <c r="F88" s="31">
        <v>781242</v>
      </c>
      <c r="G88" s="30">
        <v>30</v>
      </c>
      <c r="H88" s="30">
        <f t="shared" si="29"/>
        <v>781242</v>
      </c>
      <c r="I88" s="31">
        <v>88211</v>
      </c>
      <c r="J88" s="31"/>
      <c r="K88" s="31"/>
      <c r="L88" s="31"/>
      <c r="M88" s="31"/>
      <c r="N88" s="31">
        <f t="shared" si="30"/>
        <v>869453</v>
      </c>
      <c r="O88" s="31">
        <f t="shared" si="31"/>
        <v>31249.68</v>
      </c>
      <c r="P88" s="31">
        <f>+F88*4%</f>
        <v>31249.68</v>
      </c>
      <c r="Q88" s="31"/>
      <c r="R88" s="31"/>
      <c r="S88" s="34"/>
      <c r="T88" s="31"/>
      <c r="U88" s="31"/>
      <c r="V88" s="31"/>
      <c r="W88" s="31">
        <f t="shared" si="24"/>
        <v>62499.360000000001</v>
      </c>
      <c r="X88" s="35">
        <f t="shared" si="32"/>
        <v>806953.64</v>
      </c>
    </row>
    <row r="89" spans="1:24" ht="24.95" customHeight="1" x14ac:dyDescent="0.25">
      <c r="A89" s="27"/>
      <c r="B89" s="25">
        <v>27</v>
      </c>
      <c r="C89" s="28" t="s">
        <v>59</v>
      </c>
      <c r="D89" s="28" t="s">
        <v>30</v>
      </c>
      <c r="E89" s="29" t="s">
        <v>31</v>
      </c>
      <c r="F89" s="31">
        <v>3500000</v>
      </c>
      <c r="G89" s="30">
        <v>30</v>
      </c>
      <c r="H89" s="30">
        <f t="shared" si="29"/>
        <v>3500000</v>
      </c>
      <c r="I89" s="31"/>
      <c r="J89" s="31"/>
      <c r="K89" s="31"/>
      <c r="L89" s="31"/>
      <c r="M89" s="31"/>
      <c r="N89" s="31">
        <f>+H89+I89+K89+L89+M89+J89</f>
        <v>3500000</v>
      </c>
      <c r="O89" s="31">
        <f t="shared" ref="O89" si="33">F89*4/100</f>
        <v>140000</v>
      </c>
      <c r="P89" s="31">
        <f t="shared" ref="P89" si="34">+F89*0.05</f>
        <v>175000</v>
      </c>
      <c r="Q89" s="31"/>
      <c r="R89" s="31"/>
      <c r="S89" s="34">
        <v>0</v>
      </c>
      <c r="T89" s="31"/>
      <c r="U89" s="31">
        <v>111000</v>
      </c>
      <c r="V89" s="31"/>
      <c r="W89" s="31">
        <f t="shared" si="24"/>
        <v>426000</v>
      </c>
      <c r="X89" s="32">
        <f>N89-W89</f>
        <v>3074000</v>
      </c>
    </row>
    <row r="90" spans="1:24" ht="24.95" customHeight="1" x14ac:dyDescent="0.25">
      <c r="A90" s="27"/>
      <c r="B90" s="25">
        <v>28</v>
      </c>
      <c r="C90" s="28" t="s">
        <v>116</v>
      </c>
      <c r="D90" s="28" t="s">
        <v>30</v>
      </c>
      <c r="E90" s="29" t="s">
        <v>31</v>
      </c>
      <c r="F90" s="31">
        <v>2200000</v>
      </c>
      <c r="G90" s="30">
        <v>30</v>
      </c>
      <c r="H90" s="30">
        <f t="shared" si="29"/>
        <v>2200000</v>
      </c>
      <c r="I90" s="31"/>
      <c r="J90" s="31"/>
      <c r="K90" s="31"/>
      <c r="L90" s="31"/>
      <c r="M90" s="31"/>
      <c r="N90" s="31">
        <f t="shared" si="30"/>
        <v>2200000</v>
      </c>
      <c r="O90" s="31">
        <f t="shared" si="31"/>
        <v>88000</v>
      </c>
      <c r="P90" s="31">
        <f>+F90*4%</f>
        <v>88000</v>
      </c>
      <c r="Q90" s="31"/>
      <c r="R90" s="31"/>
      <c r="S90" s="34">
        <v>0</v>
      </c>
      <c r="T90" s="31"/>
      <c r="U90" s="31"/>
      <c r="V90" s="31"/>
      <c r="W90" s="31">
        <f t="shared" si="24"/>
        <v>176000</v>
      </c>
      <c r="X90" s="35">
        <f t="shared" si="32"/>
        <v>2024000</v>
      </c>
    </row>
    <row r="91" spans="1:24" ht="24.95" customHeight="1" x14ac:dyDescent="0.25">
      <c r="A91" s="27"/>
      <c r="B91" s="25">
        <v>29</v>
      </c>
      <c r="C91" s="28" t="s">
        <v>120</v>
      </c>
      <c r="D91" s="28" t="s">
        <v>30</v>
      </c>
      <c r="E91" s="29" t="s">
        <v>31</v>
      </c>
      <c r="F91" s="31">
        <v>3500000</v>
      </c>
      <c r="G91" s="30">
        <v>30</v>
      </c>
      <c r="H91" s="30">
        <f t="shared" si="29"/>
        <v>3500000</v>
      </c>
      <c r="I91" s="31"/>
      <c r="J91" s="31"/>
      <c r="K91" s="31"/>
      <c r="L91" s="31"/>
      <c r="M91" s="31"/>
      <c r="N91" s="31">
        <f t="shared" si="30"/>
        <v>3500000</v>
      </c>
      <c r="O91" s="31">
        <f t="shared" si="31"/>
        <v>140000</v>
      </c>
      <c r="P91" s="31">
        <f>+F91*5%</f>
        <v>175000</v>
      </c>
      <c r="Q91" s="31">
        <v>0</v>
      </c>
      <c r="R91" s="31"/>
      <c r="S91" s="31">
        <v>0</v>
      </c>
      <c r="T91" s="31"/>
      <c r="U91" s="31"/>
      <c r="V91" s="31"/>
      <c r="W91" s="31">
        <f t="shared" si="24"/>
        <v>315000</v>
      </c>
      <c r="X91" s="35">
        <f t="shared" ref="X91:X97" si="35">N91-W91</f>
        <v>3185000</v>
      </c>
    </row>
    <row r="92" spans="1:24" ht="24.95" customHeight="1" x14ac:dyDescent="0.25">
      <c r="A92" s="27"/>
      <c r="B92" s="25">
        <v>30</v>
      </c>
      <c r="C92" s="28" t="s">
        <v>121</v>
      </c>
      <c r="D92" s="28" t="s">
        <v>30</v>
      </c>
      <c r="E92" s="29" t="s">
        <v>31</v>
      </c>
      <c r="F92" s="31">
        <v>2200000</v>
      </c>
      <c r="G92" s="30">
        <v>30</v>
      </c>
      <c r="H92" s="30">
        <f>+F92-M92</f>
        <v>2200000</v>
      </c>
      <c r="I92" s="31"/>
      <c r="J92" s="31"/>
      <c r="K92" s="31"/>
      <c r="L92" s="31"/>
      <c r="M92" s="31"/>
      <c r="N92" s="31">
        <f t="shared" si="30"/>
        <v>2200000</v>
      </c>
      <c r="O92" s="31">
        <f t="shared" si="31"/>
        <v>88000</v>
      </c>
      <c r="P92" s="31">
        <f>+F92*4%</f>
        <v>88000</v>
      </c>
      <c r="Q92" s="31"/>
      <c r="R92" s="31"/>
      <c r="S92" s="31"/>
      <c r="T92" s="31"/>
      <c r="U92" s="31"/>
      <c r="V92" s="31"/>
      <c r="W92" s="31">
        <f t="shared" si="24"/>
        <v>176000</v>
      </c>
      <c r="X92" s="35">
        <f t="shared" si="35"/>
        <v>2024000</v>
      </c>
    </row>
    <row r="93" spans="1:24" ht="24.95" customHeight="1" x14ac:dyDescent="0.25">
      <c r="A93" s="27"/>
      <c r="B93" s="25">
        <v>31</v>
      </c>
      <c r="C93" s="36" t="s">
        <v>122</v>
      </c>
      <c r="D93" s="28" t="s">
        <v>30</v>
      </c>
      <c r="E93" s="29" t="s">
        <v>31</v>
      </c>
      <c r="F93" s="31">
        <v>781242</v>
      </c>
      <c r="G93" s="30">
        <v>30</v>
      </c>
      <c r="H93" s="30">
        <f>+F93</f>
        <v>781242</v>
      </c>
      <c r="I93" s="31">
        <v>88211</v>
      </c>
      <c r="J93" s="31">
        <v>81380</v>
      </c>
      <c r="K93" s="31"/>
      <c r="L93" s="31"/>
      <c r="M93" s="31"/>
      <c r="N93" s="31">
        <f>+H93+I93+K93+L93+M93+J93</f>
        <v>950833</v>
      </c>
      <c r="O93" s="31">
        <f>+F93*0.04</f>
        <v>31249.68</v>
      </c>
      <c r="P93" s="31">
        <f>+F93*0.04</f>
        <v>31249.68</v>
      </c>
      <c r="Q93" s="31"/>
      <c r="R93" s="31"/>
      <c r="S93" s="31">
        <v>0</v>
      </c>
      <c r="T93" s="31"/>
      <c r="U93" s="31"/>
      <c r="V93" s="31"/>
      <c r="W93" s="31">
        <f t="shared" si="24"/>
        <v>62499.360000000001</v>
      </c>
      <c r="X93" s="35">
        <f t="shared" si="35"/>
        <v>888333.64</v>
      </c>
    </row>
    <row r="94" spans="1:24" ht="24.95" customHeight="1" x14ac:dyDescent="0.25">
      <c r="A94" s="27"/>
      <c r="B94" s="25">
        <v>32</v>
      </c>
      <c r="C94" s="28" t="s">
        <v>155</v>
      </c>
      <c r="D94" s="28" t="s">
        <v>30</v>
      </c>
      <c r="E94" s="29" t="s">
        <v>100</v>
      </c>
      <c r="F94" s="31">
        <v>781242</v>
      </c>
      <c r="G94" s="30">
        <v>30</v>
      </c>
      <c r="H94" s="30">
        <f t="shared" ref="H94" si="36">+F94/30*G94</f>
        <v>781242</v>
      </c>
      <c r="I94" s="31"/>
      <c r="J94" s="31"/>
      <c r="K94" s="31"/>
      <c r="L94" s="31"/>
      <c r="M94" s="31"/>
      <c r="N94" s="31">
        <f t="shared" ref="N94" si="37">+H94+I94+K94+L94+M94+J94</f>
        <v>781242</v>
      </c>
      <c r="O94" s="31">
        <v>0</v>
      </c>
      <c r="P94" s="31">
        <v>0</v>
      </c>
      <c r="Q94" s="31">
        <v>0</v>
      </c>
      <c r="R94" s="31"/>
      <c r="S94" s="31">
        <v>0</v>
      </c>
      <c r="T94" s="31"/>
      <c r="U94" s="31"/>
      <c r="V94" s="31"/>
      <c r="W94" s="31">
        <f t="shared" ref="W94" si="38">SUM(O94:V94)</f>
        <v>0</v>
      </c>
      <c r="X94" s="35">
        <f t="shared" si="35"/>
        <v>781242</v>
      </c>
    </row>
    <row r="95" spans="1:24" ht="24.95" customHeight="1" x14ac:dyDescent="0.25">
      <c r="A95" s="27"/>
      <c r="B95" s="25">
        <v>33</v>
      </c>
      <c r="C95" s="36" t="s">
        <v>123</v>
      </c>
      <c r="D95" s="28" t="s">
        <v>30</v>
      </c>
      <c r="E95" s="29" t="s">
        <v>31</v>
      </c>
      <c r="F95" s="31">
        <v>2100000</v>
      </c>
      <c r="G95" s="30">
        <v>30</v>
      </c>
      <c r="H95" s="30">
        <f>+F95-M95</f>
        <v>2100000</v>
      </c>
      <c r="I95" s="31"/>
      <c r="J95" s="31"/>
      <c r="K95" s="31"/>
      <c r="L95" s="31"/>
      <c r="M95" s="31"/>
      <c r="N95" s="31">
        <f t="shared" si="30"/>
        <v>2100000</v>
      </c>
      <c r="O95" s="31">
        <f>+F95*0.04</f>
        <v>84000</v>
      </c>
      <c r="P95" s="31">
        <f>+F95*0.04</f>
        <v>84000</v>
      </c>
      <c r="Q95" s="31"/>
      <c r="R95" s="31"/>
      <c r="S95" s="31">
        <v>0</v>
      </c>
      <c r="T95" s="31"/>
      <c r="U95" s="31"/>
      <c r="V95" s="31"/>
      <c r="W95" s="31">
        <f t="shared" si="24"/>
        <v>168000</v>
      </c>
      <c r="X95" s="35">
        <f t="shared" si="35"/>
        <v>1932000</v>
      </c>
    </row>
    <row r="96" spans="1:24" ht="24.95" customHeight="1" x14ac:dyDescent="0.25">
      <c r="A96" s="27"/>
      <c r="B96" s="25">
        <v>34</v>
      </c>
      <c r="C96" s="36" t="s">
        <v>124</v>
      </c>
      <c r="D96" s="28" t="s">
        <v>30</v>
      </c>
      <c r="E96" s="29" t="s">
        <v>31</v>
      </c>
      <c r="F96" s="31">
        <v>781242</v>
      </c>
      <c r="G96" s="30">
        <v>30</v>
      </c>
      <c r="H96" s="30">
        <f t="shared" si="29"/>
        <v>781242</v>
      </c>
      <c r="I96" s="31">
        <v>88211</v>
      </c>
      <c r="J96" s="31">
        <v>51066</v>
      </c>
      <c r="K96" s="31"/>
      <c r="L96" s="31">
        <v>0</v>
      </c>
      <c r="M96" s="31">
        <f>+F96-H96</f>
        <v>0</v>
      </c>
      <c r="N96" s="31">
        <f t="shared" si="30"/>
        <v>920519</v>
      </c>
      <c r="O96" s="31">
        <f>+F96*0.04</f>
        <v>31249.68</v>
      </c>
      <c r="P96" s="31">
        <f>+F96*4%</f>
        <v>31249.68</v>
      </c>
      <c r="Q96" s="31"/>
      <c r="R96" s="31"/>
      <c r="S96" s="31"/>
      <c r="T96" s="31"/>
      <c r="U96" s="31"/>
      <c r="V96" s="31"/>
      <c r="W96" s="31">
        <f t="shared" si="24"/>
        <v>62499.360000000001</v>
      </c>
      <c r="X96" s="35">
        <f t="shared" si="35"/>
        <v>858019.64</v>
      </c>
    </row>
    <row r="97" spans="1:24" ht="24.95" customHeight="1" x14ac:dyDescent="0.25">
      <c r="A97" s="27"/>
      <c r="B97" s="25">
        <v>35</v>
      </c>
      <c r="C97" s="36" t="s">
        <v>125</v>
      </c>
      <c r="D97" s="28" t="s">
        <v>30</v>
      </c>
      <c r="E97" s="29" t="s">
        <v>31</v>
      </c>
      <c r="F97" s="31">
        <v>781242</v>
      </c>
      <c r="G97" s="30">
        <v>30</v>
      </c>
      <c r="H97" s="30">
        <f t="shared" si="29"/>
        <v>781242</v>
      </c>
      <c r="I97" s="31">
        <f>+I96</f>
        <v>88211</v>
      </c>
      <c r="J97" s="31"/>
      <c r="K97" s="31"/>
      <c r="L97" s="31"/>
      <c r="M97" s="31"/>
      <c r="N97" s="31">
        <f t="shared" si="30"/>
        <v>869453</v>
      </c>
      <c r="O97" s="31">
        <f>+F97*4%</f>
        <v>31249.68</v>
      </c>
      <c r="P97" s="31">
        <f>+F97*4%</f>
        <v>31249.68</v>
      </c>
      <c r="Q97" s="31"/>
      <c r="R97" s="31"/>
      <c r="S97" s="31"/>
      <c r="T97" s="31"/>
      <c r="U97" s="31"/>
      <c r="V97" s="31"/>
      <c r="W97" s="31">
        <f t="shared" si="24"/>
        <v>62499.360000000001</v>
      </c>
      <c r="X97" s="35">
        <f t="shared" si="35"/>
        <v>806953.64</v>
      </c>
    </row>
    <row r="98" spans="1:24" ht="24.95" customHeight="1" x14ac:dyDescent="0.25">
      <c r="A98" s="27"/>
      <c r="B98" s="25">
        <v>36</v>
      </c>
      <c r="C98" s="28" t="s">
        <v>126</v>
      </c>
      <c r="D98" s="28" t="s">
        <v>30</v>
      </c>
      <c r="E98" s="29" t="s">
        <v>31</v>
      </c>
      <c r="F98" s="31">
        <v>15400000</v>
      </c>
      <c r="G98" s="30">
        <v>30</v>
      </c>
      <c r="H98" s="30">
        <f t="shared" si="29"/>
        <v>15400000</v>
      </c>
      <c r="I98" s="31"/>
      <c r="J98" s="31"/>
      <c r="K98" s="31"/>
      <c r="L98" s="31">
        <v>600000</v>
      </c>
      <c r="M98" s="31">
        <f>+F98-H98</f>
        <v>0</v>
      </c>
      <c r="N98" s="31">
        <f t="shared" si="30"/>
        <v>16000000</v>
      </c>
      <c r="O98" s="31">
        <v>616000</v>
      </c>
      <c r="P98" s="31">
        <f>616000+308000</f>
        <v>924000</v>
      </c>
      <c r="Q98" s="31">
        <v>112700</v>
      </c>
      <c r="R98" s="31"/>
      <c r="S98" s="31">
        <v>916000</v>
      </c>
      <c r="T98" s="31">
        <v>5000000</v>
      </c>
      <c r="U98" s="31"/>
      <c r="V98" s="31">
        <v>2314715</v>
      </c>
      <c r="W98" s="31">
        <f t="shared" si="24"/>
        <v>9883415</v>
      </c>
      <c r="X98" s="35">
        <f>+N98-W98</f>
        <v>6116585</v>
      </c>
    </row>
    <row r="99" spans="1:24" ht="24.95" customHeight="1" x14ac:dyDescent="0.25">
      <c r="A99" s="27"/>
      <c r="B99" s="25">
        <v>37</v>
      </c>
      <c r="C99" s="28" t="s">
        <v>127</v>
      </c>
      <c r="D99" s="28" t="s">
        <v>30</v>
      </c>
      <c r="E99" s="29" t="s">
        <v>31</v>
      </c>
      <c r="F99" s="31">
        <v>5500000</v>
      </c>
      <c r="G99" s="30">
        <v>30</v>
      </c>
      <c r="H99" s="30">
        <f t="shared" si="29"/>
        <v>5500000</v>
      </c>
      <c r="I99" s="31"/>
      <c r="J99" s="31"/>
      <c r="K99" s="31"/>
      <c r="L99" s="31">
        <v>500000</v>
      </c>
      <c r="M99" s="31">
        <f>+F99-H99</f>
        <v>0</v>
      </c>
      <c r="N99" s="31">
        <f t="shared" si="30"/>
        <v>6000000</v>
      </c>
      <c r="O99" s="31">
        <f>+F99*0.04</f>
        <v>220000</v>
      </c>
      <c r="P99" s="31">
        <f>+F99*0.05</f>
        <v>275000</v>
      </c>
      <c r="Q99" s="31"/>
      <c r="R99" s="31"/>
      <c r="S99" s="31">
        <v>120000</v>
      </c>
      <c r="T99" s="31"/>
      <c r="U99" s="31"/>
      <c r="V99" s="31">
        <v>979498</v>
      </c>
      <c r="W99" s="31">
        <f t="shared" si="24"/>
        <v>1594498</v>
      </c>
      <c r="X99" s="35">
        <f>+N99-W99</f>
        <v>4405502</v>
      </c>
    </row>
    <row r="100" spans="1:24" ht="24.95" customHeight="1" x14ac:dyDescent="0.25">
      <c r="A100" s="27"/>
      <c r="B100" s="25">
        <v>38</v>
      </c>
      <c r="C100" s="28" t="s">
        <v>128</v>
      </c>
      <c r="D100" s="28" t="s">
        <v>30</v>
      </c>
      <c r="E100" s="29" t="s">
        <v>31</v>
      </c>
      <c r="F100" s="31">
        <v>1600000</v>
      </c>
      <c r="G100" s="30">
        <v>30</v>
      </c>
      <c r="H100" s="30">
        <f t="shared" si="29"/>
        <v>1600000</v>
      </c>
      <c r="I100" s="31"/>
      <c r="J100" s="31"/>
      <c r="K100" s="31"/>
      <c r="L100" s="31"/>
      <c r="M100" s="31">
        <f>+F100-H100</f>
        <v>0</v>
      </c>
      <c r="N100" s="31">
        <f t="shared" si="30"/>
        <v>1600000</v>
      </c>
      <c r="O100" s="31">
        <f>+F100*4%</f>
        <v>64000</v>
      </c>
      <c r="P100" s="31">
        <f>+F100*4%</f>
        <v>64000</v>
      </c>
      <c r="Q100" s="31"/>
      <c r="R100" s="31"/>
      <c r="S100" s="31"/>
      <c r="T100" s="31"/>
      <c r="U100" s="31"/>
      <c r="V100" s="31"/>
      <c r="W100" s="31">
        <f t="shared" si="24"/>
        <v>128000</v>
      </c>
      <c r="X100" s="35">
        <f>+N100-W100</f>
        <v>1472000</v>
      </c>
    </row>
    <row r="101" spans="1:24" ht="24.95" customHeight="1" x14ac:dyDescent="0.25">
      <c r="A101" s="27"/>
      <c r="B101" s="25">
        <v>39</v>
      </c>
      <c r="C101" s="36" t="s">
        <v>130</v>
      </c>
      <c r="D101" s="28" t="s">
        <v>30</v>
      </c>
      <c r="E101" s="29" t="s">
        <v>31</v>
      </c>
      <c r="F101" s="31">
        <v>3000000</v>
      </c>
      <c r="G101" s="30">
        <v>30</v>
      </c>
      <c r="H101" s="30">
        <f t="shared" si="29"/>
        <v>3000000</v>
      </c>
      <c r="I101" s="31"/>
      <c r="J101" s="31"/>
      <c r="K101" s="31"/>
      <c r="L101" s="31">
        <v>270000</v>
      </c>
      <c r="M101" s="31"/>
      <c r="N101" s="31">
        <f t="shared" si="30"/>
        <v>3270000</v>
      </c>
      <c r="O101" s="31">
        <f>+F101*0.04</f>
        <v>120000</v>
      </c>
      <c r="P101" s="31">
        <f>+F101*0.04</f>
        <v>120000</v>
      </c>
      <c r="Q101" s="31"/>
      <c r="R101" s="31"/>
      <c r="S101" s="31">
        <v>0</v>
      </c>
      <c r="T101" s="31"/>
      <c r="U101" s="31"/>
      <c r="V101" s="31">
        <v>514771</v>
      </c>
      <c r="W101" s="31">
        <f t="shared" si="24"/>
        <v>754771</v>
      </c>
      <c r="X101" s="35">
        <f>N101-W101</f>
        <v>2515229</v>
      </c>
    </row>
    <row r="102" spans="1:24" ht="24.95" customHeight="1" x14ac:dyDescent="0.25">
      <c r="A102" s="27"/>
      <c r="B102" s="25">
        <v>40</v>
      </c>
      <c r="C102" s="28" t="s">
        <v>133</v>
      </c>
      <c r="D102" s="28" t="s">
        <v>30</v>
      </c>
      <c r="E102" s="29" t="s">
        <v>31</v>
      </c>
      <c r="F102" s="31">
        <v>3850220</v>
      </c>
      <c r="G102" s="30">
        <v>30</v>
      </c>
      <c r="H102" s="30">
        <f t="shared" si="29"/>
        <v>3850220</v>
      </c>
      <c r="I102" s="31"/>
      <c r="J102" s="31"/>
      <c r="K102" s="37"/>
      <c r="L102" s="31">
        <v>676390</v>
      </c>
      <c r="M102" s="31">
        <f>+F102-H102</f>
        <v>0</v>
      </c>
      <c r="N102" s="31">
        <f t="shared" si="30"/>
        <v>4526610</v>
      </c>
      <c r="O102" s="31">
        <f t="shared" ref="O102:O108" si="39">+F102*4%</f>
        <v>154008.80000000002</v>
      </c>
      <c r="P102" s="31">
        <f>+F102*5%</f>
        <v>192511</v>
      </c>
      <c r="Q102" s="31"/>
      <c r="R102" s="31"/>
      <c r="S102" s="31"/>
      <c r="T102" s="31"/>
      <c r="U102" s="31"/>
      <c r="V102" s="31"/>
      <c r="W102" s="31">
        <f t="shared" si="24"/>
        <v>346519.80000000005</v>
      </c>
      <c r="X102" s="35">
        <f>+N102-W102</f>
        <v>4180090.2</v>
      </c>
    </row>
    <row r="103" spans="1:24" ht="24.95" customHeight="1" x14ac:dyDescent="0.25">
      <c r="A103" s="27"/>
      <c r="B103" s="25">
        <v>41</v>
      </c>
      <c r="C103" s="28" t="s">
        <v>134</v>
      </c>
      <c r="D103" s="28" t="s">
        <v>30</v>
      </c>
      <c r="E103" s="29" t="s">
        <v>31</v>
      </c>
      <c r="F103" s="31">
        <v>4500000</v>
      </c>
      <c r="G103" s="30">
        <v>30</v>
      </c>
      <c r="H103" s="30">
        <f t="shared" si="29"/>
        <v>4500000</v>
      </c>
      <c r="I103" s="31"/>
      <c r="J103" s="31"/>
      <c r="K103" s="31"/>
      <c r="L103" s="31" t="s">
        <v>1</v>
      </c>
      <c r="M103" s="31"/>
      <c r="N103" s="31">
        <v>4500000</v>
      </c>
      <c r="O103" s="31">
        <f t="shared" si="39"/>
        <v>180000</v>
      </c>
      <c r="P103" s="31">
        <f>+F103*5%</f>
        <v>225000</v>
      </c>
      <c r="Q103" s="31"/>
      <c r="R103" s="31"/>
      <c r="S103" s="31"/>
      <c r="T103" s="31"/>
      <c r="U103" s="31"/>
      <c r="V103" s="31"/>
      <c r="W103" s="31">
        <f>SUM(O103:V103)</f>
        <v>405000</v>
      </c>
      <c r="X103" s="35">
        <f>+N103-W103</f>
        <v>4095000</v>
      </c>
    </row>
    <row r="104" spans="1:24" ht="24.95" customHeight="1" x14ac:dyDescent="0.25">
      <c r="A104" s="27"/>
      <c r="B104" s="25">
        <v>42</v>
      </c>
      <c r="C104" s="28" t="s">
        <v>135</v>
      </c>
      <c r="D104" s="28" t="s">
        <v>30</v>
      </c>
      <c r="E104" s="29" t="s">
        <v>31</v>
      </c>
      <c r="F104" s="31">
        <v>2000000</v>
      </c>
      <c r="G104" s="30">
        <v>30</v>
      </c>
      <c r="H104" s="30">
        <f t="shared" si="29"/>
        <v>2000000.0000000002</v>
      </c>
      <c r="I104" s="31"/>
      <c r="J104" s="31"/>
      <c r="K104" s="31"/>
      <c r="L104" s="31"/>
      <c r="M104" s="31"/>
      <c r="N104" s="31">
        <f>+H104+I104+K104+L104+M104+J104</f>
        <v>2000000.0000000002</v>
      </c>
      <c r="O104" s="31">
        <f t="shared" si="39"/>
        <v>80000</v>
      </c>
      <c r="P104" s="31">
        <f>+F104*4%</f>
        <v>80000</v>
      </c>
      <c r="Q104" s="31"/>
      <c r="R104" s="31"/>
      <c r="S104" s="34"/>
      <c r="T104" s="31"/>
      <c r="U104" s="31"/>
      <c r="V104" s="31"/>
      <c r="W104" s="31">
        <f t="shared" si="24"/>
        <v>160000</v>
      </c>
      <c r="X104" s="35">
        <f>+N104-W104</f>
        <v>1840000.0000000002</v>
      </c>
    </row>
    <row r="105" spans="1:24" ht="24.95" customHeight="1" x14ac:dyDescent="0.25">
      <c r="A105" s="27"/>
      <c r="B105" s="25">
        <v>43</v>
      </c>
      <c r="C105" s="28" t="s">
        <v>162</v>
      </c>
      <c r="D105" s="28" t="s">
        <v>30</v>
      </c>
      <c r="E105" s="29" t="s">
        <v>100</v>
      </c>
      <c r="F105" s="31">
        <v>781242</v>
      </c>
      <c r="G105" s="30">
        <v>13</v>
      </c>
      <c r="H105" s="30">
        <f t="shared" si="29"/>
        <v>338538.2</v>
      </c>
      <c r="I105" s="31">
        <v>117770</v>
      </c>
      <c r="J105" s="31"/>
      <c r="K105" s="31"/>
      <c r="L105" s="31"/>
      <c r="M105" s="31"/>
      <c r="N105" s="31">
        <f>+H105+I105+K105+L105+M105+J105</f>
        <v>456308.2</v>
      </c>
      <c r="O105" s="31"/>
      <c r="P105" s="31"/>
      <c r="Q105" s="31"/>
      <c r="R105" s="31"/>
      <c r="S105" s="34"/>
      <c r="T105" s="31"/>
      <c r="U105" s="31"/>
      <c r="V105" s="31"/>
      <c r="W105" s="31">
        <f t="shared" ref="W105" si="40">SUM(O105:V105)</f>
        <v>0</v>
      </c>
      <c r="X105" s="35">
        <f>+N105-W105</f>
        <v>456308.2</v>
      </c>
    </row>
    <row r="106" spans="1:24" ht="24.95" customHeight="1" x14ac:dyDescent="0.25">
      <c r="A106" s="27"/>
      <c r="B106" s="25">
        <v>44</v>
      </c>
      <c r="C106" s="36" t="s">
        <v>136</v>
      </c>
      <c r="D106" s="28" t="s">
        <v>30</v>
      </c>
      <c r="E106" s="29" t="s">
        <v>31</v>
      </c>
      <c r="F106" s="31">
        <v>1600000</v>
      </c>
      <c r="G106" s="30">
        <v>30</v>
      </c>
      <c r="H106" s="30">
        <f>+F106-M106</f>
        <v>1546667</v>
      </c>
      <c r="I106" s="31"/>
      <c r="J106" s="31"/>
      <c r="K106" s="31">
        <v>0</v>
      </c>
      <c r="L106" s="31"/>
      <c r="M106" s="31">
        <v>53333</v>
      </c>
      <c r="N106" s="31">
        <f t="shared" si="30"/>
        <v>1600000</v>
      </c>
      <c r="O106" s="31">
        <f t="shared" si="39"/>
        <v>64000</v>
      </c>
      <c r="P106" s="31">
        <f>+F106*0.04</f>
        <v>64000</v>
      </c>
      <c r="Q106" s="31"/>
      <c r="R106" s="31">
        <v>396000</v>
      </c>
      <c r="S106" s="31">
        <v>0</v>
      </c>
      <c r="T106" s="31"/>
      <c r="U106" s="31"/>
      <c r="V106" s="31"/>
      <c r="W106" s="31">
        <f t="shared" si="24"/>
        <v>524000</v>
      </c>
      <c r="X106" s="35">
        <f>N106-W106</f>
        <v>1076000</v>
      </c>
    </row>
    <row r="107" spans="1:24" ht="24.95" customHeight="1" x14ac:dyDescent="0.25">
      <c r="A107" s="27"/>
      <c r="B107" s="25">
        <v>45</v>
      </c>
      <c r="C107" s="36" t="s">
        <v>146</v>
      </c>
      <c r="D107" s="28" t="s">
        <v>30</v>
      </c>
      <c r="E107" s="29" t="s">
        <v>31</v>
      </c>
      <c r="F107" s="31">
        <v>1500000</v>
      </c>
      <c r="G107" s="30">
        <v>30</v>
      </c>
      <c r="H107" s="30">
        <f t="shared" si="29"/>
        <v>1500000</v>
      </c>
      <c r="I107" s="31">
        <v>88211</v>
      </c>
      <c r="J107" s="31"/>
      <c r="K107" s="31"/>
      <c r="L107" s="31"/>
      <c r="M107" s="31"/>
      <c r="N107" s="31">
        <f t="shared" si="30"/>
        <v>1588211</v>
      </c>
      <c r="O107" s="31">
        <f>+F107*4%</f>
        <v>60000</v>
      </c>
      <c r="P107" s="31">
        <f>+F107*0.04</f>
        <v>60000</v>
      </c>
      <c r="Q107" s="31"/>
      <c r="R107" s="31"/>
      <c r="S107" s="31">
        <v>0</v>
      </c>
      <c r="T107" s="31"/>
      <c r="U107" s="31">
        <v>0</v>
      </c>
      <c r="V107" s="31"/>
      <c r="W107" s="31">
        <f t="shared" si="24"/>
        <v>120000</v>
      </c>
      <c r="X107" s="35">
        <f>N107-W107</f>
        <v>1468211</v>
      </c>
    </row>
    <row r="108" spans="1:24" ht="24.95" customHeight="1" x14ac:dyDescent="0.25">
      <c r="A108" s="27"/>
      <c r="B108" s="25">
        <v>46</v>
      </c>
      <c r="C108" s="28" t="s">
        <v>137</v>
      </c>
      <c r="D108" s="28" t="s">
        <v>30</v>
      </c>
      <c r="E108" s="29" t="s">
        <v>31</v>
      </c>
      <c r="F108" s="31">
        <v>2300000</v>
      </c>
      <c r="G108" s="30">
        <v>30</v>
      </c>
      <c r="H108" s="30">
        <f t="shared" si="29"/>
        <v>2300000</v>
      </c>
      <c r="I108" s="31"/>
      <c r="J108" s="31"/>
      <c r="K108" s="31"/>
      <c r="L108" s="31"/>
      <c r="M108" s="31"/>
      <c r="N108" s="31">
        <f t="shared" si="30"/>
        <v>2300000</v>
      </c>
      <c r="O108" s="31">
        <f t="shared" si="39"/>
        <v>92000</v>
      </c>
      <c r="P108" s="31">
        <f>+F108*4%</f>
        <v>92000</v>
      </c>
      <c r="Q108" s="31"/>
      <c r="R108" s="31"/>
      <c r="S108" s="31">
        <v>0</v>
      </c>
      <c r="T108" s="31"/>
      <c r="U108" s="31"/>
      <c r="V108" s="31"/>
      <c r="W108" s="31">
        <f t="shared" si="24"/>
        <v>184000</v>
      </c>
      <c r="X108" s="35">
        <f t="shared" ref="X108:X112" si="41">+N108-W108</f>
        <v>2116000</v>
      </c>
    </row>
    <row r="109" spans="1:24" ht="24.95" customHeight="1" x14ac:dyDescent="0.25">
      <c r="A109" s="27"/>
      <c r="B109" s="25">
        <v>47</v>
      </c>
      <c r="C109" s="28" t="s">
        <v>138</v>
      </c>
      <c r="D109" s="28" t="s">
        <v>30</v>
      </c>
      <c r="E109" s="29" t="s">
        <v>31</v>
      </c>
      <c r="F109" s="31">
        <v>912000</v>
      </c>
      <c r="G109" s="30">
        <v>30</v>
      </c>
      <c r="H109" s="30">
        <f t="shared" si="29"/>
        <v>912000</v>
      </c>
      <c r="I109" s="31">
        <v>88211</v>
      </c>
      <c r="J109" s="31"/>
      <c r="K109" s="31">
        <v>0</v>
      </c>
      <c r="L109" s="31"/>
      <c r="M109" s="31"/>
      <c r="N109" s="31">
        <f t="shared" si="30"/>
        <v>1000211</v>
      </c>
      <c r="O109" s="31">
        <f>+F109*0.04</f>
        <v>36480</v>
      </c>
      <c r="P109" s="31">
        <f>+F109*0.04</f>
        <v>36480</v>
      </c>
      <c r="Q109" s="31"/>
      <c r="R109" s="31"/>
      <c r="S109" s="31"/>
      <c r="T109" s="31"/>
      <c r="U109" s="31"/>
      <c r="V109" s="31"/>
      <c r="W109" s="31">
        <f>SUM(O109:V109)</f>
        <v>72960</v>
      </c>
      <c r="X109" s="35">
        <f>+N109-W109</f>
        <v>927251</v>
      </c>
    </row>
    <row r="110" spans="1:24" ht="24.95" customHeight="1" x14ac:dyDescent="0.25">
      <c r="A110" s="27"/>
      <c r="B110" s="25">
        <v>48</v>
      </c>
      <c r="C110" s="28" t="s">
        <v>139</v>
      </c>
      <c r="D110" s="28" t="s">
        <v>30</v>
      </c>
      <c r="E110" s="29" t="s">
        <v>31</v>
      </c>
      <c r="F110" s="31">
        <v>2700000</v>
      </c>
      <c r="G110" s="30">
        <v>30</v>
      </c>
      <c r="H110" s="30">
        <f t="shared" si="29"/>
        <v>2700000</v>
      </c>
      <c r="I110" s="31"/>
      <c r="J110" s="31"/>
      <c r="K110" s="31"/>
      <c r="L110" s="31"/>
      <c r="M110" s="31"/>
      <c r="N110" s="31">
        <f t="shared" si="30"/>
        <v>2700000</v>
      </c>
      <c r="O110" s="31">
        <f>+F110*0.04</f>
        <v>108000</v>
      </c>
      <c r="P110" s="31">
        <f>+F110*0.04</f>
        <v>108000</v>
      </c>
      <c r="Q110" s="31"/>
      <c r="R110" s="31">
        <v>190000</v>
      </c>
      <c r="S110" s="31"/>
      <c r="T110" s="31"/>
      <c r="U110" s="31"/>
      <c r="V110" s="31"/>
      <c r="W110" s="31">
        <f t="shared" si="24"/>
        <v>406000</v>
      </c>
      <c r="X110" s="35">
        <f t="shared" si="41"/>
        <v>2294000</v>
      </c>
    </row>
    <row r="111" spans="1:24" s="19" customFormat="1" ht="24.95" customHeight="1" x14ac:dyDescent="0.25">
      <c r="A111" s="27"/>
      <c r="B111" s="14">
        <v>49</v>
      </c>
      <c r="C111" s="15" t="s">
        <v>140</v>
      </c>
      <c r="D111" s="15" t="s">
        <v>30</v>
      </c>
      <c r="E111" s="16" t="s">
        <v>31</v>
      </c>
      <c r="F111" s="6">
        <v>2000000</v>
      </c>
      <c r="G111" s="17">
        <v>30</v>
      </c>
      <c r="H111" s="17">
        <f t="shared" si="29"/>
        <v>2000000.0000000002</v>
      </c>
      <c r="I111" s="6"/>
      <c r="J111" s="6"/>
      <c r="K111" s="6"/>
      <c r="L111" s="6"/>
      <c r="M111" s="6"/>
      <c r="N111" s="6">
        <f t="shared" si="30"/>
        <v>2000000.0000000002</v>
      </c>
      <c r="O111" s="6">
        <f>+F111*4%</f>
        <v>80000</v>
      </c>
      <c r="P111" s="6">
        <f>+F111*4%</f>
        <v>80000</v>
      </c>
      <c r="Q111" s="6"/>
      <c r="R111" s="6"/>
      <c r="S111" s="6">
        <v>0</v>
      </c>
      <c r="T111" s="6"/>
      <c r="U111" s="6"/>
      <c r="V111" s="6"/>
      <c r="W111" s="6">
        <f t="shared" si="24"/>
        <v>160000</v>
      </c>
      <c r="X111" s="18">
        <f t="shared" si="41"/>
        <v>1840000.0000000002</v>
      </c>
    </row>
    <row r="112" spans="1:24" s="19" customFormat="1" ht="17.25" customHeight="1" x14ac:dyDescent="0.25">
      <c r="A112" s="27"/>
      <c r="B112" s="14">
        <v>50</v>
      </c>
      <c r="C112" s="15" t="s">
        <v>142</v>
      </c>
      <c r="D112" s="15" t="s">
        <v>30</v>
      </c>
      <c r="E112" s="16" t="s">
        <v>31</v>
      </c>
      <c r="F112" s="6">
        <v>1200000</v>
      </c>
      <c r="G112" s="17">
        <v>30</v>
      </c>
      <c r="H112" s="17">
        <f>+F112-K112</f>
        <v>1200000</v>
      </c>
      <c r="I112" s="6">
        <v>88211</v>
      </c>
      <c r="J112" s="6"/>
      <c r="K112" s="6"/>
      <c r="L112" s="6"/>
      <c r="M112" s="6"/>
      <c r="N112" s="6">
        <f t="shared" si="30"/>
        <v>1288211</v>
      </c>
      <c r="O112" s="6">
        <f>+F112*4%</f>
        <v>48000</v>
      </c>
      <c r="P112" s="6">
        <f>+F112*4%</f>
        <v>48000</v>
      </c>
      <c r="Q112" s="6"/>
      <c r="R112" s="6">
        <v>95000</v>
      </c>
      <c r="S112" s="6">
        <v>0</v>
      </c>
      <c r="T112" s="6"/>
      <c r="U112" s="6"/>
      <c r="V112" s="6"/>
      <c r="W112" s="6">
        <f t="shared" si="24"/>
        <v>191000</v>
      </c>
      <c r="X112" s="18">
        <f t="shared" si="41"/>
        <v>1097211</v>
      </c>
    </row>
    <row r="113" spans="2:24" x14ac:dyDescent="0.25">
      <c r="F113" s="43">
        <f>SUM(F4:F112)</f>
        <v>432010398</v>
      </c>
      <c r="H113" s="43">
        <f t="shared" ref="H113:X113" si="42">SUM(H4:H112)</f>
        <v>418080119.86666662</v>
      </c>
      <c r="I113" s="43">
        <f t="shared" si="42"/>
        <v>1566922</v>
      </c>
      <c r="J113" s="43">
        <f t="shared" si="42"/>
        <v>986486</v>
      </c>
      <c r="K113" s="43">
        <f t="shared" si="42"/>
        <v>168675</v>
      </c>
      <c r="L113" s="43">
        <f t="shared" si="42"/>
        <v>14943302</v>
      </c>
      <c r="M113" s="43">
        <f t="shared" si="42"/>
        <v>5427499</v>
      </c>
      <c r="N113" s="43">
        <f t="shared" si="42"/>
        <v>441173003.86666667</v>
      </c>
      <c r="O113" s="43">
        <f t="shared" si="42"/>
        <v>16874364.186666667</v>
      </c>
      <c r="P113" s="43">
        <f t="shared" si="42"/>
        <v>20476129.719999999</v>
      </c>
      <c r="Q113" s="43">
        <f t="shared" si="42"/>
        <v>226700</v>
      </c>
      <c r="R113" s="43">
        <f t="shared" si="42"/>
        <v>7665583</v>
      </c>
      <c r="S113" s="43">
        <f t="shared" si="42"/>
        <v>4437423</v>
      </c>
      <c r="T113" s="43">
        <f t="shared" si="42"/>
        <v>10015000</v>
      </c>
      <c r="U113" s="43">
        <f t="shared" si="42"/>
        <v>344614</v>
      </c>
      <c r="V113" s="43">
        <f t="shared" si="42"/>
        <v>13687427</v>
      </c>
      <c r="W113" s="43">
        <f t="shared" si="42"/>
        <v>73727240.906666651</v>
      </c>
      <c r="X113" s="43">
        <f t="shared" si="42"/>
        <v>367445762.95999992</v>
      </c>
    </row>
    <row r="114" spans="2:24" x14ac:dyDescent="0.25">
      <c r="X114" s="39"/>
    </row>
    <row r="115" spans="2:24" x14ac:dyDescent="0.25">
      <c r="X115" s="39"/>
    </row>
    <row r="116" spans="2:24" x14ac:dyDescent="0.25">
      <c r="E116" s="44"/>
    </row>
    <row r="117" spans="2:24" x14ac:dyDescent="0.25">
      <c r="E117" s="44"/>
    </row>
    <row r="118" spans="2:24" x14ac:dyDescent="0.25"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R118" s="45"/>
      <c r="S118" s="45"/>
      <c r="T118" s="45"/>
      <c r="U118" s="45"/>
      <c r="V118" s="45"/>
      <c r="W118" s="45"/>
      <c r="X118" s="45"/>
    </row>
    <row r="122" spans="2:24" x14ac:dyDescent="0.25">
      <c r="C122" s="46"/>
      <c r="D122" s="46"/>
      <c r="E122" s="46"/>
      <c r="F122" s="46"/>
      <c r="G122" s="46"/>
      <c r="H122" s="47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2:24" x14ac:dyDescent="0.25">
      <c r="B123" s="48"/>
      <c r="C123" s="49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0"/>
    </row>
    <row r="124" spans="2:24" x14ac:dyDescent="0.25">
      <c r="C124" s="52"/>
      <c r="H124" s="53"/>
      <c r="Q124" s="54"/>
      <c r="R124" s="54"/>
      <c r="S124" s="54"/>
      <c r="T124" s="54"/>
      <c r="U124" s="54"/>
    </row>
    <row r="125" spans="2:24" x14ac:dyDescent="0.25">
      <c r="C125" s="55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0"/>
    </row>
    <row r="126" spans="2:24" x14ac:dyDescent="0.25">
      <c r="B126" s="50"/>
      <c r="C126" s="55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0"/>
    </row>
    <row r="127" spans="2:24" x14ac:dyDescent="0.25">
      <c r="C127" s="55"/>
      <c r="D127" s="50"/>
      <c r="E127" s="50"/>
      <c r="X127" s="39"/>
    </row>
    <row r="128" spans="2:24" x14ac:dyDescent="0.25">
      <c r="C128" s="55"/>
      <c r="D128" s="50"/>
      <c r="E128" s="50"/>
      <c r="X128" s="39"/>
    </row>
    <row r="129" spans="3:24" x14ac:dyDescent="0.25">
      <c r="C129" s="55"/>
      <c r="D129" s="50"/>
      <c r="E129" s="50"/>
      <c r="X129" s="39"/>
    </row>
    <row r="130" spans="3:24" x14ac:dyDescent="0.25">
      <c r="C130" s="55"/>
      <c r="D130" s="50"/>
      <c r="E130" s="50"/>
      <c r="X130" s="39"/>
    </row>
    <row r="131" spans="3:24" x14ac:dyDescent="0.25">
      <c r="C131" s="55"/>
      <c r="D131" s="50"/>
      <c r="E131" s="50"/>
      <c r="X131" s="39"/>
    </row>
    <row r="132" spans="3:24" x14ac:dyDescent="0.25">
      <c r="C132" s="55"/>
      <c r="D132" s="50"/>
      <c r="E132" s="50"/>
      <c r="X132" s="39"/>
    </row>
    <row r="133" spans="3:24" x14ac:dyDescent="0.25">
      <c r="X133" s="39"/>
    </row>
    <row r="134" spans="3:24" x14ac:dyDescent="0.25">
      <c r="C134" s="55"/>
      <c r="X134" s="39"/>
    </row>
    <row r="135" spans="3:24" x14ac:dyDescent="0.25">
      <c r="C135" s="55"/>
      <c r="X135" s="39"/>
    </row>
    <row r="136" spans="3:24" x14ac:dyDescent="0.25">
      <c r="C136" s="55"/>
      <c r="X136" s="39"/>
    </row>
    <row r="137" spans="3:24" x14ac:dyDescent="0.25">
      <c r="C137" s="55"/>
      <c r="X137" s="39"/>
    </row>
    <row r="138" spans="3:24" x14ac:dyDescent="0.25">
      <c r="C138" s="55"/>
      <c r="N138" s="43">
        <f>737717*4</f>
        <v>2950868</v>
      </c>
      <c r="O138" s="43">
        <f>737717*2</f>
        <v>1475434</v>
      </c>
      <c r="X138" s="39"/>
    </row>
    <row r="139" spans="3:24" x14ac:dyDescent="0.25">
      <c r="C139" s="55"/>
      <c r="X139" s="39"/>
    </row>
    <row r="140" spans="3:24" x14ac:dyDescent="0.25">
      <c r="C140" s="55"/>
      <c r="X140" s="39"/>
    </row>
    <row r="141" spans="3:24" x14ac:dyDescent="0.25">
      <c r="C141" s="55"/>
      <c r="X141" s="39"/>
    </row>
    <row r="142" spans="3:24" x14ac:dyDescent="0.25">
      <c r="C142" s="55"/>
      <c r="X142" s="39"/>
    </row>
    <row r="143" spans="3:24" x14ac:dyDescent="0.25">
      <c r="C143" s="55"/>
      <c r="X143" s="39"/>
    </row>
    <row r="144" spans="3:24" x14ac:dyDescent="0.25">
      <c r="C144" s="55"/>
      <c r="X144" s="39"/>
    </row>
    <row r="146" spans="2:24" x14ac:dyDescent="0.25"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20"/>
    </row>
    <row r="147" spans="2:24" x14ac:dyDescent="0.25"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x14ac:dyDescent="0.25"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0"/>
    </row>
    <row r="149" spans="2:24" x14ac:dyDescent="0.25">
      <c r="C149" s="55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0"/>
    </row>
    <row r="150" spans="2:24" x14ac:dyDescent="0.25">
      <c r="B150" s="58"/>
      <c r="C150" s="55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0"/>
    </row>
    <row r="151" spans="2:24" x14ac:dyDescent="0.25">
      <c r="C151" s="55"/>
      <c r="D151" s="50"/>
      <c r="E151" s="50"/>
      <c r="X151" s="39"/>
    </row>
    <row r="152" spans="2:24" x14ac:dyDescent="0.25">
      <c r="C152" s="55"/>
      <c r="D152" s="50"/>
      <c r="E152" s="50"/>
      <c r="X152" s="39"/>
    </row>
    <row r="153" spans="2:24" x14ac:dyDescent="0.25">
      <c r="C153" s="55"/>
      <c r="D153" s="50"/>
      <c r="E153" s="50"/>
      <c r="X153" s="39"/>
    </row>
    <row r="154" spans="2:24" x14ac:dyDescent="0.25">
      <c r="X154" s="39"/>
    </row>
    <row r="155" spans="2:24" x14ac:dyDescent="0.25">
      <c r="C155" s="55"/>
      <c r="X155" s="39"/>
    </row>
    <row r="157" spans="2:24" x14ac:dyDescent="0.25">
      <c r="X157" s="39"/>
    </row>
    <row r="160" spans="2:24" x14ac:dyDescent="0.25">
      <c r="X160" s="59"/>
    </row>
    <row r="169" spans="3:23" x14ac:dyDescent="0.25">
      <c r="O169" s="43">
        <v>3003000</v>
      </c>
    </row>
    <row r="170" spans="3:23" x14ac:dyDescent="0.25">
      <c r="C170" s="55"/>
    </row>
    <row r="171" spans="3:23" x14ac:dyDescent="0.25">
      <c r="C171" s="55"/>
    </row>
    <row r="172" spans="3:23" x14ac:dyDescent="0.25">
      <c r="C172" s="55"/>
    </row>
    <row r="173" spans="3:23" x14ac:dyDescent="0.25">
      <c r="C173" s="55"/>
    </row>
    <row r="174" spans="3:23" x14ac:dyDescent="0.25">
      <c r="C174" s="42">
        <v>42614840</v>
      </c>
      <c r="W174" s="43">
        <v>412608</v>
      </c>
    </row>
    <row r="175" spans="3:23" x14ac:dyDescent="0.25">
      <c r="C175" s="42">
        <v>9675182</v>
      </c>
      <c r="W175" s="43">
        <v>1880000</v>
      </c>
    </row>
    <row r="176" spans="3:23" x14ac:dyDescent="0.25">
      <c r="C176" s="42">
        <v>17903600</v>
      </c>
    </row>
    <row r="177" spans="3:3" x14ac:dyDescent="0.25">
      <c r="C177" s="42">
        <f>SUM(C174:C176)</f>
        <v>70193622</v>
      </c>
    </row>
    <row r="178" spans="3:3" x14ac:dyDescent="0.25">
      <c r="C178" s="42">
        <v>400000</v>
      </c>
    </row>
    <row r="179" spans="3:3" x14ac:dyDescent="0.25">
      <c r="C179" s="42">
        <f>+C177+C178</f>
        <v>70593622</v>
      </c>
    </row>
    <row r="183" spans="3:3" x14ac:dyDescent="0.25">
      <c r="C183" s="42">
        <v>11000000</v>
      </c>
    </row>
    <row r="184" spans="3:3" x14ac:dyDescent="0.25">
      <c r="C184" s="42">
        <f>+C182+C183</f>
        <v>11000000</v>
      </c>
    </row>
    <row r="189" spans="3:3" x14ac:dyDescent="0.25">
      <c r="C189" s="42">
        <v>3185000</v>
      </c>
    </row>
    <row r="190" spans="3:3" x14ac:dyDescent="0.25">
      <c r="C190" s="42">
        <v>1080000</v>
      </c>
    </row>
    <row r="191" spans="3:3" x14ac:dyDescent="0.25">
      <c r="C191" s="42">
        <v>4850100</v>
      </c>
    </row>
    <row r="192" spans="3:3" x14ac:dyDescent="0.25">
      <c r="C192" s="42">
        <v>5027500</v>
      </c>
    </row>
    <row r="193" spans="3:3" x14ac:dyDescent="0.25">
      <c r="C193" s="42">
        <v>4566000</v>
      </c>
    </row>
    <row r="194" spans="3:3" x14ac:dyDescent="0.25">
      <c r="C194" s="42">
        <v>1050000</v>
      </c>
    </row>
    <row r="195" spans="3:3" x14ac:dyDescent="0.25">
      <c r="C195" s="42">
        <v>3877333</v>
      </c>
    </row>
    <row r="196" spans="3:3" x14ac:dyDescent="0.25">
      <c r="C196" s="42">
        <v>6732440</v>
      </c>
    </row>
    <row r="197" spans="3:3" x14ac:dyDescent="0.25">
      <c r="C197" s="42">
        <v>3460000</v>
      </c>
    </row>
    <row r="198" spans="3:3" x14ac:dyDescent="0.25">
      <c r="C198" s="42">
        <v>588800</v>
      </c>
    </row>
    <row r="199" spans="3:3" x14ac:dyDescent="0.25">
      <c r="C199" s="42">
        <v>1868000</v>
      </c>
    </row>
    <row r="200" spans="3:3" x14ac:dyDescent="0.25">
      <c r="C200" s="42">
        <v>10313000</v>
      </c>
    </row>
    <row r="201" spans="3:3" x14ac:dyDescent="0.25">
      <c r="C201" s="42">
        <v>3443800</v>
      </c>
    </row>
    <row r="202" spans="3:3" x14ac:dyDescent="0.25">
      <c r="C202" s="42">
        <v>8136400</v>
      </c>
    </row>
    <row r="203" spans="3:3" x14ac:dyDescent="0.25">
      <c r="C203" s="42">
        <v>9675183</v>
      </c>
    </row>
    <row r="204" spans="3:3" x14ac:dyDescent="0.25">
      <c r="C204" s="42">
        <f>SUM(C188:C203)</f>
        <v>67853556</v>
      </c>
    </row>
  </sheetData>
  <mergeCells count="7">
    <mergeCell ref="D147:X147"/>
    <mergeCell ref="C1:X1"/>
    <mergeCell ref="F2:N2"/>
    <mergeCell ref="O2:W2"/>
    <mergeCell ref="A4:A62"/>
    <mergeCell ref="A63:A112"/>
    <mergeCell ref="F146:T1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1B0E-4474-4801-AF9C-BC80CD5E0360}">
  <dimension ref="A1:Z207"/>
  <sheetViews>
    <sheetView workbookViewId="0">
      <selection activeCell="K13" sqref="K13"/>
    </sheetView>
  </sheetViews>
  <sheetFormatPr baseColWidth="10" defaultRowHeight="12" x14ac:dyDescent="0.25"/>
  <cols>
    <col min="1" max="1" width="6.7109375" style="60" customWidth="1"/>
    <col min="2" max="2" width="4.85546875" style="60" customWidth="1"/>
    <col min="3" max="3" width="32.28515625" style="13" customWidth="1"/>
    <col min="4" max="4" width="8.5703125" style="60" customWidth="1"/>
    <col min="5" max="5" width="15" style="69" customWidth="1"/>
    <col min="6" max="6" width="4.42578125" style="69" customWidth="1"/>
    <col min="7" max="7" width="15.5703125" style="69" customWidth="1"/>
    <col min="8" max="9" width="11.28515625" style="69" customWidth="1"/>
    <col min="10" max="10" width="9.5703125" style="69" customWidth="1"/>
    <col min="11" max="11" width="12.28515625" style="69" customWidth="1"/>
    <col min="12" max="12" width="12.5703125" style="69" customWidth="1"/>
    <col min="13" max="13" width="16" style="69" customWidth="1"/>
    <col min="14" max="15" width="12.28515625" style="69" customWidth="1"/>
    <col min="16" max="18" width="11.28515625" style="69" customWidth="1"/>
    <col min="19" max="19" width="12.28515625" style="69" customWidth="1"/>
    <col min="20" max="20" width="11.28515625" style="69" customWidth="1"/>
    <col min="21" max="21" width="15.7109375" style="69" customWidth="1"/>
    <col min="22" max="22" width="12.42578125" style="69" customWidth="1"/>
    <col min="23" max="23" width="18" style="60" bestFit="1" customWidth="1"/>
    <col min="24" max="24" width="11.85546875" style="60" bestFit="1" customWidth="1"/>
    <col min="25" max="243" width="11.42578125" style="60"/>
    <col min="244" max="244" width="10.5703125" style="60" customWidth="1"/>
    <col min="245" max="245" width="4.85546875" style="60" customWidth="1"/>
    <col min="246" max="246" width="32.42578125" style="60" customWidth="1"/>
    <col min="247" max="247" width="9.85546875" style="60" customWidth="1"/>
    <col min="248" max="248" width="10.140625" style="60" customWidth="1"/>
    <col min="249" max="249" width="12.28515625" style="60" customWidth="1"/>
    <col min="250" max="250" width="15.42578125" style="60" customWidth="1"/>
    <col min="251" max="251" width="11.85546875" style="60" customWidth="1"/>
    <col min="252" max="252" width="13.28515625" style="60" customWidth="1"/>
    <col min="253" max="253" width="15.28515625" style="60" customWidth="1"/>
    <col min="254" max="254" width="11.85546875" style="60" customWidth="1"/>
    <col min="255" max="255" width="6.140625" style="60" customWidth="1"/>
    <col min="256" max="256" width="11.85546875" style="60" customWidth="1"/>
    <col min="257" max="257" width="9.42578125" style="60" customWidth="1"/>
    <col min="258" max="258" width="14.7109375" style="60" customWidth="1"/>
    <col min="259" max="259" width="11.5703125" style="60" customWidth="1"/>
    <col min="260" max="260" width="0.42578125" style="60" customWidth="1"/>
    <col min="261" max="261" width="10.5703125" style="60" bestFit="1" customWidth="1"/>
    <col min="262" max="262" width="12.28515625" style="60" customWidth="1"/>
    <col min="263" max="263" width="12.5703125" style="60" customWidth="1"/>
    <col min="264" max="264" width="10.5703125" style="60" customWidth="1"/>
    <col min="265" max="265" width="10.140625" style="60" customWidth="1"/>
    <col min="266" max="266" width="8.42578125" style="60" customWidth="1"/>
    <col min="267" max="267" width="18.85546875" style="60" customWidth="1"/>
    <col min="268" max="268" width="10.28515625" style="60" customWidth="1"/>
    <col min="269" max="269" width="11.42578125" style="60"/>
    <col min="270" max="270" width="12.140625" style="60" customWidth="1"/>
    <col min="271" max="271" width="10.5703125" style="60" customWidth="1"/>
    <col min="272" max="272" width="12.42578125" style="60" customWidth="1"/>
    <col min="273" max="273" width="15.140625" style="60" customWidth="1"/>
    <col min="274" max="274" width="13.5703125" style="60" customWidth="1"/>
    <col min="275" max="275" width="13.140625" style="60" customWidth="1"/>
    <col min="276" max="276" width="15.7109375" style="60" customWidth="1"/>
    <col min="277" max="277" width="37.5703125" style="60" customWidth="1"/>
    <col min="278" max="499" width="11.42578125" style="60"/>
    <col min="500" max="500" width="10.5703125" style="60" customWidth="1"/>
    <col min="501" max="501" width="4.85546875" style="60" customWidth="1"/>
    <col min="502" max="502" width="32.42578125" style="60" customWidth="1"/>
    <col min="503" max="503" width="9.85546875" style="60" customWidth="1"/>
    <col min="504" max="504" width="10.140625" style="60" customWidth="1"/>
    <col min="505" max="505" width="12.28515625" style="60" customWidth="1"/>
    <col min="506" max="506" width="15.42578125" style="60" customWidth="1"/>
    <col min="507" max="507" width="11.85546875" style="60" customWidth="1"/>
    <col min="508" max="508" width="13.28515625" style="60" customWidth="1"/>
    <col min="509" max="509" width="15.28515625" style="60" customWidth="1"/>
    <col min="510" max="510" width="11.85546875" style="60" customWidth="1"/>
    <col min="511" max="511" width="6.140625" style="60" customWidth="1"/>
    <col min="512" max="512" width="11.85546875" style="60" customWidth="1"/>
    <col min="513" max="513" width="9.42578125" style="60" customWidth="1"/>
    <col min="514" max="514" width="14.7109375" style="60" customWidth="1"/>
    <col min="515" max="515" width="11.5703125" style="60" customWidth="1"/>
    <col min="516" max="516" width="0.42578125" style="60" customWidth="1"/>
    <col min="517" max="517" width="10.5703125" style="60" bestFit="1" customWidth="1"/>
    <col min="518" max="518" width="12.28515625" style="60" customWidth="1"/>
    <col min="519" max="519" width="12.5703125" style="60" customWidth="1"/>
    <col min="520" max="520" width="10.5703125" style="60" customWidth="1"/>
    <col min="521" max="521" width="10.140625" style="60" customWidth="1"/>
    <col min="522" max="522" width="8.42578125" style="60" customWidth="1"/>
    <col min="523" max="523" width="18.85546875" style="60" customWidth="1"/>
    <col min="524" max="524" width="10.28515625" style="60" customWidth="1"/>
    <col min="525" max="525" width="11.42578125" style="60"/>
    <col min="526" max="526" width="12.140625" style="60" customWidth="1"/>
    <col min="527" max="527" width="10.5703125" style="60" customWidth="1"/>
    <col min="528" max="528" width="12.42578125" style="60" customWidth="1"/>
    <col min="529" max="529" width="15.140625" style="60" customWidth="1"/>
    <col min="530" max="530" width="13.5703125" style="60" customWidth="1"/>
    <col min="531" max="531" width="13.140625" style="60" customWidth="1"/>
    <col min="532" max="532" width="15.7109375" style="60" customWidth="1"/>
    <col min="533" max="533" width="37.5703125" style="60" customWidth="1"/>
    <col min="534" max="755" width="11.42578125" style="60"/>
    <col min="756" max="756" width="10.5703125" style="60" customWidth="1"/>
    <col min="757" max="757" width="4.85546875" style="60" customWidth="1"/>
    <col min="758" max="758" width="32.42578125" style="60" customWidth="1"/>
    <col min="759" max="759" width="9.85546875" style="60" customWidth="1"/>
    <col min="760" max="760" width="10.140625" style="60" customWidth="1"/>
    <col min="761" max="761" width="12.28515625" style="60" customWidth="1"/>
    <col min="762" max="762" width="15.42578125" style="60" customWidth="1"/>
    <col min="763" max="763" width="11.85546875" style="60" customWidth="1"/>
    <col min="764" max="764" width="13.28515625" style="60" customWidth="1"/>
    <col min="765" max="765" width="15.28515625" style="60" customWidth="1"/>
    <col min="766" max="766" width="11.85546875" style="60" customWidth="1"/>
    <col min="767" max="767" width="6.140625" style="60" customWidth="1"/>
    <col min="768" max="768" width="11.85546875" style="60" customWidth="1"/>
    <col min="769" max="769" width="9.42578125" style="60" customWidth="1"/>
    <col min="770" max="770" width="14.7109375" style="60" customWidth="1"/>
    <col min="771" max="771" width="11.5703125" style="60" customWidth="1"/>
    <col min="772" max="772" width="0.42578125" style="60" customWidth="1"/>
    <col min="773" max="773" width="10.5703125" style="60" bestFit="1" customWidth="1"/>
    <col min="774" max="774" width="12.28515625" style="60" customWidth="1"/>
    <col min="775" max="775" width="12.5703125" style="60" customWidth="1"/>
    <col min="776" max="776" width="10.5703125" style="60" customWidth="1"/>
    <col min="777" max="777" width="10.140625" style="60" customWidth="1"/>
    <col min="778" max="778" width="8.42578125" style="60" customWidth="1"/>
    <col min="779" max="779" width="18.85546875" style="60" customWidth="1"/>
    <col min="780" max="780" width="10.28515625" style="60" customWidth="1"/>
    <col min="781" max="781" width="11.42578125" style="60"/>
    <col min="782" max="782" width="12.140625" style="60" customWidth="1"/>
    <col min="783" max="783" width="10.5703125" style="60" customWidth="1"/>
    <col min="784" max="784" width="12.42578125" style="60" customWidth="1"/>
    <col min="785" max="785" width="15.140625" style="60" customWidth="1"/>
    <col min="786" max="786" width="13.5703125" style="60" customWidth="1"/>
    <col min="787" max="787" width="13.140625" style="60" customWidth="1"/>
    <col min="788" max="788" width="15.7109375" style="60" customWidth="1"/>
    <col min="789" max="789" width="37.5703125" style="60" customWidth="1"/>
    <col min="790" max="1011" width="11.42578125" style="60"/>
    <col min="1012" max="1012" width="10.5703125" style="60" customWidth="1"/>
    <col min="1013" max="1013" width="4.85546875" style="60" customWidth="1"/>
    <col min="1014" max="1014" width="32.42578125" style="60" customWidth="1"/>
    <col min="1015" max="1015" width="9.85546875" style="60" customWidth="1"/>
    <col min="1016" max="1016" width="10.140625" style="60" customWidth="1"/>
    <col min="1017" max="1017" width="12.28515625" style="60" customWidth="1"/>
    <col min="1018" max="1018" width="15.42578125" style="60" customWidth="1"/>
    <col min="1019" max="1019" width="11.85546875" style="60" customWidth="1"/>
    <col min="1020" max="1020" width="13.28515625" style="60" customWidth="1"/>
    <col min="1021" max="1021" width="15.28515625" style="60" customWidth="1"/>
    <col min="1022" max="1022" width="11.85546875" style="60" customWidth="1"/>
    <col min="1023" max="1023" width="6.140625" style="60" customWidth="1"/>
    <col min="1024" max="1024" width="11.85546875" style="60" customWidth="1"/>
    <col min="1025" max="1025" width="9.42578125" style="60" customWidth="1"/>
    <col min="1026" max="1026" width="14.7109375" style="60" customWidth="1"/>
    <col min="1027" max="1027" width="11.5703125" style="60" customWidth="1"/>
    <col min="1028" max="1028" width="0.42578125" style="60" customWidth="1"/>
    <col min="1029" max="1029" width="10.5703125" style="60" bestFit="1" customWidth="1"/>
    <col min="1030" max="1030" width="12.28515625" style="60" customWidth="1"/>
    <col min="1031" max="1031" width="12.5703125" style="60" customWidth="1"/>
    <col min="1032" max="1032" width="10.5703125" style="60" customWidth="1"/>
    <col min="1033" max="1033" width="10.140625" style="60" customWidth="1"/>
    <col min="1034" max="1034" width="8.42578125" style="60" customWidth="1"/>
    <col min="1035" max="1035" width="18.85546875" style="60" customWidth="1"/>
    <col min="1036" max="1036" width="10.28515625" style="60" customWidth="1"/>
    <col min="1037" max="1037" width="11.42578125" style="60"/>
    <col min="1038" max="1038" width="12.140625" style="60" customWidth="1"/>
    <col min="1039" max="1039" width="10.5703125" style="60" customWidth="1"/>
    <col min="1040" max="1040" width="12.42578125" style="60" customWidth="1"/>
    <col min="1041" max="1041" width="15.140625" style="60" customWidth="1"/>
    <col min="1042" max="1042" width="13.5703125" style="60" customWidth="1"/>
    <col min="1043" max="1043" width="13.140625" style="60" customWidth="1"/>
    <col min="1044" max="1044" width="15.7109375" style="60" customWidth="1"/>
    <col min="1045" max="1045" width="37.5703125" style="60" customWidth="1"/>
    <col min="1046" max="1267" width="11.42578125" style="60"/>
    <col min="1268" max="1268" width="10.5703125" style="60" customWidth="1"/>
    <col min="1269" max="1269" width="4.85546875" style="60" customWidth="1"/>
    <col min="1270" max="1270" width="32.42578125" style="60" customWidth="1"/>
    <col min="1271" max="1271" width="9.85546875" style="60" customWidth="1"/>
    <col min="1272" max="1272" width="10.140625" style="60" customWidth="1"/>
    <col min="1273" max="1273" width="12.28515625" style="60" customWidth="1"/>
    <col min="1274" max="1274" width="15.42578125" style="60" customWidth="1"/>
    <col min="1275" max="1275" width="11.85546875" style="60" customWidth="1"/>
    <col min="1276" max="1276" width="13.28515625" style="60" customWidth="1"/>
    <col min="1277" max="1277" width="15.28515625" style="60" customWidth="1"/>
    <col min="1278" max="1278" width="11.85546875" style="60" customWidth="1"/>
    <col min="1279" max="1279" width="6.140625" style="60" customWidth="1"/>
    <col min="1280" max="1280" width="11.85546875" style="60" customWidth="1"/>
    <col min="1281" max="1281" width="9.42578125" style="60" customWidth="1"/>
    <col min="1282" max="1282" width="14.7109375" style="60" customWidth="1"/>
    <col min="1283" max="1283" width="11.5703125" style="60" customWidth="1"/>
    <col min="1284" max="1284" width="0.42578125" style="60" customWidth="1"/>
    <col min="1285" max="1285" width="10.5703125" style="60" bestFit="1" customWidth="1"/>
    <col min="1286" max="1286" width="12.28515625" style="60" customWidth="1"/>
    <col min="1287" max="1287" width="12.5703125" style="60" customWidth="1"/>
    <col min="1288" max="1288" width="10.5703125" style="60" customWidth="1"/>
    <col min="1289" max="1289" width="10.140625" style="60" customWidth="1"/>
    <col min="1290" max="1290" width="8.42578125" style="60" customWidth="1"/>
    <col min="1291" max="1291" width="18.85546875" style="60" customWidth="1"/>
    <col min="1292" max="1292" width="10.28515625" style="60" customWidth="1"/>
    <col min="1293" max="1293" width="11.42578125" style="60"/>
    <col min="1294" max="1294" width="12.140625" style="60" customWidth="1"/>
    <col min="1295" max="1295" width="10.5703125" style="60" customWidth="1"/>
    <col min="1296" max="1296" width="12.42578125" style="60" customWidth="1"/>
    <col min="1297" max="1297" width="15.140625" style="60" customWidth="1"/>
    <col min="1298" max="1298" width="13.5703125" style="60" customWidth="1"/>
    <col min="1299" max="1299" width="13.140625" style="60" customWidth="1"/>
    <col min="1300" max="1300" width="15.7109375" style="60" customWidth="1"/>
    <col min="1301" max="1301" width="37.5703125" style="60" customWidth="1"/>
    <col min="1302" max="1523" width="11.42578125" style="60"/>
    <col min="1524" max="1524" width="10.5703125" style="60" customWidth="1"/>
    <col min="1525" max="1525" width="4.85546875" style="60" customWidth="1"/>
    <col min="1526" max="1526" width="32.42578125" style="60" customWidth="1"/>
    <col min="1527" max="1527" width="9.85546875" style="60" customWidth="1"/>
    <col min="1528" max="1528" width="10.140625" style="60" customWidth="1"/>
    <col min="1529" max="1529" width="12.28515625" style="60" customWidth="1"/>
    <col min="1530" max="1530" width="15.42578125" style="60" customWidth="1"/>
    <col min="1531" max="1531" width="11.85546875" style="60" customWidth="1"/>
    <col min="1532" max="1532" width="13.28515625" style="60" customWidth="1"/>
    <col min="1533" max="1533" width="15.28515625" style="60" customWidth="1"/>
    <col min="1534" max="1534" width="11.85546875" style="60" customWidth="1"/>
    <col min="1535" max="1535" width="6.140625" style="60" customWidth="1"/>
    <col min="1536" max="1536" width="11.85546875" style="60" customWidth="1"/>
    <col min="1537" max="1537" width="9.42578125" style="60" customWidth="1"/>
    <col min="1538" max="1538" width="14.7109375" style="60" customWidth="1"/>
    <col min="1539" max="1539" width="11.5703125" style="60" customWidth="1"/>
    <col min="1540" max="1540" width="0.42578125" style="60" customWidth="1"/>
    <col min="1541" max="1541" width="10.5703125" style="60" bestFit="1" customWidth="1"/>
    <col min="1542" max="1542" width="12.28515625" style="60" customWidth="1"/>
    <col min="1543" max="1543" width="12.5703125" style="60" customWidth="1"/>
    <col min="1544" max="1544" width="10.5703125" style="60" customWidth="1"/>
    <col min="1545" max="1545" width="10.140625" style="60" customWidth="1"/>
    <col min="1546" max="1546" width="8.42578125" style="60" customWidth="1"/>
    <col min="1547" max="1547" width="18.85546875" style="60" customWidth="1"/>
    <col min="1548" max="1548" width="10.28515625" style="60" customWidth="1"/>
    <col min="1549" max="1549" width="11.42578125" style="60"/>
    <col min="1550" max="1550" width="12.140625" style="60" customWidth="1"/>
    <col min="1551" max="1551" width="10.5703125" style="60" customWidth="1"/>
    <col min="1552" max="1552" width="12.42578125" style="60" customWidth="1"/>
    <col min="1553" max="1553" width="15.140625" style="60" customWidth="1"/>
    <col min="1554" max="1554" width="13.5703125" style="60" customWidth="1"/>
    <col min="1555" max="1555" width="13.140625" style="60" customWidth="1"/>
    <col min="1556" max="1556" width="15.7109375" style="60" customWidth="1"/>
    <col min="1557" max="1557" width="37.5703125" style="60" customWidth="1"/>
    <col min="1558" max="1779" width="11.42578125" style="60"/>
    <col min="1780" max="1780" width="10.5703125" style="60" customWidth="1"/>
    <col min="1781" max="1781" width="4.85546875" style="60" customWidth="1"/>
    <col min="1782" max="1782" width="32.42578125" style="60" customWidth="1"/>
    <col min="1783" max="1783" width="9.85546875" style="60" customWidth="1"/>
    <col min="1784" max="1784" width="10.140625" style="60" customWidth="1"/>
    <col min="1785" max="1785" width="12.28515625" style="60" customWidth="1"/>
    <col min="1786" max="1786" width="15.42578125" style="60" customWidth="1"/>
    <col min="1787" max="1787" width="11.85546875" style="60" customWidth="1"/>
    <col min="1788" max="1788" width="13.28515625" style="60" customWidth="1"/>
    <col min="1789" max="1789" width="15.28515625" style="60" customWidth="1"/>
    <col min="1790" max="1790" width="11.85546875" style="60" customWidth="1"/>
    <col min="1791" max="1791" width="6.140625" style="60" customWidth="1"/>
    <col min="1792" max="1792" width="11.85546875" style="60" customWidth="1"/>
    <col min="1793" max="1793" width="9.42578125" style="60" customWidth="1"/>
    <col min="1794" max="1794" width="14.7109375" style="60" customWidth="1"/>
    <col min="1795" max="1795" width="11.5703125" style="60" customWidth="1"/>
    <col min="1796" max="1796" width="0.42578125" style="60" customWidth="1"/>
    <col min="1797" max="1797" width="10.5703125" style="60" bestFit="1" customWidth="1"/>
    <col min="1798" max="1798" width="12.28515625" style="60" customWidth="1"/>
    <col min="1799" max="1799" width="12.5703125" style="60" customWidth="1"/>
    <col min="1800" max="1800" width="10.5703125" style="60" customWidth="1"/>
    <col min="1801" max="1801" width="10.140625" style="60" customWidth="1"/>
    <col min="1802" max="1802" width="8.42578125" style="60" customWidth="1"/>
    <col min="1803" max="1803" width="18.85546875" style="60" customWidth="1"/>
    <col min="1804" max="1804" width="10.28515625" style="60" customWidth="1"/>
    <col min="1805" max="1805" width="11.42578125" style="60"/>
    <col min="1806" max="1806" width="12.140625" style="60" customWidth="1"/>
    <col min="1807" max="1807" width="10.5703125" style="60" customWidth="1"/>
    <col min="1808" max="1808" width="12.42578125" style="60" customWidth="1"/>
    <col min="1809" max="1809" width="15.140625" style="60" customWidth="1"/>
    <col min="1810" max="1810" width="13.5703125" style="60" customWidth="1"/>
    <col min="1811" max="1811" width="13.140625" style="60" customWidth="1"/>
    <col min="1812" max="1812" width="15.7109375" style="60" customWidth="1"/>
    <col min="1813" max="1813" width="37.5703125" style="60" customWidth="1"/>
    <col min="1814" max="2035" width="11.42578125" style="60"/>
    <col min="2036" max="2036" width="10.5703125" style="60" customWidth="1"/>
    <col min="2037" max="2037" width="4.85546875" style="60" customWidth="1"/>
    <col min="2038" max="2038" width="32.42578125" style="60" customWidth="1"/>
    <col min="2039" max="2039" width="9.85546875" style="60" customWidth="1"/>
    <col min="2040" max="2040" width="10.140625" style="60" customWidth="1"/>
    <col min="2041" max="2041" width="12.28515625" style="60" customWidth="1"/>
    <col min="2042" max="2042" width="15.42578125" style="60" customWidth="1"/>
    <col min="2043" max="2043" width="11.85546875" style="60" customWidth="1"/>
    <col min="2044" max="2044" width="13.28515625" style="60" customWidth="1"/>
    <col min="2045" max="2045" width="15.28515625" style="60" customWidth="1"/>
    <col min="2046" max="2046" width="11.85546875" style="60" customWidth="1"/>
    <col min="2047" max="2047" width="6.140625" style="60" customWidth="1"/>
    <col min="2048" max="2048" width="11.85546875" style="60" customWidth="1"/>
    <col min="2049" max="2049" width="9.42578125" style="60" customWidth="1"/>
    <col min="2050" max="2050" width="14.7109375" style="60" customWidth="1"/>
    <col min="2051" max="2051" width="11.5703125" style="60" customWidth="1"/>
    <col min="2052" max="2052" width="0.42578125" style="60" customWidth="1"/>
    <col min="2053" max="2053" width="10.5703125" style="60" bestFit="1" customWidth="1"/>
    <col min="2054" max="2054" width="12.28515625" style="60" customWidth="1"/>
    <col min="2055" max="2055" width="12.5703125" style="60" customWidth="1"/>
    <col min="2056" max="2056" width="10.5703125" style="60" customWidth="1"/>
    <col min="2057" max="2057" width="10.140625" style="60" customWidth="1"/>
    <col min="2058" max="2058" width="8.42578125" style="60" customWidth="1"/>
    <col min="2059" max="2059" width="18.85546875" style="60" customWidth="1"/>
    <col min="2060" max="2060" width="10.28515625" style="60" customWidth="1"/>
    <col min="2061" max="2061" width="11.42578125" style="60"/>
    <col min="2062" max="2062" width="12.140625" style="60" customWidth="1"/>
    <col min="2063" max="2063" width="10.5703125" style="60" customWidth="1"/>
    <col min="2064" max="2064" width="12.42578125" style="60" customWidth="1"/>
    <col min="2065" max="2065" width="15.140625" style="60" customWidth="1"/>
    <col min="2066" max="2066" width="13.5703125" style="60" customWidth="1"/>
    <col min="2067" max="2067" width="13.140625" style="60" customWidth="1"/>
    <col min="2068" max="2068" width="15.7109375" style="60" customWidth="1"/>
    <col min="2069" max="2069" width="37.5703125" style="60" customWidth="1"/>
    <col min="2070" max="2291" width="11.42578125" style="60"/>
    <col min="2292" max="2292" width="10.5703125" style="60" customWidth="1"/>
    <col min="2293" max="2293" width="4.85546875" style="60" customWidth="1"/>
    <col min="2294" max="2294" width="32.42578125" style="60" customWidth="1"/>
    <col min="2295" max="2295" width="9.85546875" style="60" customWidth="1"/>
    <col min="2296" max="2296" width="10.140625" style="60" customWidth="1"/>
    <col min="2297" max="2297" width="12.28515625" style="60" customWidth="1"/>
    <col min="2298" max="2298" width="15.42578125" style="60" customWidth="1"/>
    <col min="2299" max="2299" width="11.85546875" style="60" customWidth="1"/>
    <col min="2300" max="2300" width="13.28515625" style="60" customWidth="1"/>
    <col min="2301" max="2301" width="15.28515625" style="60" customWidth="1"/>
    <col min="2302" max="2302" width="11.85546875" style="60" customWidth="1"/>
    <col min="2303" max="2303" width="6.140625" style="60" customWidth="1"/>
    <col min="2304" max="2304" width="11.85546875" style="60" customWidth="1"/>
    <col min="2305" max="2305" width="9.42578125" style="60" customWidth="1"/>
    <col min="2306" max="2306" width="14.7109375" style="60" customWidth="1"/>
    <col min="2307" max="2307" width="11.5703125" style="60" customWidth="1"/>
    <col min="2308" max="2308" width="0.42578125" style="60" customWidth="1"/>
    <col min="2309" max="2309" width="10.5703125" style="60" bestFit="1" customWidth="1"/>
    <col min="2310" max="2310" width="12.28515625" style="60" customWidth="1"/>
    <col min="2311" max="2311" width="12.5703125" style="60" customWidth="1"/>
    <col min="2312" max="2312" width="10.5703125" style="60" customWidth="1"/>
    <col min="2313" max="2313" width="10.140625" style="60" customWidth="1"/>
    <col min="2314" max="2314" width="8.42578125" style="60" customWidth="1"/>
    <col min="2315" max="2315" width="18.85546875" style="60" customWidth="1"/>
    <col min="2316" max="2316" width="10.28515625" style="60" customWidth="1"/>
    <col min="2317" max="2317" width="11.42578125" style="60"/>
    <col min="2318" max="2318" width="12.140625" style="60" customWidth="1"/>
    <col min="2319" max="2319" width="10.5703125" style="60" customWidth="1"/>
    <col min="2320" max="2320" width="12.42578125" style="60" customWidth="1"/>
    <col min="2321" max="2321" width="15.140625" style="60" customWidth="1"/>
    <col min="2322" max="2322" width="13.5703125" style="60" customWidth="1"/>
    <col min="2323" max="2323" width="13.140625" style="60" customWidth="1"/>
    <col min="2324" max="2324" width="15.7109375" style="60" customWidth="1"/>
    <col min="2325" max="2325" width="37.5703125" style="60" customWidth="1"/>
    <col min="2326" max="2547" width="11.42578125" style="60"/>
    <col min="2548" max="2548" width="10.5703125" style="60" customWidth="1"/>
    <col min="2549" max="2549" width="4.85546875" style="60" customWidth="1"/>
    <col min="2550" max="2550" width="32.42578125" style="60" customWidth="1"/>
    <col min="2551" max="2551" width="9.85546875" style="60" customWidth="1"/>
    <col min="2552" max="2552" width="10.140625" style="60" customWidth="1"/>
    <col min="2553" max="2553" width="12.28515625" style="60" customWidth="1"/>
    <col min="2554" max="2554" width="15.42578125" style="60" customWidth="1"/>
    <col min="2555" max="2555" width="11.85546875" style="60" customWidth="1"/>
    <col min="2556" max="2556" width="13.28515625" style="60" customWidth="1"/>
    <col min="2557" max="2557" width="15.28515625" style="60" customWidth="1"/>
    <col min="2558" max="2558" width="11.85546875" style="60" customWidth="1"/>
    <col min="2559" max="2559" width="6.140625" style="60" customWidth="1"/>
    <col min="2560" max="2560" width="11.85546875" style="60" customWidth="1"/>
    <col min="2561" max="2561" width="9.42578125" style="60" customWidth="1"/>
    <col min="2562" max="2562" width="14.7109375" style="60" customWidth="1"/>
    <col min="2563" max="2563" width="11.5703125" style="60" customWidth="1"/>
    <col min="2564" max="2564" width="0.42578125" style="60" customWidth="1"/>
    <col min="2565" max="2565" width="10.5703125" style="60" bestFit="1" customWidth="1"/>
    <col min="2566" max="2566" width="12.28515625" style="60" customWidth="1"/>
    <col min="2567" max="2567" width="12.5703125" style="60" customWidth="1"/>
    <col min="2568" max="2568" width="10.5703125" style="60" customWidth="1"/>
    <col min="2569" max="2569" width="10.140625" style="60" customWidth="1"/>
    <col min="2570" max="2570" width="8.42578125" style="60" customWidth="1"/>
    <col min="2571" max="2571" width="18.85546875" style="60" customWidth="1"/>
    <col min="2572" max="2572" width="10.28515625" style="60" customWidth="1"/>
    <col min="2573" max="2573" width="11.42578125" style="60"/>
    <col min="2574" max="2574" width="12.140625" style="60" customWidth="1"/>
    <col min="2575" max="2575" width="10.5703125" style="60" customWidth="1"/>
    <col min="2576" max="2576" width="12.42578125" style="60" customWidth="1"/>
    <col min="2577" max="2577" width="15.140625" style="60" customWidth="1"/>
    <col min="2578" max="2578" width="13.5703125" style="60" customWidth="1"/>
    <col min="2579" max="2579" width="13.140625" style="60" customWidth="1"/>
    <col min="2580" max="2580" width="15.7109375" style="60" customWidth="1"/>
    <col min="2581" max="2581" width="37.5703125" style="60" customWidth="1"/>
    <col min="2582" max="2803" width="11.42578125" style="60"/>
    <col min="2804" max="2804" width="10.5703125" style="60" customWidth="1"/>
    <col min="2805" max="2805" width="4.85546875" style="60" customWidth="1"/>
    <col min="2806" max="2806" width="32.42578125" style="60" customWidth="1"/>
    <col min="2807" max="2807" width="9.85546875" style="60" customWidth="1"/>
    <col min="2808" max="2808" width="10.140625" style="60" customWidth="1"/>
    <col min="2809" max="2809" width="12.28515625" style="60" customWidth="1"/>
    <col min="2810" max="2810" width="15.42578125" style="60" customWidth="1"/>
    <col min="2811" max="2811" width="11.85546875" style="60" customWidth="1"/>
    <col min="2812" max="2812" width="13.28515625" style="60" customWidth="1"/>
    <col min="2813" max="2813" width="15.28515625" style="60" customWidth="1"/>
    <col min="2814" max="2814" width="11.85546875" style="60" customWidth="1"/>
    <col min="2815" max="2815" width="6.140625" style="60" customWidth="1"/>
    <col min="2816" max="2816" width="11.85546875" style="60" customWidth="1"/>
    <col min="2817" max="2817" width="9.42578125" style="60" customWidth="1"/>
    <col min="2818" max="2818" width="14.7109375" style="60" customWidth="1"/>
    <col min="2819" max="2819" width="11.5703125" style="60" customWidth="1"/>
    <col min="2820" max="2820" width="0.42578125" style="60" customWidth="1"/>
    <col min="2821" max="2821" width="10.5703125" style="60" bestFit="1" customWidth="1"/>
    <col min="2822" max="2822" width="12.28515625" style="60" customWidth="1"/>
    <col min="2823" max="2823" width="12.5703125" style="60" customWidth="1"/>
    <col min="2824" max="2824" width="10.5703125" style="60" customWidth="1"/>
    <col min="2825" max="2825" width="10.140625" style="60" customWidth="1"/>
    <col min="2826" max="2826" width="8.42578125" style="60" customWidth="1"/>
    <col min="2827" max="2827" width="18.85546875" style="60" customWidth="1"/>
    <col min="2828" max="2828" width="10.28515625" style="60" customWidth="1"/>
    <col min="2829" max="2829" width="11.42578125" style="60"/>
    <col min="2830" max="2830" width="12.140625" style="60" customWidth="1"/>
    <col min="2831" max="2831" width="10.5703125" style="60" customWidth="1"/>
    <col min="2832" max="2832" width="12.42578125" style="60" customWidth="1"/>
    <col min="2833" max="2833" width="15.140625" style="60" customWidth="1"/>
    <col min="2834" max="2834" width="13.5703125" style="60" customWidth="1"/>
    <col min="2835" max="2835" width="13.140625" style="60" customWidth="1"/>
    <col min="2836" max="2836" width="15.7109375" style="60" customWidth="1"/>
    <col min="2837" max="2837" width="37.5703125" style="60" customWidth="1"/>
    <col min="2838" max="3059" width="11.42578125" style="60"/>
    <col min="3060" max="3060" width="10.5703125" style="60" customWidth="1"/>
    <col min="3061" max="3061" width="4.85546875" style="60" customWidth="1"/>
    <col min="3062" max="3062" width="32.42578125" style="60" customWidth="1"/>
    <col min="3063" max="3063" width="9.85546875" style="60" customWidth="1"/>
    <col min="3064" max="3064" width="10.140625" style="60" customWidth="1"/>
    <col min="3065" max="3065" width="12.28515625" style="60" customWidth="1"/>
    <col min="3066" max="3066" width="15.42578125" style="60" customWidth="1"/>
    <col min="3067" max="3067" width="11.85546875" style="60" customWidth="1"/>
    <col min="3068" max="3068" width="13.28515625" style="60" customWidth="1"/>
    <col min="3069" max="3069" width="15.28515625" style="60" customWidth="1"/>
    <col min="3070" max="3070" width="11.85546875" style="60" customWidth="1"/>
    <col min="3071" max="3071" width="6.140625" style="60" customWidth="1"/>
    <col min="3072" max="3072" width="11.85546875" style="60" customWidth="1"/>
    <col min="3073" max="3073" width="9.42578125" style="60" customWidth="1"/>
    <col min="3074" max="3074" width="14.7109375" style="60" customWidth="1"/>
    <col min="3075" max="3075" width="11.5703125" style="60" customWidth="1"/>
    <col min="3076" max="3076" width="0.42578125" style="60" customWidth="1"/>
    <col min="3077" max="3077" width="10.5703125" style="60" bestFit="1" customWidth="1"/>
    <col min="3078" max="3078" width="12.28515625" style="60" customWidth="1"/>
    <col min="3079" max="3079" width="12.5703125" style="60" customWidth="1"/>
    <col min="3080" max="3080" width="10.5703125" style="60" customWidth="1"/>
    <col min="3081" max="3081" width="10.140625" style="60" customWidth="1"/>
    <col min="3082" max="3082" width="8.42578125" style="60" customWidth="1"/>
    <col min="3083" max="3083" width="18.85546875" style="60" customWidth="1"/>
    <col min="3084" max="3084" width="10.28515625" style="60" customWidth="1"/>
    <col min="3085" max="3085" width="11.42578125" style="60"/>
    <col min="3086" max="3086" width="12.140625" style="60" customWidth="1"/>
    <col min="3087" max="3087" width="10.5703125" style="60" customWidth="1"/>
    <col min="3088" max="3088" width="12.42578125" style="60" customWidth="1"/>
    <col min="3089" max="3089" width="15.140625" style="60" customWidth="1"/>
    <col min="3090" max="3090" width="13.5703125" style="60" customWidth="1"/>
    <col min="3091" max="3091" width="13.140625" style="60" customWidth="1"/>
    <col min="3092" max="3092" width="15.7109375" style="60" customWidth="1"/>
    <col min="3093" max="3093" width="37.5703125" style="60" customWidth="1"/>
    <col min="3094" max="3315" width="11.42578125" style="60"/>
    <col min="3316" max="3316" width="10.5703125" style="60" customWidth="1"/>
    <col min="3317" max="3317" width="4.85546875" style="60" customWidth="1"/>
    <col min="3318" max="3318" width="32.42578125" style="60" customWidth="1"/>
    <col min="3319" max="3319" width="9.85546875" style="60" customWidth="1"/>
    <col min="3320" max="3320" width="10.140625" style="60" customWidth="1"/>
    <col min="3321" max="3321" width="12.28515625" style="60" customWidth="1"/>
    <col min="3322" max="3322" width="15.42578125" style="60" customWidth="1"/>
    <col min="3323" max="3323" width="11.85546875" style="60" customWidth="1"/>
    <col min="3324" max="3324" width="13.28515625" style="60" customWidth="1"/>
    <col min="3325" max="3325" width="15.28515625" style="60" customWidth="1"/>
    <col min="3326" max="3326" width="11.85546875" style="60" customWidth="1"/>
    <col min="3327" max="3327" width="6.140625" style="60" customWidth="1"/>
    <col min="3328" max="3328" width="11.85546875" style="60" customWidth="1"/>
    <col min="3329" max="3329" width="9.42578125" style="60" customWidth="1"/>
    <col min="3330" max="3330" width="14.7109375" style="60" customWidth="1"/>
    <col min="3331" max="3331" width="11.5703125" style="60" customWidth="1"/>
    <col min="3332" max="3332" width="0.42578125" style="60" customWidth="1"/>
    <col min="3333" max="3333" width="10.5703125" style="60" bestFit="1" customWidth="1"/>
    <col min="3334" max="3334" width="12.28515625" style="60" customWidth="1"/>
    <col min="3335" max="3335" width="12.5703125" style="60" customWidth="1"/>
    <col min="3336" max="3336" width="10.5703125" style="60" customWidth="1"/>
    <col min="3337" max="3337" width="10.140625" style="60" customWidth="1"/>
    <col min="3338" max="3338" width="8.42578125" style="60" customWidth="1"/>
    <col min="3339" max="3339" width="18.85546875" style="60" customWidth="1"/>
    <col min="3340" max="3340" width="10.28515625" style="60" customWidth="1"/>
    <col min="3341" max="3341" width="11.42578125" style="60"/>
    <col min="3342" max="3342" width="12.140625" style="60" customWidth="1"/>
    <col min="3343" max="3343" width="10.5703125" style="60" customWidth="1"/>
    <col min="3344" max="3344" width="12.42578125" style="60" customWidth="1"/>
    <col min="3345" max="3345" width="15.140625" style="60" customWidth="1"/>
    <col min="3346" max="3346" width="13.5703125" style="60" customWidth="1"/>
    <col min="3347" max="3347" width="13.140625" style="60" customWidth="1"/>
    <col min="3348" max="3348" width="15.7109375" style="60" customWidth="1"/>
    <col min="3349" max="3349" width="37.5703125" style="60" customWidth="1"/>
    <col min="3350" max="3571" width="11.42578125" style="60"/>
    <col min="3572" max="3572" width="10.5703125" style="60" customWidth="1"/>
    <col min="3573" max="3573" width="4.85546875" style="60" customWidth="1"/>
    <col min="3574" max="3574" width="32.42578125" style="60" customWidth="1"/>
    <col min="3575" max="3575" width="9.85546875" style="60" customWidth="1"/>
    <col min="3576" max="3576" width="10.140625" style="60" customWidth="1"/>
    <col min="3577" max="3577" width="12.28515625" style="60" customWidth="1"/>
    <col min="3578" max="3578" width="15.42578125" style="60" customWidth="1"/>
    <col min="3579" max="3579" width="11.85546875" style="60" customWidth="1"/>
    <col min="3580" max="3580" width="13.28515625" style="60" customWidth="1"/>
    <col min="3581" max="3581" width="15.28515625" style="60" customWidth="1"/>
    <col min="3582" max="3582" width="11.85546875" style="60" customWidth="1"/>
    <col min="3583" max="3583" width="6.140625" style="60" customWidth="1"/>
    <col min="3584" max="3584" width="11.85546875" style="60" customWidth="1"/>
    <col min="3585" max="3585" width="9.42578125" style="60" customWidth="1"/>
    <col min="3586" max="3586" width="14.7109375" style="60" customWidth="1"/>
    <col min="3587" max="3587" width="11.5703125" style="60" customWidth="1"/>
    <col min="3588" max="3588" width="0.42578125" style="60" customWidth="1"/>
    <col min="3589" max="3589" width="10.5703125" style="60" bestFit="1" customWidth="1"/>
    <col min="3590" max="3590" width="12.28515625" style="60" customWidth="1"/>
    <col min="3591" max="3591" width="12.5703125" style="60" customWidth="1"/>
    <col min="3592" max="3592" width="10.5703125" style="60" customWidth="1"/>
    <col min="3593" max="3593" width="10.140625" style="60" customWidth="1"/>
    <col min="3594" max="3594" width="8.42578125" style="60" customWidth="1"/>
    <col min="3595" max="3595" width="18.85546875" style="60" customWidth="1"/>
    <col min="3596" max="3596" width="10.28515625" style="60" customWidth="1"/>
    <col min="3597" max="3597" width="11.42578125" style="60"/>
    <col min="3598" max="3598" width="12.140625" style="60" customWidth="1"/>
    <col min="3599" max="3599" width="10.5703125" style="60" customWidth="1"/>
    <col min="3600" max="3600" width="12.42578125" style="60" customWidth="1"/>
    <col min="3601" max="3601" width="15.140625" style="60" customWidth="1"/>
    <col min="3602" max="3602" width="13.5703125" style="60" customWidth="1"/>
    <col min="3603" max="3603" width="13.140625" style="60" customWidth="1"/>
    <col min="3604" max="3604" width="15.7109375" style="60" customWidth="1"/>
    <col min="3605" max="3605" width="37.5703125" style="60" customWidth="1"/>
    <col min="3606" max="3827" width="11.42578125" style="60"/>
    <col min="3828" max="3828" width="10.5703125" style="60" customWidth="1"/>
    <col min="3829" max="3829" width="4.85546875" style="60" customWidth="1"/>
    <col min="3830" max="3830" width="32.42578125" style="60" customWidth="1"/>
    <col min="3831" max="3831" width="9.85546875" style="60" customWidth="1"/>
    <col min="3832" max="3832" width="10.140625" style="60" customWidth="1"/>
    <col min="3833" max="3833" width="12.28515625" style="60" customWidth="1"/>
    <col min="3834" max="3834" width="15.42578125" style="60" customWidth="1"/>
    <col min="3835" max="3835" width="11.85546875" style="60" customWidth="1"/>
    <col min="3836" max="3836" width="13.28515625" style="60" customWidth="1"/>
    <col min="3837" max="3837" width="15.28515625" style="60" customWidth="1"/>
    <col min="3838" max="3838" width="11.85546875" style="60" customWidth="1"/>
    <col min="3839" max="3839" width="6.140625" style="60" customWidth="1"/>
    <col min="3840" max="3840" width="11.85546875" style="60" customWidth="1"/>
    <col min="3841" max="3841" width="9.42578125" style="60" customWidth="1"/>
    <col min="3842" max="3842" width="14.7109375" style="60" customWidth="1"/>
    <col min="3843" max="3843" width="11.5703125" style="60" customWidth="1"/>
    <col min="3844" max="3844" width="0.42578125" style="60" customWidth="1"/>
    <col min="3845" max="3845" width="10.5703125" style="60" bestFit="1" customWidth="1"/>
    <col min="3846" max="3846" width="12.28515625" style="60" customWidth="1"/>
    <col min="3847" max="3847" width="12.5703125" style="60" customWidth="1"/>
    <col min="3848" max="3848" width="10.5703125" style="60" customWidth="1"/>
    <col min="3849" max="3849" width="10.140625" style="60" customWidth="1"/>
    <col min="3850" max="3850" width="8.42578125" style="60" customWidth="1"/>
    <col min="3851" max="3851" width="18.85546875" style="60" customWidth="1"/>
    <col min="3852" max="3852" width="10.28515625" style="60" customWidth="1"/>
    <col min="3853" max="3853" width="11.42578125" style="60"/>
    <col min="3854" max="3854" width="12.140625" style="60" customWidth="1"/>
    <col min="3855" max="3855" width="10.5703125" style="60" customWidth="1"/>
    <col min="3856" max="3856" width="12.42578125" style="60" customWidth="1"/>
    <col min="3857" max="3857" width="15.140625" style="60" customWidth="1"/>
    <col min="3858" max="3858" width="13.5703125" style="60" customWidth="1"/>
    <col min="3859" max="3859" width="13.140625" style="60" customWidth="1"/>
    <col min="3860" max="3860" width="15.7109375" style="60" customWidth="1"/>
    <col min="3861" max="3861" width="37.5703125" style="60" customWidth="1"/>
    <col min="3862" max="4083" width="11.42578125" style="60"/>
    <col min="4084" max="4084" width="10.5703125" style="60" customWidth="1"/>
    <col min="4085" max="4085" width="4.85546875" style="60" customWidth="1"/>
    <col min="4086" max="4086" width="32.42578125" style="60" customWidth="1"/>
    <col min="4087" max="4087" width="9.85546875" style="60" customWidth="1"/>
    <col min="4088" max="4088" width="10.140625" style="60" customWidth="1"/>
    <col min="4089" max="4089" width="12.28515625" style="60" customWidth="1"/>
    <col min="4090" max="4090" width="15.42578125" style="60" customWidth="1"/>
    <col min="4091" max="4091" width="11.85546875" style="60" customWidth="1"/>
    <col min="4092" max="4092" width="13.28515625" style="60" customWidth="1"/>
    <col min="4093" max="4093" width="15.28515625" style="60" customWidth="1"/>
    <col min="4094" max="4094" width="11.85546875" style="60" customWidth="1"/>
    <col min="4095" max="4095" width="6.140625" style="60" customWidth="1"/>
    <col min="4096" max="4096" width="11.85546875" style="60" customWidth="1"/>
    <col min="4097" max="4097" width="9.42578125" style="60" customWidth="1"/>
    <col min="4098" max="4098" width="14.7109375" style="60" customWidth="1"/>
    <col min="4099" max="4099" width="11.5703125" style="60" customWidth="1"/>
    <col min="4100" max="4100" width="0.42578125" style="60" customWidth="1"/>
    <col min="4101" max="4101" width="10.5703125" style="60" bestFit="1" customWidth="1"/>
    <col min="4102" max="4102" width="12.28515625" style="60" customWidth="1"/>
    <col min="4103" max="4103" width="12.5703125" style="60" customWidth="1"/>
    <col min="4104" max="4104" width="10.5703125" style="60" customWidth="1"/>
    <col min="4105" max="4105" width="10.140625" style="60" customWidth="1"/>
    <col min="4106" max="4106" width="8.42578125" style="60" customWidth="1"/>
    <col min="4107" max="4107" width="18.85546875" style="60" customWidth="1"/>
    <col min="4108" max="4108" width="10.28515625" style="60" customWidth="1"/>
    <col min="4109" max="4109" width="11.42578125" style="60"/>
    <col min="4110" max="4110" width="12.140625" style="60" customWidth="1"/>
    <col min="4111" max="4111" width="10.5703125" style="60" customWidth="1"/>
    <col min="4112" max="4112" width="12.42578125" style="60" customWidth="1"/>
    <col min="4113" max="4113" width="15.140625" style="60" customWidth="1"/>
    <col min="4114" max="4114" width="13.5703125" style="60" customWidth="1"/>
    <col min="4115" max="4115" width="13.140625" style="60" customWidth="1"/>
    <col min="4116" max="4116" width="15.7109375" style="60" customWidth="1"/>
    <col min="4117" max="4117" width="37.5703125" style="60" customWidth="1"/>
    <col min="4118" max="4339" width="11.42578125" style="60"/>
    <col min="4340" max="4340" width="10.5703125" style="60" customWidth="1"/>
    <col min="4341" max="4341" width="4.85546875" style="60" customWidth="1"/>
    <col min="4342" max="4342" width="32.42578125" style="60" customWidth="1"/>
    <col min="4343" max="4343" width="9.85546875" style="60" customWidth="1"/>
    <col min="4344" max="4344" width="10.140625" style="60" customWidth="1"/>
    <col min="4345" max="4345" width="12.28515625" style="60" customWidth="1"/>
    <col min="4346" max="4346" width="15.42578125" style="60" customWidth="1"/>
    <col min="4347" max="4347" width="11.85546875" style="60" customWidth="1"/>
    <col min="4348" max="4348" width="13.28515625" style="60" customWidth="1"/>
    <col min="4349" max="4349" width="15.28515625" style="60" customWidth="1"/>
    <col min="4350" max="4350" width="11.85546875" style="60" customWidth="1"/>
    <col min="4351" max="4351" width="6.140625" style="60" customWidth="1"/>
    <col min="4352" max="4352" width="11.85546875" style="60" customWidth="1"/>
    <col min="4353" max="4353" width="9.42578125" style="60" customWidth="1"/>
    <col min="4354" max="4354" width="14.7109375" style="60" customWidth="1"/>
    <col min="4355" max="4355" width="11.5703125" style="60" customWidth="1"/>
    <col min="4356" max="4356" width="0.42578125" style="60" customWidth="1"/>
    <col min="4357" max="4357" width="10.5703125" style="60" bestFit="1" customWidth="1"/>
    <col min="4358" max="4358" width="12.28515625" style="60" customWidth="1"/>
    <col min="4359" max="4359" width="12.5703125" style="60" customWidth="1"/>
    <col min="4360" max="4360" width="10.5703125" style="60" customWidth="1"/>
    <col min="4361" max="4361" width="10.140625" style="60" customWidth="1"/>
    <col min="4362" max="4362" width="8.42578125" style="60" customWidth="1"/>
    <col min="4363" max="4363" width="18.85546875" style="60" customWidth="1"/>
    <col min="4364" max="4364" width="10.28515625" style="60" customWidth="1"/>
    <col min="4365" max="4365" width="11.42578125" style="60"/>
    <col min="4366" max="4366" width="12.140625" style="60" customWidth="1"/>
    <col min="4367" max="4367" width="10.5703125" style="60" customWidth="1"/>
    <col min="4368" max="4368" width="12.42578125" style="60" customWidth="1"/>
    <col min="4369" max="4369" width="15.140625" style="60" customWidth="1"/>
    <col min="4370" max="4370" width="13.5703125" style="60" customWidth="1"/>
    <col min="4371" max="4371" width="13.140625" style="60" customWidth="1"/>
    <col min="4372" max="4372" width="15.7109375" style="60" customWidth="1"/>
    <col min="4373" max="4373" width="37.5703125" style="60" customWidth="1"/>
    <col min="4374" max="4595" width="11.42578125" style="60"/>
    <col min="4596" max="4596" width="10.5703125" style="60" customWidth="1"/>
    <col min="4597" max="4597" width="4.85546875" style="60" customWidth="1"/>
    <col min="4598" max="4598" width="32.42578125" style="60" customWidth="1"/>
    <col min="4599" max="4599" width="9.85546875" style="60" customWidth="1"/>
    <col min="4600" max="4600" width="10.140625" style="60" customWidth="1"/>
    <col min="4601" max="4601" width="12.28515625" style="60" customWidth="1"/>
    <col min="4602" max="4602" width="15.42578125" style="60" customWidth="1"/>
    <col min="4603" max="4603" width="11.85546875" style="60" customWidth="1"/>
    <col min="4604" max="4604" width="13.28515625" style="60" customWidth="1"/>
    <col min="4605" max="4605" width="15.28515625" style="60" customWidth="1"/>
    <col min="4606" max="4606" width="11.85546875" style="60" customWidth="1"/>
    <col min="4607" max="4607" width="6.140625" style="60" customWidth="1"/>
    <col min="4608" max="4608" width="11.85546875" style="60" customWidth="1"/>
    <col min="4609" max="4609" width="9.42578125" style="60" customWidth="1"/>
    <col min="4610" max="4610" width="14.7109375" style="60" customWidth="1"/>
    <col min="4611" max="4611" width="11.5703125" style="60" customWidth="1"/>
    <col min="4612" max="4612" width="0.42578125" style="60" customWidth="1"/>
    <col min="4613" max="4613" width="10.5703125" style="60" bestFit="1" customWidth="1"/>
    <col min="4614" max="4614" width="12.28515625" style="60" customWidth="1"/>
    <col min="4615" max="4615" width="12.5703125" style="60" customWidth="1"/>
    <col min="4616" max="4616" width="10.5703125" style="60" customWidth="1"/>
    <col min="4617" max="4617" width="10.140625" style="60" customWidth="1"/>
    <col min="4618" max="4618" width="8.42578125" style="60" customWidth="1"/>
    <col min="4619" max="4619" width="18.85546875" style="60" customWidth="1"/>
    <col min="4620" max="4620" width="10.28515625" style="60" customWidth="1"/>
    <col min="4621" max="4621" width="11.42578125" style="60"/>
    <col min="4622" max="4622" width="12.140625" style="60" customWidth="1"/>
    <col min="4623" max="4623" width="10.5703125" style="60" customWidth="1"/>
    <col min="4624" max="4624" width="12.42578125" style="60" customWidth="1"/>
    <col min="4625" max="4625" width="15.140625" style="60" customWidth="1"/>
    <col min="4626" max="4626" width="13.5703125" style="60" customWidth="1"/>
    <col min="4627" max="4627" width="13.140625" style="60" customWidth="1"/>
    <col min="4628" max="4628" width="15.7109375" style="60" customWidth="1"/>
    <col min="4629" max="4629" width="37.5703125" style="60" customWidth="1"/>
    <col min="4630" max="4851" width="11.42578125" style="60"/>
    <col min="4852" max="4852" width="10.5703125" style="60" customWidth="1"/>
    <col min="4853" max="4853" width="4.85546875" style="60" customWidth="1"/>
    <col min="4854" max="4854" width="32.42578125" style="60" customWidth="1"/>
    <col min="4855" max="4855" width="9.85546875" style="60" customWidth="1"/>
    <col min="4856" max="4856" width="10.140625" style="60" customWidth="1"/>
    <col min="4857" max="4857" width="12.28515625" style="60" customWidth="1"/>
    <col min="4858" max="4858" width="15.42578125" style="60" customWidth="1"/>
    <col min="4859" max="4859" width="11.85546875" style="60" customWidth="1"/>
    <col min="4860" max="4860" width="13.28515625" style="60" customWidth="1"/>
    <col min="4861" max="4861" width="15.28515625" style="60" customWidth="1"/>
    <col min="4862" max="4862" width="11.85546875" style="60" customWidth="1"/>
    <col min="4863" max="4863" width="6.140625" style="60" customWidth="1"/>
    <col min="4864" max="4864" width="11.85546875" style="60" customWidth="1"/>
    <col min="4865" max="4865" width="9.42578125" style="60" customWidth="1"/>
    <col min="4866" max="4866" width="14.7109375" style="60" customWidth="1"/>
    <col min="4867" max="4867" width="11.5703125" style="60" customWidth="1"/>
    <col min="4868" max="4868" width="0.42578125" style="60" customWidth="1"/>
    <col min="4869" max="4869" width="10.5703125" style="60" bestFit="1" customWidth="1"/>
    <col min="4870" max="4870" width="12.28515625" style="60" customWidth="1"/>
    <col min="4871" max="4871" width="12.5703125" style="60" customWidth="1"/>
    <col min="4872" max="4872" width="10.5703125" style="60" customWidth="1"/>
    <col min="4873" max="4873" width="10.140625" style="60" customWidth="1"/>
    <col min="4874" max="4874" width="8.42578125" style="60" customWidth="1"/>
    <col min="4875" max="4875" width="18.85546875" style="60" customWidth="1"/>
    <col min="4876" max="4876" width="10.28515625" style="60" customWidth="1"/>
    <col min="4877" max="4877" width="11.42578125" style="60"/>
    <col min="4878" max="4878" width="12.140625" style="60" customWidth="1"/>
    <col min="4879" max="4879" width="10.5703125" style="60" customWidth="1"/>
    <col min="4880" max="4880" width="12.42578125" style="60" customWidth="1"/>
    <col min="4881" max="4881" width="15.140625" style="60" customWidth="1"/>
    <col min="4882" max="4882" width="13.5703125" style="60" customWidth="1"/>
    <col min="4883" max="4883" width="13.140625" style="60" customWidth="1"/>
    <col min="4884" max="4884" width="15.7109375" style="60" customWidth="1"/>
    <col min="4885" max="4885" width="37.5703125" style="60" customWidth="1"/>
    <col min="4886" max="5107" width="11.42578125" style="60"/>
    <col min="5108" max="5108" width="10.5703125" style="60" customWidth="1"/>
    <col min="5109" max="5109" width="4.85546875" style="60" customWidth="1"/>
    <col min="5110" max="5110" width="32.42578125" style="60" customWidth="1"/>
    <col min="5111" max="5111" width="9.85546875" style="60" customWidth="1"/>
    <col min="5112" max="5112" width="10.140625" style="60" customWidth="1"/>
    <col min="5113" max="5113" width="12.28515625" style="60" customWidth="1"/>
    <col min="5114" max="5114" width="15.42578125" style="60" customWidth="1"/>
    <col min="5115" max="5115" width="11.85546875" style="60" customWidth="1"/>
    <col min="5116" max="5116" width="13.28515625" style="60" customWidth="1"/>
    <col min="5117" max="5117" width="15.28515625" style="60" customWidth="1"/>
    <col min="5118" max="5118" width="11.85546875" style="60" customWidth="1"/>
    <col min="5119" max="5119" width="6.140625" style="60" customWidth="1"/>
    <col min="5120" max="5120" width="11.85546875" style="60" customWidth="1"/>
    <col min="5121" max="5121" width="9.42578125" style="60" customWidth="1"/>
    <col min="5122" max="5122" width="14.7109375" style="60" customWidth="1"/>
    <col min="5123" max="5123" width="11.5703125" style="60" customWidth="1"/>
    <col min="5124" max="5124" width="0.42578125" style="60" customWidth="1"/>
    <col min="5125" max="5125" width="10.5703125" style="60" bestFit="1" customWidth="1"/>
    <col min="5126" max="5126" width="12.28515625" style="60" customWidth="1"/>
    <col min="5127" max="5127" width="12.5703125" style="60" customWidth="1"/>
    <col min="5128" max="5128" width="10.5703125" style="60" customWidth="1"/>
    <col min="5129" max="5129" width="10.140625" style="60" customWidth="1"/>
    <col min="5130" max="5130" width="8.42578125" style="60" customWidth="1"/>
    <col min="5131" max="5131" width="18.85546875" style="60" customWidth="1"/>
    <col min="5132" max="5132" width="10.28515625" style="60" customWidth="1"/>
    <col min="5133" max="5133" width="11.42578125" style="60"/>
    <col min="5134" max="5134" width="12.140625" style="60" customWidth="1"/>
    <col min="5135" max="5135" width="10.5703125" style="60" customWidth="1"/>
    <col min="5136" max="5136" width="12.42578125" style="60" customWidth="1"/>
    <col min="5137" max="5137" width="15.140625" style="60" customWidth="1"/>
    <col min="5138" max="5138" width="13.5703125" style="60" customWidth="1"/>
    <col min="5139" max="5139" width="13.140625" style="60" customWidth="1"/>
    <col min="5140" max="5140" width="15.7109375" style="60" customWidth="1"/>
    <col min="5141" max="5141" width="37.5703125" style="60" customWidth="1"/>
    <col min="5142" max="5363" width="11.42578125" style="60"/>
    <col min="5364" max="5364" width="10.5703125" style="60" customWidth="1"/>
    <col min="5365" max="5365" width="4.85546875" style="60" customWidth="1"/>
    <col min="5366" max="5366" width="32.42578125" style="60" customWidth="1"/>
    <col min="5367" max="5367" width="9.85546875" style="60" customWidth="1"/>
    <col min="5368" max="5368" width="10.140625" style="60" customWidth="1"/>
    <col min="5369" max="5369" width="12.28515625" style="60" customWidth="1"/>
    <col min="5370" max="5370" width="15.42578125" style="60" customWidth="1"/>
    <col min="5371" max="5371" width="11.85546875" style="60" customWidth="1"/>
    <col min="5372" max="5372" width="13.28515625" style="60" customWidth="1"/>
    <col min="5373" max="5373" width="15.28515625" style="60" customWidth="1"/>
    <col min="5374" max="5374" width="11.85546875" style="60" customWidth="1"/>
    <col min="5375" max="5375" width="6.140625" style="60" customWidth="1"/>
    <col min="5376" max="5376" width="11.85546875" style="60" customWidth="1"/>
    <col min="5377" max="5377" width="9.42578125" style="60" customWidth="1"/>
    <col min="5378" max="5378" width="14.7109375" style="60" customWidth="1"/>
    <col min="5379" max="5379" width="11.5703125" style="60" customWidth="1"/>
    <col min="5380" max="5380" width="0.42578125" style="60" customWidth="1"/>
    <col min="5381" max="5381" width="10.5703125" style="60" bestFit="1" customWidth="1"/>
    <col min="5382" max="5382" width="12.28515625" style="60" customWidth="1"/>
    <col min="5383" max="5383" width="12.5703125" style="60" customWidth="1"/>
    <col min="5384" max="5384" width="10.5703125" style="60" customWidth="1"/>
    <col min="5385" max="5385" width="10.140625" style="60" customWidth="1"/>
    <col min="5386" max="5386" width="8.42578125" style="60" customWidth="1"/>
    <col min="5387" max="5387" width="18.85546875" style="60" customWidth="1"/>
    <col min="5388" max="5388" width="10.28515625" style="60" customWidth="1"/>
    <col min="5389" max="5389" width="11.42578125" style="60"/>
    <col min="5390" max="5390" width="12.140625" style="60" customWidth="1"/>
    <col min="5391" max="5391" width="10.5703125" style="60" customWidth="1"/>
    <col min="5392" max="5392" width="12.42578125" style="60" customWidth="1"/>
    <col min="5393" max="5393" width="15.140625" style="60" customWidth="1"/>
    <col min="5394" max="5394" width="13.5703125" style="60" customWidth="1"/>
    <col min="5395" max="5395" width="13.140625" style="60" customWidth="1"/>
    <col min="5396" max="5396" width="15.7109375" style="60" customWidth="1"/>
    <col min="5397" max="5397" width="37.5703125" style="60" customWidth="1"/>
    <col min="5398" max="5619" width="11.42578125" style="60"/>
    <col min="5620" max="5620" width="10.5703125" style="60" customWidth="1"/>
    <col min="5621" max="5621" width="4.85546875" style="60" customWidth="1"/>
    <col min="5622" max="5622" width="32.42578125" style="60" customWidth="1"/>
    <col min="5623" max="5623" width="9.85546875" style="60" customWidth="1"/>
    <col min="5624" max="5624" width="10.140625" style="60" customWidth="1"/>
    <col min="5625" max="5625" width="12.28515625" style="60" customWidth="1"/>
    <col min="5626" max="5626" width="15.42578125" style="60" customWidth="1"/>
    <col min="5627" max="5627" width="11.85546875" style="60" customWidth="1"/>
    <col min="5628" max="5628" width="13.28515625" style="60" customWidth="1"/>
    <col min="5629" max="5629" width="15.28515625" style="60" customWidth="1"/>
    <col min="5630" max="5630" width="11.85546875" style="60" customWidth="1"/>
    <col min="5631" max="5631" width="6.140625" style="60" customWidth="1"/>
    <col min="5632" max="5632" width="11.85546875" style="60" customWidth="1"/>
    <col min="5633" max="5633" width="9.42578125" style="60" customWidth="1"/>
    <col min="5634" max="5634" width="14.7109375" style="60" customWidth="1"/>
    <col min="5635" max="5635" width="11.5703125" style="60" customWidth="1"/>
    <col min="5636" max="5636" width="0.42578125" style="60" customWidth="1"/>
    <col min="5637" max="5637" width="10.5703125" style="60" bestFit="1" customWidth="1"/>
    <col min="5638" max="5638" width="12.28515625" style="60" customWidth="1"/>
    <col min="5639" max="5639" width="12.5703125" style="60" customWidth="1"/>
    <col min="5640" max="5640" width="10.5703125" style="60" customWidth="1"/>
    <col min="5641" max="5641" width="10.140625" style="60" customWidth="1"/>
    <col min="5642" max="5642" width="8.42578125" style="60" customWidth="1"/>
    <col min="5643" max="5643" width="18.85546875" style="60" customWidth="1"/>
    <col min="5644" max="5644" width="10.28515625" style="60" customWidth="1"/>
    <col min="5645" max="5645" width="11.42578125" style="60"/>
    <col min="5646" max="5646" width="12.140625" style="60" customWidth="1"/>
    <col min="5647" max="5647" width="10.5703125" style="60" customWidth="1"/>
    <col min="5648" max="5648" width="12.42578125" style="60" customWidth="1"/>
    <col min="5649" max="5649" width="15.140625" style="60" customWidth="1"/>
    <col min="5650" max="5650" width="13.5703125" style="60" customWidth="1"/>
    <col min="5651" max="5651" width="13.140625" style="60" customWidth="1"/>
    <col min="5652" max="5652" width="15.7109375" style="60" customWidth="1"/>
    <col min="5653" max="5653" width="37.5703125" style="60" customWidth="1"/>
    <col min="5654" max="5875" width="11.42578125" style="60"/>
    <col min="5876" max="5876" width="10.5703125" style="60" customWidth="1"/>
    <col min="5877" max="5877" width="4.85546875" style="60" customWidth="1"/>
    <col min="5878" max="5878" width="32.42578125" style="60" customWidth="1"/>
    <col min="5879" max="5879" width="9.85546875" style="60" customWidth="1"/>
    <col min="5880" max="5880" width="10.140625" style="60" customWidth="1"/>
    <col min="5881" max="5881" width="12.28515625" style="60" customWidth="1"/>
    <col min="5882" max="5882" width="15.42578125" style="60" customWidth="1"/>
    <col min="5883" max="5883" width="11.85546875" style="60" customWidth="1"/>
    <col min="5884" max="5884" width="13.28515625" style="60" customWidth="1"/>
    <col min="5885" max="5885" width="15.28515625" style="60" customWidth="1"/>
    <col min="5886" max="5886" width="11.85546875" style="60" customWidth="1"/>
    <col min="5887" max="5887" width="6.140625" style="60" customWidth="1"/>
    <col min="5888" max="5888" width="11.85546875" style="60" customWidth="1"/>
    <col min="5889" max="5889" width="9.42578125" style="60" customWidth="1"/>
    <col min="5890" max="5890" width="14.7109375" style="60" customWidth="1"/>
    <col min="5891" max="5891" width="11.5703125" style="60" customWidth="1"/>
    <col min="5892" max="5892" width="0.42578125" style="60" customWidth="1"/>
    <col min="5893" max="5893" width="10.5703125" style="60" bestFit="1" customWidth="1"/>
    <col min="5894" max="5894" width="12.28515625" style="60" customWidth="1"/>
    <col min="5895" max="5895" width="12.5703125" style="60" customWidth="1"/>
    <col min="5896" max="5896" width="10.5703125" style="60" customWidth="1"/>
    <col min="5897" max="5897" width="10.140625" style="60" customWidth="1"/>
    <col min="5898" max="5898" width="8.42578125" style="60" customWidth="1"/>
    <col min="5899" max="5899" width="18.85546875" style="60" customWidth="1"/>
    <col min="5900" max="5900" width="10.28515625" style="60" customWidth="1"/>
    <col min="5901" max="5901" width="11.42578125" style="60"/>
    <col min="5902" max="5902" width="12.140625" style="60" customWidth="1"/>
    <col min="5903" max="5903" width="10.5703125" style="60" customWidth="1"/>
    <col min="5904" max="5904" width="12.42578125" style="60" customWidth="1"/>
    <col min="5905" max="5905" width="15.140625" style="60" customWidth="1"/>
    <col min="5906" max="5906" width="13.5703125" style="60" customWidth="1"/>
    <col min="5907" max="5907" width="13.140625" style="60" customWidth="1"/>
    <col min="5908" max="5908" width="15.7109375" style="60" customWidth="1"/>
    <col min="5909" max="5909" width="37.5703125" style="60" customWidth="1"/>
    <col min="5910" max="6131" width="11.42578125" style="60"/>
    <col min="6132" max="6132" width="10.5703125" style="60" customWidth="1"/>
    <col min="6133" max="6133" width="4.85546875" style="60" customWidth="1"/>
    <col min="6134" max="6134" width="32.42578125" style="60" customWidth="1"/>
    <col min="6135" max="6135" width="9.85546875" style="60" customWidth="1"/>
    <col min="6136" max="6136" width="10.140625" style="60" customWidth="1"/>
    <col min="6137" max="6137" width="12.28515625" style="60" customWidth="1"/>
    <col min="6138" max="6138" width="15.42578125" style="60" customWidth="1"/>
    <col min="6139" max="6139" width="11.85546875" style="60" customWidth="1"/>
    <col min="6140" max="6140" width="13.28515625" style="60" customWidth="1"/>
    <col min="6141" max="6141" width="15.28515625" style="60" customWidth="1"/>
    <col min="6142" max="6142" width="11.85546875" style="60" customWidth="1"/>
    <col min="6143" max="6143" width="6.140625" style="60" customWidth="1"/>
    <col min="6144" max="6144" width="11.85546875" style="60" customWidth="1"/>
    <col min="6145" max="6145" width="9.42578125" style="60" customWidth="1"/>
    <col min="6146" max="6146" width="14.7109375" style="60" customWidth="1"/>
    <col min="6147" max="6147" width="11.5703125" style="60" customWidth="1"/>
    <col min="6148" max="6148" width="0.42578125" style="60" customWidth="1"/>
    <col min="6149" max="6149" width="10.5703125" style="60" bestFit="1" customWidth="1"/>
    <col min="6150" max="6150" width="12.28515625" style="60" customWidth="1"/>
    <col min="6151" max="6151" width="12.5703125" style="60" customWidth="1"/>
    <col min="6152" max="6152" width="10.5703125" style="60" customWidth="1"/>
    <col min="6153" max="6153" width="10.140625" style="60" customWidth="1"/>
    <col min="6154" max="6154" width="8.42578125" style="60" customWidth="1"/>
    <col min="6155" max="6155" width="18.85546875" style="60" customWidth="1"/>
    <col min="6156" max="6156" width="10.28515625" style="60" customWidth="1"/>
    <col min="6157" max="6157" width="11.42578125" style="60"/>
    <col min="6158" max="6158" width="12.140625" style="60" customWidth="1"/>
    <col min="6159" max="6159" width="10.5703125" style="60" customWidth="1"/>
    <col min="6160" max="6160" width="12.42578125" style="60" customWidth="1"/>
    <col min="6161" max="6161" width="15.140625" style="60" customWidth="1"/>
    <col min="6162" max="6162" width="13.5703125" style="60" customWidth="1"/>
    <col min="6163" max="6163" width="13.140625" style="60" customWidth="1"/>
    <col min="6164" max="6164" width="15.7109375" style="60" customWidth="1"/>
    <col min="6165" max="6165" width="37.5703125" style="60" customWidth="1"/>
    <col min="6166" max="6387" width="11.42578125" style="60"/>
    <col min="6388" max="6388" width="10.5703125" style="60" customWidth="1"/>
    <col min="6389" max="6389" width="4.85546875" style="60" customWidth="1"/>
    <col min="6390" max="6390" width="32.42578125" style="60" customWidth="1"/>
    <col min="6391" max="6391" width="9.85546875" style="60" customWidth="1"/>
    <col min="6392" max="6392" width="10.140625" style="60" customWidth="1"/>
    <col min="6393" max="6393" width="12.28515625" style="60" customWidth="1"/>
    <col min="6394" max="6394" width="15.42578125" style="60" customWidth="1"/>
    <col min="6395" max="6395" width="11.85546875" style="60" customWidth="1"/>
    <col min="6396" max="6396" width="13.28515625" style="60" customWidth="1"/>
    <col min="6397" max="6397" width="15.28515625" style="60" customWidth="1"/>
    <col min="6398" max="6398" width="11.85546875" style="60" customWidth="1"/>
    <col min="6399" max="6399" width="6.140625" style="60" customWidth="1"/>
    <col min="6400" max="6400" width="11.85546875" style="60" customWidth="1"/>
    <col min="6401" max="6401" width="9.42578125" style="60" customWidth="1"/>
    <col min="6402" max="6402" width="14.7109375" style="60" customWidth="1"/>
    <col min="6403" max="6403" width="11.5703125" style="60" customWidth="1"/>
    <col min="6404" max="6404" width="0.42578125" style="60" customWidth="1"/>
    <col min="6405" max="6405" width="10.5703125" style="60" bestFit="1" customWidth="1"/>
    <col min="6406" max="6406" width="12.28515625" style="60" customWidth="1"/>
    <col min="6407" max="6407" width="12.5703125" style="60" customWidth="1"/>
    <col min="6408" max="6408" width="10.5703125" style="60" customWidth="1"/>
    <col min="6409" max="6409" width="10.140625" style="60" customWidth="1"/>
    <col min="6410" max="6410" width="8.42578125" style="60" customWidth="1"/>
    <col min="6411" max="6411" width="18.85546875" style="60" customWidth="1"/>
    <col min="6412" max="6412" width="10.28515625" style="60" customWidth="1"/>
    <col min="6413" max="6413" width="11.42578125" style="60"/>
    <col min="6414" max="6414" width="12.140625" style="60" customWidth="1"/>
    <col min="6415" max="6415" width="10.5703125" style="60" customWidth="1"/>
    <col min="6416" max="6416" width="12.42578125" style="60" customWidth="1"/>
    <col min="6417" max="6417" width="15.140625" style="60" customWidth="1"/>
    <col min="6418" max="6418" width="13.5703125" style="60" customWidth="1"/>
    <col min="6419" max="6419" width="13.140625" style="60" customWidth="1"/>
    <col min="6420" max="6420" width="15.7109375" style="60" customWidth="1"/>
    <col min="6421" max="6421" width="37.5703125" style="60" customWidth="1"/>
    <col min="6422" max="6643" width="11.42578125" style="60"/>
    <col min="6644" max="6644" width="10.5703125" style="60" customWidth="1"/>
    <col min="6645" max="6645" width="4.85546875" style="60" customWidth="1"/>
    <col min="6646" max="6646" width="32.42578125" style="60" customWidth="1"/>
    <col min="6647" max="6647" width="9.85546875" style="60" customWidth="1"/>
    <col min="6648" max="6648" width="10.140625" style="60" customWidth="1"/>
    <col min="6649" max="6649" width="12.28515625" style="60" customWidth="1"/>
    <col min="6650" max="6650" width="15.42578125" style="60" customWidth="1"/>
    <col min="6651" max="6651" width="11.85546875" style="60" customWidth="1"/>
    <col min="6652" max="6652" width="13.28515625" style="60" customWidth="1"/>
    <col min="6653" max="6653" width="15.28515625" style="60" customWidth="1"/>
    <col min="6654" max="6654" width="11.85546875" style="60" customWidth="1"/>
    <col min="6655" max="6655" width="6.140625" style="60" customWidth="1"/>
    <col min="6656" max="6656" width="11.85546875" style="60" customWidth="1"/>
    <col min="6657" max="6657" width="9.42578125" style="60" customWidth="1"/>
    <col min="6658" max="6658" width="14.7109375" style="60" customWidth="1"/>
    <col min="6659" max="6659" width="11.5703125" style="60" customWidth="1"/>
    <col min="6660" max="6660" width="0.42578125" style="60" customWidth="1"/>
    <col min="6661" max="6661" width="10.5703125" style="60" bestFit="1" customWidth="1"/>
    <col min="6662" max="6662" width="12.28515625" style="60" customWidth="1"/>
    <col min="6663" max="6663" width="12.5703125" style="60" customWidth="1"/>
    <col min="6664" max="6664" width="10.5703125" style="60" customWidth="1"/>
    <col min="6665" max="6665" width="10.140625" style="60" customWidth="1"/>
    <col min="6666" max="6666" width="8.42578125" style="60" customWidth="1"/>
    <col min="6667" max="6667" width="18.85546875" style="60" customWidth="1"/>
    <col min="6668" max="6668" width="10.28515625" style="60" customWidth="1"/>
    <col min="6669" max="6669" width="11.42578125" style="60"/>
    <col min="6670" max="6670" width="12.140625" style="60" customWidth="1"/>
    <col min="6671" max="6671" width="10.5703125" style="60" customWidth="1"/>
    <col min="6672" max="6672" width="12.42578125" style="60" customWidth="1"/>
    <col min="6673" max="6673" width="15.140625" style="60" customWidth="1"/>
    <col min="6674" max="6674" width="13.5703125" style="60" customWidth="1"/>
    <col min="6675" max="6675" width="13.140625" style="60" customWidth="1"/>
    <col min="6676" max="6676" width="15.7109375" style="60" customWidth="1"/>
    <col min="6677" max="6677" width="37.5703125" style="60" customWidth="1"/>
    <col min="6678" max="6899" width="11.42578125" style="60"/>
    <col min="6900" max="6900" width="10.5703125" style="60" customWidth="1"/>
    <col min="6901" max="6901" width="4.85546875" style="60" customWidth="1"/>
    <col min="6902" max="6902" width="32.42578125" style="60" customWidth="1"/>
    <col min="6903" max="6903" width="9.85546875" style="60" customWidth="1"/>
    <col min="6904" max="6904" width="10.140625" style="60" customWidth="1"/>
    <col min="6905" max="6905" width="12.28515625" style="60" customWidth="1"/>
    <col min="6906" max="6906" width="15.42578125" style="60" customWidth="1"/>
    <col min="6907" max="6907" width="11.85546875" style="60" customWidth="1"/>
    <col min="6908" max="6908" width="13.28515625" style="60" customWidth="1"/>
    <col min="6909" max="6909" width="15.28515625" style="60" customWidth="1"/>
    <col min="6910" max="6910" width="11.85546875" style="60" customWidth="1"/>
    <col min="6911" max="6911" width="6.140625" style="60" customWidth="1"/>
    <col min="6912" max="6912" width="11.85546875" style="60" customWidth="1"/>
    <col min="6913" max="6913" width="9.42578125" style="60" customWidth="1"/>
    <col min="6914" max="6914" width="14.7109375" style="60" customWidth="1"/>
    <col min="6915" max="6915" width="11.5703125" style="60" customWidth="1"/>
    <col min="6916" max="6916" width="0.42578125" style="60" customWidth="1"/>
    <col min="6917" max="6917" width="10.5703125" style="60" bestFit="1" customWidth="1"/>
    <col min="6918" max="6918" width="12.28515625" style="60" customWidth="1"/>
    <col min="6919" max="6919" width="12.5703125" style="60" customWidth="1"/>
    <col min="6920" max="6920" width="10.5703125" style="60" customWidth="1"/>
    <col min="6921" max="6921" width="10.140625" style="60" customWidth="1"/>
    <col min="6922" max="6922" width="8.42578125" style="60" customWidth="1"/>
    <col min="6923" max="6923" width="18.85546875" style="60" customWidth="1"/>
    <col min="6924" max="6924" width="10.28515625" style="60" customWidth="1"/>
    <col min="6925" max="6925" width="11.42578125" style="60"/>
    <col min="6926" max="6926" width="12.140625" style="60" customWidth="1"/>
    <col min="6927" max="6927" width="10.5703125" style="60" customWidth="1"/>
    <col min="6928" max="6928" width="12.42578125" style="60" customWidth="1"/>
    <col min="6929" max="6929" width="15.140625" style="60" customWidth="1"/>
    <col min="6930" max="6930" width="13.5703125" style="60" customWidth="1"/>
    <col min="6931" max="6931" width="13.140625" style="60" customWidth="1"/>
    <col min="6932" max="6932" width="15.7109375" style="60" customWidth="1"/>
    <col min="6933" max="6933" width="37.5703125" style="60" customWidth="1"/>
    <col min="6934" max="7155" width="11.42578125" style="60"/>
    <col min="7156" max="7156" width="10.5703125" style="60" customWidth="1"/>
    <col min="7157" max="7157" width="4.85546875" style="60" customWidth="1"/>
    <col min="7158" max="7158" width="32.42578125" style="60" customWidth="1"/>
    <col min="7159" max="7159" width="9.85546875" style="60" customWidth="1"/>
    <col min="7160" max="7160" width="10.140625" style="60" customWidth="1"/>
    <col min="7161" max="7161" width="12.28515625" style="60" customWidth="1"/>
    <col min="7162" max="7162" width="15.42578125" style="60" customWidth="1"/>
    <col min="7163" max="7163" width="11.85546875" style="60" customWidth="1"/>
    <col min="7164" max="7164" width="13.28515625" style="60" customWidth="1"/>
    <col min="7165" max="7165" width="15.28515625" style="60" customWidth="1"/>
    <col min="7166" max="7166" width="11.85546875" style="60" customWidth="1"/>
    <col min="7167" max="7167" width="6.140625" style="60" customWidth="1"/>
    <col min="7168" max="7168" width="11.85546875" style="60" customWidth="1"/>
    <col min="7169" max="7169" width="9.42578125" style="60" customWidth="1"/>
    <col min="7170" max="7170" width="14.7109375" style="60" customWidth="1"/>
    <col min="7171" max="7171" width="11.5703125" style="60" customWidth="1"/>
    <col min="7172" max="7172" width="0.42578125" style="60" customWidth="1"/>
    <col min="7173" max="7173" width="10.5703125" style="60" bestFit="1" customWidth="1"/>
    <col min="7174" max="7174" width="12.28515625" style="60" customWidth="1"/>
    <col min="7175" max="7175" width="12.5703125" style="60" customWidth="1"/>
    <col min="7176" max="7176" width="10.5703125" style="60" customWidth="1"/>
    <col min="7177" max="7177" width="10.140625" style="60" customWidth="1"/>
    <col min="7178" max="7178" width="8.42578125" style="60" customWidth="1"/>
    <col min="7179" max="7179" width="18.85546875" style="60" customWidth="1"/>
    <col min="7180" max="7180" width="10.28515625" style="60" customWidth="1"/>
    <col min="7181" max="7181" width="11.42578125" style="60"/>
    <col min="7182" max="7182" width="12.140625" style="60" customWidth="1"/>
    <col min="7183" max="7183" width="10.5703125" style="60" customWidth="1"/>
    <col min="7184" max="7184" width="12.42578125" style="60" customWidth="1"/>
    <col min="7185" max="7185" width="15.140625" style="60" customWidth="1"/>
    <col min="7186" max="7186" width="13.5703125" style="60" customWidth="1"/>
    <col min="7187" max="7187" width="13.140625" style="60" customWidth="1"/>
    <col min="7188" max="7188" width="15.7109375" style="60" customWidth="1"/>
    <col min="7189" max="7189" width="37.5703125" style="60" customWidth="1"/>
    <col min="7190" max="7411" width="11.42578125" style="60"/>
    <col min="7412" max="7412" width="10.5703125" style="60" customWidth="1"/>
    <col min="7413" max="7413" width="4.85546875" style="60" customWidth="1"/>
    <col min="7414" max="7414" width="32.42578125" style="60" customWidth="1"/>
    <col min="7415" max="7415" width="9.85546875" style="60" customWidth="1"/>
    <col min="7416" max="7416" width="10.140625" style="60" customWidth="1"/>
    <col min="7417" max="7417" width="12.28515625" style="60" customWidth="1"/>
    <col min="7418" max="7418" width="15.42578125" style="60" customWidth="1"/>
    <col min="7419" max="7419" width="11.85546875" style="60" customWidth="1"/>
    <col min="7420" max="7420" width="13.28515625" style="60" customWidth="1"/>
    <col min="7421" max="7421" width="15.28515625" style="60" customWidth="1"/>
    <col min="7422" max="7422" width="11.85546875" style="60" customWidth="1"/>
    <col min="7423" max="7423" width="6.140625" style="60" customWidth="1"/>
    <col min="7424" max="7424" width="11.85546875" style="60" customWidth="1"/>
    <col min="7425" max="7425" width="9.42578125" style="60" customWidth="1"/>
    <col min="7426" max="7426" width="14.7109375" style="60" customWidth="1"/>
    <col min="7427" max="7427" width="11.5703125" style="60" customWidth="1"/>
    <col min="7428" max="7428" width="0.42578125" style="60" customWidth="1"/>
    <col min="7429" max="7429" width="10.5703125" style="60" bestFit="1" customWidth="1"/>
    <col min="7430" max="7430" width="12.28515625" style="60" customWidth="1"/>
    <col min="7431" max="7431" width="12.5703125" style="60" customWidth="1"/>
    <col min="7432" max="7432" width="10.5703125" style="60" customWidth="1"/>
    <col min="7433" max="7433" width="10.140625" style="60" customWidth="1"/>
    <col min="7434" max="7434" width="8.42578125" style="60" customWidth="1"/>
    <col min="7435" max="7435" width="18.85546875" style="60" customWidth="1"/>
    <col min="7436" max="7436" width="10.28515625" style="60" customWidth="1"/>
    <col min="7437" max="7437" width="11.42578125" style="60"/>
    <col min="7438" max="7438" width="12.140625" style="60" customWidth="1"/>
    <col min="7439" max="7439" width="10.5703125" style="60" customWidth="1"/>
    <col min="7440" max="7440" width="12.42578125" style="60" customWidth="1"/>
    <col min="7441" max="7441" width="15.140625" style="60" customWidth="1"/>
    <col min="7442" max="7442" width="13.5703125" style="60" customWidth="1"/>
    <col min="7443" max="7443" width="13.140625" style="60" customWidth="1"/>
    <col min="7444" max="7444" width="15.7109375" style="60" customWidth="1"/>
    <col min="7445" max="7445" width="37.5703125" style="60" customWidth="1"/>
    <col min="7446" max="7667" width="11.42578125" style="60"/>
    <col min="7668" max="7668" width="10.5703125" style="60" customWidth="1"/>
    <col min="7669" max="7669" width="4.85546875" style="60" customWidth="1"/>
    <col min="7670" max="7670" width="32.42578125" style="60" customWidth="1"/>
    <col min="7671" max="7671" width="9.85546875" style="60" customWidth="1"/>
    <col min="7672" max="7672" width="10.140625" style="60" customWidth="1"/>
    <col min="7673" max="7673" width="12.28515625" style="60" customWidth="1"/>
    <col min="7674" max="7674" width="15.42578125" style="60" customWidth="1"/>
    <col min="7675" max="7675" width="11.85546875" style="60" customWidth="1"/>
    <col min="7676" max="7676" width="13.28515625" style="60" customWidth="1"/>
    <col min="7677" max="7677" width="15.28515625" style="60" customWidth="1"/>
    <col min="7678" max="7678" width="11.85546875" style="60" customWidth="1"/>
    <col min="7679" max="7679" width="6.140625" style="60" customWidth="1"/>
    <col min="7680" max="7680" width="11.85546875" style="60" customWidth="1"/>
    <col min="7681" max="7681" width="9.42578125" style="60" customWidth="1"/>
    <col min="7682" max="7682" width="14.7109375" style="60" customWidth="1"/>
    <col min="7683" max="7683" width="11.5703125" style="60" customWidth="1"/>
    <col min="7684" max="7684" width="0.42578125" style="60" customWidth="1"/>
    <col min="7685" max="7685" width="10.5703125" style="60" bestFit="1" customWidth="1"/>
    <col min="7686" max="7686" width="12.28515625" style="60" customWidth="1"/>
    <col min="7687" max="7687" width="12.5703125" style="60" customWidth="1"/>
    <col min="7688" max="7688" width="10.5703125" style="60" customWidth="1"/>
    <col min="7689" max="7689" width="10.140625" style="60" customWidth="1"/>
    <col min="7690" max="7690" width="8.42578125" style="60" customWidth="1"/>
    <col min="7691" max="7691" width="18.85546875" style="60" customWidth="1"/>
    <col min="7692" max="7692" width="10.28515625" style="60" customWidth="1"/>
    <col min="7693" max="7693" width="11.42578125" style="60"/>
    <col min="7694" max="7694" width="12.140625" style="60" customWidth="1"/>
    <col min="7695" max="7695" width="10.5703125" style="60" customWidth="1"/>
    <col min="7696" max="7696" width="12.42578125" style="60" customWidth="1"/>
    <col min="7697" max="7697" width="15.140625" style="60" customWidth="1"/>
    <col min="7698" max="7698" width="13.5703125" style="60" customWidth="1"/>
    <col min="7699" max="7699" width="13.140625" style="60" customWidth="1"/>
    <col min="7700" max="7700" width="15.7109375" style="60" customWidth="1"/>
    <col min="7701" max="7701" width="37.5703125" style="60" customWidth="1"/>
    <col min="7702" max="7923" width="11.42578125" style="60"/>
    <col min="7924" max="7924" width="10.5703125" style="60" customWidth="1"/>
    <col min="7925" max="7925" width="4.85546875" style="60" customWidth="1"/>
    <col min="7926" max="7926" width="32.42578125" style="60" customWidth="1"/>
    <col min="7927" max="7927" width="9.85546875" style="60" customWidth="1"/>
    <col min="7928" max="7928" width="10.140625" style="60" customWidth="1"/>
    <col min="7929" max="7929" width="12.28515625" style="60" customWidth="1"/>
    <col min="7930" max="7930" width="15.42578125" style="60" customWidth="1"/>
    <col min="7931" max="7931" width="11.85546875" style="60" customWidth="1"/>
    <col min="7932" max="7932" width="13.28515625" style="60" customWidth="1"/>
    <col min="7933" max="7933" width="15.28515625" style="60" customWidth="1"/>
    <col min="7934" max="7934" width="11.85546875" style="60" customWidth="1"/>
    <col min="7935" max="7935" width="6.140625" style="60" customWidth="1"/>
    <col min="7936" max="7936" width="11.85546875" style="60" customWidth="1"/>
    <col min="7937" max="7937" width="9.42578125" style="60" customWidth="1"/>
    <col min="7938" max="7938" width="14.7109375" style="60" customWidth="1"/>
    <col min="7939" max="7939" width="11.5703125" style="60" customWidth="1"/>
    <col min="7940" max="7940" width="0.42578125" style="60" customWidth="1"/>
    <col min="7941" max="7941" width="10.5703125" style="60" bestFit="1" customWidth="1"/>
    <col min="7942" max="7942" width="12.28515625" style="60" customWidth="1"/>
    <col min="7943" max="7943" width="12.5703125" style="60" customWidth="1"/>
    <col min="7944" max="7944" width="10.5703125" style="60" customWidth="1"/>
    <col min="7945" max="7945" width="10.140625" style="60" customWidth="1"/>
    <col min="7946" max="7946" width="8.42578125" style="60" customWidth="1"/>
    <col min="7947" max="7947" width="18.85546875" style="60" customWidth="1"/>
    <col min="7948" max="7948" width="10.28515625" style="60" customWidth="1"/>
    <col min="7949" max="7949" width="11.42578125" style="60"/>
    <col min="7950" max="7950" width="12.140625" style="60" customWidth="1"/>
    <col min="7951" max="7951" width="10.5703125" style="60" customWidth="1"/>
    <col min="7952" max="7952" width="12.42578125" style="60" customWidth="1"/>
    <col min="7953" max="7953" width="15.140625" style="60" customWidth="1"/>
    <col min="7954" max="7954" width="13.5703125" style="60" customWidth="1"/>
    <col min="7955" max="7955" width="13.140625" style="60" customWidth="1"/>
    <col min="7956" max="7956" width="15.7109375" style="60" customWidth="1"/>
    <col min="7957" max="7957" width="37.5703125" style="60" customWidth="1"/>
    <col min="7958" max="8179" width="11.42578125" style="60"/>
    <col min="8180" max="8180" width="10.5703125" style="60" customWidth="1"/>
    <col min="8181" max="8181" width="4.85546875" style="60" customWidth="1"/>
    <col min="8182" max="8182" width="32.42578125" style="60" customWidth="1"/>
    <col min="8183" max="8183" width="9.85546875" style="60" customWidth="1"/>
    <col min="8184" max="8184" width="10.140625" style="60" customWidth="1"/>
    <col min="8185" max="8185" width="12.28515625" style="60" customWidth="1"/>
    <col min="8186" max="8186" width="15.42578125" style="60" customWidth="1"/>
    <col min="8187" max="8187" width="11.85546875" style="60" customWidth="1"/>
    <col min="8188" max="8188" width="13.28515625" style="60" customWidth="1"/>
    <col min="8189" max="8189" width="15.28515625" style="60" customWidth="1"/>
    <col min="8190" max="8190" width="11.85546875" style="60" customWidth="1"/>
    <col min="8191" max="8191" width="6.140625" style="60" customWidth="1"/>
    <col min="8192" max="8192" width="11.85546875" style="60" customWidth="1"/>
    <col min="8193" max="8193" width="9.42578125" style="60" customWidth="1"/>
    <col min="8194" max="8194" width="14.7109375" style="60" customWidth="1"/>
    <col min="8195" max="8195" width="11.5703125" style="60" customWidth="1"/>
    <col min="8196" max="8196" width="0.42578125" style="60" customWidth="1"/>
    <col min="8197" max="8197" width="10.5703125" style="60" bestFit="1" customWidth="1"/>
    <col min="8198" max="8198" width="12.28515625" style="60" customWidth="1"/>
    <col min="8199" max="8199" width="12.5703125" style="60" customWidth="1"/>
    <col min="8200" max="8200" width="10.5703125" style="60" customWidth="1"/>
    <col min="8201" max="8201" width="10.140625" style="60" customWidth="1"/>
    <col min="8202" max="8202" width="8.42578125" style="60" customWidth="1"/>
    <col min="8203" max="8203" width="18.85546875" style="60" customWidth="1"/>
    <col min="8204" max="8204" width="10.28515625" style="60" customWidth="1"/>
    <col min="8205" max="8205" width="11.42578125" style="60"/>
    <col min="8206" max="8206" width="12.140625" style="60" customWidth="1"/>
    <col min="8207" max="8207" width="10.5703125" style="60" customWidth="1"/>
    <col min="8208" max="8208" width="12.42578125" style="60" customWidth="1"/>
    <col min="8209" max="8209" width="15.140625" style="60" customWidth="1"/>
    <col min="8210" max="8210" width="13.5703125" style="60" customWidth="1"/>
    <col min="8211" max="8211" width="13.140625" style="60" customWidth="1"/>
    <col min="8212" max="8212" width="15.7109375" style="60" customWidth="1"/>
    <col min="8213" max="8213" width="37.5703125" style="60" customWidth="1"/>
    <col min="8214" max="8435" width="11.42578125" style="60"/>
    <col min="8436" max="8436" width="10.5703125" style="60" customWidth="1"/>
    <col min="8437" max="8437" width="4.85546875" style="60" customWidth="1"/>
    <col min="8438" max="8438" width="32.42578125" style="60" customWidth="1"/>
    <col min="8439" max="8439" width="9.85546875" style="60" customWidth="1"/>
    <col min="8440" max="8440" width="10.140625" style="60" customWidth="1"/>
    <col min="8441" max="8441" width="12.28515625" style="60" customWidth="1"/>
    <col min="8442" max="8442" width="15.42578125" style="60" customWidth="1"/>
    <col min="8443" max="8443" width="11.85546875" style="60" customWidth="1"/>
    <col min="8444" max="8444" width="13.28515625" style="60" customWidth="1"/>
    <col min="8445" max="8445" width="15.28515625" style="60" customWidth="1"/>
    <col min="8446" max="8446" width="11.85546875" style="60" customWidth="1"/>
    <col min="8447" max="8447" width="6.140625" style="60" customWidth="1"/>
    <col min="8448" max="8448" width="11.85546875" style="60" customWidth="1"/>
    <col min="8449" max="8449" width="9.42578125" style="60" customWidth="1"/>
    <col min="8450" max="8450" width="14.7109375" style="60" customWidth="1"/>
    <col min="8451" max="8451" width="11.5703125" style="60" customWidth="1"/>
    <col min="8452" max="8452" width="0.42578125" style="60" customWidth="1"/>
    <col min="8453" max="8453" width="10.5703125" style="60" bestFit="1" customWidth="1"/>
    <col min="8454" max="8454" width="12.28515625" style="60" customWidth="1"/>
    <col min="8455" max="8455" width="12.5703125" style="60" customWidth="1"/>
    <col min="8456" max="8456" width="10.5703125" style="60" customWidth="1"/>
    <col min="8457" max="8457" width="10.140625" style="60" customWidth="1"/>
    <col min="8458" max="8458" width="8.42578125" style="60" customWidth="1"/>
    <col min="8459" max="8459" width="18.85546875" style="60" customWidth="1"/>
    <col min="8460" max="8460" width="10.28515625" style="60" customWidth="1"/>
    <col min="8461" max="8461" width="11.42578125" style="60"/>
    <col min="8462" max="8462" width="12.140625" style="60" customWidth="1"/>
    <col min="8463" max="8463" width="10.5703125" style="60" customWidth="1"/>
    <col min="8464" max="8464" width="12.42578125" style="60" customWidth="1"/>
    <col min="8465" max="8465" width="15.140625" style="60" customWidth="1"/>
    <col min="8466" max="8466" width="13.5703125" style="60" customWidth="1"/>
    <col min="8467" max="8467" width="13.140625" style="60" customWidth="1"/>
    <col min="8468" max="8468" width="15.7109375" style="60" customWidth="1"/>
    <col min="8469" max="8469" width="37.5703125" style="60" customWidth="1"/>
    <col min="8470" max="8691" width="11.42578125" style="60"/>
    <col min="8692" max="8692" width="10.5703125" style="60" customWidth="1"/>
    <col min="8693" max="8693" width="4.85546875" style="60" customWidth="1"/>
    <col min="8694" max="8694" width="32.42578125" style="60" customWidth="1"/>
    <col min="8695" max="8695" width="9.85546875" style="60" customWidth="1"/>
    <col min="8696" max="8696" width="10.140625" style="60" customWidth="1"/>
    <col min="8697" max="8697" width="12.28515625" style="60" customWidth="1"/>
    <col min="8698" max="8698" width="15.42578125" style="60" customWidth="1"/>
    <col min="8699" max="8699" width="11.85546875" style="60" customWidth="1"/>
    <col min="8700" max="8700" width="13.28515625" style="60" customWidth="1"/>
    <col min="8701" max="8701" width="15.28515625" style="60" customWidth="1"/>
    <col min="8702" max="8702" width="11.85546875" style="60" customWidth="1"/>
    <col min="8703" max="8703" width="6.140625" style="60" customWidth="1"/>
    <col min="8704" max="8704" width="11.85546875" style="60" customWidth="1"/>
    <col min="8705" max="8705" width="9.42578125" style="60" customWidth="1"/>
    <col min="8706" max="8706" width="14.7109375" style="60" customWidth="1"/>
    <col min="8707" max="8707" width="11.5703125" style="60" customWidth="1"/>
    <col min="8708" max="8708" width="0.42578125" style="60" customWidth="1"/>
    <col min="8709" max="8709" width="10.5703125" style="60" bestFit="1" customWidth="1"/>
    <col min="8710" max="8710" width="12.28515625" style="60" customWidth="1"/>
    <col min="8711" max="8711" width="12.5703125" style="60" customWidth="1"/>
    <col min="8712" max="8712" width="10.5703125" style="60" customWidth="1"/>
    <col min="8713" max="8713" width="10.140625" style="60" customWidth="1"/>
    <col min="8714" max="8714" width="8.42578125" style="60" customWidth="1"/>
    <col min="8715" max="8715" width="18.85546875" style="60" customWidth="1"/>
    <col min="8716" max="8716" width="10.28515625" style="60" customWidth="1"/>
    <col min="8717" max="8717" width="11.42578125" style="60"/>
    <col min="8718" max="8718" width="12.140625" style="60" customWidth="1"/>
    <col min="8719" max="8719" width="10.5703125" style="60" customWidth="1"/>
    <col min="8720" max="8720" width="12.42578125" style="60" customWidth="1"/>
    <col min="8721" max="8721" width="15.140625" style="60" customWidth="1"/>
    <col min="8722" max="8722" width="13.5703125" style="60" customWidth="1"/>
    <col min="8723" max="8723" width="13.140625" style="60" customWidth="1"/>
    <col min="8724" max="8724" width="15.7109375" style="60" customWidth="1"/>
    <col min="8725" max="8725" width="37.5703125" style="60" customWidth="1"/>
    <col min="8726" max="8947" width="11.42578125" style="60"/>
    <col min="8948" max="8948" width="10.5703125" style="60" customWidth="1"/>
    <col min="8949" max="8949" width="4.85546875" style="60" customWidth="1"/>
    <col min="8950" max="8950" width="32.42578125" style="60" customWidth="1"/>
    <col min="8951" max="8951" width="9.85546875" style="60" customWidth="1"/>
    <col min="8952" max="8952" width="10.140625" style="60" customWidth="1"/>
    <col min="8953" max="8953" width="12.28515625" style="60" customWidth="1"/>
    <col min="8954" max="8954" width="15.42578125" style="60" customWidth="1"/>
    <col min="8955" max="8955" width="11.85546875" style="60" customWidth="1"/>
    <col min="8956" max="8956" width="13.28515625" style="60" customWidth="1"/>
    <col min="8957" max="8957" width="15.28515625" style="60" customWidth="1"/>
    <col min="8958" max="8958" width="11.85546875" style="60" customWidth="1"/>
    <col min="8959" max="8959" width="6.140625" style="60" customWidth="1"/>
    <col min="8960" max="8960" width="11.85546875" style="60" customWidth="1"/>
    <col min="8961" max="8961" width="9.42578125" style="60" customWidth="1"/>
    <col min="8962" max="8962" width="14.7109375" style="60" customWidth="1"/>
    <col min="8963" max="8963" width="11.5703125" style="60" customWidth="1"/>
    <col min="8964" max="8964" width="0.42578125" style="60" customWidth="1"/>
    <col min="8965" max="8965" width="10.5703125" style="60" bestFit="1" customWidth="1"/>
    <col min="8966" max="8966" width="12.28515625" style="60" customWidth="1"/>
    <col min="8967" max="8967" width="12.5703125" style="60" customWidth="1"/>
    <col min="8968" max="8968" width="10.5703125" style="60" customWidth="1"/>
    <col min="8969" max="8969" width="10.140625" style="60" customWidth="1"/>
    <col min="8970" max="8970" width="8.42578125" style="60" customWidth="1"/>
    <col min="8971" max="8971" width="18.85546875" style="60" customWidth="1"/>
    <col min="8972" max="8972" width="10.28515625" style="60" customWidth="1"/>
    <col min="8973" max="8973" width="11.42578125" style="60"/>
    <col min="8974" max="8974" width="12.140625" style="60" customWidth="1"/>
    <col min="8975" max="8975" width="10.5703125" style="60" customWidth="1"/>
    <col min="8976" max="8976" width="12.42578125" style="60" customWidth="1"/>
    <col min="8977" max="8977" width="15.140625" style="60" customWidth="1"/>
    <col min="8978" max="8978" width="13.5703125" style="60" customWidth="1"/>
    <col min="8979" max="8979" width="13.140625" style="60" customWidth="1"/>
    <col min="8980" max="8980" width="15.7109375" style="60" customWidth="1"/>
    <col min="8981" max="8981" width="37.5703125" style="60" customWidth="1"/>
    <col min="8982" max="9203" width="11.42578125" style="60"/>
    <col min="9204" max="9204" width="10.5703125" style="60" customWidth="1"/>
    <col min="9205" max="9205" width="4.85546875" style="60" customWidth="1"/>
    <col min="9206" max="9206" width="32.42578125" style="60" customWidth="1"/>
    <col min="9207" max="9207" width="9.85546875" style="60" customWidth="1"/>
    <col min="9208" max="9208" width="10.140625" style="60" customWidth="1"/>
    <col min="9209" max="9209" width="12.28515625" style="60" customWidth="1"/>
    <col min="9210" max="9210" width="15.42578125" style="60" customWidth="1"/>
    <col min="9211" max="9211" width="11.85546875" style="60" customWidth="1"/>
    <col min="9212" max="9212" width="13.28515625" style="60" customWidth="1"/>
    <col min="9213" max="9213" width="15.28515625" style="60" customWidth="1"/>
    <col min="9214" max="9214" width="11.85546875" style="60" customWidth="1"/>
    <col min="9215" max="9215" width="6.140625" style="60" customWidth="1"/>
    <col min="9216" max="9216" width="11.85546875" style="60" customWidth="1"/>
    <col min="9217" max="9217" width="9.42578125" style="60" customWidth="1"/>
    <col min="9218" max="9218" width="14.7109375" style="60" customWidth="1"/>
    <col min="9219" max="9219" width="11.5703125" style="60" customWidth="1"/>
    <col min="9220" max="9220" width="0.42578125" style="60" customWidth="1"/>
    <col min="9221" max="9221" width="10.5703125" style="60" bestFit="1" customWidth="1"/>
    <col min="9222" max="9222" width="12.28515625" style="60" customWidth="1"/>
    <col min="9223" max="9223" width="12.5703125" style="60" customWidth="1"/>
    <col min="9224" max="9224" width="10.5703125" style="60" customWidth="1"/>
    <col min="9225" max="9225" width="10.140625" style="60" customWidth="1"/>
    <col min="9226" max="9226" width="8.42578125" style="60" customWidth="1"/>
    <col min="9227" max="9227" width="18.85546875" style="60" customWidth="1"/>
    <col min="9228" max="9228" width="10.28515625" style="60" customWidth="1"/>
    <col min="9229" max="9229" width="11.42578125" style="60"/>
    <col min="9230" max="9230" width="12.140625" style="60" customWidth="1"/>
    <col min="9231" max="9231" width="10.5703125" style="60" customWidth="1"/>
    <col min="9232" max="9232" width="12.42578125" style="60" customWidth="1"/>
    <col min="9233" max="9233" width="15.140625" style="60" customWidth="1"/>
    <col min="9234" max="9234" width="13.5703125" style="60" customWidth="1"/>
    <col min="9235" max="9235" width="13.140625" style="60" customWidth="1"/>
    <col min="9236" max="9236" width="15.7109375" style="60" customWidth="1"/>
    <col min="9237" max="9237" width="37.5703125" style="60" customWidth="1"/>
    <col min="9238" max="9459" width="11.42578125" style="60"/>
    <col min="9460" max="9460" width="10.5703125" style="60" customWidth="1"/>
    <col min="9461" max="9461" width="4.85546875" style="60" customWidth="1"/>
    <col min="9462" max="9462" width="32.42578125" style="60" customWidth="1"/>
    <col min="9463" max="9463" width="9.85546875" style="60" customWidth="1"/>
    <col min="9464" max="9464" width="10.140625" style="60" customWidth="1"/>
    <col min="9465" max="9465" width="12.28515625" style="60" customWidth="1"/>
    <col min="9466" max="9466" width="15.42578125" style="60" customWidth="1"/>
    <col min="9467" max="9467" width="11.85546875" style="60" customWidth="1"/>
    <col min="9468" max="9468" width="13.28515625" style="60" customWidth="1"/>
    <col min="9469" max="9469" width="15.28515625" style="60" customWidth="1"/>
    <col min="9470" max="9470" width="11.85546875" style="60" customWidth="1"/>
    <col min="9471" max="9471" width="6.140625" style="60" customWidth="1"/>
    <col min="9472" max="9472" width="11.85546875" style="60" customWidth="1"/>
    <col min="9473" max="9473" width="9.42578125" style="60" customWidth="1"/>
    <col min="9474" max="9474" width="14.7109375" style="60" customWidth="1"/>
    <col min="9475" max="9475" width="11.5703125" style="60" customWidth="1"/>
    <col min="9476" max="9476" width="0.42578125" style="60" customWidth="1"/>
    <col min="9477" max="9477" width="10.5703125" style="60" bestFit="1" customWidth="1"/>
    <col min="9478" max="9478" width="12.28515625" style="60" customWidth="1"/>
    <col min="9479" max="9479" width="12.5703125" style="60" customWidth="1"/>
    <col min="9480" max="9480" width="10.5703125" style="60" customWidth="1"/>
    <col min="9481" max="9481" width="10.140625" style="60" customWidth="1"/>
    <col min="9482" max="9482" width="8.42578125" style="60" customWidth="1"/>
    <col min="9483" max="9483" width="18.85546875" style="60" customWidth="1"/>
    <col min="9484" max="9484" width="10.28515625" style="60" customWidth="1"/>
    <col min="9485" max="9485" width="11.42578125" style="60"/>
    <col min="9486" max="9486" width="12.140625" style="60" customWidth="1"/>
    <col min="9487" max="9487" width="10.5703125" style="60" customWidth="1"/>
    <col min="9488" max="9488" width="12.42578125" style="60" customWidth="1"/>
    <col min="9489" max="9489" width="15.140625" style="60" customWidth="1"/>
    <col min="9490" max="9490" width="13.5703125" style="60" customWidth="1"/>
    <col min="9491" max="9491" width="13.140625" style="60" customWidth="1"/>
    <col min="9492" max="9492" width="15.7109375" style="60" customWidth="1"/>
    <col min="9493" max="9493" width="37.5703125" style="60" customWidth="1"/>
    <col min="9494" max="9715" width="11.42578125" style="60"/>
    <col min="9716" max="9716" width="10.5703125" style="60" customWidth="1"/>
    <col min="9717" max="9717" width="4.85546875" style="60" customWidth="1"/>
    <col min="9718" max="9718" width="32.42578125" style="60" customWidth="1"/>
    <col min="9719" max="9719" width="9.85546875" style="60" customWidth="1"/>
    <col min="9720" max="9720" width="10.140625" style="60" customWidth="1"/>
    <col min="9721" max="9721" width="12.28515625" style="60" customWidth="1"/>
    <col min="9722" max="9722" width="15.42578125" style="60" customWidth="1"/>
    <col min="9723" max="9723" width="11.85546875" style="60" customWidth="1"/>
    <col min="9724" max="9724" width="13.28515625" style="60" customWidth="1"/>
    <col min="9725" max="9725" width="15.28515625" style="60" customWidth="1"/>
    <col min="9726" max="9726" width="11.85546875" style="60" customWidth="1"/>
    <col min="9727" max="9727" width="6.140625" style="60" customWidth="1"/>
    <col min="9728" max="9728" width="11.85546875" style="60" customWidth="1"/>
    <col min="9729" max="9729" width="9.42578125" style="60" customWidth="1"/>
    <col min="9730" max="9730" width="14.7109375" style="60" customWidth="1"/>
    <col min="9731" max="9731" width="11.5703125" style="60" customWidth="1"/>
    <col min="9732" max="9732" width="0.42578125" style="60" customWidth="1"/>
    <col min="9733" max="9733" width="10.5703125" style="60" bestFit="1" customWidth="1"/>
    <col min="9734" max="9734" width="12.28515625" style="60" customWidth="1"/>
    <col min="9735" max="9735" width="12.5703125" style="60" customWidth="1"/>
    <col min="9736" max="9736" width="10.5703125" style="60" customWidth="1"/>
    <col min="9737" max="9737" width="10.140625" style="60" customWidth="1"/>
    <col min="9738" max="9738" width="8.42578125" style="60" customWidth="1"/>
    <col min="9739" max="9739" width="18.85546875" style="60" customWidth="1"/>
    <col min="9740" max="9740" width="10.28515625" style="60" customWidth="1"/>
    <col min="9741" max="9741" width="11.42578125" style="60"/>
    <col min="9742" max="9742" width="12.140625" style="60" customWidth="1"/>
    <col min="9743" max="9743" width="10.5703125" style="60" customWidth="1"/>
    <col min="9744" max="9744" width="12.42578125" style="60" customWidth="1"/>
    <col min="9745" max="9745" width="15.140625" style="60" customWidth="1"/>
    <col min="9746" max="9746" width="13.5703125" style="60" customWidth="1"/>
    <col min="9747" max="9747" width="13.140625" style="60" customWidth="1"/>
    <col min="9748" max="9748" width="15.7109375" style="60" customWidth="1"/>
    <col min="9749" max="9749" width="37.5703125" style="60" customWidth="1"/>
    <col min="9750" max="9971" width="11.42578125" style="60"/>
    <col min="9972" max="9972" width="10.5703125" style="60" customWidth="1"/>
    <col min="9973" max="9973" width="4.85546875" style="60" customWidth="1"/>
    <col min="9974" max="9974" width="32.42578125" style="60" customWidth="1"/>
    <col min="9975" max="9975" width="9.85546875" style="60" customWidth="1"/>
    <col min="9976" max="9976" width="10.140625" style="60" customWidth="1"/>
    <col min="9977" max="9977" width="12.28515625" style="60" customWidth="1"/>
    <col min="9978" max="9978" width="15.42578125" style="60" customWidth="1"/>
    <col min="9979" max="9979" width="11.85546875" style="60" customWidth="1"/>
    <col min="9980" max="9980" width="13.28515625" style="60" customWidth="1"/>
    <col min="9981" max="9981" width="15.28515625" style="60" customWidth="1"/>
    <col min="9982" max="9982" width="11.85546875" style="60" customWidth="1"/>
    <col min="9983" max="9983" width="6.140625" style="60" customWidth="1"/>
    <col min="9984" max="9984" width="11.85546875" style="60" customWidth="1"/>
    <col min="9985" max="9985" width="9.42578125" style="60" customWidth="1"/>
    <col min="9986" max="9986" width="14.7109375" style="60" customWidth="1"/>
    <col min="9987" max="9987" width="11.5703125" style="60" customWidth="1"/>
    <col min="9988" max="9988" width="0.42578125" style="60" customWidth="1"/>
    <col min="9989" max="9989" width="10.5703125" style="60" bestFit="1" customWidth="1"/>
    <col min="9990" max="9990" width="12.28515625" style="60" customWidth="1"/>
    <col min="9991" max="9991" width="12.5703125" style="60" customWidth="1"/>
    <col min="9992" max="9992" width="10.5703125" style="60" customWidth="1"/>
    <col min="9993" max="9993" width="10.140625" style="60" customWidth="1"/>
    <col min="9994" max="9994" width="8.42578125" style="60" customWidth="1"/>
    <col min="9995" max="9995" width="18.85546875" style="60" customWidth="1"/>
    <col min="9996" max="9996" width="10.28515625" style="60" customWidth="1"/>
    <col min="9997" max="9997" width="11.42578125" style="60"/>
    <col min="9998" max="9998" width="12.140625" style="60" customWidth="1"/>
    <col min="9999" max="9999" width="10.5703125" style="60" customWidth="1"/>
    <col min="10000" max="10000" width="12.42578125" style="60" customWidth="1"/>
    <col min="10001" max="10001" width="15.140625" style="60" customWidth="1"/>
    <col min="10002" max="10002" width="13.5703125" style="60" customWidth="1"/>
    <col min="10003" max="10003" width="13.140625" style="60" customWidth="1"/>
    <col min="10004" max="10004" width="15.7109375" style="60" customWidth="1"/>
    <col min="10005" max="10005" width="37.5703125" style="60" customWidth="1"/>
    <col min="10006" max="10227" width="11.42578125" style="60"/>
    <col min="10228" max="10228" width="10.5703125" style="60" customWidth="1"/>
    <col min="10229" max="10229" width="4.85546875" style="60" customWidth="1"/>
    <col min="10230" max="10230" width="32.42578125" style="60" customWidth="1"/>
    <col min="10231" max="10231" width="9.85546875" style="60" customWidth="1"/>
    <col min="10232" max="10232" width="10.140625" style="60" customWidth="1"/>
    <col min="10233" max="10233" width="12.28515625" style="60" customWidth="1"/>
    <col min="10234" max="10234" width="15.42578125" style="60" customWidth="1"/>
    <col min="10235" max="10235" width="11.85546875" style="60" customWidth="1"/>
    <col min="10236" max="10236" width="13.28515625" style="60" customWidth="1"/>
    <col min="10237" max="10237" width="15.28515625" style="60" customWidth="1"/>
    <col min="10238" max="10238" width="11.85546875" style="60" customWidth="1"/>
    <col min="10239" max="10239" width="6.140625" style="60" customWidth="1"/>
    <col min="10240" max="10240" width="11.85546875" style="60" customWidth="1"/>
    <col min="10241" max="10241" width="9.42578125" style="60" customWidth="1"/>
    <col min="10242" max="10242" width="14.7109375" style="60" customWidth="1"/>
    <col min="10243" max="10243" width="11.5703125" style="60" customWidth="1"/>
    <col min="10244" max="10244" width="0.42578125" style="60" customWidth="1"/>
    <col min="10245" max="10245" width="10.5703125" style="60" bestFit="1" customWidth="1"/>
    <col min="10246" max="10246" width="12.28515625" style="60" customWidth="1"/>
    <col min="10247" max="10247" width="12.5703125" style="60" customWidth="1"/>
    <col min="10248" max="10248" width="10.5703125" style="60" customWidth="1"/>
    <col min="10249" max="10249" width="10.140625" style="60" customWidth="1"/>
    <col min="10250" max="10250" width="8.42578125" style="60" customWidth="1"/>
    <col min="10251" max="10251" width="18.85546875" style="60" customWidth="1"/>
    <col min="10252" max="10252" width="10.28515625" style="60" customWidth="1"/>
    <col min="10253" max="10253" width="11.42578125" style="60"/>
    <col min="10254" max="10254" width="12.140625" style="60" customWidth="1"/>
    <col min="10255" max="10255" width="10.5703125" style="60" customWidth="1"/>
    <col min="10256" max="10256" width="12.42578125" style="60" customWidth="1"/>
    <col min="10257" max="10257" width="15.140625" style="60" customWidth="1"/>
    <col min="10258" max="10258" width="13.5703125" style="60" customWidth="1"/>
    <col min="10259" max="10259" width="13.140625" style="60" customWidth="1"/>
    <col min="10260" max="10260" width="15.7109375" style="60" customWidth="1"/>
    <col min="10261" max="10261" width="37.5703125" style="60" customWidth="1"/>
    <col min="10262" max="10483" width="11.42578125" style="60"/>
    <col min="10484" max="10484" width="10.5703125" style="60" customWidth="1"/>
    <col min="10485" max="10485" width="4.85546875" style="60" customWidth="1"/>
    <col min="10486" max="10486" width="32.42578125" style="60" customWidth="1"/>
    <col min="10487" max="10487" width="9.85546875" style="60" customWidth="1"/>
    <col min="10488" max="10488" width="10.140625" style="60" customWidth="1"/>
    <col min="10489" max="10489" width="12.28515625" style="60" customWidth="1"/>
    <col min="10490" max="10490" width="15.42578125" style="60" customWidth="1"/>
    <col min="10491" max="10491" width="11.85546875" style="60" customWidth="1"/>
    <col min="10492" max="10492" width="13.28515625" style="60" customWidth="1"/>
    <col min="10493" max="10493" width="15.28515625" style="60" customWidth="1"/>
    <col min="10494" max="10494" width="11.85546875" style="60" customWidth="1"/>
    <col min="10495" max="10495" width="6.140625" style="60" customWidth="1"/>
    <col min="10496" max="10496" width="11.85546875" style="60" customWidth="1"/>
    <col min="10497" max="10497" width="9.42578125" style="60" customWidth="1"/>
    <col min="10498" max="10498" width="14.7109375" style="60" customWidth="1"/>
    <col min="10499" max="10499" width="11.5703125" style="60" customWidth="1"/>
    <col min="10500" max="10500" width="0.42578125" style="60" customWidth="1"/>
    <col min="10501" max="10501" width="10.5703125" style="60" bestFit="1" customWidth="1"/>
    <col min="10502" max="10502" width="12.28515625" style="60" customWidth="1"/>
    <col min="10503" max="10503" width="12.5703125" style="60" customWidth="1"/>
    <col min="10504" max="10504" width="10.5703125" style="60" customWidth="1"/>
    <col min="10505" max="10505" width="10.140625" style="60" customWidth="1"/>
    <col min="10506" max="10506" width="8.42578125" style="60" customWidth="1"/>
    <col min="10507" max="10507" width="18.85546875" style="60" customWidth="1"/>
    <col min="10508" max="10508" width="10.28515625" style="60" customWidth="1"/>
    <col min="10509" max="10509" width="11.42578125" style="60"/>
    <col min="10510" max="10510" width="12.140625" style="60" customWidth="1"/>
    <col min="10511" max="10511" width="10.5703125" style="60" customWidth="1"/>
    <col min="10512" max="10512" width="12.42578125" style="60" customWidth="1"/>
    <col min="10513" max="10513" width="15.140625" style="60" customWidth="1"/>
    <col min="10514" max="10514" width="13.5703125" style="60" customWidth="1"/>
    <col min="10515" max="10515" width="13.140625" style="60" customWidth="1"/>
    <col min="10516" max="10516" width="15.7109375" style="60" customWidth="1"/>
    <col min="10517" max="10517" width="37.5703125" style="60" customWidth="1"/>
    <col min="10518" max="10739" width="11.42578125" style="60"/>
    <col min="10740" max="10740" width="10.5703125" style="60" customWidth="1"/>
    <col min="10741" max="10741" width="4.85546875" style="60" customWidth="1"/>
    <col min="10742" max="10742" width="32.42578125" style="60" customWidth="1"/>
    <col min="10743" max="10743" width="9.85546875" style="60" customWidth="1"/>
    <col min="10744" max="10744" width="10.140625" style="60" customWidth="1"/>
    <col min="10745" max="10745" width="12.28515625" style="60" customWidth="1"/>
    <col min="10746" max="10746" width="15.42578125" style="60" customWidth="1"/>
    <col min="10747" max="10747" width="11.85546875" style="60" customWidth="1"/>
    <col min="10748" max="10748" width="13.28515625" style="60" customWidth="1"/>
    <col min="10749" max="10749" width="15.28515625" style="60" customWidth="1"/>
    <col min="10750" max="10750" width="11.85546875" style="60" customWidth="1"/>
    <col min="10751" max="10751" width="6.140625" style="60" customWidth="1"/>
    <col min="10752" max="10752" width="11.85546875" style="60" customWidth="1"/>
    <col min="10753" max="10753" width="9.42578125" style="60" customWidth="1"/>
    <col min="10754" max="10754" width="14.7109375" style="60" customWidth="1"/>
    <col min="10755" max="10755" width="11.5703125" style="60" customWidth="1"/>
    <col min="10756" max="10756" width="0.42578125" style="60" customWidth="1"/>
    <col min="10757" max="10757" width="10.5703125" style="60" bestFit="1" customWidth="1"/>
    <col min="10758" max="10758" width="12.28515625" style="60" customWidth="1"/>
    <col min="10759" max="10759" width="12.5703125" style="60" customWidth="1"/>
    <col min="10760" max="10760" width="10.5703125" style="60" customWidth="1"/>
    <col min="10761" max="10761" width="10.140625" style="60" customWidth="1"/>
    <col min="10762" max="10762" width="8.42578125" style="60" customWidth="1"/>
    <col min="10763" max="10763" width="18.85546875" style="60" customWidth="1"/>
    <col min="10764" max="10764" width="10.28515625" style="60" customWidth="1"/>
    <col min="10765" max="10765" width="11.42578125" style="60"/>
    <col min="10766" max="10766" width="12.140625" style="60" customWidth="1"/>
    <col min="10767" max="10767" width="10.5703125" style="60" customWidth="1"/>
    <col min="10768" max="10768" width="12.42578125" style="60" customWidth="1"/>
    <col min="10769" max="10769" width="15.140625" style="60" customWidth="1"/>
    <col min="10770" max="10770" width="13.5703125" style="60" customWidth="1"/>
    <col min="10771" max="10771" width="13.140625" style="60" customWidth="1"/>
    <col min="10772" max="10772" width="15.7109375" style="60" customWidth="1"/>
    <col min="10773" max="10773" width="37.5703125" style="60" customWidth="1"/>
    <col min="10774" max="10995" width="11.42578125" style="60"/>
    <col min="10996" max="10996" width="10.5703125" style="60" customWidth="1"/>
    <col min="10997" max="10997" width="4.85546875" style="60" customWidth="1"/>
    <col min="10998" max="10998" width="32.42578125" style="60" customWidth="1"/>
    <col min="10999" max="10999" width="9.85546875" style="60" customWidth="1"/>
    <col min="11000" max="11000" width="10.140625" style="60" customWidth="1"/>
    <col min="11001" max="11001" width="12.28515625" style="60" customWidth="1"/>
    <col min="11002" max="11002" width="15.42578125" style="60" customWidth="1"/>
    <col min="11003" max="11003" width="11.85546875" style="60" customWidth="1"/>
    <col min="11004" max="11004" width="13.28515625" style="60" customWidth="1"/>
    <col min="11005" max="11005" width="15.28515625" style="60" customWidth="1"/>
    <col min="11006" max="11006" width="11.85546875" style="60" customWidth="1"/>
    <col min="11007" max="11007" width="6.140625" style="60" customWidth="1"/>
    <col min="11008" max="11008" width="11.85546875" style="60" customWidth="1"/>
    <col min="11009" max="11009" width="9.42578125" style="60" customWidth="1"/>
    <col min="11010" max="11010" width="14.7109375" style="60" customWidth="1"/>
    <col min="11011" max="11011" width="11.5703125" style="60" customWidth="1"/>
    <col min="11012" max="11012" width="0.42578125" style="60" customWidth="1"/>
    <col min="11013" max="11013" width="10.5703125" style="60" bestFit="1" customWidth="1"/>
    <col min="11014" max="11014" width="12.28515625" style="60" customWidth="1"/>
    <col min="11015" max="11015" width="12.5703125" style="60" customWidth="1"/>
    <col min="11016" max="11016" width="10.5703125" style="60" customWidth="1"/>
    <col min="11017" max="11017" width="10.140625" style="60" customWidth="1"/>
    <col min="11018" max="11018" width="8.42578125" style="60" customWidth="1"/>
    <col min="11019" max="11019" width="18.85546875" style="60" customWidth="1"/>
    <col min="11020" max="11020" width="10.28515625" style="60" customWidth="1"/>
    <col min="11021" max="11021" width="11.42578125" style="60"/>
    <col min="11022" max="11022" width="12.140625" style="60" customWidth="1"/>
    <col min="11023" max="11023" width="10.5703125" style="60" customWidth="1"/>
    <col min="11024" max="11024" width="12.42578125" style="60" customWidth="1"/>
    <col min="11025" max="11025" width="15.140625" style="60" customWidth="1"/>
    <col min="11026" max="11026" width="13.5703125" style="60" customWidth="1"/>
    <col min="11027" max="11027" width="13.140625" style="60" customWidth="1"/>
    <col min="11028" max="11028" width="15.7109375" style="60" customWidth="1"/>
    <col min="11029" max="11029" width="37.5703125" style="60" customWidth="1"/>
    <col min="11030" max="11251" width="11.42578125" style="60"/>
    <col min="11252" max="11252" width="10.5703125" style="60" customWidth="1"/>
    <col min="11253" max="11253" width="4.85546875" style="60" customWidth="1"/>
    <col min="11254" max="11254" width="32.42578125" style="60" customWidth="1"/>
    <col min="11255" max="11255" width="9.85546875" style="60" customWidth="1"/>
    <col min="11256" max="11256" width="10.140625" style="60" customWidth="1"/>
    <col min="11257" max="11257" width="12.28515625" style="60" customWidth="1"/>
    <col min="11258" max="11258" width="15.42578125" style="60" customWidth="1"/>
    <col min="11259" max="11259" width="11.85546875" style="60" customWidth="1"/>
    <col min="11260" max="11260" width="13.28515625" style="60" customWidth="1"/>
    <col min="11261" max="11261" width="15.28515625" style="60" customWidth="1"/>
    <col min="11262" max="11262" width="11.85546875" style="60" customWidth="1"/>
    <col min="11263" max="11263" width="6.140625" style="60" customWidth="1"/>
    <col min="11264" max="11264" width="11.85546875" style="60" customWidth="1"/>
    <col min="11265" max="11265" width="9.42578125" style="60" customWidth="1"/>
    <col min="11266" max="11266" width="14.7109375" style="60" customWidth="1"/>
    <col min="11267" max="11267" width="11.5703125" style="60" customWidth="1"/>
    <col min="11268" max="11268" width="0.42578125" style="60" customWidth="1"/>
    <col min="11269" max="11269" width="10.5703125" style="60" bestFit="1" customWidth="1"/>
    <col min="11270" max="11270" width="12.28515625" style="60" customWidth="1"/>
    <col min="11271" max="11271" width="12.5703125" style="60" customWidth="1"/>
    <col min="11272" max="11272" width="10.5703125" style="60" customWidth="1"/>
    <col min="11273" max="11273" width="10.140625" style="60" customWidth="1"/>
    <col min="11274" max="11274" width="8.42578125" style="60" customWidth="1"/>
    <col min="11275" max="11275" width="18.85546875" style="60" customWidth="1"/>
    <col min="11276" max="11276" width="10.28515625" style="60" customWidth="1"/>
    <col min="11277" max="11277" width="11.42578125" style="60"/>
    <col min="11278" max="11278" width="12.140625" style="60" customWidth="1"/>
    <col min="11279" max="11279" width="10.5703125" style="60" customWidth="1"/>
    <col min="11280" max="11280" width="12.42578125" style="60" customWidth="1"/>
    <col min="11281" max="11281" width="15.140625" style="60" customWidth="1"/>
    <col min="11282" max="11282" width="13.5703125" style="60" customWidth="1"/>
    <col min="11283" max="11283" width="13.140625" style="60" customWidth="1"/>
    <col min="11284" max="11284" width="15.7109375" style="60" customWidth="1"/>
    <col min="11285" max="11285" width="37.5703125" style="60" customWidth="1"/>
    <col min="11286" max="11507" width="11.42578125" style="60"/>
    <col min="11508" max="11508" width="10.5703125" style="60" customWidth="1"/>
    <col min="11509" max="11509" width="4.85546875" style="60" customWidth="1"/>
    <col min="11510" max="11510" width="32.42578125" style="60" customWidth="1"/>
    <col min="11511" max="11511" width="9.85546875" style="60" customWidth="1"/>
    <col min="11512" max="11512" width="10.140625" style="60" customWidth="1"/>
    <col min="11513" max="11513" width="12.28515625" style="60" customWidth="1"/>
    <col min="11514" max="11514" width="15.42578125" style="60" customWidth="1"/>
    <col min="11515" max="11515" width="11.85546875" style="60" customWidth="1"/>
    <col min="11516" max="11516" width="13.28515625" style="60" customWidth="1"/>
    <col min="11517" max="11517" width="15.28515625" style="60" customWidth="1"/>
    <col min="11518" max="11518" width="11.85546875" style="60" customWidth="1"/>
    <col min="11519" max="11519" width="6.140625" style="60" customWidth="1"/>
    <col min="11520" max="11520" width="11.85546875" style="60" customWidth="1"/>
    <col min="11521" max="11521" width="9.42578125" style="60" customWidth="1"/>
    <col min="11522" max="11522" width="14.7109375" style="60" customWidth="1"/>
    <col min="11523" max="11523" width="11.5703125" style="60" customWidth="1"/>
    <col min="11524" max="11524" width="0.42578125" style="60" customWidth="1"/>
    <col min="11525" max="11525" width="10.5703125" style="60" bestFit="1" customWidth="1"/>
    <col min="11526" max="11526" width="12.28515625" style="60" customWidth="1"/>
    <col min="11527" max="11527" width="12.5703125" style="60" customWidth="1"/>
    <col min="11528" max="11528" width="10.5703125" style="60" customWidth="1"/>
    <col min="11529" max="11529" width="10.140625" style="60" customWidth="1"/>
    <col min="11530" max="11530" width="8.42578125" style="60" customWidth="1"/>
    <col min="11531" max="11531" width="18.85546875" style="60" customWidth="1"/>
    <col min="11532" max="11532" width="10.28515625" style="60" customWidth="1"/>
    <col min="11533" max="11533" width="11.42578125" style="60"/>
    <col min="11534" max="11534" width="12.140625" style="60" customWidth="1"/>
    <col min="11535" max="11535" width="10.5703125" style="60" customWidth="1"/>
    <col min="11536" max="11536" width="12.42578125" style="60" customWidth="1"/>
    <col min="11537" max="11537" width="15.140625" style="60" customWidth="1"/>
    <col min="11538" max="11538" width="13.5703125" style="60" customWidth="1"/>
    <col min="11539" max="11539" width="13.140625" style="60" customWidth="1"/>
    <col min="11540" max="11540" width="15.7109375" style="60" customWidth="1"/>
    <col min="11541" max="11541" width="37.5703125" style="60" customWidth="1"/>
    <col min="11542" max="11763" width="11.42578125" style="60"/>
    <col min="11764" max="11764" width="10.5703125" style="60" customWidth="1"/>
    <col min="11765" max="11765" width="4.85546875" style="60" customWidth="1"/>
    <col min="11766" max="11766" width="32.42578125" style="60" customWidth="1"/>
    <col min="11767" max="11767" width="9.85546875" style="60" customWidth="1"/>
    <col min="11768" max="11768" width="10.140625" style="60" customWidth="1"/>
    <col min="11769" max="11769" width="12.28515625" style="60" customWidth="1"/>
    <col min="11770" max="11770" width="15.42578125" style="60" customWidth="1"/>
    <col min="11771" max="11771" width="11.85546875" style="60" customWidth="1"/>
    <col min="11772" max="11772" width="13.28515625" style="60" customWidth="1"/>
    <col min="11773" max="11773" width="15.28515625" style="60" customWidth="1"/>
    <col min="11774" max="11774" width="11.85546875" style="60" customWidth="1"/>
    <col min="11775" max="11775" width="6.140625" style="60" customWidth="1"/>
    <col min="11776" max="11776" width="11.85546875" style="60" customWidth="1"/>
    <col min="11777" max="11777" width="9.42578125" style="60" customWidth="1"/>
    <col min="11778" max="11778" width="14.7109375" style="60" customWidth="1"/>
    <col min="11779" max="11779" width="11.5703125" style="60" customWidth="1"/>
    <col min="11780" max="11780" width="0.42578125" style="60" customWidth="1"/>
    <col min="11781" max="11781" width="10.5703125" style="60" bestFit="1" customWidth="1"/>
    <col min="11782" max="11782" width="12.28515625" style="60" customWidth="1"/>
    <col min="11783" max="11783" width="12.5703125" style="60" customWidth="1"/>
    <col min="11784" max="11784" width="10.5703125" style="60" customWidth="1"/>
    <col min="11785" max="11785" width="10.140625" style="60" customWidth="1"/>
    <col min="11786" max="11786" width="8.42578125" style="60" customWidth="1"/>
    <col min="11787" max="11787" width="18.85546875" style="60" customWidth="1"/>
    <col min="11788" max="11788" width="10.28515625" style="60" customWidth="1"/>
    <col min="11789" max="11789" width="11.42578125" style="60"/>
    <col min="11790" max="11790" width="12.140625" style="60" customWidth="1"/>
    <col min="11791" max="11791" width="10.5703125" style="60" customWidth="1"/>
    <col min="11792" max="11792" width="12.42578125" style="60" customWidth="1"/>
    <col min="11793" max="11793" width="15.140625" style="60" customWidth="1"/>
    <col min="11794" max="11794" width="13.5703125" style="60" customWidth="1"/>
    <col min="11795" max="11795" width="13.140625" style="60" customWidth="1"/>
    <col min="11796" max="11796" width="15.7109375" style="60" customWidth="1"/>
    <col min="11797" max="11797" width="37.5703125" style="60" customWidth="1"/>
    <col min="11798" max="12019" width="11.42578125" style="60"/>
    <col min="12020" max="12020" width="10.5703125" style="60" customWidth="1"/>
    <col min="12021" max="12021" width="4.85546875" style="60" customWidth="1"/>
    <col min="12022" max="12022" width="32.42578125" style="60" customWidth="1"/>
    <col min="12023" max="12023" width="9.85546875" style="60" customWidth="1"/>
    <col min="12024" max="12024" width="10.140625" style="60" customWidth="1"/>
    <col min="12025" max="12025" width="12.28515625" style="60" customWidth="1"/>
    <col min="12026" max="12026" width="15.42578125" style="60" customWidth="1"/>
    <col min="12027" max="12027" width="11.85546875" style="60" customWidth="1"/>
    <col min="12028" max="12028" width="13.28515625" style="60" customWidth="1"/>
    <col min="12029" max="12029" width="15.28515625" style="60" customWidth="1"/>
    <col min="12030" max="12030" width="11.85546875" style="60" customWidth="1"/>
    <col min="12031" max="12031" width="6.140625" style="60" customWidth="1"/>
    <col min="12032" max="12032" width="11.85546875" style="60" customWidth="1"/>
    <col min="12033" max="12033" width="9.42578125" style="60" customWidth="1"/>
    <col min="12034" max="12034" width="14.7109375" style="60" customWidth="1"/>
    <col min="12035" max="12035" width="11.5703125" style="60" customWidth="1"/>
    <col min="12036" max="12036" width="0.42578125" style="60" customWidth="1"/>
    <col min="12037" max="12037" width="10.5703125" style="60" bestFit="1" customWidth="1"/>
    <col min="12038" max="12038" width="12.28515625" style="60" customWidth="1"/>
    <col min="12039" max="12039" width="12.5703125" style="60" customWidth="1"/>
    <col min="12040" max="12040" width="10.5703125" style="60" customWidth="1"/>
    <col min="12041" max="12041" width="10.140625" style="60" customWidth="1"/>
    <col min="12042" max="12042" width="8.42578125" style="60" customWidth="1"/>
    <col min="12043" max="12043" width="18.85546875" style="60" customWidth="1"/>
    <col min="12044" max="12044" width="10.28515625" style="60" customWidth="1"/>
    <col min="12045" max="12045" width="11.42578125" style="60"/>
    <col min="12046" max="12046" width="12.140625" style="60" customWidth="1"/>
    <col min="12047" max="12047" width="10.5703125" style="60" customWidth="1"/>
    <col min="12048" max="12048" width="12.42578125" style="60" customWidth="1"/>
    <col min="12049" max="12049" width="15.140625" style="60" customWidth="1"/>
    <col min="12050" max="12050" width="13.5703125" style="60" customWidth="1"/>
    <col min="12051" max="12051" width="13.140625" style="60" customWidth="1"/>
    <col min="12052" max="12052" width="15.7109375" style="60" customWidth="1"/>
    <col min="12053" max="12053" width="37.5703125" style="60" customWidth="1"/>
    <col min="12054" max="12275" width="11.42578125" style="60"/>
    <col min="12276" max="12276" width="10.5703125" style="60" customWidth="1"/>
    <col min="12277" max="12277" width="4.85546875" style="60" customWidth="1"/>
    <col min="12278" max="12278" width="32.42578125" style="60" customWidth="1"/>
    <col min="12279" max="12279" width="9.85546875" style="60" customWidth="1"/>
    <col min="12280" max="12280" width="10.140625" style="60" customWidth="1"/>
    <col min="12281" max="12281" width="12.28515625" style="60" customWidth="1"/>
    <col min="12282" max="12282" width="15.42578125" style="60" customWidth="1"/>
    <col min="12283" max="12283" width="11.85546875" style="60" customWidth="1"/>
    <col min="12284" max="12284" width="13.28515625" style="60" customWidth="1"/>
    <col min="12285" max="12285" width="15.28515625" style="60" customWidth="1"/>
    <col min="12286" max="12286" width="11.85546875" style="60" customWidth="1"/>
    <col min="12287" max="12287" width="6.140625" style="60" customWidth="1"/>
    <col min="12288" max="12288" width="11.85546875" style="60" customWidth="1"/>
    <col min="12289" max="12289" width="9.42578125" style="60" customWidth="1"/>
    <col min="12290" max="12290" width="14.7109375" style="60" customWidth="1"/>
    <col min="12291" max="12291" width="11.5703125" style="60" customWidth="1"/>
    <col min="12292" max="12292" width="0.42578125" style="60" customWidth="1"/>
    <col min="12293" max="12293" width="10.5703125" style="60" bestFit="1" customWidth="1"/>
    <col min="12294" max="12294" width="12.28515625" style="60" customWidth="1"/>
    <col min="12295" max="12295" width="12.5703125" style="60" customWidth="1"/>
    <col min="12296" max="12296" width="10.5703125" style="60" customWidth="1"/>
    <col min="12297" max="12297" width="10.140625" style="60" customWidth="1"/>
    <col min="12298" max="12298" width="8.42578125" style="60" customWidth="1"/>
    <col min="12299" max="12299" width="18.85546875" style="60" customWidth="1"/>
    <col min="12300" max="12300" width="10.28515625" style="60" customWidth="1"/>
    <col min="12301" max="12301" width="11.42578125" style="60"/>
    <col min="12302" max="12302" width="12.140625" style="60" customWidth="1"/>
    <col min="12303" max="12303" width="10.5703125" style="60" customWidth="1"/>
    <col min="12304" max="12304" width="12.42578125" style="60" customWidth="1"/>
    <col min="12305" max="12305" width="15.140625" style="60" customWidth="1"/>
    <col min="12306" max="12306" width="13.5703125" style="60" customWidth="1"/>
    <col min="12307" max="12307" width="13.140625" style="60" customWidth="1"/>
    <col min="12308" max="12308" width="15.7109375" style="60" customWidth="1"/>
    <col min="12309" max="12309" width="37.5703125" style="60" customWidth="1"/>
    <col min="12310" max="12531" width="11.42578125" style="60"/>
    <col min="12532" max="12532" width="10.5703125" style="60" customWidth="1"/>
    <col min="12533" max="12533" width="4.85546875" style="60" customWidth="1"/>
    <col min="12534" max="12534" width="32.42578125" style="60" customWidth="1"/>
    <col min="12535" max="12535" width="9.85546875" style="60" customWidth="1"/>
    <col min="12536" max="12536" width="10.140625" style="60" customWidth="1"/>
    <col min="12537" max="12537" width="12.28515625" style="60" customWidth="1"/>
    <col min="12538" max="12538" width="15.42578125" style="60" customWidth="1"/>
    <col min="12539" max="12539" width="11.85546875" style="60" customWidth="1"/>
    <col min="12540" max="12540" width="13.28515625" style="60" customWidth="1"/>
    <col min="12541" max="12541" width="15.28515625" style="60" customWidth="1"/>
    <col min="12542" max="12542" width="11.85546875" style="60" customWidth="1"/>
    <col min="12543" max="12543" width="6.140625" style="60" customWidth="1"/>
    <col min="12544" max="12544" width="11.85546875" style="60" customWidth="1"/>
    <col min="12545" max="12545" width="9.42578125" style="60" customWidth="1"/>
    <col min="12546" max="12546" width="14.7109375" style="60" customWidth="1"/>
    <col min="12547" max="12547" width="11.5703125" style="60" customWidth="1"/>
    <col min="12548" max="12548" width="0.42578125" style="60" customWidth="1"/>
    <col min="12549" max="12549" width="10.5703125" style="60" bestFit="1" customWidth="1"/>
    <col min="12550" max="12550" width="12.28515625" style="60" customWidth="1"/>
    <col min="12551" max="12551" width="12.5703125" style="60" customWidth="1"/>
    <col min="12552" max="12552" width="10.5703125" style="60" customWidth="1"/>
    <col min="12553" max="12553" width="10.140625" style="60" customWidth="1"/>
    <col min="12554" max="12554" width="8.42578125" style="60" customWidth="1"/>
    <col min="12555" max="12555" width="18.85546875" style="60" customWidth="1"/>
    <col min="12556" max="12556" width="10.28515625" style="60" customWidth="1"/>
    <col min="12557" max="12557" width="11.42578125" style="60"/>
    <col min="12558" max="12558" width="12.140625" style="60" customWidth="1"/>
    <col min="12559" max="12559" width="10.5703125" style="60" customWidth="1"/>
    <col min="12560" max="12560" width="12.42578125" style="60" customWidth="1"/>
    <col min="12561" max="12561" width="15.140625" style="60" customWidth="1"/>
    <col min="12562" max="12562" width="13.5703125" style="60" customWidth="1"/>
    <col min="12563" max="12563" width="13.140625" style="60" customWidth="1"/>
    <col min="12564" max="12564" width="15.7109375" style="60" customWidth="1"/>
    <col min="12565" max="12565" width="37.5703125" style="60" customWidth="1"/>
    <col min="12566" max="12787" width="11.42578125" style="60"/>
    <col min="12788" max="12788" width="10.5703125" style="60" customWidth="1"/>
    <col min="12789" max="12789" width="4.85546875" style="60" customWidth="1"/>
    <col min="12790" max="12790" width="32.42578125" style="60" customWidth="1"/>
    <col min="12791" max="12791" width="9.85546875" style="60" customWidth="1"/>
    <col min="12792" max="12792" width="10.140625" style="60" customWidth="1"/>
    <col min="12793" max="12793" width="12.28515625" style="60" customWidth="1"/>
    <col min="12794" max="12794" width="15.42578125" style="60" customWidth="1"/>
    <col min="12795" max="12795" width="11.85546875" style="60" customWidth="1"/>
    <col min="12796" max="12796" width="13.28515625" style="60" customWidth="1"/>
    <col min="12797" max="12797" width="15.28515625" style="60" customWidth="1"/>
    <col min="12798" max="12798" width="11.85546875" style="60" customWidth="1"/>
    <col min="12799" max="12799" width="6.140625" style="60" customWidth="1"/>
    <col min="12800" max="12800" width="11.85546875" style="60" customWidth="1"/>
    <col min="12801" max="12801" width="9.42578125" style="60" customWidth="1"/>
    <col min="12802" max="12802" width="14.7109375" style="60" customWidth="1"/>
    <col min="12803" max="12803" width="11.5703125" style="60" customWidth="1"/>
    <col min="12804" max="12804" width="0.42578125" style="60" customWidth="1"/>
    <col min="12805" max="12805" width="10.5703125" style="60" bestFit="1" customWidth="1"/>
    <col min="12806" max="12806" width="12.28515625" style="60" customWidth="1"/>
    <col min="12807" max="12807" width="12.5703125" style="60" customWidth="1"/>
    <col min="12808" max="12808" width="10.5703125" style="60" customWidth="1"/>
    <col min="12809" max="12809" width="10.140625" style="60" customWidth="1"/>
    <col min="12810" max="12810" width="8.42578125" style="60" customWidth="1"/>
    <col min="12811" max="12811" width="18.85546875" style="60" customWidth="1"/>
    <col min="12812" max="12812" width="10.28515625" style="60" customWidth="1"/>
    <col min="12813" max="12813" width="11.42578125" style="60"/>
    <col min="12814" max="12814" width="12.140625" style="60" customWidth="1"/>
    <col min="12815" max="12815" width="10.5703125" style="60" customWidth="1"/>
    <col min="12816" max="12816" width="12.42578125" style="60" customWidth="1"/>
    <col min="12817" max="12817" width="15.140625" style="60" customWidth="1"/>
    <col min="12818" max="12818" width="13.5703125" style="60" customWidth="1"/>
    <col min="12819" max="12819" width="13.140625" style="60" customWidth="1"/>
    <col min="12820" max="12820" width="15.7109375" style="60" customWidth="1"/>
    <col min="12821" max="12821" width="37.5703125" style="60" customWidth="1"/>
    <col min="12822" max="13043" width="11.42578125" style="60"/>
    <col min="13044" max="13044" width="10.5703125" style="60" customWidth="1"/>
    <col min="13045" max="13045" width="4.85546875" style="60" customWidth="1"/>
    <col min="13046" max="13046" width="32.42578125" style="60" customWidth="1"/>
    <col min="13047" max="13047" width="9.85546875" style="60" customWidth="1"/>
    <col min="13048" max="13048" width="10.140625" style="60" customWidth="1"/>
    <col min="13049" max="13049" width="12.28515625" style="60" customWidth="1"/>
    <col min="13050" max="13050" width="15.42578125" style="60" customWidth="1"/>
    <col min="13051" max="13051" width="11.85546875" style="60" customWidth="1"/>
    <col min="13052" max="13052" width="13.28515625" style="60" customWidth="1"/>
    <col min="13053" max="13053" width="15.28515625" style="60" customWidth="1"/>
    <col min="13054" max="13054" width="11.85546875" style="60" customWidth="1"/>
    <col min="13055" max="13055" width="6.140625" style="60" customWidth="1"/>
    <col min="13056" max="13056" width="11.85546875" style="60" customWidth="1"/>
    <col min="13057" max="13057" width="9.42578125" style="60" customWidth="1"/>
    <col min="13058" max="13058" width="14.7109375" style="60" customWidth="1"/>
    <col min="13059" max="13059" width="11.5703125" style="60" customWidth="1"/>
    <col min="13060" max="13060" width="0.42578125" style="60" customWidth="1"/>
    <col min="13061" max="13061" width="10.5703125" style="60" bestFit="1" customWidth="1"/>
    <col min="13062" max="13062" width="12.28515625" style="60" customWidth="1"/>
    <col min="13063" max="13063" width="12.5703125" style="60" customWidth="1"/>
    <col min="13064" max="13064" width="10.5703125" style="60" customWidth="1"/>
    <col min="13065" max="13065" width="10.140625" style="60" customWidth="1"/>
    <col min="13066" max="13066" width="8.42578125" style="60" customWidth="1"/>
    <col min="13067" max="13067" width="18.85546875" style="60" customWidth="1"/>
    <col min="13068" max="13068" width="10.28515625" style="60" customWidth="1"/>
    <col min="13069" max="13069" width="11.42578125" style="60"/>
    <col min="13070" max="13070" width="12.140625" style="60" customWidth="1"/>
    <col min="13071" max="13071" width="10.5703125" style="60" customWidth="1"/>
    <col min="13072" max="13072" width="12.42578125" style="60" customWidth="1"/>
    <col min="13073" max="13073" width="15.140625" style="60" customWidth="1"/>
    <col min="13074" max="13074" width="13.5703125" style="60" customWidth="1"/>
    <col min="13075" max="13075" width="13.140625" style="60" customWidth="1"/>
    <col min="13076" max="13076" width="15.7109375" style="60" customWidth="1"/>
    <col min="13077" max="13077" width="37.5703125" style="60" customWidth="1"/>
    <col min="13078" max="13299" width="11.42578125" style="60"/>
    <col min="13300" max="13300" width="10.5703125" style="60" customWidth="1"/>
    <col min="13301" max="13301" width="4.85546875" style="60" customWidth="1"/>
    <col min="13302" max="13302" width="32.42578125" style="60" customWidth="1"/>
    <col min="13303" max="13303" width="9.85546875" style="60" customWidth="1"/>
    <col min="13304" max="13304" width="10.140625" style="60" customWidth="1"/>
    <col min="13305" max="13305" width="12.28515625" style="60" customWidth="1"/>
    <col min="13306" max="13306" width="15.42578125" style="60" customWidth="1"/>
    <col min="13307" max="13307" width="11.85546875" style="60" customWidth="1"/>
    <col min="13308" max="13308" width="13.28515625" style="60" customWidth="1"/>
    <col min="13309" max="13309" width="15.28515625" style="60" customWidth="1"/>
    <col min="13310" max="13310" width="11.85546875" style="60" customWidth="1"/>
    <col min="13311" max="13311" width="6.140625" style="60" customWidth="1"/>
    <col min="13312" max="13312" width="11.85546875" style="60" customWidth="1"/>
    <col min="13313" max="13313" width="9.42578125" style="60" customWidth="1"/>
    <col min="13314" max="13314" width="14.7109375" style="60" customWidth="1"/>
    <col min="13315" max="13315" width="11.5703125" style="60" customWidth="1"/>
    <col min="13316" max="13316" width="0.42578125" style="60" customWidth="1"/>
    <col min="13317" max="13317" width="10.5703125" style="60" bestFit="1" customWidth="1"/>
    <col min="13318" max="13318" width="12.28515625" style="60" customWidth="1"/>
    <col min="13319" max="13319" width="12.5703125" style="60" customWidth="1"/>
    <col min="13320" max="13320" width="10.5703125" style="60" customWidth="1"/>
    <col min="13321" max="13321" width="10.140625" style="60" customWidth="1"/>
    <col min="13322" max="13322" width="8.42578125" style="60" customWidth="1"/>
    <col min="13323" max="13323" width="18.85546875" style="60" customWidth="1"/>
    <col min="13324" max="13324" width="10.28515625" style="60" customWidth="1"/>
    <col min="13325" max="13325" width="11.42578125" style="60"/>
    <col min="13326" max="13326" width="12.140625" style="60" customWidth="1"/>
    <col min="13327" max="13327" width="10.5703125" style="60" customWidth="1"/>
    <col min="13328" max="13328" width="12.42578125" style="60" customWidth="1"/>
    <col min="13329" max="13329" width="15.140625" style="60" customWidth="1"/>
    <col min="13330" max="13330" width="13.5703125" style="60" customWidth="1"/>
    <col min="13331" max="13331" width="13.140625" style="60" customWidth="1"/>
    <col min="13332" max="13332" width="15.7109375" style="60" customWidth="1"/>
    <col min="13333" max="13333" width="37.5703125" style="60" customWidth="1"/>
    <col min="13334" max="13555" width="11.42578125" style="60"/>
    <col min="13556" max="13556" width="10.5703125" style="60" customWidth="1"/>
    <col min="13557" max="13557" width="4.85546875" style="60" customWidth="1"/>
    <col min="13558" max="13558" width="32.42578125" style="60" customWidth="1"/>
    <col min="13559" max="13559" width="9.85546875" style="60" customWidth="1"/>
    <col min="13560" max="13560" width="10.140625" style="60" customWidth="1"/>
    <col min="13561" max="13561" width="12.28515625" style="60" customWidth="1"/>
    <col min="13562" max="13562" width="15.42578125" style="60" customWidth="1"/>
    <col min="13563" max="13563" width="11.85546875" style="60" customWidth="1"/>
    <col min="13564" max="13564" width="13.28515625" style="60" customWidth="1"/>
    <col min="13565" max="13565" width="15.28515625" style="60" customWidth="1"/>
    <col min="13566" max="13566" width="11.85546875" style="60" customWidth="1"/>
    <col min="13567" max="13567" width="6.140625" style="60" customWidth="1"/>
    <col min="13568" max="13568" width="11.85546875" style="60" customWidth="1"/>
    <col min="13569" max="13569" width="9.42578125" style="60" customWidth="1"/>
    <col min="13570" max="13570" width="14.7109375" style="60" customWidth="1"/>
    <col min="13571" max="13571" width="11.5703125" style="60" customWidth="1"/>
    <col min="13572" max="13572" width="0.42578125" style="60" customWidth="1"/>
    <col min="13573" max="13573" width="10.5703125" style="60" bestFit="1" customWidth="1"/>
    <col min="13574" max="13574" width="12.28515625" style="60" customWidth="1"/>
    <col min="13575" max="13575" width="12.5703125" style="60" customWidth="1"/>
    <col min="13576" max="13576" width="10.5703125" style="60" customWidth="1"/>
    <col min="13577" max="13577" width="10.140625" style="60" customWidth="1"/>
    <col min="13578" max="13578" width="8.42578125" style="60" customWidth="1"/>
    <col min="13579" max="13579" width="18.85546875" style="60" customWidth="1"/>
    <col min="13580" max="13580" width="10.28515625" style="60" customWidth="1"/>
    <col min="13581" max="13581" width="11.42578125" style="60"/>
    <col min="13582" max="13582" width="12.140625" style="60" customWidth="1"/>
    <col min="13583" max="13583" width="10.5703125" style="60" customWidth="1"/>
    <col min="13584" max="13584" width="12.42578125" style="60" customWidth="1"/>
    <col min="13585" max="13585" width="15.140625" style="60" customWidth="1"/>
    <col min="13586" max="13586" width="13.5703125" style="60" customWidth="1"/>
    <col min="13587" max="13587" width="13.140625" style="60" customWidth="1"/>
    <col min="13588" max="13588" width="15.7109375" style="60" customWidth="1"/>
    <col min="13589" max="13589" width="37.5703125" style="60" customWidth="1"/>
    <col min="13590" max="13811" width="11.42578125" style="60"/>
    <col min="13812" max="13812" width="10.5703125" style="60" customWidth="1"/>
    <col min="13813" max="13813" width="4.85546875" style="60" customWidth="1"/>
    <col min="13814" max="13814" width="32.42578125" style="60" customWidth="1"/>
    <col min="13815" max="13815" width="9.85546875" style="60" customWidth="1"/>
    <col min="13816" max="13816" width="10.140625" style="60" customWidth="1"/>
    <col min="13817" max="13817" width="12.28515625" style="60" customWidth="1"/>
    <col min="13818" max="13818" width="15.42578125" style="60" customWidth="1"/>
    <col min="13819" max="13819" width="11.85546875" style="60" customWidth="1"/>
    <col min="13820" max="13820" width="13.28515625" style="60" customWidth="1"/>
    <col min="13821" max="13821" width="15.28515625" style="60" customWidth="1"/>
    <col min="13822" max="13822" width="11.85546875" style="60" customWidth="1"/>
    <col min="13823" max="13823" width="6.140625" style="60" customWidth="1"/>
    <col min="13824" max="13824" width="11.85546875" style="60" customWidth="1"/>
    <col min="13825" max="13825" width="9.42578125" style="60" customWidth="1"/>
    <col min="13826" max="13826" width="14.7109375" style="60" customWidth="1"/>
    <col min="13827" max="13827" width="11.5703125" style="60" customWidth="1"/>
    <col min="13828" max="13828" width="0.42578125" style="60" customWidth="1"/>
    <col min="13829" max="13829" width="10.5703125" style="60" bestFit="1" customWidth="1"/>
    <col min="13830" max="13830" width="12.28515625" style="60" customWidth="1"/>
    <col min="13831" max="13831" width="12.5703125" style="60" customWidth="1"/>
    <col min="13832" max="13832" width="10.5703125" style="60" customWidth="1"/>
    <col min="13833" max="13833" width="10.140625" style="60" customWidth="1"/>
    <col min="13834" max="13834" width="8.42578125" style="60" customWidth="1"/>
    <col min="13835" max="13835" width="18.85546875" style="60" customWidth="1"/>
    <col min="13836" max="13836" width="10.28515625" style="60" customWidth="1"/>
    <col min="13837" max="13837" width="11.42578125" style="60"/>
    <col min="13838" max="13838" width="12.140625" style="60" customWidth="1"/>
    <col min="13839" max="13839" width="10.5703125" style="60" customWidth="1"/>
    <col min="13840" max="13840" width="12.42578125" style="60" customWidth="1"/>
    <col min="13841" max="13841" width="15.140625" style="60" customWidth="1"/>
    <col min="13842" max="13842" width="13.5703125" style="60" customWidth="1"/>
    <col min="13843" max="13843" width="13.140625" style="60" customWidth="1"/>
    <col min="13844" max="13844" width="15.7109375" style="60" customWidth="1"/>
    <col min="13845" max="13845" width="37.5703125" style="60" customWidth="1"/>
    <col min="13846" max="14067" width="11.42578125" style="60"/>
    <col min="14068" max="14068" width="10.5703125" style="60" customWidth="1"/>
    <col min="14069" max="14069" width="4.85546875" style="60" customWidth="1"/>
    <col min="14070" max="14070" width="32.42578125" style="60" customWidth="1"/>
    <col min="14071" max="14071" width="9.85546875" style="60" customWidth="1"/>
    <col min="14072" max="14072" width="10.140625" style="60" customWidth="1"/>
    <col min="14073" max="14073" width="12.28515625" style="60" customWidth="1"/>
    <col min="14074" max="14074" width="15.42578125" style="60" customWidth="1"/>
    <col min="14075" max="14075" width="11.85546875" style="60" customWidth="1"/>
    <col min="14076" max="14076" width="13.28515625" style="60" customWidth="1"/>
    <col min="14077" max="14077" width="15.28515625" style="60" customWidth="1"/>
    <col min="14078" max="14078" width="11.85546875" style="60" customWidth="1"/>
    <col min="14079" max="14079" width="6.140625" style="60" customWidth="1"/>
    <col min="14080" max="14080" width="11.85546875" style="60" customWidth="1"/>
    <col min="14081" max="14081" width="9.42578125" style="60" customWidth="1"/>
    <col min="14082" max="14082" width="14.7109375" style="60" customWidth="1"/>
    <col min="14083" max="14083" width="11.5703125" style="60" customWidth="1"/>
    <col min="14084" max="14084" width="0.42578125" style="60" customWidth="1"/>
    <col min="14085" max="14085" width="10.5703125" style="60" bestFit="1" customWidth="1"/>
    <col min="14086" max="14086" width="12.28515625" style="60" customWidth="1"/>
    <col min="14087" max="14087" width="12.5703125" style="60" customWidth="1"/>
    <col min="14088" max="14088" width="10.5703125" style="60" customWidth="1"/>
    <col min="14089" max="14089" width="10.140625" style="60" customWidth="1"/>
    <col min="14090" max="14090" width="8.42578125" style="60" customWidth="1"/>
    <col min="14091" max="14091" width="18.85546875" style="60" customWidth="1"/>
    <col min="14092" max="14092" width="10.28515625" style="60" customWidth="1"/>
    <col min="14093" max="14093" width="11.42578125" style="60"/>
    <col min="14094" max="14094" width="12.140625" style="60" customWidth="1"/>
    <col min="14095" max="14095" width="10.5703125" style="60" customWidth="1"/>
    <col min="14096" max="14096" width="12.42578125" style="60" customWidth="1"/>
    <col min="14097" max="14097" width="15.140625" style="60" customWidth="1"/>
    <col min="14098" max="14098" width="13.5703125" style="60" customWidth="1"/>
    <col min="14099" max="14099" width="13.140625" style="60" customWidth="1"/>
    <col min="14100" max="14100" width="15.7109375" style="60" customWidth="1"/>
    <col min="14101" max="14101" width="37.5703125" style="60" customWidth="1"/>
    <col min="14102" max="14323" width="11.42578125" style="60"/>
    <col min="14324" max="14324" width="10.5703125" style="60" customWidth="1"/>
    <col min="14325" max="14325" width="4.85546875" style="60" customWidth="1"/>
    <col min="14326" max="14326" width="32.42578125" style="60" customWidth="1"/>
    <col min="14327" max="14327" width="9.85546875" style="60" customWidth="1"/>
    <col min="14328" max="14328" width="10.140625" style="60" customWidth="1"/>
    <col min="14329" max="14329" width="12.28515625" style="60" customWidth="1"/>
    <col min="14330" max="14330" width="15.42578125" style="60" customWidth="1"/>
    <col min="14331" max="14331" width="11.85546875" style="60" customWidth="1"/>
    <col min="14332" max="14332" width="13.28515625" style="60" customWidth="1"/>
    <col min="14333" max="14333" width="15.28515625" style="60" customWidth="1"/>
    <col min="14334" max="14334" width="11.85546875" style="60" customWidth="1"/>
    <col min="14335" max="14335" width="6.140625" style="60" customWidth="1"/>
    <col min="14336" max="14336" width="11.85546875" style="60" customWidth="1"/>
    <col min="14337" max="14337" width="9.42578125" style="60" customWidth="1"/>
    <col min="14338" max="14338" width="14.7109375" style="60" customWidth="1"/>
    <col min="14339" max="14339" width="11.5703125" style="60" customWidth="1"/>
    <col min="14340" max="14340" width="0.42578125" style="60" customWidth="1"/>
    <col min="14341" max="14341" width="10.5703125" style="60" bestFit="1" customWidth="1"/>
    <col min="14342" max="14342" width="12.28515625" style="60" customWidth="1"/>
    <col min="14343" max="14343" width="12.5703125" style="60" customWidth="1"/>
    <col min="14344" max="14344" width="10.5703125" style="60" customWidth="1"/>
    <col min="14345" max="14345" width="10.140625" style="60" customWidth="1"/>
    <col min="14346" max="14346" width="8.42578125" style="60" customWidth="1"/>
    <col min="14347" max="14347" width="18.85546875" style="60" customWidth="1"/>
    <col min="14348" max="14348" width="10.28515625" style="60" customWidth="1"/>
    <col min="14349" max="14349" width="11.42578125" style="60"/>
    <col min="14350" max="14350" width="12.140625" style="60" customWidth="1"/>
    <col min="14351" max="14351" width="10.5703125" style="60" customWidth="1"/>
    <col min="14352" max="14352" width="12.42578125" style="60" customWidth="1"/>
    <col min="14353" max="14353" width="15.140625" style="60" customWidth="1"/>
    <col min="14354" max="14354" width="13.5703125" style="60" customWidth="1"/>
    <col min="14355" max="14355" width="13.140625" style="60" customWidth="1"/>
    <col min="14356" max="14356" width="15.7109375" style="60" customWidth="1"/>
    <col min="14357" max="14357" width="37.5703125" style="60" customWidth="1"/>
    <col min="14358" max="14579" width="11.42578125" style="60"/>
    <col min="14580" max="14580" width="10.5703125" style="60" customWidth="1"/>
    <col min="14581" max="14581" width="4.85546875" style="60" customWidth="1"/>
    <col min="14582" max="14582" width="32.42578125" style="60" customWidth="1"/>
    <col min="14583" max="14583" width="9.85546875" style="60" customWidth="1"/>
    <col min="14584" max="14584" width="10.140625" style="60" customWidth="1"/>
    <col min="14585" max="14585" width="12.28515625" style="60" customWidth="1"/>
    <col min="14586" max="14586" width="15.42578125" style="60" customWidth="1"/>
    <col min="14587" max="14587" width="11.85546875" style="60" customWidth="1"/>
    <col min="14588" max="14588" width="13.28515625" style="60" customWidth="1"/>
    <col min="14589" max="14589" width="15.28515625" style="60" customWidth="1"/>
    <col min="14590" max="14590" width="11.85546875" style="60" customWidth="1"/>
    <col min="14591" max="14591" width="6.140625" style="60" customWidth="1"/>
    <col min="14592" max="14592" width="11.85546875" style="60" customWidth="1"/>
    <col min="14593" max="14593" width="9.42578125" style="60" customWidth="1"/>
    <col min="14594" max="14594" width="14.7109375" style="60" customWidth="1"/>
    <col min="14595" max="14595" width="11.5703125" style="60" customWidth="1"/>
    <col min="14596" max="14596" width="0.42578125" style="60" customWidth="1"/>
    <col min="14597" max="14597" width="10.5703125" style="60" bestFit="1" customWidth="1"/>
    <col min="14598" max="14598" width="12.28515625" style="60" customWidth="1"/>
    <col min="14599" max="14599" width="12.5703125" style="60" customWidth="1"/>
    <col min="14600" max="14600" width="10.5703125" style="60" customWidth="1"/>
    <col min="14601" max="14601" width="10.140625" style="60" customWidth="1"/>
    <col min="14602" max="14602" width="8.42578125" style="60" customWidth="1"/>
    <col min="14603" max="14603" width="18.85546875" style="60" customWidth="1"/>
    <col min="14604" max="14604" width="10.28515625" style="60" customWidth="1"/>
    <col min="14605" max="14605" width="11.42578125" style="60"/>
    <col min="14606" max="14606" width="12.140625" style="60" customWidth="1"/>
    <col min="14607" max="14607" width="10.5703125" style="60" customWidth="1"/>
    <col min="14608" max="14608" width="12.42578125" style="60" customWidth="1"/>
    <col min="14609" max="14609" width="15.140625" style="60" customWidth="1"/>
    <col min="14610" max="14610" width="13.5703125" style="60" customWidth="1"/>
    <col min="14611" max="14611" width="13.140625" style="60" customWidth="1"/>
    <col min="14612" max="14612" width="15.7109375" style="60" customWidth="1"/>
    <col min="14613" max="14613" width="37.5703125" style="60" customWidth="1"/>
    <col min="14614" max="14835" width="11.42578125" style="60"/>
    <col min="14836" max="14836" width="10.5703125" style="60" customWidth="1"/>
    <col min="14837" max="14837" width="4.85546875" style="60" customWidth="1"/>
    <col min="14838" max="14838" width="32.42578125" style="60" customWidth="1"/>
    <col min="14839" max="14839" width="9.85546875" style="60" customWidth="1"/>
    <col min="14840" max="14840" width="10.140625" style="60" customWidth="1"/>
    <col min="14841" max="14841" width="12.28515625" style="60" customWidth="1"/>
    <col min="14842" max="14842" width="15.42578125" style="60" customWidth="1"/>
    <col min="14843" max="14843" width="11.85546875" style="60" customWidth="1"/>
    <col min="14844" max="14844" width="13.28515625" style="60" customWidth="1"/>
    <col min="14845" max="14845" width="15.28515625" style="60" customWidth="1"/>
    <col min="14846" max="14846" width="11.85546875" style="60" customWidth="1"/>
    <col min="14847" max="14847" width="6.140625" style="60" customWidth="1"/>
    <col min="14848" max="14848" width="11.85546875" style="60" customWidth="1"/>
    <col min="14849" max="14849" width="9.42578125" style="60" customWidth="1"/>
    <col min="14850" max="14850" width="14.7109375" style="60" customWidth="1"/>
    <col min="14851" max="14851" width="11.5703125" style="60" customWidth="1"/>
    <col min="14852" max="14852" width="0.42578125" style="60" customWidth="1"/>
    <col min="14853" max="14853" width="10.5703125" style="60" bestFit="1" customWidth="1"/>
    <col min="14854" max="14854" width="12.28515625" style="60" customWidth="1"/>
    <col min="14855" max="14855" width="12.5703125" style="60" customWidth="1"/>
    <col min="14856" max="14856" width="10.5703125" style="60" customWidth="1"/>
    <col min="14857" max="14857" width="10.140625" style="60" customWidth="1"/>
    <col min="14858" max="14858" width="8.42578125" style="60" customWidth="1"/>
    <col min="14859" max="14859" width="18.85546875" style="60" customWidth="1"/>
    <col min="14860" max="14860" width="10.28515625" style="60" customWidth="1"/>
    <col min="14861" max="14861" width="11.42578125" style="60"/>
    <col min="14862" max="14862" width="12.140625" style="60" customWidth="1"/>
    <col min="14863" max="14863" width="10.5703125" style="60" customWidth="1"/>
    <col min="14864" max="14864" width="12.42578125" style="60" customWidth="1"/>
    <col min="14865" max="14865" width="15.140625" style="60" customWidth="1"/>
    <col min="14866" max="14866" width="13.5703125" style="60" customWidth="1"/>
    <col min="14867" max="14867" width="13.140625" style="60" customWidth="1"/>
    <col min="14868" max="14868" width="15.7109375" style="60" customWidth="1"/>
    <col min="14869" max="14869" width="37.5703125" style="60" customWidth="1"/>
    <col min="14870" max="15091" width="11.42578125" style="60"/>
    <col min="15092" max="15092" width="10.5703125" style="60" customWidth="1"/>
    <col min="15093" max="15093" width="4.85546875" style="60" customWidth="1"/>
    <col min="15094" max="15094" width="32.42578125" style="60" customWidth="1"/>
    <col min="15095" max="15095" width="9.85546875" style="60" customWidth="1"/>
    <col min="15096" max="15096" width="10.140625" style="60" customWidth="1"/>
    <col min="15097" max="15097" width="12.28515625" style="60" customWidth="1"/>
    <col min="15098" max="15098" width="15.42578125" style="60" customWidth="1"/>
    <col min="15099" max="15099" width="11.85546875" style="60" customWidth="1"/>
    <col min="15100" max="15100" width="13.28515625" style="60" customWidth="1"/>
    <col min="15101" max="15101" width="15.28515625" style="60" customWidth="1"/>
    <col min="15102" max="15102" width="11.85546875" style="60" customWidth="1"/>
    <col min="15103" max="15103" width="6.140625" style="60" customWidth="1"/>
    <col min="15104" max="15104" width="11.85546875" style="60" customWidth="1"/>
    <col min="15105" max="15105" width="9.42578125" style="60" customWidth="1"/>
    <col min="15106" max="15106" width="14.7109375" style="60" customWidth="1"/>
    <col min="15107" max="15107" width="11.5703125" style="60" customWidth="1"/>
    <col min="15108" max="15108" width="0.42578125" style="60" customWidth="1"/>
    <col min="15109" max="15109" width="10.5703125" style="60" bestFit="1" customWidth="1"/>
    <col min="15110" max="15110" width="12.28515625" style="60" customWidth="1"/>
    <col min="15111" max="15111" width="12.5703125" style="60" customWidth="1"/>
    <col min="15112" max="15112" width="10.5703125" style="60" customWidth="1"/>
    <col min="15113" max="15113" width="10.140625" style="60" customWidth="1"/>
    <col min="15114" max="15114" width="8.42578125" style="60" customWidth="1"/>
    <col min="15115" max="15115" width="18.85546875" style="60" customWidth="1"/>
    <col min="15116" max="15116" width="10.28515625" style="60" customWidth="1"/>
    <col min="15117" max="15117" width="11.42578125" style="60"/>
    <col min="15118" max="15118" width="12.140625" style="60" customWidth="1"/>
    <col min="15119" max="15119" width="10.5703125" style="60" customWidth="1"/>
    <col min="15120" max="15120" width="12.42578125" style="60" customWidth="1"/>
    <col min="15121" max="15121" width="15.140625" style="60" customWidth="1"/>
    <col min="15122" max="15122" width="13.5703125" style="60" customWidth="1"/>
    <col min="15123" max="15123" width="13.140625" style="60" customWidth="1"/>
    <col min="15124" max="15124" width="15.7109375" style="60" customWidth="1"/>
    <col min="15125" max="15125" width="37.5703125" style="60" customWidth="1"/>
    <col min="15126" max="15347" width="11.42578125" style="60"/>
    <col min="15348" max="15348" width="10.5703125" style="60" customWidth="1"/>
    <col min="15349" max="15349" width="4.85546875" style="60" customWidth="1"/>
    <col min="15350" max="15350" width="32.42578125" style="60" customWidth="1"/>
    <col min="15351" max="15351" width="9.85546875" style="60" customWidth="1"/>
    <col min="15352" max="15352" width="10.140625" style="60" customWidth="1"/>
    <col min="15353" max="15353" width="12.28515625" style="60" customWidth="1"/>
    <col min="15354" max="15354" width="15.42578125" style="60" customWidth="1"/>
    <col min="15355" max="15355" width="11.85546875" style="60" customWidth="1"/>
    <col min="15356" max="15356" width="13.28515625" style="60" customWidth="1"/>
    <col min="15357" max="15357" width="15.28515625" style="60" customWidth="1"/>
    <col min="15358" max="15358" width="11.85546875" style="60" customWidth="1"/>
    <col min="15359" max="15359" width="6.140625" style="60" customWidth="1"/>
    <col min="15360" max="15360" width="11.85546875" style="60" customWidth="1"/>
    <col min="15361" max="15361" width="9.42578125" style="60" customWidth="1"/>
    <col min="15362" max="15362" width="14.7109375" style="60" customWidth="1"/>
    <col min="15363" max="15363" width="11.5703125" style="60" customWidth="1"/>
    <col min="15364" max="15364" width="0.42578125" style="60" customWidth="1"/>
    <col min="15365" max="15365" width="10.5703125" style="60" bestFit="1" customWidth="1"/>
    <col min="15366" max="15366" width="12.28515625" style="60" customWidth="1"/>
    <col min="15367" max="15367" width="12.5703125" style="60" customWidth="1"/>
    <col min="15368" max="15368" width="10.5703125" style="60" customWidth="1"/>
    <col min="15369" max="15369" width="10.140625" style="60" customWidth="1"/>
    <col min="15370" max="15370" width="8.42578125" style="60" customWidth="1"/>
    <col min="15371" max="15371" width="18.85546875" style="60" customWidth="1"/>
    <col min="15372" max="15372" width="10.28515625" style="60" customWidth="1"/>
    <col min="15373" max="15373" width="11.42578125" style="60"/>
    <col min="15374" max="15374" width="12.140625" style="60" customWidth="1"/>
    <col min="15375" max="15375" width="10.5703125" style="60" customWidth="1"/>
    <col min="15376" max="15376" width="12.42578125" style="60" customWidth="1"/>
    <col min="15377" max="15377" width="15.140625" style="60" customWidth="1"/>
    <col min="15378" max="15378" width="13.5703125" style="60" customWidth="1"/>
    <col min="15379" max="15379" width="13.140625" style="60" customWidth="1"/>
    <col min="15380" max="15380" width="15.7109375" style="60" customWidth="1"/>
    <col min="15381" max="15381" width="37.5703125" style="60" customWidth="1"/>
    <col min="15382" max="15603" width="11.42578125" style="60"/>
    <col min="15604" max="15604" width="10.5703125" style="60" customWidth="1"/>
    <col min="15605" max="15605" width="4.85546875" style="60" customWidth="1"/>
    <col min="15606" max="15606" width="32.42578125" style="60" customWidth="1"/>
    <col min="15607" max="15607" width="9.85546875" style="60" customWidth="1"/>
    <col min="15608" max="15608" width="10.140625" style="60" customWidth="1"/>
    <col min="15609" max="15609" width="12.28515625" style="60" customWidth="1"/>
    <col min="15610" max="15610" width="15.42578125" style="60" customWidth="1"/>
    <col min="15611" max="15611" width="11.85546875" style="60" customWidth="1"/>
    <col min="15612" max="15612" width="13.28515625" style="60" customWidth="1"/>
    <col min="15613" max="15613" width="15.28515625" style="60" customWidth="1"/>
    <col min="15614" max="15614" width="11.85546875" style="60" customWidth="1"/>
    <col min="15615" max="15615" width="6.140625" style="60" customWidth="1"/>
    <col min="15616" max="15616" width="11.85546875" style="60" customWidth="1"/>
    <col min="15617" max="15617" width="9.42578125" style="60" customWidth="1"/>
    <col min="15618" max="15618" width="14.7109375" style="60" customWidth="1"/>
    <col min="15619" max="15619" width="11.5703125" style="60" customWidth="1"/>
    <col min="15620" max="15620" width="0.42578125" style="60" customWidth="1"/>
    <col min="15621" max="15621" width="10.5703125" style="60" bestFit="1" customWidth="1"/>
    <col min="15622" max="15622" width="12.28515625" style="60" customWidth="1"/>
    <col min="15623" max="15623" width="12.5703125" style="60" customWidth="1"/>
    <col min="15624" max="15624" width="10.5703125" style="60" customWidth="1"/>
    <col min="15625" max="15625" width="10.140625" style="60" customWidth="1"/>
    <col min="15626" max="15626" width="8.42578125" style="60" customWidth="1"/>
    <col min="15627" max="15627" width="18.85546875" style="60" customWidth="1"/>
    <col min="15628" max="15628" width="10.28515625" style="60" customWidth="1"/>
    <col min="15629" max="15629" width="11.42578125" style="60"/>
    <col min="15630" max="15630" width="12.140625" style="60" customWidth="1"/>
    <col min="15631" max="15631" width="10.5703125" style="60" customWidth="1"/>
    <col min="15632" max="15632" width="12.42578125" style="60" customWidth="1"/>
    <col min="15633" max="15633" width="15.140625" style="60" customWidth="1"/>
    <col min="15634" max="15634" width="13.5703125" style="60" customWidth="1"/>
    <col min="15635" max="15635" width="13.140625" style="60" customWidth="1"/>
    <col min="15636" max="15636" width="15.7109375" style="60" customWidth="1"/>
    <col min="15637" max="15637" width="37.5703125" style="60" customWidth="1"/>
    <col min="15638" max="15859" width="11.42578125" style="60"/>
    <col min="15860" max="15860" width="10.5703125" style="60" customWidth="1"/>
    <col min="15861" max="15861" width="4.85546875" style="60" customWidth="1"/>
    <col min="15862" max="15862" width="32.42578125" style="60" customWidth="1"/>
    <col min="15863" max="15863" width="9.85546875" style="60" customWidth="1"/>
    <col min="15864" max="15864" width="10.140625" style="60" customWidth="1"/>
    <col min="15865" max="15865" width="12.28515625" style="60" customWidth="1"/>
    <col min="15866" max="15866" width="15.42578125" style="60" customWidth="1"/>
    <col min="15867" max="15867" width="11.85546875" style="60" customWidth="1"/>
    <col min="15868" max="15868" width="13.28515625" style="60" customWidth="1"/>
    <col min="15869" max="15869" width="15.28515625" style="60" customWidth="1"/>
    <col min="15870" max="15870" width="11.85546875" style="60" customWidth="1"/>
    <col min="15871" max="15871" width="6.140625" style="60" customWidth="1"/>
    <col min="15872" max="15872" width="11.85546875" style="60" customWidth="1"/>
    <col min="15873" max="15873" width="9.42578125" style="60" customWidth="1"/>
    <col min="15874" max="15874" width="14.7109375" style="60" customWidth="1"/>
    <col min="15875" max="15875" width="11.5703125" style="60" customWidth="1"/>
    <col min="15876" max="15876" width="0.42578125" style="60" customWidth="1"/>
    <col min="15877" max="15877" width="10.5703125" style="60" bestFit="1" customWidth="1"/>
    <col min="15878" max="15878" width="12.28515625" style="60" customWidth="1"/>
    <col min="15879" max="15879" width="12.5703125" style="60" customWidth="1"/>
    <col min="15880" max="15880" width="10.5703125" style="60" customWidth="1"/>
    <col min="15881" max="15881" width="10.140625" style="60" customWidth="1"/>
    <col min="15882" max="15882" width="8.42578125" style="60" customWidth="1"/>
    <col min="15883" max="15883" width="18.85546875" style="60" customWidth="1"/>
    <col min="15884" max="15884" width="10.28515625" style="60" customWidth="1"/>
    <col min="15885" max="15885" width="11.42578125" style="60"/>
    <col min="15886" max="15886" width="12.140625" style="60" customWidth="1"/>
    <col min="15887" max="15887" width="10.5703125" style="60" customWidth="1"/>
    <col min="15888" max="15888" width="12.42578125" style="60" customWidth="1"/>
    <col min="15889" max="15889" width="15.140625" style="60" customWidth="1"/>
    <col min="15890" max="15890" width="13.5703125" style="60" customWidth="1"/>
    <col min="15891" max="15891" width="13.140625" style="60" customWidth="1"/>
    <col min="15892" max="15892" width="15.7109375" style="60" customWidth="1"/>
    <col min="15893" max="15893" width="37.5703125" style="60" customWidth="1"/>
    <col min="15894" max="16115" width="11.42578125" style="60"/>
    <col min="16116" max="16116" width="10.5703125" style="60" customWidth="1"/>
    <col min="16117" max="16117" width="4.85546875" style="60" customWidth="1"/>
    <col min="16118" max="16118" width="32.42578125" style="60" customWidth="1"/>
    <col min="16119" max="16119" width="9.85546875" style="60" customWidth="1"/>
    <col min="16120" max="16120" width="10.140625" style="60" customWidth="1"/>
    <col min="16121" max="16121" width="12.28515625" style="60" customWidth="1"/>
    <col min="16122" max="16122" width="15.42578125" style="60" customWidth="1"/>
    <col min="16123" max="16123" width="11.85546875" style="60" customWidth="1"/>
    <col min="16124" max="16124" width="13.28515625" style="60" customWidth="1"/>
    <col min="16125" max="16125" width="15.28515625" style="60" customWidth="1"/>
    <col min="16126" max="16126" width="11.85546875" style="60" customWidth="1"/>
    <col min="16127" max="16127" width="6.140625" style="60" customWidth="1"/>
    <col min="16128" max="16128" width="11.85546875" style="60" customWidth="1"/>
    <col min="16129" max="16129" width="9.42578125" style="60" customWidth="1"/>
    <col min="16130" max="16130" width="14.7109375" style="60" customWidth="1"/>
    <col min="16131" max="16131" width="11.5703125" style="60" customWidth="1"/>
    <col min="16132" max="16132" width="0.42578125" style="60" customWidth="1"/>
    <col min="16133" max="16133" width="10.5703125" style="60" bestFit="1" customWidth="1"/>
    <col min="16134" max="16134" width="12.28515625" style="60" customWidth="1"/>
    <col min="16135" max="16135" width="12.5703125" style="60" customWidth="1"/>
    <col min="16136" max="16136" width="10.5703125" style="60" customWidth="1"/>
    <col min="16137" max="16137" width="10.140625" style="60" customWidth="1"/>
    <col min="16138" max="16138" width="8.42578125" style="60" customWidth="1"/>
    <col min="16139" max="16139" width="18.85546875" style="60" customWidth="1"/>
    <col min="16140" max="16140" width="10.28515625" style="60" customWidth="1"/>
    <col min="16141" max="16141" width="11.42578125" style="60"/>
    <col min="16142" max="16142" width="12.140625" style="60" customWidth="1"/>
    <col min="16143" max="16143" width="10.5703125" style="60" customWidth="1"/>
    <col min="16144" max="16144" width="12.42578125" style="60" customWidth="1"/>
    <col min="16145" max="16145" width="15.140625" style="60" customWidth="1"/>
    <col min="16146" max="16146" width="13.5703125" style="60" customWidth="1"/>
    <col min="16147" max="16147" width="13.140625" style="60" customWidth="1"/>
    <col min="16148" max="16148" width="15.7109375" style="60" customWidth="1"/>
    <col min="16149" max="16149" width="37.5703125" style="60" customWidth="1"/>
    <col min="16150" max="16384" width="11.42578125" style="60"/>
  </cols>
  <sheetData>
    <row r="1" spans="1:23" ht="15" customHeight="1" x14ac:dyDescent="0.25">
      <c r="A1" s="61" t="s">
        <v>163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</row>
    <row r="2" spans="1:23" ht="15" customHeight="1" x14ac:dyDescent="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3" t="s">
        <v>3</v>
      </c>
      <c r="O2" s="94"/>
      <c r="P2" s="94"/>
      <c r="Q2" s="94"/>
      <c r="R2" s="94"/>
      <c r="S2" s="94"/>
      <c r="T2" s="94"/>
      <c r="U2" s="94"/>
      <c r="V2" s="95"/>
      <c r="W2" s="96"/>
    </row>
    <row r="3" spans="1:23" ht="24.95" customHeight="1" x14ac:dyDescent="0.25">
      <c r="B3" s="2" t="s">
        <v>4</v>
      </c>
      <c r="C3" s="2" t="s">
        <v>5</v>
      </c>
      <c r="D3" s="2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144</v>
      </c>
      <c r="J3" s="3" t="s">
        <v>12</v>
      </c>
      <c r="K3" s="3" t="s">
        <v>13</v>
      </c>
      <c r="L3" s="3" t="s">
        <v>15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157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2" t="s">
        <v>26</v>
      </c>
    </row>
    <row r="4" spans="1:23" s="13" customFormat="1" ht="24.95" customHeight="1" x14ac:dyDescent="0.25">
      <c r="A4" s="63" t="s">
        <v>28</v>
      </c>
      <c r="B4" s="2">
        <v>1</v>
      </c>
      <c r="C4" s="1" t="s">
        <v>145</v>
      </c>
      <c r="D4" s="1" t="s">
        <v>30</v>
      </c>
      <c r="E4" s="3">
        <v>4500000</v>
      </c>
      <c r="F4" s="3">
        <v>30</v>
      </c>
      <c r="G4" s="3">
        <f>+E4/30*F4</f>
        <v>4500000</v>
      </c>
      <c r="H4" s="3"/>
      <c r="I4" s="3"/>
      <c r="J4" s="3"/>
      <c r="K4" s="3"/>
      <c r="L4" s="3"/>
      <c r="M4" s="3">
        <f>+G4+L4+K4+J4+I4+H4</f>
        <v>4500000</v>
      </c>
      <c r="N4" s="3">
        <f>+E4*0.04</f>
        <v>180000</v>
      </c>
      <c r="O4" s="3">
        <f>+E4*0.05</f>
        <v>225000</v>
      </c>
      <c r="P4" s="3"/>
      <c r="Q4" s="3"/>
      <c r="R4" s="3"/>
      <c r="S4" s="3"/>
      <c r="T4" s="3"/>
      <c r="U4" s="3"/>
      <c r="V4" s="4">
        <f>SUM(N4:U4)</f>
        <v>405000</v>
      </c>
      <c r="W4" s="5">
        <f>+M4-V4</f>
        <v>4095000</v>
      </c>
    </row>
    <row r="5" spans="1:23" ht="24.95" customHeight="1" x14ac:dyDescent="0.25">
      <c r="A5" s="63"/>
      <c r="B5" s="2">
        <v>2</v>
      </c>
      <c r="C5" s="1" t="s">
        <v>29</v>
      </c>
      <c r="D5" s="1" t="s">
        <v>30</v>
      </c>
      <c r="E5" s="4">
        <v>5000000</v>
      </c>
      <c r="F5" s="3">
        <v>30</v>
      </c>
      <c r="G5" s="3">
        <f>+E5/30*F5</f>
        <v>5000000</v>
      </c>
      <c r="H5" s="4"/>
      <c r="I5" s="4"/>
      <c r="J5" s="4"/>
      <c r="K5" s="4">
        <v>500000</v>
      </c>
      <c r="L5" s="4">
        <v>750000</v>
      </c>
      <c r="M5" s="4">
        <f>+G5+H5+J5+K5+L5+I5</f>
        <v>6250000</v>
      </c>
      <c r="N5" s="4">
        <f>+E5*4%+30000</f>
        <v>230000</v>
      </c>
      <c r="O5" s="4">
        <f>+E5*5%+30000+7500</f>
        <v>287500</v>
      </c>
      <c r="P5" s="4"/>
      <c r="Q5" s="4"/>
      <c r="R5" s="4">
        <v>30672</v>
      </c>
      <c r="S5" s="4"/>
      <c r="T5" s="4"/>
      <c r="U5" s="4"/>
      <c r="V5" s="4">
        <f t="shared" ref="V5:V10" si="0">SUM(N5:U5)</f>
        <v>548172</v>
      </c>
      <c r="W5" s="5">
        <f>+M5-V5</f>
        <v>5701828</v>
      </c>
    </row>
    <row r="6" spans="1:23" ht="24.95" customHeight="1" x14ac:dyDescent="0.25">
      <c r="A6" s="63"/>
      <c r="B6" s="2">
        <v>3</v>
      </c>
      <c r="C6" s="1" t="s">
        <v>32</v>
      </c>
      <c r="D6" s="1" t="s">
        <v>30</v>
      </c>
      <c r="E6" s="4">
        <v>6000000</v>
      </c>
      <c r="F6" s="3">
        <v>30</v>
      </c>
      <c r="G6" s="3">
        <f t="shared" ref="G6:G83" si="1">+E6/30*F6</f>
        <v>6000000</v>
      </c>
      <c r="H6" s="4"/>
      <c r="I6" s="4"/>
      <c r="J6" s="4"/>
      <c r="K6" s="4">
        <v>600000</v>
      </c>
      <c r="L6" s="4"/>
      <c r="M6" s="4">
        <f t="shared" ref="M6:M83" si="2">+G6+H6+J6+K6+L6+I6</f>
        <v>6600000</v>
      </c>
      <c r="N6" s="4">
        <f>E6*4%</f>
        <v>240000</v>
      </c>
      <c r="O6" s="4">
        <f>E6*5%</f>
        <v>300000</v>
      </c>
      <c r="P6" s="4"/>
      <c r="Q6" s="4"/>
      <c r="R6" s="4">
        <v>102000</v>
      </c>
      <c r="S6" s="4"/>
      <c r="T6" s="4"/>
      <c r="U6" s="4">
        <v>1212777</v>
      </c>
      <c r="V6" s="4">
        <f t="shared" si="0"/>
        <v>1854777</v>
      </c>
      <c r="W6" s="5">
        <f t="shared" ref="W6:W7" si="3">+M6-V6</f>
        <v>4745223</v>
      </c>
    </row>
    <row r="7" spans="1:23" ht="24.95" customHeight="1" x14ac:dyDescent="0.25">
      <c r="A7" s="63"/>
      <c r="B7" s="2">
        <v>4</v>
      </c>
      <c r="C7" s="1" t="s">
        <v>33</v>
      </c>
      <c r="D7" s="1" t="s">
        <v>30</v>
      </c>
      <c r="E7" s="4">
        <v>6000000</v>
      </c>
      <c r="F7" s="3">
        <v>30</v>
      </c>
      <c r="G7" s="3">
        <f t="shared" si="1"/>
        <v>6000000</v>
      </c>
      <c r="H7" s="4"/>
      <c r="I7" s="4"/>
      <c r="J7" s="4"/>
      <c r="K7" s="4"/>
      <c r="L7" s="4"/>
      <c r="M7" s="4">
        <f t="shared" si="2"/>
        <v>6000000</v>
      </c>
      <c r="N7" s="4">
        <f t="shared" ref="N7:N16" si="4">+E7*4%</f>
        <v>240000</v>
      </c>
      <c r="O7" s="4">
        <f t="shared" ref="O7:O14" si="5">+E7*5%</f>
        <v>300000</v>
      </c>
      <c r="P7" s="4"/>
      <c r="Q7" s="4"/>
      <c r="R7" s="7">
        <v>98000</v>
      </c>
      <c r="S7" s="4"/>
      <c r="T7" s="4"/>
      <c r="U7" s="4">
        <v>726520</v>
      </c>
      <c r="V7" s="4">
        <f t="shared" si="0"/>
        <v>1364520</v>
      </c>
      <c r="W7" s="5">
        <f t="shared" si="3"/>
        <v>4635480</v>
      </c>
    </row>
    <row r="8" spans="1:23" ht="24.95" customHeight="1" x14ac:dyDescent="0.25">
      <c r="A8" s="63"/>
      <c r="B8" s="2">
        <v>5</v>
      </c>
      <c r="C8" s="1" t="s">
        <v>34</v>
      </c>
      <c r="D8" s="1" t="s">
        <v>30</v>
      </c>
      <c r="E8" s="4">
        <v>5000000</v>
      </c>
      <c r="F8" s="3">
        <v>30</v>
      </c>
      <c r="G8" s="3">
        <f>+E8-L8</f>
        <v>4166667</v>
      </c>
      <c r="H8" s="4"/>
      <c r="I8" s="4"/>
      <c r="J8" s="4"/>
      <c r="K8" s="4"/>
      <c r="L8" s="4">
        <v>833333</v>
      </c>
      <c r="M8" s="4">
        <f t="shared" si="2"/>
        <v>5000000</v>
      </c>
      <c r="N8" s="4">
        <f t="shared" si="4"/>
        <v>200000</v>
      </c>
      <c r="O8" s="4">
        <f t="shared" si="5"/>
        <v>250000</v>
      </c>
      <c r="P8" s="4"/>
      <c r="Q8" s="4">
        <v>683825</v>
      </c>
      <c r="R8" s="7">
        <v>21409</v>
      </c>
      <c r="S8" s="4">
        <v>500000</v>
      </c>
      <c r="T8" s="4">
        <v>111000</v>
      </c>
      <c r="U8" s="4"/>
      <c r="V8" s="4">
        <f t="shared" si="0"/>
        <v>1766234</v>
      </c>
      <c r="W8" s="5">
        <f>+M8-V8</f>
        <v>3233766</v>
      </c>
    </row>
    <row r="9" spans="1:23" ht="24.95" customHeight="1" x14ac:dyDescent="0.25">
      <c r="A9" s="63"/>
      <c r="B9" s="2">
        <v>6</v>
      </c>
      <c r="C9" s="1" t="s">
        <v>35</v>
      </c>
      <c r="D9" s="1" t="s">
        <v>30</v>
      </c>
      <c r="E9" s="4">
        <v>5300000</v>
      </c>
      <c r="F9" s="3">
        <v>30</v>
      </c>
      <c r="G9" s="3">
        <f t="shared" si="1"/>
        <v>5300000</v>
      </c>
      <c r="H9" s="4"/>
      <c r="I9" s="4"/>
      <c r="J9" s="4"/>
      <c r="K9" s="4">
        <v>2012670</v>
      </c>
      <c r="L9" s="4"/>
      <c r="M9" s="4">
        <f t="shared" si="2"/>
        <v>7312670</v>
      </c>
      <c r="N9" s="4">
        <f t="shared" si="4"/>
        <v>212000</v>
      </c>
      <c r="O9" s="4">
        <f t="shared" si="5"/>
        <v>265000</v>
      </c>
      <c r="P9" s="4"/>
      <c r="Q9" s="4"/>
      <c r="R9" s="4">
        <v>50000</v>
      </c>
      <c r="S9" s="4">
        <v>700000</v>
      </c>
      <c r="T9" s="4"/>
      <c r="U9" s="4"/>
      <c r="V9" s="4">
        <f t="shared" si="0"/>
        <v>1227000</v>
      </c>
      <c r="W9" s="5">
        <f>+M9-V9</f>
        <v>6085670</v>
      </c>
    </row>
    <row r="10" spans="1:23" ht="24.95" customHeight="1" x14ac:dyDescent="0.25">
      <c r="A10" s="63"/>
      <c r="B10" s="2">
        <v>7</v>
      </c>
      <c r="C10" s="1" t="s">
        <v>36</v>
      </c>
      <c r="D10" s="1" t="s">
        <v>30</v>
      </c>
      <c r="E10" s="4">
        <v>5200000</v>
      </c>
      <c r="F10" s="3">
        <v>30</v>
      </c>
      <c r="G10" s="3">
        <f>+E10-L10</f>
        <v>5200000</v>
      </c>
      <c r="H10" s="4">
        <v>89000</v>
      </c>
      <c r="I10" s="4">
        <f>89000*3</f>
        <v>267000</v>
      </c>
      <c r="J10" s="4"/>
      <c r="K10" s="4"/>
      <c r="L10" s="4"/>
      <c r="M10" s="4">
        <f t="shared" si="2"/>
        <v>5556000</v>
      </c>
      <c r="N10" s="4">
        <f>+E10*4%</f>
        <v>208000</v>
      </c>
      <c r="O10" s="4">
        <f>+E10*5%</f>
        <v>260000</v>
      </c>
      <c r="P10" s="4"/>
      <c r="Q10" s="4"/>
      <c r="R10" s="4">
        <v>0</v>
      </c>
      <c r="S10" s="4"/>
      <c r="T10" s="4"/>
      <c r="U10" s="4">
        <f>945750+420786</f>
        <v>1366536</v>
      </c>
      <c r="V10" s="4">
        <f t="shared" si="0"/>
        <v>1834536</v>
      </c>
      <c r="W10" s="5">
        <f>M10-V10</f>
        <v>3721464</v>
      </c>
    </row>
    <row r="11" spans="1:23" ht="24.95" customHeight="1" x14ac:dyDescent="0.25">
      <c r="A11" s="63"/>
      <c r="B11" s="2">
        <v>8</v>
      </c>
      <c r="C11" s="1" t="s">
        <v>37</v>
      </c>
      <c r="D11" s="1" t="s">
        <v>30</v>
      </c>
      <c r="E11" s="4">
        <v>4800000</v>
      </c>
      <c r="F11" s="3">
        <v>22</v>
      </c>
      <c r="G11" s="3">
        <f t="shared" si="1"/>
        <v>3520000</v>
      </c>
      <c r="H11" s="4"/>
      <c r="I11" s="4"/>
      <c r="J11" s="4"/>
      <c r="K11" s="4"/>
      <c r="L11" s="4"/>
      <c r="M11" s="4">
        <f t="shared" si="2"/>
        <v>3520000</v>
      </c>
      <c r="N11" s="4">
        <f>+G11*4%</f>
        <v>140800</v>
      </c>
      <c r="O11" s="4">
        <f>+G11*5%</f>
        <v>176000</v>
      </c>
      <c r="P11" s="4"/>
      <c r="Q11" s="4"/>
      <c r="R11" s="4">
        <v>0</v>
      </c>
      <c r="S11" s="4"/>
      <c r="T11" s="4"/>
      <c r="U11" s="4"/>
      <c r="V11" s="4">
        <f t="shared" ref="V11:V66" si="6">SUM(N11:U11)</f>
        <v>316800</v>
      </c>
      <c r="W11" s="5">
        <f>M11-V11</f>
        <v>3203200</v>
      </c>
    </row>
    <row r="12" spans="1:23" ht="24.95" customHeight="1" x14ac:dyDescent="0.25">
      <c r="A12" s="63"/>
      <c r="B12" s="2">
        <v>9</v>
      </c>
      <c r="C12" s="1" t="s">
        <v>158</v>
      </c>
      <c r="D12" s="1" t="s">
        <v>43</v>
      </c>
      <c r="E12" s="4">
        <v>3700000</v>
      </c>
      <c r="F12" s="3">
        <v>30</v>
      </c>
      <c r="G12" s="3">
        <f t="shared" si="1"/>
        <v>3700000</v>
      </c>
      <c r="H12" s="4"/>
      <c r="I12" s="4"/>
      <c r="J12" s="4"/>
      <c r="K12" s="4"/>
      <c r="L12" s="4"/>
      <c r="M12" s="4">
        <f t="shared" si="2"/>
        <v>3700000</v>
      </c>
      <c r="N12" s="4">
        <f>+G12*4%</f>
        <v>148000</v>
      </c>
      <c r="O12" s="4">
        <f>+G12*5%</f>
        <v>185000</v>
      </c>
      <c r="P12" s="4"/>
      <c r="Q12" s="4"/>
      <c r="R12" s="4"/>
      <c r="S12" s="4"/>
      <c r="T12" s="4"/>
      <c r="U12" s="4"/>
      <c r="V12" s="4">
        <f t="shared" ref="V12:V13" si="7">SUM(N12:U12)</f>
        <v>333000</v>
      </c>
      <c r="W12" s="5">
        <f>M12-V12</f>
        <v>3367000</v>
      </c>
    </row>
    <row r="13" spans="1:23" ht="24.95" customHeight="1" x14ac:dyDescent="0.25">
      <c r="A13" s="63"/>
      <c r="B13" s="2">
        <v>10</v>
      </c>
      <c r="C13" s="1" t="s">
        <v>164</v>
      </c>
      <c r="D13" s="1" t="s">
        <v>43</v>
      </c>
      <c r="E13" s="4">
        <v>4000000</v>
      </c>
      <c r="F13" s="3">
        <v>29</v>
      </c>
      <c r="G13" s="3">
        <f t="shared" si="1"/>
        <v>3866666.666666667</v>
      </c>
      <c r="H13" s="4"/>
      <c r="I13" s="4"/>
      <c r="J13" s="4"/>
      <c r="K13" s="4"/>
      <c r="L13" s="4"/>
      <c r="M13" s="4">
        <f t="shared" si="2"/>
        <v>3866666.666666667</v>
      </c>
      <c r="N13" s="4">
        <f>+G13*4%</f>
        <v>154666.66666666669</v>
      </c>
      <c r="O13" s="4">
        <f>+G13*5%</f>
        <v>193333.33333333337</v>
      </c>
      <c r="P13" s="4"/>
      <c r="Q13" s="4"/>
      <c r="R13" s="4"/>
      <c r="S13" s="4"/>
      <c r="T13" s="4"/>
      <c r="U13" s="4"/>
      <c r="V13" s="4">
        <f t="shared" si="7"/>
        <v>348000.00000000006</v>
      </c>
      <c r="W13" s="5">
        <f>M13-V13</f>
        <v>3518666.666666667</v>
      </c>
    </row>
    <row r="14" spans="1:23" ht="24.95" customHeight="1" x14ac:dyDescent="0.25">
      <c r="A14" s="63"/>
      <c r="B14" s="2">
        <v>11</v>
      </c>
      <c r="C14" s="1" t="s">
        <v>38</v>
      </c>
      <c r="D14" s="1" t="s">
        <v>30</v>
      </c>
      <c r="E14" s="4">
        <v>5725000</v>
      </c>
      <c r="F14" s="3">
        <v>30</v>
      </c>
      <c r="G14" s="3">
        <f>+E14-L14</f>
        <v>5152500</v>
      </c>
      <c r="H14" s="4"/>
      <c r="I14" s="4"/>
      <c r="J14" s="4"/>
      <c r="K14" s="4"/>
      <c r="L14" s="4">
        <v>572500</v>
      </c>
      <c r="M14" s="4">
        <f t="shared" si="2"/>
        <v>5725000</v>
      </c>
      <c r="N14" s="4">
        <f>+E14*4%</f>
        <v>229000</v>
      </c>
      <c r="O14" s="4">
        <f t="shared" si="5"/>
        <v>286250</v>
      </c>
      <c r="P14" s="4"/>
      <c r="Q14" s="4"/>
      <c r="R14" s="4">
        <v>0</v>
      </c>
      <c r="S14" s="4"/>
      <c r="T14" s="4"/>
      <c r="U14" s="4"/>
      <c r="V14" s="4">
        <f t="shared" si="6"/>
        <v>515250</v>
      </c>
      <c r="W14" s="5">
        <f t="shared" ref="W14:W26" si="8">+M14-V14</f>
        <v>5209750</v>
      </c>
    </row>
    <row r="15" spans="1:23" ht="24.95" customHeight="1" x14ac:dyDescent="0.25">
      <c r="A15" s="63"/>
      <c r="B15" s="2">
        <v>12</v>
      </c>
      <c r="C15" s="1" t="s">
        <v>39</v>
      </c>
      <c r="D15" s="1" t="s">
        <v>30</v>
      </c>
      <c r="E15" s="4">
        <v>4500000</v>
      </c>
      <c r="F15" s="3">
        <v>30</v>
      </c>
      <c r="G15" s="3">
        <f>+E15-J15</f>
        <v>4500000</v>
      </c>
      <c r="H15" s="4"/>
      <c r="I15" s="4"/>
      <c r="J15" s="4"/>
      <c r="K15" s="4"/>
      <c r="L15" s="4"/>
      <c r="M15" s="4">
        <f t="shared" si="2"/>
        <v>4500000</v>
      </c>
      <c r="N15" s="4">
        <f t="shared" si="4"/>
        <v>180000</v>
      </c>
      <c r="O15" s="4">
        <f>+G15*5%</f>
        <v>225000</v>
      </c>
      <c r="P15" s="4"/>
      <c r="Q15" s="4"/>
      <c r="R15" s="7">
        <v>0</v>
      </c>
      <c r="S15" s="4"/>
      <c r="T15" s="4"/>
      <c r="U15" s="4"/>
      <c r="V15" s="4">
        <f t="shared" si="6"/>
        <v>405000</v>
      </c>
      <c r="W15" s="5">
        <f t="shared" si="8"/>
        <v>4095000</v>
      </c>
    </row>
    <row r="16" spans="1:23" ht="24.95" customHeight="1" x14ac:dyDescent="0.25">
      <c r="A16" s="63"/>
      <c r="B16" s="2">
        <v>13</v>
      </c>
      <c r="C16" s="1" t="s">
        <v>91</v>
      </c>
      <c r="D16" s="1" t="s">
        <v>30</v>
      </c>
      <c r="E16" s="4">
        <v>4500000</v>
      </c>
      <c r="F16" s="3">
        <v>30</v>
      </c>
      <c r="G16" s="3">
        <f t="shared" ref="G16:G17" si="9">+E16/30*F16</f>
        <v>4500000</v>
      </c>
      <c r="H16" s="4"/>
      <c r="I16" s="4"/>
      <c r="J16" s="4"/>
      <c r="K16" s="4"/>
      <c r="L16" s="4"/>
      <c r="M16" s="4">
        <f t="shared" si="2"/>
        <v>4500000</v>
      </c>
      <c r="N16" s="4">
        <f t="shared" si="4"/>
        <v>180000</v>
      </c>
      <c r="O16" s="4">
        <f>+E16*5%</f>
        <v>225000</v>
      </c>
      <c r="P16" s="4"/>
      <c r="Q16" s="4"/>
      <c r="R16" s="4">
        <v>0</v>
      </c>
      <c r="S16" s="4"/>
      <c r="T16" s="4"/>
      <c r="U16" s="4">
        <v>774624</v>
      </c>
      <c r="V16" s="4">
        <f t="shared" ref="V16:V17" si="10">SUM(N16:U16)</f>
        <v>1179624</v>
      </c>
      <c r="W16" s="5">
        <f t="shared" si="8"/>
        <v>3320376</v>
      </c>
    </row>
    <row r="17" spans="1:23" ht="24.95" customHeight="1" x14ac:dyDescent="0.25">
      <c r="A17" s="63"/>
      <c r="B17" s="2">
        <v>14</v>
      </c>
      <c r="C17" s="1" t="s">
        <v>165</v>
      </c>
      <c r="D17" s="1" t="s">
        <v>30</v>
      </c>
      <c r="E17" s="4">
        <v>5500000</v>
      </c>
      <c r="F17" s="3">
        <v>10</v>
      </c>
      <c r="G17" s="3">
        <f t="shared" si="9"/>
        <v>1833333.3333333335</v>
      </c>
      <c r="H17" s="4"/>
      <c r="I17" s="4"/>
      <c r="J17" s="4"/>
      <c r="K17" s="4"/>
      <c r="L17" s="4"/>
      <c r="M17" s="4">
        <f t="shared" si="2"/>
        <v>1833333.3333333335</v>
      </c>
      <c r="N17" s="4">
        <f>+G17*4%</f>
        <v>73333.333333333343</v>
      </c>
      <c r="O17" s="4">
        <f>+G17*4%</f>
        <v>73333.333333333343</v>
      </c>
      <c r="P17" s="4"/>
      <c r="Q17" s="4"/>
      <c r="R17" s="4">
        <v>0</v>
      </c>
      <c r="S17" s="4"/>
      <c r="T17" s="4"/>
      <c r="U17" s="4"/>
      <c r="V17" s="4">
        <f t="shared" si="10"/>
        <v>146666.66666666669</v>
      </c>
      <c r="W17" s="5">
        <f t="shared" si="8"/>
        <v>1686666.6666666667</v>
      </c>
    </row>
    <row r="18" spans="1:23" ht="24.95" customHeight="1" x14ac:dyDescent="0.25">
      <c r="A18" s="63"/>
      <c r="B18" s="2">
        <v>15</v>
      </c>
      <c r="C18" s="9" t="s">
        <v>40</v>
      </c>
      <c r="D18" s="1" t="s">
        <v>30</v>
      </c>
      <c r="E18" s="4">
        <v>4800000</v>
      </c>
      <c r="F18" s="3">
        <v>30</v>
      </c>
      <c r="G18" s="3">
        <f t="shared" si="1"/>
        <v>4800000</v>
      </c>
      <c r="H18" s="4"/>
      <c r="I18" s="4"/>
      <c r="J18" s="4"/>
      <c r="K18" s="4"/>
      <c r="L18" s="4"/>
      <c r="M18" s="4">
        <f t="shared" si="2"/>
        <v>4800000</v>
      </c>
      <c r="N18" s="4">
        <f>+G18*4%</f>
        <v>192000</v>
      </c>
      <c r="O18" s="4">
        <f>+G18*5%</f>
        <v>240000</v>
      </c>
      <c r="P18" s="4"/>
      <c r="Q18" s="4"/>
      <c r="R18" s="4">
        <v>0</v>
      </c>
      <c r="S18" s="4"/>
      <c r="T18" s="4"/>
      <c r="U18" s="4"/>
      <c r="V18" s="4">
        <f t="shared" si="6"/>
        <v>432000</v>
      </c>
      <c r="W18" s="5">
        <f t="shared" si="8"/>
        <v>4368000</v>
      </c>
    </row>
    <row r="19" spans="1:23" ht="24.95" customHeight="1" x14ac:dyDescent="0.25">
      <c r="A19" s="63"/>
      <c r="B19" s="2">
        <v>16</v>
      </c>
      <c r="C19" s="9" t="s">
        <v>159</v>
      </c>
      <c r="D19" s="1" t="s">
        <v>30</v>
      </c>
      <c r="E19" s="4">
        <v>4600000</v>
      </c>
      <c r="F19" s="3">
        <v>30</v>
      </c>
      <c r="G19" s="3">
        <f t="shared" si="1"/>
        <v>4600000</v>
      </c>
      <c r="H19" s="4"/>
      <c r="I19" s="4"/>
      <c r="J19" s="4"/>
      <c r="K19" s="4"/>
      <c r="L19" s="4"/>
      <c r="M19" s="4">
        <f t="shared" si="2"/>
        <v>4600000</v>
      </c>
      <c r="N19" s="4">
        <f>+G19*4%</f>
        <v>184000</v>
      </c>
      <c r="O19" s="4">
        <f>+G19*0.05</f>
        <v>230000</v>
      </c>
      <c r="P19" s="4"/>
      <c r="Q19" s="4"/>
      <c r="R19" s="4">
        <v>24000</v>
      </c>
      <c r="S19" s="4"/>
      <c r="T19" s="4"/>
      <c r="U19" s="4"/>
      <c r="V19" s="4">
        <f t="shared" ref="V19" si="11">SUM(N19:U19)</f>
        <v>438000</v>
      </c>
      <c r="W19" s="5">
        <f t="shared" si="8"/>
        <v>4162000</v>
      </c>
    </row>
    <row r="20" spans="1:23" ht="24.95" customHeight="1" x14ac:dyDescent="0.25">
      <c r="A20" s="63"/>
      <c r="B20" s="2">
        <v>17</v>
      </c>
      <c r="C20" s="9" t="s">
        <v>41</v>
      </c>
      <c r="D20" s="1" t="s">
        <v>30</v>
      </c>
      <c r="E20" s="4">
        <v>5200000</v>
      </c>
      <c r="F20" s="3">
        <v>30</v>
      </c>
      <c r="G20" s="3">
        <f t="shared" si="1"/>
        <v>5200000</v>
      </c>
      <c r="H20" s="4"/>
      <c r="I20" s="4"/>
      <c r="J20" s="4"/>
      <c r="K20" s="4">
        <v>0</v>
      </c>
      <c r="L20" s="4"/>
      <c r="M20" s="4">
        <f>+G20+H20+J20+K20+L20+I20</f>
        <v>5200000</v>
      </c>
      <c r="N20" s="4">
        <f>+E20*4%</f>
        <v>208000</v>
      </c>
      <c r="O20" s="4">
        <f>+E20*5%</f>
        <v>260000</v>
      </c>
      <c r="P20" s="4"/>
      <c r="Q20" s="4"/>
      <c r="R20" s="4">
        <v>81000</v>
      </c>
      <c r="S20" s="4"/>
      <c r="T20" s="4"/>
      <c r="U20" s="4">
        <v>519248</v>
      </c>
      <c r="V20" s="4">
        <f t="shared" si="6"/>
        <v>1068248</v>
      </c>
      <c r="W20" s="5">
        <f t="shared" si="8"/>
        <v>4131752</v>
      </c>
    </row>
    <row r="21" spans="1:23" ht="24.95" customHeight="1" x14ac:dyDescent="0.25">
      <c r="A21" s="63"/>
      <c r="B21" s="2">
        <v>18</v>
      </c>
      <c r="C21" s="9" t="s">
        <v>42</v>
      </c>
      <c r="D21" s="1" t="s">
        <v>30</v>
      </c>
      <c r="E21" s="4">
        <v>4400000</v>
      </c>
      <c r="F21" s="3">
        <v>30</v>
      </c>
      <c r="G21" s="3">
        <f t="shared" si="1"/>
        <v>4400000</v>
      </c>
      <c r="H21" s="4"/>
      <c r="I21" s="4"/>
      <c r="J21" s="4"/>
      <c r="K21" s="4"/>
      <c r="L21" s="4">
        <f>+E21-G21</f>
        <v>0</v>
      </c>
      <c r="M21" s="4">
        <f t="shared" si="2"/>
        <v>4400000</v>
      </c>
      <c r="N21" s="4">
        <f>+E21*0.04</f>
        <v>176000</v>
      </c>
      <c r="O21" s="4">
        <f>+E21*0.05</f>
        <v>220000</v>
      </c>
      <c r="P21" s="4"/>
      <c r="Q21" s="4"/>
      <c r="R21" s="4"/>
      <c r="S21" s="4"/>
      <c r="T21" s="4"/>
      <c r="U21" s="4"/>
      <c r="V21" s="4">
        <f t="shared" si="6"/>
        <v>396000</v>
      </c>
      <c r="W21" s="5">
        <f t="shared" si="8"/>
        <v>4004000</v>
      </c>
    </row>
    <row r="22" spans="1:23" ht="24.95" customHeight="1" x14ac:dyDescent="0.25">
      <c r="A22" s="63"/>
      <c r="B22" s="2">
        <v>19</v>
      </c>
      <c r="C22" s="9" t="s">
        <v>44</v>
      </c>
      <c r="D22" s="1" t="s">
        <v>30</v>
      </c>
      <c r="E22" s="4">
        <v>5500000</v>
      </c>
      <c r="F22" s="3">
        <v>30</v>
      </c>
      <c r="G22" s="3">
        <f>+E22-J22</f>
        <v>5500000</v>
      </c>
      <c r="H22" s="4"/>
      <c r="I22" s="4"/>
      <c r="J22" s="4"/>
      <c r="K22" s="4"/>
      <c r="L22" s="4"/>
      <c r="M22" s="4">
        <f t="shared" si="2"/>
        <v>5500000</v>
      </c>
      <c r="N22" s="4">
        <f>+E22*0.04</f>
        <v>220000</v>
      </c>
      <c r="O22" s="4">
        <f>+E22*0.05</f>
        <v>275000</v>
      </c>
      <c r="P22" s="4"/>
      <c r="Q22" s="4"/>
      <c r="R22" s="4">
        <v>83397</v>
      </c>
      <c r="S22" s="4"/>
      <c r="T22" s="4"/>
      <c r="U22" s="4"/>
      <c r="V22" s="4">
        <f t="shared" si="6"/>
        <v>578397</v>
      </c>
      <c r="W22" s="5">
        <f t="shared" si="8"/>
        <v>4921603</v>
      </c>
    </row>
    <row r="23" spans="1:23" ht="24.95" customHeight="1" x14ac:dyDescent="0.25">
      <c r="A23" s="63"/>
      <c r="B23" s="2">
        <v>20</v>
      </c>
      <c r="C23" s="9" t="s">
        <v>160</v>
      </c>
      <c r="D23" s="1" t="s">
        <v>30</v>
      </c>
      <c r="E23" s="4">
        <v>5000000</v>
      </c>
      <c r="F23" s="3">
        <v>30</v>
      </c>
      <c r="G23" s="3">
        <f t="shared" si="1"/>
        <v>5000000</v>
      </c>
      <c r="H23" s="4"/>
      <c r="I23" s="4"/>
      <c r="J23" s="4"/>
      <c r="K23" s="4"/>
      <c r="L23" s="4"/>
      <c r="M23" s="4">
        <f t="shared" si="2"/>
        <v>5000000</v>
      </c>
      <c r="N23" s="4">
        <f>+G23*4%</f>
        <v>200000</v>
      </c>
      <c r="O23" s="4">
        <f>+G23*0.05</f>
        <v>250000</v>
      </c>
      <c r="P23" s="4"/>
      <c r="Q23" s="4"/>
      <c r="R23" s="4">
        <v>78000</v>
      </c>
      <c r="S23" s="4"/>
      <c r="T23" s="4"/>
      <c r="U23" s="4"/>
      <c r="V23" s="4">
        <f t="shared" si="6"/>
        <v>528000</v>
      </c>
      <c r="W23" s="5">
        <f t="shared" si="8"/>
        <v>4472000</v>
      </c>
    </row>
    <row r="24" spans="1:23" ht="24.95" customHeight="1" x14ac:dyDescent="0.25">
      <c r="A24" s="63"/>
      <c r="B24" s="2">
        <v>21</v>
      </c>
      <c r="C24" s="1" t="s">
        <v>148</v>
      </c>
      <c r="D24" s="1" t="s">
        <v>30</v>
      </c>
      <c r="E24" s="4">
        <v>7000000</v>
      </c>
      <c r="F24" s="3">
        <v>30</v>
      </c>
      <c r="G24" s="3">
        <f>+E24/30*F24</f>
        <v>7000000</v>
      </c>
      <c r="H24" s="4"/>
      <c r="I24" s="4"/>
      <c r="J24" s="4"/>
      <c r="K24" s="4"/>
      <c r="L24" s="4"/>
      <c r="M24" s="4">
        <f>+G24+H24+J24+K24+L24+I24</f>
        <v>7000000</v>
      </c>
      <c r="N24" s="4">
        <f>G24*4%</f>
        <v>280000</v>
      </c>
      <c r="O24" s="4">
        <f>+G24*5%</f>
        <v>350000</v>
      </c>
      <c r="P24" s="4"/>
      <c r="Q24" s="4">
        <v>147000</v>
      </c>
      <c r="R24" s="4">
        <v>209509</v>
      </c>
      <c r="S24" s="4"/>
      <c r="T24" s="4"/>
      <c r="U24" s="4"/>
      <c r="V24" s="4">
        <f>SUM(N24:U24)</f>
        <v>986509</v>
      </c>
      <c r="W24" s="5">
        <f>M24-V24</f>
        <v>6013491</v>
      </c>
    </row>
    <row r="25" spans="1:23" ht="24.95" customHeight="1" x14ac:dyDescent="0.25">
      <c r="A25" s="63"/>
      <c r="B25" s="2">
        <v>22</v>
      </c>
      <c r="C25" s="9" t="s">
        <v>45</v>
      </c>
      <c r="D25" s="1" t="s">
        <v>30</v>
      </c>
      <c r="E25" s="4">
        <v>5200000</v>
      </c>
      <c r="F25" s="3">
        <v>30</v>
      </c>
      <c r="G25" s="3">
        <f t="shared" si="1"/>
        <v>5200000</v>
      </c>
      <c r="H25" s="4"/>
      <c r="I25" s="4"/>
      <c r="J25" s="4"/>
      <c r="K25" s="4"/>
      <c r="L25" s="4">
        <v>0</v>
      </c>
      <c r="M25" s="4">
        <f t="shared" si="2"/>
        <v>5200000</v>
      </c>
      <c r="N25" s="4">
        <f>+E25*4%</f>
        <v>208000</v>
      </c>
      <c r="O25" s="4">
        <f>+E25*5%</f>
        <v>260000</v>
      </c>
      <c r="P25" s="4"/>
      <c r="Q25" s="4"/>
      <c r="R25" s="4">
        <v>46204</v>
      </c>
      <c r="S25" s="4"/>
      <c r="T25" s="4"/>
      <c r="U25" s="4"/>
      <c r="V25" s="4">
        <f t="shared" si="6"/>
        <v>514204</v>
      </c>
      <c r="W25" s="5">
        <f t="shared" si="8"/>
        <v>4685796</v>
      </c>
    </row>
    <row r="26" spans="1:23" ht="24.95" customHeight="1" x14ac:dyDescent="0.25">
      <c r="A26" s="63"/>
      <c r="B26" s="2">
        <v>23</v>
      </c>
      <c r="C26" s="1" t="s">
        <v>46</v>
      </c>
      <c r="D26" s="1" t="s">
        <v>30</v>
      </c>
      <c r="E26" s="4">
        <v>5500000</v>
      </c>
      <c r="F26" s="3">
        <v>30</v>
      </c>
      <c r="G26" s="3">
        <f t="shared" si="1"/>
        <v>5500000</v>
      </c>
      <c r="H26" s="4"/>
      <c r="I26" s="4"/>
      <c r="J26" s="4"/>
      <c r="K26" s="4">
        <v>450000</v>
      </c>
      <c r="L26" s="4"/>
      <c r="M26" s="4">
        <f t="shared" si="2"/>
        <v>5950000</v>
      </c>
      <c r="N26" s="4">
        <f>+E26*4%</f>
        <v>220000</v>
      </c>
      <c r="O26" s="4">
        <f>+E26*5%</f>
        <v>275000</v>
      </c>
      <c r="P26" s="4"/>
      <c r="Q26" s="4"/>
      <c r="R26" s="7">
        <v>150521</v>
      </c>
      <c r="S26" s="4">
        <v>1365000</v>
      </c>
      <c r="T26" s="4"/>
      <c r="U26" s="4"/>
      <c r="V26" s="4">
        <f t="shared" si="6"/>
        <v>2010521</v>
      </c>
      <c r="W26" s="5">
        <f t="shared" si="8"/>
        <v>3939479</v>
      </c>
    </row>
    <row r="27" spans="1:23" ht="24.95" customHeight="1" x14ac:dyDescent="0.25">
      <c r="A27" s="63"/>
      <c r="B27" s="2">
        <v>24</v>
      </c>
      <c r="C27" s="1" t="s">
        <v>47</v>
      </c>
      <c r="D27" s="1" t="s">
        <v>30</v>
      </c>
      <c r="E27" s="4">
        <v>5350000</v>
      </c>
      <c r="F27" s="3">
        <v>30</v>
      </c>
      <c r="G27" s="3">
        <f t="shared" si="1"/>
        <v>5350000</v>
      </c>
      <c r="H27" s="4"/>
      <c r="I27" s="4"/>
      <c r="J27" s="4"/>
      <c r="K27" s="4">
        <v>1000000</v>
      </c>
      <c r="L27" s="4"/>
      <c r="M27" s="4">
        <f t="shared" si="2"/>
        <v>6350000</v>
      </c>
      <c r="N27" s="4">
        <f>+E27*4%</f>
        <v>214000</v>
      </c>
      <c r="O27" s="4">
        <f>+E27*0.05</f>
        <v>267500</v>
      </c>
      <c r="P27" s="4"/>
      <c r="Q27" s="4"/>
      <c r="R27" s="7">
        <v>96000</v>
      </c>
      <c r="S27" s="4"/>
      <c r="T27" s="4"/>
      <c r="U27" s="4">
        <v>810005</v>
      </c>
      <c r="V27" s="4">
        <f t="shared" si="6"/>
        <v>1387505</v>
      </c>
      <c r="W27" s="5">
        <f>M27-V27</f>
        <v>4962495</v>
      </c>
    </row>
    <row r="28" spans="1:23" ht="24.95" customHeight="1" x14ac:dyDescent="0.25">
      <c r="A28" s="63"/>
      <c r="B28" s="2">
        <v>25</v>
      </c>
      <c r="C28" s="1" t="s">
        <v>166</v>
      </c>
      <c r="D28" s="1" t="s">
        <v>30</v>
      </c>
      <c r="E28" s="4">
        <v>5000000</v>
      </c>
      <c r="F28" s="3">
        <v>8</v>
      </c>
      <c r="G28" s="3">
        <f t="shared" si="1"/>
        <v>1333333.3333333333</v>
      </c>
      <c r="H28" s="4"/>
      <c r="I28" s="4"/>
      <c r="J28" s="4"/>
      <c r="K28" s="4"/>
      <c r="L28" s="4"/>
      <c r="M28" s="4">
        <f t="shared" si="2"/>
        <v>1333333.3333333333</v>
      </c>
      <c r="N28" s="4">
        <f>+G28*4%</f>
        <v>53333.333333333328</v>
      </c>
      <c r="O28" s="4">
        <f>+G28*4%</f>
        <v>53333.333333333328</v>
      </c>
      <c r="P28" s="4"/>
      <c r="Q28" s="4"/>
      <c r="R28" s="7"/>
      <c r="S28" s="4"/>
      <c r="T28" s="4"/>
      <c r="U28" s="4"/>
      <c r="V28" s="4">
        <f t="shared" ref="V28" si="12">SUM(N28:U28)</f>
        <v>106666.66666666666</v>
      </c>
      <c r="W28" s="5">
        <f>M28-V28</f>
        <v>1226666.6666666665</v>
      </c>
    </row>
    <row r="29" spans="1:23" ht="24.95" customHeight="1" x14ac:dyDescent="0.25">
      <c r="A29" s="63"/>
      <c r="B29" s="2">
        <v>26</v>
      </c>
      <c r="C29" s="1" t="s">
        <v>48</v>
      </c>
      <c r="D29" s="1" t="s">
        <v>30</v>
      </c>
      <c r="E29" s="4">
        <v>7000000</v>
      </c>
      <c r="F29" s="3">
        <v>30</v>
      </c>
      <c r="G29" s="3">
        <f>+E29-L29</f>
        <v>6066667</v>
      </c>
      <c r="H29" s="4"/>
      <c r="I29" s="4"/>
      <c r="J29" s="4"/>
      <c r="K29" s="4"/>
      <c r="L29" s="4">
        <v>933333</v>
      </c>
      <c r="M29" s="4">
        <f t="shared" si="2"/>
        <v>7000000</v>
      </c>
      <c r="N29" s="4">
        <f>+E29*4%</f>
        <v>280000</v>
      </c>
      <c r="O29" s="4">
        <f>+E29*0.05</f>
        <v>350000</v>
      </c>
      <c r="P29" s="4"/>
      <c r="Q29" s="4"/>
      <c r="R29" s="7">
        <v>269359</v>
      </c>
      <c r="S29" s="4"/>
      <c r="T29" s="4"/>
      <c r="U29" s="4"/>
      <c r="V29" s="4">
        <f t="shared" si="6"/>
        <v>899359</v>
      </c>
      <c r="W29" s="5">
        <f>M29-V29</f>
        <v>6100641</v>
      </c>
    </row>
    <row r="30" spans="1:23" ht="24.95" customHeight="1" x14ac:dyDescent="0.25">
      <c r="A30" s="63"/>
      <c r="B30" s="2">
        <v>27</v>
      </c>
      <c r="C30" s="1" t="s">
        <v>49</v>
      </c>
      <c r="D30" s="1" t="s">
        <v>30</v>
      </c>
      <c r="E30" s="4">
        <v>6900000</v>
      </c>
      <c r="F30" s="3">
        <v>30</v>
      </c>
      <c r="G30" s="3">
        <f t="shared" si="1"/>
        <v>6900000</v>
      </c>
      <c r="H30" s="4"/>
      <c r="I30" s="4"/>
      <c r="J30" s="4"/>
      <c r="K30" s="4">
        <v>1400000</v>
      </c>
      <c r="L30" s="10"/>
      <c r="M30" s="4">
        <f t="shared" si="2"/>
        <v>8300000</v>
      </c>
      <c r="N30" s="4">
        <f>+E30*4%</f>
        <v>276000</v>
      </c>
      <c r="O30" s="4">
        <f>+E30*5%</f>
        <v>345000</v>
      </c>
      <c r="P30" s="4"/>
      <c r="Q30" s="4"/>
      <c r="R30" s="7">
        <v>113000</v>
      </c>
      <c r="S30" s="4">
        <v>1300000</v>
      </c>
      <c r="T30" s="4"/>
      <c r="U30" s="4"/>
      <c r="V30" s="4">
        <f t="shared" si="6"/>
        <v>2034000</v>
      </c>
      <c r="W30" s="5">
        <f>M30-V30</f>
        <v>6266000</v>
      </c>
    </row>
    <row r="31" spans="1:23" ht="24.95" customHeight="1" x14ac:dyDescent="0.25">
      <c r="A31" s="63"/>
      <c r="B31" s="2">
        <v>28</v>
      </c>
      <c r="C31" s="9" t="s">
        <v>149</v>
      </c>
      <c r="D31" s="1" t="s">
        <v>30</v>
      </c>
      <c r="E31" s="4">
        <v>4000000</v>
      </c>
      <c r="F31" s="3">
        <v>30</v>
      </c>
      <c r="G31" s="3">
        <f>+E31/30*F31</f>
        <v>4000000.0000000005</v>
      </c>
      <c r="H31" s="4"/>
      <c r="I31" s="4"/>
      <c r="J31" s="4"/>
      <c r="K31" s="4"/>
      <c r="L31" s="4"/>
      <c r="M31" s="4">
        <f>+G31+H31+J31+K31+L31+I31</f>
        <v>4000000.0000000005</v>
      </c>
      <c r="N31" s="4">
        <f>+G31*4%</f>
        <v>160000.00000000003</v>
      </c>
      <c r="O31" s="4">
        <f>+G31*5%</f>
        <v>200000.00000000003</v>
      </c>
      <c r="P31" s="4"/>
      <c r="Q31" s="4"/>
      <c r="R31" s="4"/>
      <c r="S31" s="4"/>
      <c r="T31" s="4"/>
      <c r="U31" s="4"/>
      <c r="V31" s="4">
        <f>SUM(N31:U31)</f>
        <v>360000.00000000006</v>
      </c>
      <c r="W31" s="5">
        <f>M31-V31</f>
        <v>3640000.0000000005</v>
      </c>
    </row>
    <row r="32" spans="1:23" ht="24.95" customHeight="1" x14ac:dyDescent="0.25">
      <c r="A32" s="63"/>
      <c r="B32" s="2">
        <v>29</v>
      </c>
      <c r="C32" s="1" t="s">
        <v>50</v>
      </c>
      <c r="D32" s="1" t="s">
        <v>30</v>
      </c>
      <c r="E32" s="4">
        <v>4000000</v>
      </c>
      <c r="F32" s="3">
        <v>30</v>
      </c>
      <c r="G32" s="3">
        <f t="shared" si="1"/>
        <v>4000000.0000000005</v>
      </c>
      <c r="H32" s="4"/>
      <c r="I32" s="4"/>
      <c r="J32" s="4"/>
      <c r="K32" s="4">
        <v>360000</v>
      </c>
      <c r="L32" s="4">
        <v>1390625</v>
      </c>
      <c r="M32" s="4">
        <f t="shared" si="2"/>
        <v>5750625</v>
      </c>
      <c r="N32" s="4">
        <f>E32*4/100+55625</f>
        <v>215625</v>
      </c>
      <c r="O32" s="4">
        <f>215625+53900</f>
        <v>269525</v>
      </c>
      <c r="P32" s="4"/>
      <c r="Q32" s="4"/>
      <c r="R32" s="4"/>
      <c r="S32" s="4"/>
      <c r="T32" s="4"/>
      <c r="U32" s="4"/>
      <c r="V32" s="4">
        <f t="shared" si="6"/>
        <v>485150</v>
      </c>
      <c r="W32" s="5">
        <f t="shared" ref="W32:W37" si="13">+M32-V32</f>
        <v>5265475</v>
      </c>
    </row>
    <row r="33" spans="1:24" ht="24.95" customHeight="1" x14ac:dyDescent="0.25">
      <c r="A33" s="63"/>
      <c r="B33" s="2">
        <v>30</v>
      </c>
      <c r="C33" s="1" t="s">
        <v>150</v>
      </c>
      <c r="D33" s="1" t="s">
        <v>30</v>
      </c>
      <c r="E33" s="4">
        <v>4500000</v>
      </c>
      <c r="F33" s="3">
        <v>30</v>
      </c>
      <c r="G33" s="3">
        <f>+E33/30*F33</f>
        <v>4500000</v>
      </c>
      <c r="H33" s="4"/>
      <c r="I33" s="4"/>
      <c r="J33" s="4"/>
      <c r="K33" s="4"/>
      <c r="L33" s="4"/>
      <c r="M33" s="4">
        <f t="shared" si="2"/>
        <v>4500000</v>
      </c>
      <c r="N33" s="4">
        <f>G33*4/100</f>
        <v>180000</v>
      </c>
      <c r="O33" s="4">
        <f>+G33*0.05</f>
        <v>225000</v>
      </c>
      <c r="P33" s="4"/>
      <c r="Q33" s="4"/>
      <c r="R33" s="7">
        <v>11000</v>
      </c>
      <c r="S33" s="4"/>
      <c r="T33" s="4"/>
      <c r="U33" s="4"/>
      <c r="V33" s="4">
        <f>SUM(N33:U33)</f>
        <v>416000</v>
      </c>
      <c r="W33" s="5">
        <f t="shared" si="13"/>
        <v>4084000</v>
      </c>
    </row>
    <row r="34" spans="1:24" ht="24.95" customHeight="1" x14ac:dyDescent="0.25">
      <c r="A34" s="63"/>
      <c r="B34" s="2">
        <v>31</v>
      </c>
      <c r="C34" s="1" t="s">
        <v>51</v>
      </c>
      <c r="D34" s="1" t="s">
        <v>30</v>
      </c>
      <c r="E34" s="4">
        <v>5300000</v>
      </c>
      <c r="F34" s="3">
        <v>30</v>
      </c>
      <c r="G34" s="3">
        <f t="shared" si="1"/>
        <v>5300000</v>
      </c>
      <c r="H34" s="4"/>
      <c r="I34" s="4"/>
      <c r="J34" s="4"/>
      <c r="K34" s="4">
        <v>1621317</v>
      </c>
      <c r="L34" s="4"/>
      <c r="M34" s="4">
        <f t="shared" si="2"/>
        <v>6921317</v>
      </c>
      <c r="N34" s="4">
        <f t="shared" ref="N34:N63" si="14">E34*4/100</f>
        <v>212000</v>
      </c>
      <c r="O34" s="4">
        <f t="shared" ref="O34:O63" si="15">+E34*0.05</f>
        <v>265000</v>
      </c>
      <c r="P34" s="4"/>
      <c r="Q34" s="4"/>
      <c r="R34" s="7">
        <v>100000</v>
      </c>
      <c r="S34" s="4"/>
      <c r="T34" s="4"/>
      <c r="U34" s="4">
        <f>884747</f>
        <v>884747</v>
      </c>
      <c r="V34" s="4">
        <f t="shared" si="6"/>
        <v>1461747</v>
      </c>
      <c r="W34" s="5">
        <f t="shared" si="13"/>
        <v>5459570</v>
      </c>
    </row>
    <row r="35" spans="1:24" ht="24.95" customHeight="1" x14ac:dyDescent="0.25">
      <c r="A35" s="63"/>
      <c r="B35" s="2">
        <v>32</v>
      </c>
      <c r="C35" s="1" t="s">
        <v>52</v>
      </c>
      <c r="D35" s="1" t="s">
        <v>30</v>
      </c>
      <c r="E35" s="4">
        <v>4800000</v>
      </c>
      <c r="F35" s="3">
        <v>30</v>
      </c>
      <c r="G35" s="3">
        <f t="shared" si="1"/>
        <v>4800000</v>
      </c>
      <c r="H35" s="4"/>
      <c r="I35" s="4"/>
      <c r="J35" s="4"/>
      <c r="K35" s="4">
        <v>92925</v>
      </c>
      <c r="L35" s="4"/>
      <c r="M35" s="4">
        <f t="shared" si="2"/>
        <v>4892925</v>
      </c>
      <c r="N35" s="4">
        <f t="shared" si="14"/>
        <v>192000</v>
      </c>
      <c r="O35" s="4">
        <f t="shared" si="15"/>
        <v>240000</v>
      </c>
      <c r="P35" s="4"/>
      <c r="Q35" s="4"/>
      <c r="R35" s="7">
        <v>0</v>
      </c>
      <c r="S35" s="4"/>
      <c r="T35" s="4"/>
      <c r="U35" s="4"/>
      <c r="V35" s="4">
        <f t="shared" si="6"/>
        <v>432000</v>
      </c>
      <c r="W35" s="5">
        <f t="shared" si="13"/>
        <v>4460925</v>
      </c>
    </row>
    <row r="36" spans="1:24" ht="24.95" customHeight="1" x14ac:dyDescent="0.25">
      <c r="A36" s="63"/>
      <c r="B36" s="2">
        <v>33</v>
      </c>
      <c r="C36" s="1" t="s">
        <v>53</v>
      </c>
      <c r="D36" s="1" t="s">
        <v>30</v>
      </c>
      <c r="E36" s="4">
        <v>5500000</v>
      </c>
      <c r="F36" s="3">
        <v>30</v>
      </c>
      <c r="G36" s="3">
        <f t="shared" si="1"/>
        <v>5500000</v>
      </c>
      <c r="H36" s="4"/>
      <c r="I36" s="4"/>
      <c r="J36" s="4"/>
      <c r="K36" s="4"/>
      <c r="L36" s="4"/>
      <c r="M36" s="4">
        <f t="shared" si="2"/>
        <v>5500000</v>
      </c>
      <c r="N36" s="4">
        <f t="shared" si="14"/>
        <v>220000</v>
      </c>
      <c r="O36" s="4">
        <f t="shared" si="15"/>
        <v>275000</v>
      </c>
      <c r="P36" s="4"/>
      <c r="Q36" s="4"/>
      <c r="R36" s="4">
        <v>5022</v>
      </c>
      <c r="S36" s="4"/>
      <c r="T36" s="4"/>
      <c r="U36" s="4"/>
      <c r="V36" s="4">
        <f t="shared" si="6"/>
        <v>500022</v>
      </c>
      <c r="W36" s="5">
        <f t="shared" si="13"/>
        <v>4999978</v>
      </c>
    </row>
    <row r="37" spans="1:24" ht="24.95" customHeight="1" x14ac:dyDescent="0.25">
      <c r="A37" s="63"/>
      <c r="B37" s="2">
        <v>34</v>
      </c>
      <c r="C37" s="1" t="s">
        <v>54</v>
      </c>
      <c r="D37" s="1" t="s">
        <v>30</v>
      </c>
      <c r="E37" s="4">
        <v>5500000</v>
      </c>
      <c r="F37" s="3">
        <v>30</v>
      </c>
      <c r="G37" s="3">
        <f t="shared" si="1"/>
        <v>5500000</v>
      </c>
      <c r="H37" s="4"/>
      <c r="I37" s="4"/>
      <c r="J37" s="4"/>
      <c r="K37" s="4"/>
      <c r="L37" s="4"/>
      <c r="M37" s="4">
        <f t="shared" si="2"/>
        <v>5500000</v>
      </c>
      <c r="N37" s="4">
        <f t="shared" si="14"/>
        <v>220000</v>
      </c>
      <c r="O37" s="4">
        <f t="shared" si="15"/>
        <v>275000</v>
      </c>
      <c r="P37" s="4"/>
      <c r="Q37" s="4"/>
      <c r="R37" s="7">
        <v>141000</v>
      </c>
      <c r="S37" s="4"/>
      <c r="T37" s="4"/>
      <c r="U37" s="4"/>
      <c r="V37" s="4">
        <f t="shared" si="6"/>
        <v>636000</v>
      </c>
      <c r="W37" s="5">
        <f t="shared" si="13"/>
        <v>4864000</v>
      </c>
    </row>
    <row r="38" spans="1:24" ht="24.95" customHeight="1" x14ac:dyDescent="0.25">
      <c r="A38" s="63"/>
      <c r="B38" s="2">
        <v>35</v>
      </c>
      <c r="C38" s="1" t="s">
        <v>110</v>
      </c>
      <c r="D38" s="1" t="s">
        <v>30</v>
      </c>
      <c r="E38" s="4">
        <v>4300000</v>
      </c>
      <c r="F38" s="3">
        <v>30</v>
      </c>
      <c r="G38" s="3">
        <f t="shared" si="1"/>
        <v>4300000</v>
      </c>
      <c r="H38" s="4"/>
      <c r="I38" s="4"/>
      <c r="J38" s="4"/>
      <c r="K38" s="4"/>
      <c r="L38" s="4">
        <f>+E38-G38</f>
        <v>0</v>
      </c>
      <c r="M38" s="4">
        <f t="shared" si="2"/>
        <v>4300000</v>
      </c>
      <c r="N38" s="4">
        <f>+E38*4%</f>
        <v>172000</v>
      </c>
      <c r="O38" s="4">
        <f>+E38*5%</f>
        <v>215000</v>
      </c>
      <c r="P38" s="4"/>
      <c r="Q38" s="4"/>
      <c r="R38" s="7">
        <v>0</v>
      </c>
      <c r="S38" s="4"/>
      <c r="T38" s="4">
        <v>0</v>
      </c>
      <c r="U38" s="4"/>
      <c r="V38" s="4">
        <f t="shared" ref="V38" si="16">SUM(N38:U38)</f>
        <v>387000</v>
      </c>
      <c r="W38" s="5">
        <f>+M38-V38</f>
        <v>3913000</v>
      </c>
      <c r="X38" s="65"/>
    </row>
    <row r="39" spans="1:24" ht="24.95" customHeight="1" x14ac:dyDescent="0.25">
      <c r="A39" s="63"/>
      <c r="B39" s="2">
        <v>36</v>
      </c>
      <c r="C39" s="1" t="s">
        <v>57</v>
      </c>
      <c r="D39" s="1" t="s">
        <v>30</v>
      </c>
      <c r="E39" s="4">
        <v>6600000</v>
      </c>
      <c r="F39" s="3">
        <v>30</v>
      </c>
      <c r="G39" s="3">
        <f t="shared" si="1"/>
        <v>6600000</v>
      </c>
      <c r="H39" s="4"/>
      <c r="I39" s="4"/>
      <c r="J39" s="4"/>
      <c r="K39" s="4"/>
      <c r="L39" s="10"/>
      <c r="M39" s="4">
        <f t="shared" si="2"/>
        <v>6600000</v>
      </c>
      <c r="N39" s="4">
        <f t="shared" si="14"/>
        <v>264000</v>
      </c>
      <c r="O39" s="4">
        <f t="shared" si="15"/>
        <v>330000</v>
      </c>
      <c r="P39" s="4"/>
      <c r="Q39" s="4"/>
      <c r="R39" s="7">
        <v>86000</v>
      </c>
      <c r="S39" s="4"/>
      <c r="T39" s="4"/>
      <c r="U39" s="4"/>
      <c r="V39" s="4">
        <f t="shared" si="6"/>
        <v>680000</v>
      </c>
      <c r="W39" s="5">
        <f>M39-V39</f>
        <v>5920000</v>
      </c>
    </row>
    <row r="40" spans="1:24" ht="24.95" customHeight="1" x14ac:dyDescent="0.25">
      <c r="A40" s="63"/>
      <c r="B40" s="2">
        <v>37</v>
      </c>
      <c r="C40" s="1" t="s">
        <v>111</v>
      </c>
      <c r="D40" s="1" t="s">
        <v>30</v>
      </c>
      <c r="E40" s="4">
        <v>4770000</v>
      </c>
      <c r="F40" s="3">
        <v>30</v>
      </c>
      <c r="G40" s="3">
        <f t="shared" si="1"/>
        <v>4770000</v>
      </c>
      <c r="H40" s="4"/>
      <c r="I40" s="4"/>
      <c r="J40" s="4"/>
      <c r="K40" s="4">
        <v>160000</v>
      </c>
      <c r="L40" s="4">
        <f>+E40-G40</f>
        <v>0</v>
      </c>
      <c r="M40" s="4">
        <f t="shared" si="2"/>
        <v>4930000</v>
      </c>
      <c r="N40" s="4">
        <f t="shared" ref="N40" si="17">+E40*4%</f>
        <v>190800</v>
      </c>
      <c r="O40" s="4">
        <f>+E40*5%</f>
        <v>238500</v>
      </c>
      <c r="P40" s="4"/>
      <c r="Q40" s="4"/>
      <c r="R40" s="7">
        <v>0</v>
      </c>
      <c r="S40" s="4"/>
      <c r="T40" s="4"/>
      <c r="U40" s="4"/>
      <c r="V40" s="4">
        <f t="shared" ref="V40" si="18">SUM(N40:U40)</f>
        <v>429300</v>
      </c>
      <c r="W40" s="5">
        <f t="shared" ref="W40" si="19">+M40-V40</f>
        <v>4500700</v>
      </c>
    </row>
    <row r="41" spans="1:24" ht="24.95" customHeight="1" x14ac:dyDescent="0.25">
      <c r="A41" s="63"/>
      <c r="B41" s="2">
        <v>38</v>
      </c>
      <c r="C41" s="1" t="s">
        <v>58</v>
      </c>
      <c r="D41" s="1" t="s">
        <v>30</v>
      </c>
      <c r="E41" s="4">
        <v>7000000</v>
      </c>
      <c r="F41" s="3">
        <v>30</v>
      </c>
      <c r="G41" s="3">
        <f t="shared" si="1"/>
        <v>7000000</v>
      </c>
      <c r="H41" s="4"/>
      <c r="I41" s="4"/>
      <c r="J41" s="4"/>
      <c r="K41" s="4"/>
      <c r="L41" s="11"/>
      <c r="M41" s="4">
        <f t="shared" si="2"/>
        <v>7000000</v>
      </c>
      <c r="N41" s="4">
        <f t="shared" si="14"/>
        <v>280000</v>
      </c>
      <c r="O41" s="4">
        <f t="shared" si="15"/>
        <v>350000</v>
      </c>
      <c r="P41" s="4"/>
      <c r="Q41" s="4"/>
      <c r="R41" s="7">
        <v>86000</v>
      </c>
      <c r="S41" s="4"/>
      <c r="T41" s="4"/>
      <c r="U41" s="4"/>
      <c r="V41" s="4">
        <f t="shared" si="6"/>
        <v>716000</v>
      </c>
      <c r="W41" s="5">
        <f>M41-V41</f>
        <v>6284000</v>
      </c>
    </row>
    <row r="42" spans="1:24" ht="24.95" customHeight="1" x14ac:dyDescent="0.25">
      <c r="A42" s="63"/>
      <c r="B42" s="2">
        <v>39</v>
      </c>
      <c r="C42" s="1" t="s">
        <v>60</v>
      </c>
      <c r="D42" s="1" t="s">
        <v>30</v>
      </c>
      <c r="E42" s="4">
        <v>5088000</v>
      </c>
      <c r="F42" s="3">
        <v>30</v>
      </c>
      <c r="G42" s="3">
        <f t="shared" si="1"/>
        <v>5088000</v>
      </c>
      <c r="H42" s="4"/>
      <c r="I42" s="4"/>
      <c r="J42" s="4"/>
      <c r="K42" s="4"/>
      <c r="L42" s="4"/>
      <c r="M42" s="4">
        <f t="shared" si="2"/>
        <v>5088000</v>
      </c>
      <c r="N42" s="4">
        <f>E42*4/100</f>
        <v>203520</v>
      </c>
      <c r="O42" s="4">
        <f>+E42*0.05</f>
        <v>254400</v>
      </c>
      <c r="P42" s="4"/>
      <c r="Q42" s="4"/>
      <c r="R42" s="4">
        <v>0</v>
      </c>
      <c r="S42" s="4">
        <f>1150000</f>
        <v>1150000</v>
      </c>
      <c r="T42" s="4"/>
      <c r="U42" s="4">
        <f>209579</f>
        <v>209579</v>
      </c>
      <c r="V42" s="4">
        <f t="shared" si="6"/>
        <v>1817499</v>
      </c>
      <c r="W42" s="5">
        <f>M42-V42</f>
        <v>3270501</v>
      </c>
    </row>
    <row r="43" spans="1:24" ht="24.95" customHeight="1" x14ac:dyDescent="0.25">
      <c r="A43" s="63"/>
      <c r="B43" s="2">
        <v>40</v>
      </c>
      <c r="C43" s="1" t="s">
        <v>61</v>
      </c>
      <c r="D43" s="1" t="s">
        <v>30</v>
      </c>
      <c r="E43" s="4">
        <v>4540000</v>
      </c>
      <c r="F43" s="3">
        <v>30</v>
      </c>
      <c r="G43" s="3">
        <f t="shared" si="1"/>
        <v>4540000</v>
      </c>
      <c r="H43" s="4"/>
      <c r="I43" s="4"/>
      <c r="J43" s="4"/>
      <c r="K43" s="4"/>
      <c r="L43" s="4"/>
      <c r="M43" s="4">
        <f t="shared" si="2"/>
        <v>4540000</v>
      </c>
      <c r="N43" s="4">
        <f t="shared" si="14"/>
        <v>181600</v>
      </c>
      <c r="O43" s="4">
        <f t="shared" si="15"/>
        <v>227000</v>
      </c>
      <c r="P43" s="4"/>
      <c r="Q43" s="4">
        <v>270000</v>
      </c>
      <c r="R43" s="7">
        <v>0</v>
      </c>
      <c r="S43" s="4"/>
      <c r="T43" s="4"/>
      <c r="U43" s="4">
        <v>407106</v>
      </c>
      <c r="V43" s="4">
        <f t="shared" si="6"/>
        <v>1085706</v>
      </c>
      <c r="W43" s="5">
        <f>M43-V43</f>
        <v>3454294</v>
      </c>
    </row>
    <row r="44" spans="1:24" ht="24.95" customHeight="1" x14ac:dyDescent="0.25">
      <c r="A44" s="63"/>
      <c r="B44" s="2">
        <v>41</v>
      </c>
      <c r="C44" s="1" t="s">
        <v>62</v>
      </c>
      <c r="D44" s="1" t="s">
        <v>30</v>
      </c>
      <c r="E44" s="4">
        <v>3500000</v>
      </c>
      <c r="F44" s="3">
        <v>30</v>
      </c>
      <c r="G44" s="3">
        <f>+E44-L44</f>
        <v>3500000</v>
      </c>
      <c r="H44" s="4"/>
      <c r="I44" s="4"/>
      <c r="J44" s="4"/>
      <c r="K44" s="4"/>
      <c r="L44" s="4"/>
      <c r="M44" s="4">
        <f t="shared" si="2"/>
        <v>3500000</v>
      </c>
      <c r="N44" s="4">
        <f t="shared" si="14"/>
        <v>140000</v>
      </c>
      <c r="O44" s="4">
        <f t="shared" si="15"/>
        <v>175000</v>
      </c>
      <c r="P44" s="4"/>
      <c r="Q44" s="4"/>
      <c r="R44" s="4">
        <v>0</v>
      </c>
      <c r="S44" s="4"/>
      <c r="T44" s="4"/>
      <c r="U44" s="4">
        <v>257196</v>
      </c>
      <c r="V44" s="4">
        <f t="shared" si="6"/>
        <v>572196</v>
      </c>
      <c r="W44" s="5">
        <f>+M44-V44</f>
        <v>2927804</v>
      </c>
    </row>
    <row r="45" spans="1:24" ht="24.95" customHeight="1" x14ac:dyDescent="0.25">
      <c r="A45" s="63"/>
      <c r="B45" s="2">
        <v>42</v>
      </c>
      <c r="C45" s="1" t="s">
        <v>63</v>
      </c>
      <c r="D45" s="1" t="s">
        <v>30</v>
      </c>
      <c r="E45" s="4">
        <v>4500000</v>
      </c>
      <c r="F45" s="3">
        <v>30</v>
      </c>
      <c r="G45" s="3">
        <f t="shared" si="1"/>
        <v>4500000</v>
      </c>
      <c r="H45" s="4"/>
      <c r="I45" s="4"/>
      <c r="J45" s="4"/>
      <c r="K45" s="4"/>
      <c r="L45" s="4"/>
      <c r="M45" s="4">
        <f t="shared" si="2"/>
        <v>4500000</v>
      </c>
      <c r="N45" s="4">
        <f t="shared" si="14"/>
        <v>180000</v>
      </c>
      <c r="O45" s="4">
        <f t="shared" si="15"/>
        <v>225000</v>
      </c>
      <c r="P45" s="4"/>
      <c r="Q45" s="4"/>
      <c r="R45" s="4">
        <v>0</v>
      </c>
      <c r="S45" s="4"/>
      <c r="T45" s="4"/>
      <c r="U45" s="4"/>
      <c r="V45" s="4">
        <f t="shared" si="6"/>
        <v>405000</v>
      </c>
      <c r="W45" s="5">
        <f>+M45-V45</f>
        <v>4095000</v>
      </c>
    </row>
    <row r="46" spans="1:24" ht="24.95" customHeight="1" x14ac:dyDescent="0.25">
      <c r="A46" s="63"/>
      <c r="B46" s="2">
        <v>43</v>
      </c>
      <c r="C46" s="1" t="s">
        <v>64</v>
      </c>
      <c r="D46" s="1" t="s">
        <v>30</v>
      </c>
      <c r="E46" s="4">
        <v>6360000</v>
      </c>
      <c r="F46" s="3">
        <v>30</v>
      </c>
      <c r="G46" s="3">
        <f>+E46-L46</f>
        <v>6360000</v>
      </c>
      <c r="H46" s="4"/>
      <c r="I46" s="4"/>
      <c r="J46" s="4"/>
      <c r="K46" s="4"/>
      <c r="L46" s="4"/>
      <c r="M46" s="4">
        <f t="shared" si="2"/>
        <v>6360000</v>
      </c>
      <c r="N46" s="4">
        <f t="shared" si="14"/>
        <v>254400</v>
      </c>
      <c r="O46" s="4">
        <f t="shared" si="15"/>
        <v>318000</v>
      </c>
      <c r="P46" s="4"/>
      <c r="Q46" s="4"/>
      <c r="R46" s="4">
        <v>208000</v>
      </c>
      <c r="S46" s="4"/>
      <c r="T46" s="4">
        <v>122614</v>
      </c>
      <c r="U46" s="4"/>
      <c r="V46" s="4">
        <f t="shared" si="6"/>
        <v>903014</v>
      </c>
      <c r="W46" s="5">
        <f>+M46-V46</f>
        <v>5456986</v>
      </c>
    </row>
    <row r="47" spans="1:24" ht="24.95" customHeight="1" x14ac:dyDescent="0.25">
      <c r="A47" s="63"/>
      <c r="B47" s="2">
        <v>44</v>
      </c>
      <c r="C47" s="1" t="s">
        <v>151</v>
      </c>
      <c r="D47" s="1" t="s">
        <v>30</v>
      </c>
      <c r="E47" s="4">
        <v>3500000</v>
      </c>
      <c r="F47" s="3">
        <v>30</v>
      </c>
      <c r="G47" s="3">
        <f>+E47/30*F47</f>
        <v>3500000</v>
      </c>
      <c r="H47" s="4"/>
      <c r="I47" s="4"/>
      <c r="J47" s="4"/>
      <c r="K47" s="4"/>
      <c r="L47" s="4"/>
      <c r="M47" s="4">
        <f>+G47+H47+J47+K47+L47+I47</f>
        <v>3500000</v>
      </c>
      <c r="N47" s="4">
        <f>G47*4/100</f>
        <v>140000</v>
      </c>
      <c r="O47" s="4">
        <f>+G47*0.05</f>
        <v>175000</v>
      </c>
      <c r="P47" s="4"/>
      <c r="Q47" s="4"/>
      <c r="R47" s="4">
        <v>0</v>
      </c>
      <c r="S47" s="4"/>
      <c r="T47" s="4">
        <v>0</v>
      </c>
      <c r="U47" s="4"/>
      <c r="V47" s="4">
        <f t="shared" ref="V47" si="20">SUM(N47:U47)</f>
        <v>315000</v>
      </c>
      <c r="W47" s="5">
        <f>+M47-V47</f>
        <v>3185000</v>
      </c>
    </row>
    <row r="48" spans="1:24" ht="24.95" customHeight="1" x14ac:dyDescent="0.25">
      <c r="A48" s="63"/>
      <c r="B48" s="2">
        <v>45</v>
      </c>
      <c r="C48" s="1" t="s">
        <v>65</v>
      </c>
      <c r="D48" s="1" t="s">
        <v>30</v>
      </c>
      <c r="E48" s="4">
        <v>4770000</v>
      </c>
      <c r="F48" s="3">
        <v>30</v>
      </c>
      <c r="G48" s="3">
        <f t="shared" si="1"/>
        <v>4770000</v>
      </c>
      <c r="H48" s="4"/>
      <c r="I48" s="4"/>
      <c r="J48" s="4"/>
      <c r="K48" s="4">
        <v>500000</v>
      </c>
      <c r="L48" s="4"/>
      <c r="M48" s="4">
        <f t="shared" si="2"/>
        <v>5270000</v>
      </c>
      <c r="N48" s="4">
        <f t="shared" si="14"/>
        <v>190800</v>
      </c>
      <c r="O48" s="4">
        <f t="shared" si="15"/>
        <v>238500</v>
      </c>
      <c r="P48" s="4"/>
      <c r="Q48" s="4"/>
      <c r="R48" s="4">
        <v>22000</v>
      </c>
      <c r="S48" s="4"/>
      <c r="T48" s="4"/>
      <c r="U48" s="4">
        <v>551399</v>
      </c>
      <c r="V48" s="4">
        <f t="shared" si="6"/>
        <v>1002699</v>
      </c>
      <c r="W48" s="5">
        <f>+M48-V48</f>
        <v>4267301</v>
      </c>
    </row>
    <row r="49" spans="1:26" ht="24.95" customHeight="1" x14ac:dyDescent="0.25">
      <c r="A49" s="63"/>
      <c r="B49" s="2">
        <v>46</v>
      </c>
      <c r="C49" s="1" t="s">
        <v>67</v>
      </c>
      <c r="D49" s="1" t="s">
        <v>30</v>
      </c>
      <c r="E49" s="4">
        <v>6000000</v>
      </c>
      <c r="F49" s="3">
        <v>30</v>
      </c>
      <c r="G49" s="3">
        <f>+E49-L49</f>
        <v>6000000</v>
      </c>
      <c r="H49" s="4"/>
      <c r="I49" s="4"/>
      <c r="J49" s="4"/>
      <c r="K49" s="4"/>
      <c r="L49" s="4"/>
      <c r="M49" s="4">
        <f t="shared" si="2"/>
        <v>6000000</v>
      </c>
      <c r="N49" s="4">
        <f t="shared" si="14"/>
        <v>240000</v>
      </c>
      <c r="O49" s="4">
        <f t="shared" si="15"/>
        <v>300000</v>
      </c>
      <c r="P49" s="4">
        <v>0</v>
      </c>
      <c r="Q49" s="4"/>
      <c r="R49" s="4">
        <v>0</v>
      </c>
      <c r="S49" s="4"/>
      <c r="T49" s="4"/>
      <c r="U49" s="4"/>
      <c r="V49" s="4">
        <f t="shared" si="6"/>
        <v>540000</v>
      </c>
      <c r="W49" s="5">
        <f>M49-V49</f>
        <v>5460000</v>
      </c>
      <c r="Z49" s="60">
        <v>321831000</v>
      </c>
    </row>
    <row r="50" spans="1:26" ht="24.95" customHeight="1" x14ac:dyDescent="0.25">
      <c r="A50" s="63"/>
      <c r="B50" s="2">
        <v>47</v>
      </c>
      <c r="C50" s="1" t="s">
        <v>68</v>
      </c>
      <c r="D50" s="1" t="s">
        <v>30</v>
      </c>
      <c r="E50" s="4">
        <v>6420000</v>
      </c>
      <c r="F50" s="3">
        <v>30</v>
      </c>
      <c r="G50" s="3">
        <f t="shared" si="1"/>
        <v>6420000</v>
      </c>
      <c r="H50" s="4"/>
      <c r="I50" s="4"/>
      <c r="J50" s="4"/>
      <c r="K50" s="4"/>
      <c r="L50" s="4"/>
      <c r="M50" s="4">
        <f t="shared" si="2"/>
        <v>6420000</v>
      </c>
      <c r="N50" s="4">
        <f t="shared" si="14"/>
        <v>256800</v>
      </c>
      <c r="O50" s="4">
        <f t="shared" si="15"/>
        <v>321000</v>
      </c>
      <c r="P50" s="4"/>
      <c r="Q50" s="4">
        <v>312983</v>
      </c>
      <c r="R50" s="4">
        <v>231000</v>
      </c>
      <c r="S50" s="4"/>
      <c r="T50" s="4"/>
      <c r="U50" s="4"/>
      <c r="V50" s="4">
        <f t="shared" si="6"/>
        <v>1121783</v>
      </c>
      <c r="W50" s="5">
        <f>+M50-V50</f>
        <v>5298217</v>
      </c>
      <c r="Z50" s="60">
        <f>+Z49/2</f>
        <v>160915500</v>
      </c>
    </row>
    <row r="51" spans="1:26" ht="24.95" customHeight="1" x14ac:dyDescent="0.25">
      <c r="A51" s="63"/>
      <c r="B51" s="2">
        <v>48</v>
      </c>
      <c r="C51" s="9" t="s">
        <v>69</v>
      </c>
      <c r="D51" s="1" t="s">
        <v>30</v>
      </c>
      <c r="E51" s="4">
        <v>7590000</v>
      </c>
      <c r="F51" s="3">
        <v>30</v>
      </c>
      <c r="G51" s="3">
        <f t="shared" si="1"/>
        <v>7590000</v>
      </c>
      <c r="H51" s="4"/>
      <c r="I51" s="4">
        <v>0</v>
      </c>
      <c r="J51" s="4"/>
      <c r="K51" s="4">
        <v>1500000</v>
      </c>
      <c r="L51" s="11"/>
      <c r="M51" s="4">
        <f>+G51+H51+J51+K51+L51+I51</f>
        <v>9090000</v>
      </c>
      <c r="N51" s="4">
        <f t="shared" si="14"/>
        <v>303600</v>
      </c>
      <c r="O51" s="4">
        <f t="shared" si="15"/>
        <v>379500</v>
      </c>
      <c r="P51" s="4"/>
      <c r="Q51" s="4"/>
      <c r="R51" s="4">
        <v>449811</v>
      </c>
      <c r="S51" s="4"/>
      <c r="T51" s="4"/>
      <c r="U51" s="4"/>
      <c r="V51" s="4">
        <f t="shared" si="6"/>
        <v>1132911</v>
      </c>
      <c r="W51" s="5">
        <f>M51-V51</f>
        <v>7957089</v>
      </c>
    </row>
    <row r="52" spans="1:26" ht="24.95" customHeight="1" x14ac:dyDescent="0.25">
      <c r="A52" s="63"/>
      <c r="B52" s="2">
        <v>49</v>
      </c>
      <c r="C52" s="9" t="s">
        <v>167</v>
      </c>
      <c r="D52" s="1" t="s">
        <v>30</v>
      </c>
      <c r="E52" s="4">
        <v>7700000</v>
      </c>
      <c r="F52" s="3">
        <v>29</v>
      </c>
      <c r="G52" s="3">
        <f t="shared" si="1"/>
        <v>7443333.333333333</v>
      </c>
      <c r="H52" s="4"/>
      <c r="I52" s="4"/>
      <c r="J52" s="4"/>
      <c r="K52" s="4">
        <f>+(800000/30)*F52</f>
        <v>773333.33333333337</v>
      </c>
      <c r="L52" s="11"/>
      <c r="M52" s="4">
        <f>+G52+H52+J52+K52+L52+I52</f>
        <v>8216666.666666666</v>
      </c>
      <c r="N52" s="4">
        <f>G52*4/100</f>
        <v>297733.33333333331</v>
      </c>
      <c r="O52" s="4">
        <f>+G52*0.05</f>
        <v>372166.66666666669</v>
      </c>
      <c r="P52" s="4">
        <v>2165000</v>
      </c>
      <c r="Q52" s="4"/>
      <c r="R52" s="4">
        <v>182000</v>
      </c>
      <c r="S52" s="4"/>
      <c r="T52" s="4"/>
      <c r="U52" s="4"/>
      <c r="V52" s="4">
        <f t="shared" ref="V52" si="21">SUM(N52:U52)</f>
        <v>3016900</v>
      </c>
      <c r="W52" s="5">
        <f>M52-V52</f>
        <v>5199766.666666666</v>
      </c>
    </row>
    <row r="53" spans="1:26" ht="24.95" customHeight="1" x14ac:dyDescent="0.25">
      <c r="A53" s="63"/>
      <c r="B53" s="2">
        <v>50</v>
      </c>
      <c r="C53" s="9" t="s">
        <v>70</v>
      </c>
      <c r="D53" s="1" t="s">
        <v>30</v>
      </c>
      <c r="E53" s="4">
        <v>6000000</v>
      </c>
      <c r="F53" s="3">
        <v>30</v>
      </c>
      <c r="G53" s="3">
        <f>+E53-L53</f>
        <v>6000000</v>
      </c>
      <c r="H53" s="4"/>
      <c r="I53" s="4"/>
      <c r="J53" s="4">
        <v>0</v>
      </c>
      <c r="K53" s="4">
        <v>500000</v>
      </c>
      <c r="L53" s="4"/>
      <c r="M53" s="4">
        <f t="shared" si="2"/>
        <v>6500000</v>
      </c>
      <c r="N53" s="4">
        <f t="shared" si="14"/>
        <v>240000</v>
      </c>
      <c r="O53" s="4">
        <f t="shared" si="15"/>
        <v>300000</v>
      </c>
      <c r="P53" s="4"/>
      <c r="Q53" s="4"/>
      <c r="R53" s="4">
        <v>144000</v>
      </c>
      <c r="S53" s="4"/>
      <c r="T53" s="4"/>
      <c r="U53" s="4"/>
      <c r="V53" s="4">
        <f t="shared" si="6"/>
        <v>684000</v>
      </c>
      <c r="W53" s="5">
        <f>M53-V53</f>
        <v>5816000</v>
      </c>
    </row>
    <row r="54" spans="1:26" ht="24.95" customHeight="1" x14ac:dyDescent="0.25">
      <c r="A54" s="63"/>
      <c r="B54" s="2">
        <v>51</v>
      </c>
      <c r="C54" s="1" t="s">
        <v>71</v>
      </c>
      <c r="D54" s="1" t="s">
        <v>30</v>
      </c>
      <c r="E54" s="4">
        <v>5350000</v>
      </c>
      <c r="F54" s="3">
        <v>30</v>
      </c>
      <c r="G54" s="3">
        <f t="shared" si="1"/>
        <v>5350000</v>
      </c>
      <c r="H54" s="4"/>
      <c r="I54" s="4"/>
      <c r="J54" s="4"/>
      <c r="K54" s="4"/>
      <c r="L54" s="4"/>
      <c r="M54" s="4">
        <f t="shared" si="2"/>
        <v>5350000</v>
      </c>
      <c r="N54" s="4">
        <f t="shared" si="14"/>
        <v>214000</v>
      </c>
      <c r="O54" s="4">
        <f t="shared" si="15"/>
        <v>267500</v>
      </c>
      <c r="P54" s="4"/>
      <c r="Q54" s="4"/>
      <c r="R54" s="4">
        <v>95000</v>
      </c>
      <c r="S54" s="4"/>
      <c r="T54" s="4"/>
      <c r="U54" s="4"/>
      <c r="V54" s="4">
        <f t="shared" si="6"/>
        <v>576500</v>
      </c>
      <c r="W54" s="5">
        <f t="shared" ref="W54:W61" si="22">+M54-V54</f>
        <v>4773500</v>
      </c>
    </row>
    <row r="55" spans="1:26" ht="24.95" customHeight="1" x14ac:dyDescent="0.25">
      <c r="A55" s="63"/>
      <c r="B55" s="2">
        <v>52</v>
      </c>
      <c r="C55" s="1" t="s">
        <v>72</v>
      </c>
      <c r="D55" s="2" t="s">
        <v>30</v>
      </c>
      <c r="E55" s="4">
        <v>4500000</v>
      </c>
      <c r="F55" s="3">
        <v>30</v>
      </c>
      <c r="G55" s="3">
        <f>+E55-L55</f>
        <v>4500000</v>
      </c>
      <c r="H55" s="4"/>
      <c r="I55" s="4"/>
      <c r="J55" s="4"/>
      <c r="K55" s="4"/>
      <c r="L55" s="4"/>
      <c r="M55" s="4">
        <f t="shared" si="2"/>
        <v>4500000</v>
      </c>
      <c r="N55" s="4">
        <f t="shared" si="14"/>
        <v>180000</v>
      </c>
      <c r="O55" s="4">
        <f t="shared" si="15"/>
        <v>225000</v>
      </c>
      <c r="P55" s="4"/>
      <c r="Q55" s="4"/>
      <c r="R55" s="4">
        <v>0</v>
      </c>
      <c r="S55" s="4"/>
      <c r="T55" s="4"/>
      <c r="U55" s="4"/>
      <c r="V55" s="4">
        <f t="shared" si="6"/>
        <v>405000</v>
      </c>
      <c r="W55" s="5">
        <f t="shared" si="22"/>
        <v>4095000</v>
      </c>
    </row>
    <row r="56" spans="1:26" ht="24.95" customHeight="1" x14ac:dyDescent="0.25">
      <c r="A56" s="63"/>
      <c r="B56" s="2">
        <v>53</v>
      </c>
      <c r="C56" s="1" t="s">
        <v>73</v>
      </c>
      <c r="D56" s="1" t="s">
        <v>30</v>
      </c>
      <c r="E56" s="4">
        <v>4770000</v>
      </c>
      <c r="F56" s="3">
        <v>30</v>
      </c>
      <c r="G56" s="3">
        <f t="shared" si="1"/>
        <v>4770000</v>
      </c>
      <c r="H56" s="4"/>
      <c r="I56" s="4"/>
      <c r="J56" s="4"/>
      <c r="K56" s="4"/>
      <c r="L56" s="4"/>
      <c r="M56" s="4">
        <f t="shared" si="2"/>
        <v>4770000</v>
      </c>
      <c r="N56" s="4">
        <f t="shared" si="14"/>
        <v>190800</v>
      </c>
      <c r="O56" s="4">
        <f t="shared" si="15"/>
        <v>238500</v>
      </c>
      <c r="P56" s="4"/>
      <c r="Q56" s="4"/>
      <c r="R56" s="4">
        <v>0</v>
      </c>
      <c r="S56" s="4"/>
      <c r="T56" s="4"/>
      <c r="U56" s="4">
        <v>317224</v>
      </c>
      <c r="V56" s="4">
        <f t="shared" si="6"/>
        <v>746524</v>
      </c>
      <c r="W56" s="5">
        <f t="shared" si="22"/>
        <v>4023476</v>
      </c>
    </row>
    <row r="57" spans="1:26" ht="24.95" customHeight="1" x14ac:dyDescent="0.25">
      <c r="A57" s="63"/>
      <c r="B57" s="2">
        <v>54</v>
      </c>
      <c r="C57" s="1" t="s">
        <v>161</v>
      </c>
      <c r="D57" s="1" t="s">
        <v>30</v>
      </c>
      <c r="E57" s="4">
        <v>6800000</v>
      </c>
      <c r="F57" s="3">
        <v>30</v>
      </c>
      <c r="G57" s="3">
        <f t="shared" si="1"/>
        <v>6800000</v>
      </c>
      <c r="H57" s="4"/>
      <c r="I57" s="4"/>
      <c r="J57" s="4"/>
      <c r="K57" s="4"/>
      <c r="L57" s="4"/>
      <c r="M57" s="4">
        <f t="shared" si="2"/>
        <v>6800000</v>
      </c>
      <c r="N57" s="4">
        <f>+G57*4%</f>
        <v>272000</v>
      </c>
      <c r="O57" s="4">
        <f>+G57*0.05</f>
        <v>340000</v>
      </c>
      <c r="P57" s="4"/>
      <c r="Q57" s="4"/>
      <c r="R57" s="4">
        <v>115000</v>
      </c>
      <c r="S57" s="4"/>
      <c r="T57" s="4"/>
      <c r="U57" s="4"/>
      <c r="V57" s="4">
        <f t="shared" ref="V57" si="23">SUM(N57:U57)</f>
        <v>727000</v>
      </c>
      <c r="W57" s="5">
        <f t="shared" si="22"/>
        <v>6073000</v>
      </c>
    </row>
    <row r="58" spans="1:26" ht="24.95" customHeight="1" x14ac:dyDescent="0.25">
      <c r="A58" s="63"/>
      <c r="B58" s="2">
        <v>55</v>
      </c>
      <c r="C58" s="1" t="s">
        <v>74</v>
      </c>
      <c r="D58" s="1" t="s">
        <v>30</v>
      </c>
      <c r="E58" s="4">
        <v>4800000</v>
      </c>
      <c r="F58" s="3">
        <v>30</v>
      </c>
      <c r="G58" s="3">
        <f>+E58-L58</f>
        <v>4800000</v>
      </c>
      <c r="H58" s="4"/>
      <c r="I58" s="4"/>
      <c r="J58" s="4"/>
      <c r="K58" s="4"/>
      <c r="L58" s="4"/>
      <c r="M58" s="4">
        <f t="shared" si="2"/>
        <v>4800000</v>
      </c>
      <c r="N58" s="4">
        <f t="shared" si="14"/>
        <v>192000</v>
      </c>
      <c r="O58" s="4">
        <f t="shared" si="15"/>
        <v>240000</v>
      </c>
      <c r="P58" s="4"/>
      <c r="Q58" s="4"/>
      <c r="R58" s="4">
        <v>0</v>
      </c>
      <c r="S58" s="4"/>
      <c r="T58" s="4"/>
      <c r="U58" s="4">
        <v>1198791</v>
      </c>
      <c r="V58" s="4">
        <f t="shared" si="6"/>
        <v>1630791</v>
      </c>
      <c r="W58" s="5">
        <f t="shared" si="22"/>
        <v>3169209</v>
      </c>
    </row>
    <row r="59" spans="1:26" ht="24.95" customHeight="1" x14ac:dyDescent="0.25">
      <c r="A59" s="63"/>
      <c r="B59" s="2">
        <v>56</v>
      </c>
      <c r="C59" s="1" t="s">
        <v>75</v>
      </c>
      <c r="D59" s="1" t="s">
        <v>30</v>
      </c>
      <c r="E59" s="4">
        <v>4400000</v>
      </c>
      <c r="F59" s="3">
        <v>30</v>
      </c>
      <c r="G59" s="3">
        <f>+E59-L59</f>
        <v>4400000</v>
      </c>
      <c r="H59" s="4"/>
      <c r="I59" s="4"/>
      <c r="J59" s="4"/>
      <c r="K59" s="4"/>
      <c r="L59" s="4"/>
      <c r="M59" s="4">
        <f t="shared" si="2"/>
        <v>4400000</v>
      </c>
      <c r="N59" s="4">
        <f>E59*4/100</f>
        <v>176000</v>
      </c>
      <c r="O59" s="4">
        <f>+E59*0.05</f>
        <v>220000</v>
      </c>
      <c r="P59" s="4"/>
      <c r="Q59" s="4"/>
      <c r="R59" s="4">
        <v>0</v>
      </c>
      <c r="S59" s="4"/>
      <c r="T59" s="4"/>
      <c r="U59" s="4">
        <v>141077</v>
      </c>
      <c r="V59" s="4">
        <f t="shared" si="6"/>
        <v>537077</v>
      </c>
      <c r="W59" s="5">
        <f t="shared" si="22"/>
        <v>3862923</v>
      </c>
    </row>
    <row r="60" spans="1:26" ht="24.95" customHeight="1" x14ac:dyDescent="0.25">
      <c r="A60" s="63"/>
      <c r="B60" s="2">
        <v>57</v>
      </c>
      <c r="C60" s="1" t="s">
        <v>76</v>
      </c>
      <c r="D60" s="1" t="s">
        <v>30</v>
      </c>
      <c r="E60" s="4">
        <v>6000000</v>
      </c>
      <c r="F60" s="3">
        <v>30</v>
      </c>
      <c r="G60" s="3">
        <f t="shared" si="1"/>
        <v>6000000</v>
      </c>
      <c r="H60" s="4"/>
      <c r="I60" s="4"/>
      <c r="J60" s="4"/>
      <c r="K60" s="4">
        <v>400000</v>
      </c>
      <c r="L60" s="4"/>
      <c r="M60" s="4">
        <f t="shared" si="2"/>
        <v>6400000</v>
      </c>
      <c r="N60" s="4">
        <f>E60*4/100</f>
        <v>240000</v>
      </c>
      <c r="O60" s="4">
        <f>+E60*0.05</f>
        <v>300000</v>
      </c>
      <c r="P60" s="4"/>
      <c r="Q60" s="4">
        <v>193581</v>
      </c>
      <c r="R60" s="4">
        <v>97000</v>
      </c>
      <c r="S60" s="4"/>
      <c r="T60" s="4"/>
      <c r="U60" s="4"/>
      <c r="V60" s="4">
        <f t="shared" si="6"/>
        <v>830581</v>
      </c>
      <c r="W60" s="5">
        <f t="shared" si="22"/>
        <v>5569419</v>
      </c>
    </row>
    <row r="61" spans="1:26" ht="24.95" customHeight="1" x14ac:dyDescent="0.25">
      <c r="A61" s="63"/>
      <c r="B61" s="2">
        <v>58</v>
      </c>
      <c r="C61" s="1" t="s">
        <v>152</v>
      </c>
      <c r="D61" s="1" t="s">
        <v>30</v>
      </c>
      <c r="E61" s="4">
        <v>4000000</v>
      </c>
      <c r="F61" s="3">
        <v>30</v>
      </c>
      <c r="G61" s="3">
        <f t="shared" si="1"/>
        <v>4000000.0000000005</v>
      </c>
      <c r="H61" s="4"/>
      <c r="I61" s="4"/>
      <c r="J61" s="4"/>
      <c r="K61" s="4"/>
      <c r="L61" s="4"/>
      <c r="M61" s="4">
        <f t="shared" si="2"/>
        <v>4000000.0000000005</v>
      </c>
      <c r="N61" s="4">
        <f>G61*4/100</f>
        <v>160000.00000000003</v>
      </c>
      <c r="O61" s="4">
        <f>+G61*0.05</f>
        <v>200000.00000000003</v>
      </c>
      <c r="P61" s="4"/>
      <c r="Q61" s="4"/>
      <c r="R61" s="4"/>
      <c r="S61" s="4"/>
      <c r="T61" s="4"/>
      <c r="U61" s="4"/>
      <c r="V61" s="4">
        <f t="shared" ref="V61" si="24">SUM(N61:U61)</f>
        <v>360000.00000000006</v>
      </c>
      <c r="W61" s="5">
        <f t="shared" si="22"/>
        <v>3640000.0000000005</v>
      </c>
    </row>
    <row r="62" spans="1:26" ht="24.95" customHeight="1" x14ac:dyDescent="0.25">
      <c r="A62" s="63"/>
      <c r="B62" s="2">
        <v>59</v>
      </c>
      <c r="C62" s="1" t="s">
        <v>77</v>
      </c>
      <c r="D62" s="1" t="s">
        <v>30</v>
      </c>
      <c r="E62" s="4">
        <v>5500000</v>
      </c>
      <c r="F62" s="3">
        <v>16</v>
      </c>
      <c r="G62" s="3">
        <f t="shared" si="1"/>
        <v>2933333.3333333335</v>
      </c>
      <c r="H62" s="4">
        <v>2100000</v>
      </c>
      <c r="I62" s="4"/>
      <c r="J62" s="4"/>
      <c r="K62" s="4"/>
      <c r="L62" s="4">
        <v>0</v>
      </c>
      <c r="M62" s="4">
        <f t="shared" si="2"/>
        <v>5033333.333333334</v>
      </c>
      <c r="N62" s="4">
        <f>M62*4/100</f>
        <v>201333.33333333337</v>
      </c>
      <c r="O62" s="4">
        <f>+M62*0.05</f>
        <v>251666.66666666672</v>
      </c>
      <c r="P62" s="4"/>
      <c r="Q62" s="4"/>
      <c r="R62" s="4">
        <v>57000</v>
      </c>
      <c r="S62" s="4"/>
      <c r="T62" s="4"/>
      <c r="U62" s="4"/>
      <c r="V62" s="4">
        <f t="shared" si="6"/>
        <v>510000.00000000012</v>
      </c>
      <c r="W62" s="5">
        <f>M62-V62</f>
        <v>4523333.333333334</v>
      </c>
    </row>
    <row r="63" spans="1:26" ht="24.95" customHeight="1" x14ac:dyDescent="0.25">
      <c r="A63" s="63"/>
      <c r="B63" s="2">
        <v>60</v>
      </c>
      <c r="C63" s="1" t="s">
        <v>78</v>
      </c>
      <c r="D63" s="1" t="s">
        <v>30</v>
      </c>
      <c r="E63" s="4">
        <v>6000000</v>
      </c>
      <c r="F63" s="3">
        <v>30</v>
      </c>
      <c r="G63" s="3">
        <f t="shared" si="1"/>
        <v>6000000</v>
      </c>
      <c r="H63" s="4"/>
      <c r="I63" s="4"/>
      <c r="J63" s="4"/>
      <c r="K63" s="4">
        <v>400000</v>
      </c>
      <c r="L63" s="4"/>
      <c r="M63" s="4">
        <f t="shared" si="2"/>
        <v>6400000</v>
      </c>
      <c r="N63" s="4">
        <f t="shared" si="14"/>
        <v>240000</v>
      </c>
      <c r="O63" s="4">
        <f t="shared" si="15"/>
        <v>300000</v>
      </c>
      <c r="P63" s="4"/>
      <c r="Q63" s="4"/>
      <c r="R63" s="4">
        <v>120000</v>
      </c>
      <c r="S63" s="4"/>
      <c r="T63" s="4"/>
      <c r="U63" s="4"/>
      <c r="V63" s="4">
        <f t="shared" si="6"/>
        <v>660000</v>
      </c>
      <c r="W63" s="5">
        <f>M63-V63</f>
        <v>5740000</v>
      </c>
    </row>
    <row r="64" spans="1:26" ht="24.95" customHeight="1" x14ac:dyDescent="0.25">
      <c r="A64" s="63"/>
      <c r="B64" s="2">
        <v>61</v>
      </c>
      <c r="C64" s="1" t="s">
        <v>79</v>
      </c>
      <c r="D64" s="1" t="s">
        <v>30</v>
      </c>
      <c r="E64" s="4">
        <v>4800000</v>
      </c>
      <c r="F64" s="3">
        <v>30</v>
      </c>
      <c r="G64" s="3">
        <f>+E64-L64</f>
        <v>4800000</v>
      </c>
      <c r="H64" s="4"/>
      <c r="I64" s="4"/>
      <c r="J64" s="4"/>
      <c r="K64" s="4"/>
      <c r="L64" s="4"/>
      <c r="M64" s="4">
        <f t="shared" si="2"/>
        <v>4800000</v>
      </c>
      <c r="N64" s="4">
        <f>+E64*4%</f>
        <v>192000</v>
      </c>
      <c r="O64" s="4">
        <f>+E64*5%</f>
        <v>240000</v>
      </c>
      <c r="P64" s="4"/>
      <c r="Q64" s="4"/>
      <c r="R64" s="4">
        <v>0</v>
      </c>
      <c r="S64" s="4"/>
      <c r="T64" s="4"/>
      <c r="U64" s="4"/>
      <c r="V64" s="4">
        <f t="shared" si="6"/>
        <v>432000</v>
      </c>
      <c r="W64" s="5">
        <f>+M64-V64</f>
        <v>4368000</v>
      </c>
    </row>
    <row r="65" spans="1:23" ht="24.95" customHeight="1" x14ac:dyDescent="0.25">
      <c r="A65" s="63"/>
      <c r="B65" s="2">
        <v>62</v>
      </c>
      <c r="C65" s="1" t="s">
        <v>153</v>
      </c>
      <c r="D65" s="1" t="s">
        <v>30</v>
      </c>
      <c r="E65" s="4">
        <v>4500000</v>
      </c>
      <c r="F65" s="3">
        <v>30</v>
      </c>
      <c r="G65" s="3">
        <f t="shared" si="1"/>
        <v>4500000</v>
      </c>
      <c r="H65" s="4"/>
      <c r="I65" s="4"/>
      <c r="J65" s="4"/>
      <c r="K65" s="4"/>
      <c r="L65" s="4"/>
      <c r="M65" s="4">
        <f t="shared" si="2"/>
        <v>4500000</v>
      </c>
      <c r="N65" s="4">
        <f>+G65*4%</f>
        <v>180000</v>
      </c>
      <c r="O65" s="4">
        <f>+G65*5%</f>
        <v>225000</v>
      </c>
      <c r="P65" s="4"/>
      <c r="Q65" s="4"/>
      <c r="R65" s="4"/>
      <c r="S65" s="4"/>
      <c r="T65" s="4"/>
      <c r="U65" s="4"/>
      <c r="V65" s="4">
        <f t="shared" ref="V65" si="25">SUM(N65:U65)</f>
        <v>405000</v>
      </c>
      <c r="W65" s="5">
        <f>+M65-V65</f>
        <v>4095000</v>
      </c>
    </row>
    <row r="66" spans="1:23" ht="24.95" customHeight="1" x14ac:dyDescent="0.25">
      <c r="A66" s="63"/>
      <c r="B66" s="2">
        <v>63</v>
      </c>
      <c r="C66" s="1" t="s">
        <v>80</v>
      </c>
      <c r="D66" s="1" t="s">
        <v>30</v>
      </c>
      <c r="E66" s="4">
        <v>6500000</v>
      </c>
      <c r="F66" s="3">
        <v>30</v>
      </c>
      <c r="G66" s="3">
        <f t="shared" si="1"/>
        <v>6500000</v>
      </c>
      <c r="H66" s="4"/>
      <c r="I66" s="4"/>
      <c r="J66" s="4"/>
      <c r="K66" s="4"/>
      <c r="L66" s="4"/>
      <c r="M66" s="4">
        <f t="shared" si="2"/>
        <v>6500000</v>
      </c>
      <c r="N66" s="4">
        <f>+E66*0.04</f>
        <v>260000</v>
      </c>
      <c r="O66" s="4">
        <f>+E66*0.05</f>
        <v>325000</v>
      </c>
      <c r="P66" s="4"/>
      <c r="Q66" s="4">
        <v>147000</v>
      </c>
      <c r="R66" s="4">
        <v>207372</v>
      </c>
      <c r="S66" s="4"/>
      <c r="T66" s="4"/>
      <c r="U66" s="4"/>
      <c r="V66" s="4">
        <f t="shared" si="6"/>
        <v>939372</v>
      </c>
      <c r="W66" s="5">
        <f>M66-V66</f>
        <v>5560628</v>
      </c>
    </row>
    <row r="67" spans="1:23" ht="24.95" customHeight="1" x14ac:dyDescent="0.25">
      <c r="A67" s="63" t="s">
        <v>81</v>
      </c>
      <c r="B67" s="2">
        <v>1</v>
      </c>
      <c r="C67" s="1" t="s">
        <v>82</v>
      </c>
      <c r="D67" s="1" t="s">
        <v>30</v>
      </c>
      <c r="E67" s="4">
        <v>912000</v>
      </c>
      <c r="F67" s="3">
        <v>30</v>
      </c>
      <c r="G67" s="3">
        <f t="shared" si="1"/>
        <v>912000</v>
      </c>
      <c r="H67" s="4">
        <v>88211</v>
      </c>
      <c r="I67" s="4"/>
      <c r="J67" s="4"/>
      <c r="K67" s="4"/>
      <c r="L67" s="4"/>
      <c r="M67" s="4">
        <f t="shared" si="2"/>
        <v>1000211</v>
      </c>
      <c r="N67" s="4">
        <f>+E67*0.04</f>
        <v>36480</v>
      </c>
      <c r="O67" s="4">
        <f>+E67*0.04</f>
        <v>36480</v>
      </c>
      <c r="P67" s="4"/>
      <c r="Q67" s="4"/>
      <c r="R67" s="4"/>
      <c r="S67" s="4"/>
      <c r="T67" s="4"/>
      <c r="U67" s="4"/>
      <c r="V67" s="4">
        <f>SUM(N67:U67)</f>
        <v>72960</v>
      </c>
      <c r="W67" s="5">
        <f>M67-V67</f>
        <v>927251</v>
      </c>
    </row>
    <row r="68" spans="1:23" ht="24.95" customHeight="1" x14ac:dyDescent="0.25">
      <c r="A68" s="63"/>
      <c r="B68" s="2">
        <v>2</v>
      </c>
      <c r="C68" s="1" t="s">
        <v>83</v>
      </c>
      <c r="D68" s="1" t="s">
        <v>30</v>
      </c>
      <c r="E68" s="4">
        <v>3000000</v>
      </c>
      <c r="F68" s="3">
        <v>30</v>
      </c>
      <c r="G68" s="3">
        <f t="shared" si="1"/>
        <v>3000000</v>
      </c>
      <c r="H68" s="4"/>
      <c r="I68" s="4"/>
      <c r="J68" s="4"/>
      <c r="K68" s="4"/>
      <c r="L68" s="4">
        <f>+E68-G68</f>
        <v>0</v>
      </c>
      <c r="M68" s="4">
        <f t="shared" si="2"/>
        <v>3000000</v>
      </c>
      <c r="N68" s="4">
        <f>+E68*0.04</f>
        <v>120000</v>
      </c>
      <c r="O68" s="4">
        <f>+E68*0.04</f>
        <v>120000</v>
      </c>
      <c r="P68" s="4"/>
      <c r="Q68" s="4"/>
      <c r="R68" s="4"/>
      <c r="S68" s="4"/>
      <c r="T68" s="4"/>
      <c r="U68" s="4"/>
      <c r="V68" s="4">
        <f t="shared" ref="V68:V115" si="26">SUM(N68:U68)</f>
        <v>240000</v>
      </c>
      <c r="W68" s="5">
        <f>M68-V68</f>
        <v>2760000</v>
      </c>
    </row>
    <row r="69" spans="1:23" ht="24.95" customHeight="1" x14ac:dyDescent="0.25">
      <c r="A69" s="63"/>
      <c r="B69" s="2">
        <v>3</v>
      </c>
      <c r="C69" s="9" t="s">
        <v>84</v>
      </c>
      <c r="D69" s="1" t="s">
        <v>30</v>
      </c>
      <c r="E69" s="4">
        <v>2500000</v>
      </c>
      <c r="F69" s="3">
        <v>30</v>
      </c>
      <c r="G69" s="3">
        <f t="shared" si="1"/>
        <v>2500000</v>
      </c>
      <c r="H69" s="4"/>
      <c r="I69" s="4"/>
      <c r="J69" s="4">
        <v>0</v>
      </c>
      <c r="K69" s="4"/>
      <c r="L69" s="4"/>
      <c r="M69" s="4">
        <f t="shared" si="2"/>
        <v>2500000</v>
      </c>
      <c r="N69" s="4">
        <f>+E69*4%</f>
        <v>100000</v>
      </c>
      <c r="O69" s="4">
        <f>+E69*4%</f>
        <v>100000</v>
      </c>
      <c r="P69" s="4"/>
      <c r="Q69" s="4"/>
      <c r="R69" s="4"/>
      <c r="S69" s="4"/>
      <c r="T69" s="4"/>
      <c r="U69" s="4"/>
      <c r="V69" s="4">
        <f t="shared" si="26"/>
        <v>200000</v>
      </c>
      <c r="W69" s="5">
        <f>M69-V69</f>
        <v>2300000</v>
      </c>
    </row>
    <row r="70" spans="1:23" ht="24.95" customHeight="1" x14ac:dyDescent="0.25">
      <c r="A70" s="63"/>
      <c r="B70" s="2">
        <v>4</v>
      </c>
      <c r="C70" s="1" t="s">
        <v>85</v>
      </c>
      <c r="D70" s="1" t="s">
        <v>30</v>
      </c>
      <c r="E70" s="4">
        <v>3000000</v>
      </c>
      <c r="F70" s="3">
        <v>30</v>
      </c>
      <c r="G70" s="3">
        <f t="shared" si="1"/>
        <v>3000000</v>
      </c>
      <c r="H70" s="4">
        <v>0</v>
      </c>
      <c r="I70" s="4"/>
      <c r="J70" s="4"/>
      <c r="K70" s="4"/>
      <c r="L70" s="4"/>
      <c r="M70" s="4">
        <f t="shared" si="2"/>
        <v>3000000</v>
      </c>
      <c r="N70" s="4">
        <f>+E70*4%</f>
        <v>120000</v>
      </c>
      <c r="O70" s="4">
        <f>+E70*4%</f>
        <v>120000</v>
      </c>
      <c r="P70" s="4"/>
      <c r="Q70" s="4"/>
      <c r="R70" s="7"/>
      <c r="S70" s="4"/>
      <c r="T70" s="4"/>
      <c r="U70" s="4"/>
      <c r="V70" s="4">
        <f t="shared" si="26"/>
        <v>240000</v>
      </c>
      <c r="W70" s="5">
        <f t="shared" ref="W70:W80" si="27">+M70-V70</f>
        <v>2760000</v>
      </c>
    </row>
    <row r="71" spans="1:23" ht="24.95" customHeight="1" x14ac:dyDescent="0.25">
      <c r="A71" s="63"/>
      <c r="B71" s="2">
        <v>5</v>
      </c>
      <c r="C71" s="1" t="s">
        <v>154</v>
      </c>
      <c r="D71" s="1" t="s">
        <v>30</v>
      </c>
      <c r="E71" s="4">
        <v>781242</v>
      </c>
      <c r="F71" s="3">
        <v>30</v>
      </c>
      <c r="G71" s="3">
        <f t="shared" si="1"/>
        <v>781242</v>
      </c>
      <c r="H71" s="4"/>
      <c r="I71" s="4"/>
      <c r="J71" s="4"/>
      <c r="K71" s="4"/>
      <c r="L71" s="4"/>
      <c r="M71" s="4">
        <f t="shared" si="2"/>
        <v>781242</v>
      </c>
      <c r="N71" s="4">
        <v>0</v>
      </c>
      <c r="O71" s="4">
        <v>0</v>
      </c>
      <c r="P71" s="4"/>
      <c r="Q71" s="4"/>
      <c r="R71" s="7"/>
      <c r="S71" s="4"/>
      <c r="T71" s="4"/>
      <c r="U71" s="4"/>
      <c r="V71" s="4">
        <f t="shared" ref="V71" si="28">SUM(N71:U71)</f>
        <v>0</v>
      </c>
      <c r="W71" s="5">
        <f t="shared" si="27"/>
        <v>781242</v>
      </c>
    </row>
    <row r="72" spans="1:23" ht="24.95" customHeight="1" x14ac:dyDescent="0.25">
      <c r="A72" s="63"/>
      <c r="B72" s="2">
        <v>6</v>
      </c>
      <c r="C72" s="1" t="s">
        <v>87</v>
      </c>
      <c r="D72" s="1" t="s">
        <v>30</v>
      </c>
      <c r="E72" s="4">
        <v>2200000</v>
      </c>
      <c r="F72" s="3">
        <v>30</v>
      </c>
      <c r="G72" s="3">
        <f>+E72-L72</f>
        <v>1760000</v>
      </c>
      <c r="H72" s="4"/>
      <c r="I72" s="4"/>
      <c r="J72" s="4"/>
      <c r="K72" s="4"/>
      <c r="L72" s="4">
        <v>440000</v>
      </c>
      <c r="M72" s="4">
        <f t="shared" si="2"/>
        <v>2200000</v>
      </c>
      <c r="N72" s="4">
        <f>+E72*4%</f>
        <v>88000</v>
      </c>
      <c r="O72" s="4">
        <f>+E72*4%</f>
        <v>88000</v>
      </c>
      <c r="P72" s="4"/>
      <c r="Q72" s="4"/>
      <c r="R72" s="7"/>
      <c r="S72" s="4"/>
      <c r="T72" s="4"/>
      <c r="U72" s="4"/>
      <c r="V72" s="4">
        <f t="shared" si="26"/>
        <v>176000</v>
      </c>
      <c r="W72" s="5">
        <f t="shared" si="27"/>
        <v>2024000</v>
      </c>
    </row>
    <row r="73" spans="1:23" ht="24.95" customHeight="1" x14ac:dyDescent="0.25">
      <c r="A73" s="63"/>
      <c r="B73" s="2">
        <v>7</v>
      </c>
      <c r="C73" s="1" t="s">
        <v>88</v>
      </c>
      <c r="D73" s="1" t="s">
        <v>30</v>
      </c>
      <c r="E73" s="4">
        <v>1800000</v>
      </c>
      <c r="F73" s="3">
        <v>30</v>
      </c>
      <c r="G73" s="3">
        <f>+E73-L73</f>
        <v>1800000</v>
      </c>
      <c r="H73" s="4">
        <v>0</v>
      </c>
      <c r="I73" s="4"/>
      <c r="J73" s="4"/>
      <c r="K73" s="4"/>
      <c r="L73" s="4"/>
      <c r="M73" s="4">
        <f t="shared" si="2"/>
        <v>1800000</v>
      </c>
      <c r="N73" s="4">
        <f>+E73*4%</f>
        <v>72000</v>
      </c>
      <c r="O73" s="4">
        <f>+E73*4%</f>
        <v>72000</v>
      </c>
      <c r="P73" s="4"/>
      <c r="Q73" s="4"/>
      <c r="R73" s="4">
        <v>0</v>
      </c>
      <c r="S73" s="4"/>
      <c r="T73" s="4"/>
      <c r="U73" s="4">
        <v>252510</v>
      </c>
      <c r="V73" s="4">
        <f t="shared" si="26"/>
        <v>396510</v>
      </c>
      <c r="W73" s="5">
        <f t="shared" si="27"/>
        <v>1403490</v>
      </c>
    </row>
    <row r="74" spans="1:23" ht="24.95" customHeight="1" x14ac:dyDescent="0.25">
      <c r="A74" s="63"/>
      <c r="B74" s="2">
        <v>8</v>
      </c>
      <c r="C74" s="1" t="s">
        <v>89</v>
      </c>
      <c r="D74" s="1" t="s">
        <v>30</v>
      </c>
      <c r="E74" s="4">
        <v>781242</v>
      </c>
      <c r="F74" s="3">
        <v>30</v>
      </c>
      <c r="G74" s="3">
        <f t="shared" si="1"/>
        <v>781242</v>
      </c>
      <c r="H74" s="4">
        <v>88211</v>
      </c>
      <c r="I74" s="4"/>
      <c r="J74" s="4"/>
      <c r="K74" s="4"/>
      <c r="L74" s="4"/>
      <c r="M74" s="4">
        <f t="shared" si="2"/>
        <v>869453</v>
      </c>
      <c r="N74" s="4">
        <v>31250</v>
      </c>
      <c r="O74" s="4">
        <v>31250</v>
      </c>
      <c r="P74" s="4"/>
      <c r="Q74" s="4"/>
      <c r="R74" s="7"/>
      <c r="S74" s="4"/>
      <c r="T74" s="4"/>
      <c r="U74" s="4"/>
      <c r="V74" s="4">
        <f t="shared" si="26"/>
        <v>62500</v>
      </c>
      <c r="W74" s="5">
        <f t="shared" si="27"/>
        <v>806953</v>
      </c>
    </row>
    <row r="75" spans="1:23" ht="24.95" customHeight="1" x14ac:dyDescent="0.25">
      <c r="A75" s="63"/>
      <c r="B75" s="2">
        <v>9</v>
      </c>
      <c r="C75" s="1" t="s">
        <v>90</v>
      </c>
      <c r="D75" s="1" t="s">
        <v>30</v>
      </c>
      <c r="E75" s="4">
        <v>3000000</v>
      </c>
      <c r="F75" s="3">
        <v>30</v>
      </c>
      <c r="G75" s="3">
        <f>+E75-L75</f>
        <v>2200000</v>
      </c>
      <c r="H75" s="4"/>
      <c r="I75" s="4"/>
      <c r="J75" s="4"/>
      <c r="K75" s="4"/>
      <c r="L75" s="4">
        <v>800000</v>
      </c>
      <c r="M75" s="4">
        <f t="shared" si="2"/>
        <v>3000000</v>
      </c>
      <c r="N75" s="4">
        <f t="shared" ref="N75:N81" si="29">+E75*4%</f>
        <v>120000</v>
      </c>
      <c r="O75" s="4">
        <f>+E75*4%</f>
        <v>120000</v>
      </c>
      <c r="P75" s="4"/>
      <c r="Q75" s="4"/>
      <c r="R75" s="4"/>
      <c r="S75" s="4"/>
      <c r="T75" s="4"/>
      <c r="U75" s="4"/>
      <c r="V75" s="4">
        <f t="shared" si="26"/>
        <v>240000</v>
      </c>
      <c r="W75" s="5">
        <f t="shared" si="27"/>
        <v>2760000</v>
      </c>
    </row>
    <row r="76" spans="1:23" ht="24.95" customHeight="1" x14ac:dyDescent="0.25">
      <c r="A76" s="63"/>
      <c r="B76" s="2">
        <v>10</v>
      </c>
      <c r="C76" s="1" t="s">
        <v>92</v>
      </c>
      <c r="D76" s="1" t="s">
        <v>30</v>
      </c>
      <c r="E76" s="4">
        <v>2500000</v>
      </c>
      <c r="F76" s="3">
        <v>30</v>
      </c>
      <c r="G76" s="3">
        <f t="shared" si="1"/>
        <v>2500000</v>
      </c>
      <c r="H76" s="4"/>
      <c r="I76" s="4"/>
      <c r="J76" s="4"/>
      <c r="K76" s="4">
        <v>700000</v>
      </c>
      <c r="L76" s="4"/>
      <c r="M76" s="4">
        <f t="shared" si="2"/>
        <v>3200000</v>
      </c>
      <c r="N76" s="4">
        <f t="shared" si="29"/>
        <v>100000</v>
      </c>
      <c r="O76" s="4">
        <f>+E76*4%</f>
        <v>100000</v>
      </c>
      <c r="P76" s="4"/>
      <c r="Q76" s="4"/>
      <c r="R76" s="4">
        <v>0</v>
      </c>
      <c r="S76" s="4"/>
      <c r="T76" s="4"/>
      <c r="U76" s="4">
        <f>200210+224445</f>
        <v>424655</v>
      </c>
      <c r="V76" s="4">
        <f t="shared" si="26"/>
        <v>624655</v>
      </c>
      <c r="W76" s="5">
        <f t="shared" si="27"/>
        <v>2575345</v>
      </c>
    </row>
    <row r="77" spans="1:23" ht="24.95" customHeight="1" x14ac:dyDescent="0.25">
      <c r="A77" s="63"/>
      <c r="B77" s="2">
        <v>11</v>
      </c>
      <c r="C77" s="1" t="s">
        <v>93</v>
      </c>
      <c r="D77" s="1" t="s">
        <v>30</v>
      </c>
      <c r="E77" s="4">
        <v>4000000</v>
      </c>
      <c r="F77" s="3">
        <v>30</v>
      </c>
      <c r="G77" s="3">
        <f t="shared" si="1"/>
        <v>4000000.0000000005</v>
      </c>
      <c r="H77" s="4"/>
      <c r="I77" s="4"/>
      <c r="J77" s="4"/>
      <c r="K77" s="4"/>
      <c r="L77" s="4"/>
      <c r="M77" s="4">
        <f t="shared" si="2"/>
        <v>4000000.0000000005</v>
      </c>
      <c r="N77" s="4">
        <f t="shared" si="29"/>
        <v>160000</v>
      </c>
      <c r="O77" s="4">
        <f>+E77*5%</f>
        <v>200000</v>
      </c>
      <c r="P77" s="4">
        <v>0</v>
      </c>
      <c r="Q77" s="4"/>
      <c r="R77" s="4">
        <v>0</v>
      </c>
      <c r="S77" s="4"/>
      <c r="T77" s="4"/>
      <c r="U77" s="4">
        <v>422966</v>
      </c>
      <c r="V77" s="4">
        <f t="shared" si="26"/>
        <v>782966</v>
      </c>
      <c r="W77" s="5">
        <f t="shared" si="27"/>
        <v>3217034.0000000005</v>
      </c>
    </row>
    <row r="78" spans="1:23" ht="24.95" customHeight="1" x14ac:dyDescent="0.25">
      <c r="A78" s="63"/>
      <c r="B78" s="2">
        <v>12</v>
      </c>
      <c r="C78" s="1" t="s">
        <v>94</v>
      </c>
      <c r="D78" s="1" t="s">
        <v>30</v>
      </c>
      <c r="E78" s="4">
        <v>1500000</v>
      </c>
      <c r="F78" s="3">
        <v>30</v>
      </c>
      <c r="G78" s="3">
        <f>+E78-J78</f>
        <v>1500000</v>
      </c>
      <c r="H78" s="4">
        <v>88211</v>
      </c>
      <c r="I78" s="4"/>
      <c r="J78" s="4"/>
      <c r="K78" s="4"/>
      <c r="L78" s="4"/>
      <c r="M78" s="4">
        <f t="shared" si="2"/>
        <v>1588211</v>
      </c>
      <c r="N78" s="4">
        <f>+E78*4%</f>
        <v>60000</v>
      </c>
      <c r="O78" s="4">
        <f>+E78*4%</f>
        <v>60000</v>
      </c>
      <c r="P78" s="4"/>
      <c r="Q78" s="4">
        <v>10000</v>
      </c>
      <c r="R78" s="4">
        <v>0</v>
      </c>
      <c r="S78" s="4"/>
      <c r="T78" s="4"/>
      <c r="U78" s="4"/>
      <c r="V78" s="4">
        <f t="shared" si="26"/>
        <v>130000</v>
      </c>
      <c r="W78" s="5">
        <f t="shared" si="27"/>
        <v>1458211</v>
      </c>
    </row>
    <row r="79" spans="1:23" ht="24.95" customHeight="1" x14ac:dyDescent="0.25">
      <c r="A79" s="63"/>
      <c r="B79" s="2">
        <v>13</v>
      </c>
      <c r="C79" s="1" t="s">
        <v>95</v>
      </c>
      <c r="D79" s="1" t="s">
        <v>30</v>
      </c>
      <c r="E79" s="4">
        <v>3000000</v>
      </c>
      <c r="F79" s="3">
        <v>30</v>
      </c>
      <c r="G79" s="3">
        <f t="shared" si="1"/>
        <v>3000000</v>
      </c>
      <c r="H79" s="4"/>
      <c r="I79" s="4"/>
      <c r="J79" s="4"/>
      <c r="K79" s="4">
        <v>200000</v>
      </c>
      <c r="L79" s="4"/>
      <c r="M79" s="4">
        <f t="shared" si="2"/>
        <v>3200000</v>
      </c>
      <c r="N79" s="4">
        <f t="shared" si="29"/>
        <v>120000</v>
      </c>
      <c r="O79" s="4">
        <f>+E79*0.04</f>
        <v>120000</v>
      </c>
      <c r="P79" s="4"/>
      <c r="Q79" s="4"/>
      <c r="R79" s="4">
        <v>0</v>
      </c>
      <c r="S79" s="4"/>
      <c r="T79" s="4"/>
      <c r="U79" s="4">
        <v>323803</v>
      </c>
      <c r="V79" s="4">
        <f t="shared" si="26"/>
        <v>563803</v>
      </c>
      <c r="W79" s="5">
        <f t="shared" si="27"/>
        <v>2636197</v>
      </c>
    </row>
    <row r="80" spans="1:23" ht="24.95" customHeight="1" x14ac:dyDescent="0.25">
      <c r="A80" s="63"/>
      <c r="B80" s="2">
        <v>14</v>
      </c>
      <c r="C80" s="1" t="s">
        <v>96</v>
      </c>
      <c r="D80" s="1" t="s">
        <v>30</v>
      </c>
      <c r="E80" s="4">
        <v>2000000</v>
      </c>
      <c r="F80" s="3">
        <v>30</v>
      </c>
      <c r="G80" s="3">
        <f t="shared" si="1"/>
        <v>2000000.0000000002</v>
      </c>
      <c r="H80" s="4"/>
      <c r="I80" s="4"/>
      <c r="J80" s="4"/>
      <c r="K80" s="4"/>
      <c r="L80" s="4"/>
      <c r="M80" s="4">
        <f t="shared" si="2"/>
        <v>2000000.0000000002</v>
      </c>
      <c r="N80" s="4">
        <f t="shared" si="29"/>
        <v>80000</v>
      </c>
      <c r="O80" s="4">
        <f>+E80*4%</f>
        <v>80000</v>
      </c>
      <c r="P80" s="4"/>
      <c r="Q80" s="4"/>
      <c r="R80" s="4">
        <v>0</v>
      </c>
      <c r="S80" s="4"/>
      <c r="T80" s="4"/>
      <c r="U80" s="4"/>
      <c r="V80" s="4">
        <f t="shared" si="26"/>
        <v>160000</v>
      </c>
      <c r="W80" s="5">
        <f t="shared" si="27"/>
        <v>1840000.0000000002</v>
      </c>
    </row>
    <row r="81" spans="1:23" ht="24.95" customHeight="1" x14ac:dyDescent="0.25">
      <c r="A81" s="63"/>
      <c r="B81" s="2">
        <v>15</v>
      </c>
      <c r="C81" s="9" t="s">
        <v>97</v>
      </c>
      <c r="D81" s="1" t="s">
        <v>30</v>
      </c>
      <c r="E81" s="4">
        <v>4500000</v>
      </c>
      <c r="F81" s="3">
        <v>30</v>
      </c>
      <c r="G81" s="3">
        <f t="shared" si="1"/>
        <v>4500000</v>
      </c>
      <c r="H81" s="4"/>
      <c r="I81" s="4"/>
      <c r="J81" s="4"/>
      <c r="K81" s="4"/>
      <c r="L81" s="4"/>
      <c r="M81" s="4">
        <f t="shared" si="2"/>
        <v>4500000</v>
      </c>
      <c r="N81" s="4">
        <f t="shared" si="29"/>
        <v>180000</v>
      </c>
      <c r="O81" s="4">
        <f>+E81*5%</f>
        <v>225000</v>
      </c>
      <c r="P81" s="4"/>
      <c r="Q81" s="4"/>
      <c r="R81" s="4">
        <v>0</v>
      </c>
      <c r="S81" s="4"/>
      <c r="T81" s="4"/>
      <c r="U81" s="4"/>
      <c r="V81" s="4">
        <f t="shared" si="26"/>
        <v>405000</v>
      </c>
      <c r="W81" s="5">
        <f t="shared" ref="W81:W90" si="30">M81-V81</f>
        <v>4095000</v>
      </c>
    </row>
    <row r="82" spans="1:23" ht="24.95" customHeight="1" x14ac:dyDescent="0.25">
      <c r="A82" s="63"/>
      <c r="B82" s="2">
        <v>16</v>
      </c>
      <c r="C82" s="1" t="s">
        <v>99</v>
      </c>
      <c r="D82" s="1" t="s">
        <v>30</v>
      </c>
      <c r="E82" s="4">
        <v>1000000</v>
      </c>
      <c r="F82" s="3">
        <v>30</v>
      </c>
      <c r="G82" s="3">
        <f t="shared" si="1"/>
        <v>1000000.0000000001</v>
      </c>
      <c r="H82" s="4">
        <v>88211</v>
      </c>
      <c r="I82" s="4"/>
      <c r="J82" s="4"/>
      <c r="K82" s="4"/>
      <c r="L82" s="4"/>
      <c r="M82" s="4">
        <f t="shared" si="2"/>
        <v>1088211</v>
      </c>
      <c r="N82" s="4">
        <f>+E82*4%</f>
        <v>40000</v>
      </c>
      <c r="O82" s="4">
        <f>+E82*4%</f>
        <v>40000</v>
      </c>
      <c r="P82" s="4"/>
      <c r="Q82" s="4"/>
      <c r="R82" s="4"/>
      <c r="S82" s="4"/>
      <c r="T82" s="4"/>
      <c r="U82" s="4"/>
      <c r="V82" s="4">
        <f t="shared" si="26"/>
        <v>80000</v>
      </c>
      <c r="W82" s="5">
        <f t="shared" si="30"/>
        <v>1008211</v>
      </c>
    </row>
    <row r="83" spans="1:23" ht="24.95" customHeight="1" x14ac:dyDescent="0.25">
      <c r="A83" s="63"/>
      <c r="B83" s="2">
        <v>17</v>
      </c>
      <c r="C83" s="1" t="s">
        <v>168</v>
      </c>
      <c r="D83" s="1" t="s">
        <v>30</v>
      </c>
      <c r="E83" s="4">
        <v>390621</v>
      </c>
      <c r="F83" s="3">
        <v>8</v>
      </c>
      <c r="G83" s="3">
        <f t="shared" si="1"/>
        <v>104165.6</v>
      </c>
      <c r="H83" s="4"/>
      <c r="I83" s="4"/>
      <c r="J83" s="4"/>
      <c r="K83" s="4"/>
      <c r="L83" s="4"/>
      <c r="M83" s="4">
        <f t="shared" si="2"/>
        <v>104165.6</v>
      </c>
      <c r="N83" s="4"/>
      <c r="O83" s="4"/>
      <c r="P83" s="4"/>
      <c r="Q83" s="4"/>
      <c r="R83" s="4"/>
      <c r="S83" s="4"/>
      <c r="T83" s="4"/>
      <c r="U83" s="4"/>
      <c r="V83" s="4"/>
      <c r="W83" s="5">
        <f t="shared" si="30"/>
        <v>104165.6</v>
      </c>
    </row>
    <row r="84" spans="1:23" ht="24.95" customHeight="1" x14ac:dyDescent="0.25">
      <c r="A84" s="63"/>
      <c r="B84" s="2">
        <v>18</v>
      </c>
      <c r="C84" s="1" t="s">
        <v>101</v>
      </c>
      <c r="D84" s="1" t="s">
        <v>30</v>
      </c>
      <c r="E84" s="4">
        <v>4800000</v>
      </c>
      <c r="F84" s="3">
        <v>30</v>
      </c>
      <c r="G84" s="3">
        <f t="shared" ref="G84:G114" si="31">+E84/30*F84</f>
        <v>4800000</v>
      </c>
      <c r="H84" s="4"/>
      <c r="I84" s="4"/>
      <c r="J84" s="4"/>
      <c r="K84" s="4"/>
      <c r="L84" s="4"/>
      <c r="M84" s="4">
        <f t="shared" ref="M84:M115" si="32">+G84+H84+J84+K84+L84+I84</f>
        <v>4800000</v>
      </c>
      <c r="N84" s="4">
        <f>+E84*0.04</f>
        <v>192000</v>
      </c>
      <c r="O84" s="4">
        <f>+E84*0.05</f>
        <v>240000</v>
      </c>
      <c r="P84" s="4"/>
      <c r="Q84" s="4"/>
      <c r="R84" s="4">
        <v>31000</v>
      </c>
      <c r="S84" s="4"/>
      <c r="T84" s="4"/>
      <c r="U84" s="4"/>
      <c r="V84" s="4">
        <f t="shared" si="26"/>
        <v>463000</v>
      </c>
      <c r="W84" s="5">
        <f t="shared" si="30"/>
        <v>4337000</v>
      </c>
    </row>
    <row r="85" spans="1:23" ht="24.95" customHeight="1" x14ac:dyDescent="0.25">
      <c r="A85" s="63"/>
      <c r="B85" s="2">
        <v>19</v>
      </c>
      <c r="C85" s="1" t="s">
        <v>102</v>
      </c>
      <c r="D85" s="1" t="s">
        <v>30</v>
      </c>
      <c r="E85" s="4">
        <v>2500000</v>
      </c>
      <c r="F85" s="3">
        <v>30</v>
      </c>
      <c r="G85" s="3">
        <f t="shared" si="31"/>
        <v>2500000</v>
      </c>
      <c r="H85" s="4"/>
      <c r="I85" s="4"/>
      <c r="J85" s="4"/>
      <c r="K85" s="4"/>
      <c r="L85" s="4"/>
      <c r="M85" s="4">
        <f t="shared" si="32"/>
        <v>2500000</v>
      </c>
      <c r="N85" s="4">
        <f>+E85*4%</f>
        <v>100000</v>
      </c>
      <c r="O85" s="4">
        <f>+E85*4%</f>
        <v>100000</v>
      </c>
      <c r="P85" s="4"/>
      <c r="Q85" s="4"/>
      <c r="R85" s="4"/>
      <c r="S85" s="4"/>
      <c r="T85" s="4"/>
      <c r="U85" s="4"/>
      <c r="V85" s="4">
        <f t="shared" si="26"/>
        <v>200000</v>
      </c>
      <c r="W85" s="5">
        <f t="shared" si="30"/>
        <v>2300000</v>
      </c>
    </row>
    <row r="86" spans="1:23" ht="24.95" customHeight="1" x14ac:dyDescent="0.25">
      <c r="A86" s="63"/>
      <c r="B86" s="2">
        <v>20</v>
      </c>
      <c r="C86" s="1" t="s">
        <v>103</v>
      </c>
      <c r="D86" s="1" t="s">
        <v>30</v>
      </c>
      <c r="E86" s="4">
        <v>1272000</v>
      </c>
      <c r="F86" s="3">
        <v>30</v>
      </c>
      <c r="G86" s="3">
        <f t="shared" si="31"/>
        <v>1272000</v>
      </c>
      <c r="H86" s="4">
        <v>88211</v>
      </c>
      <c r="I86" s="4"/>
      <c r="J86" s="4"/>
      <c r="K86" s="4"/>
      <c r="L86" s="4"/>
      <c r="M86" s="4">
        <f t="shared" si="32"/>
        <v>1360211</v>
      </c>
      <c r="N86" s="4">
        <f>+E86*4%</f>
        <v>50880</v>
      </c>
      <c r="O86" s="4">
        <f>+E86*4%</f>
        <v>50880</v>
      </c>
      <c r="P86" s="4"/>
      <c r="Q86" s="4"/>
      <c r="R86" s="4"/>
      <c r="S86" s="4"/>
      <c r="T86" s="4"/>
      <c r="U86" s="4"/>
      <c r="V86" s="4">
        <f t="shared" si="26"/>
        <v>101760</v>
      </c>
      <c r="W86" s="5">
        <f t="shared" si="30"/>
        <v>1258451</v>
      </c>
    </row>
    <row r="87" spans="1:23" ht="24.95" customHeight="1" x14ac:dyDescent="0.25">
      <c r="A87" s="63"/>
      <c r="B87" s="2">
        <v>21</v>
      </c>
      <c r="C87" s="1" t="s">
        <v>104</v>
      </c>
      <c r="D87" s="1" t="s">
        <v>30</v>
      </c>
      <c r="E87" s="4">
        <v>2500000</v>
      </c>
      <c r="F87" s="3">
        <v>30</v>
      </c>
      <c r="G87" s="3">
        <f t="shared" si="31"/>
        <v>2500000</v>
      </c>
      <c r="H87" s="4"/>
      <c r="I87" s="4"/>
      <c r="J87" s="4"/>
      <c r="K87" s="4"/>
      <c r="L87" s="4"/>
      <c r="M87" s="4">
        <f t="shared" si="32"/>
        <v>2500000</v>
      </c>
      <c r="N87" s="4">
        <f>+E87*4%</f>
        <v>100000</v>
      </c>
      <c r="O87" s="4">
        <f>+E87*4%</f>
        <v>100000</v>
      </c>
      <c r="P87" s="4"/>
      <c r="Q87" s="4"/>
      <c r="R87" s="4">
        <v>0</v>
      </c>
      <c r="S87" s="4"/>
      <c r="T87" s="4"/>
      <c r="U87" s="4"/>
      <c r="V87" s="4">
        <f t="shared" si="26"/>
        <v>200000</v>
      </c>
      <c r="W87" s="5">
        <f t="shared" si="30"/>
        <v>2300000</v>
      </c>
    </row>
    <row r="88" spans="1:23" ht="24.95" customHeight="1" x14ac:dyDescent="0.25">
      <c r="A88" s="63"/>
      <c r="B88" s="2">
        <v>22</v>
      </c>
      <c r="C88" s="1" t="s">
        <v>105</v>
      </c>
      <c r="D88" s="1" t="s">
        <v>30</v>
      </c>
      <c r="E88" s="4">
        <v>781242</v>
      </c>
      <c r="F88" s="3">
        <v>30</v>
      </c>
      <c r="G88" s="3">
        <f t="shared" si="31"/>
        <v>781242</v>
      </c>
      <c r="H88" s="4"/>
      <c r="I88" s="4"/>
      <c r="J88" s="4"/>
      <c r="K88" s="4"/>
      <c r="L88" s="4"/>
      <c r="M88" s="4">
        <f t="shared" si="32"/>
        <v>781242</v>
      </c>
      <c r="N88" s="4"/>
      <c r="O88" s="4"/>
      <c r="P88" s="4"/>
      <c r="Q88" s="4"/>
      <c r="R88" s="4"/>
      <c r="S88" s="4"/>
      <c r="T88" s="4"/>
      <c r="U88" s="4"/>
      <c r="V88" s="4">
        <f t="shared" si="26"/>
        <v>0</v>
      </c>
      <c r="W88" s="5">
        <f t="shared" si="30"/>
        <v>781242</v>
      </c>
    </row>
    <row r="89" spans="1:23" ht="24.95" customHeight="1" x14ac:dyDescent="0.25">
      <c r="A89" s="63"/>
      <c r="B89" s="2">
        <v>23</v>
      </c>
      <c r="C89" s="9" t="s">
        <v>107</v>
      </c>
      <c r="D89" s="1" t="s">
        <v>30</v>
      </c>
      <c r="E89" s="4">
        <v>1700000</v>
      </c>
      <c r="F89" s="3">
        <v>30</v>
      </c>
      <c r="G89" s="3">
        <f t="shared" si="31"/>
        <v>1700000</v>
      </c>
      <c r="H89" s="4"/>
      <c r="I89" s="4"/>
      <c r="J89" s="4"/>
      <c r="K89" s="4"/>
      <c r="L89" s="4"/>
      <c r="M89" s="4">
        <f t="shared" si="32"/>
        <v>1700000</v>
      </c>
      <c r="N89" s="4">
        <f t="shared" ref="N89:N96" si="33">+E89*4%</f>
        <v>68000</v>
      </c>
      <c r="O89" s="4">
        <f>+E89*4%</f>
        <v>68000</v>
      </c>
      <c r="P89" s="4"/>
      <c r="Q89" s="4"/>
      <c r="R89" s="4"/>
      <c r="S89" s="4"/>
      <c r="T89" s="4"/>
      <c r="U89" s="4"/>
      <c r="V89" s="4">
        <f t="shared" si="26"/>
        <v>136000</v>
      </c>
      <c r="W89" s="5">
        <f t="shared" si="30"/>
        <v>1564000</v>
      </c>
    </row>
    <row r="90" spans="1:23" ht="24.95" customHeight="1" x14ac:dyDescent="0.25">
      <c r="A90" s="63"/>
      <c r="B90" s="2">
        <v>24</v>
      </c>
      <c r="C90" s="9" t="s">
        <v>108</v>
      </c>
      <c r="D90" s="1" t="s">
        <v>30</v>
      </c>
      <c r="E90" s="4">
        <v>2400000</v>
      </c>
      <c r="F90" s="3">
        <v>30</v>
      </c>
      <c r="G90" s="3">
        <f t="shared" si="31"/>
        <v>2400000</v>
      </c>
      <c r="H90" s="4"/>
      <c r="I90" s="4"/>
      <c r="J90" s="4"/>
      <c r="K90" s="4"/>
      <c r="L90" s="4">
        <f>+E90-G90</f>
        <v>0</v>
      </c>
      <c r="M90" s="4">
        <f t="shared" si="32"/>
        <v>2400000</v>
      </c>
      <c r="N90" s="4">
        <f t="shared" si="33"/>
        <v>96000</v>
      </c>
      <c r="O90" s="4">
        <f>+E90*4%</f>
        <v>96000</v>
      </c>
      <c r="P90" s="4"/>
      <c r="Q90" s="4"/>
      <c r="R90" s="4"/>
      <c r="S90" s="4"/>
      <c r="T90" s="4"/>
      <c r="U90" s="4">
        <v>242074</v>
      </c>
      <c r="V90" s="4">
        <f t="shared" si="26"/>
        <v>434074</v>
      </c>
      <c r="W90" s="5">
        <f t="shared" si="30"/>
        <v>1965926</v>
      </c>
    </row>
    <row r="91" spans="1:23" ht="24.95" customHeight="1" x14ac:dyDescent="0.25">
      <c r="A91" s="63"/>
      <c r="B91" s="2">
        <v>25</v>
      </c>
      <c r="C91" s="1" t="s">
        <v>109</v>
      </c>
      <c r="D91" s="1" t="s">
        <v>30</v>
      </c>
      <c r="E91" s="4">
        <v>2200000</v>
      </c>
      <c r="F91" s="3">
        <v>30</v>
      </c>
      <c r="G91" s="3">
        <f t="shared" si="31"/>
        <v>2200000</v>
      </c>
      <c r="H91" s="4"/>
      <c r="I91" s="4"/>
      <c r="J91" s="4"/>
      <c r="K91" s="4"/>
      <c r="L91" s="4"/>
      <c r="M91" s="4">
        <f t="shared" si="32"/>
        <v>2200000</v>
      </c>
      <c r="N91" s="4">
        <f t="shared" si="33"/>
        <v>88000</v>
      </c>
      <c r="O91" s="4">
        <f>+E91*4%</f>
        <v>88000</v>
      </c>
      <c r="P91" s="4"/>
      <c r="Q91" s="4"/>
      <c r="R91" s="4">
        <v>0</v>
      </c>
      <c r="S91" s="4"/>
      <c r="T91" s="4"/>
      <c r="U91" s="4"/>
      <c r="V91" s="4">
        <f t="shared" si="26"/>
        <v>176000</v>
      </c>
      <c r="W91" s="5">
        <f>+M91-V91</f>
        <v>2024000</v>
      </c>
    </row>
    <row r="92" spans="1:23" ht="24.95" customHeight="1" x14ac:dyDescent="0.25">
      <c r="A92" s="63"/>
      <c r="B92" s="2">
        <v>26</v>
      </c>
      <c r="C92" s="1" t="s">
        <v>112</v>
      </c>
      <c r="D92" s="1" t="s">
        <v>30</v>
      </c>
      <c r="E92" s="4">
        <v>5500000</v>
      </c>
      <c r="F92" s="3">
        <v>30</v>
      </c>
      <c r="G92" s="3">
        <f>+E92-J92</f>
        <v>5500000</v>
      </c>
      <c r="H92" s="4"/>
      <c r="I92" s="4"/>
      <c r="J92" s="4"/>
      <c r="K92" s="4">
        <v>500000</v>
      </c>
      <c r="L92" s="4">
        <v>0</v>
      </c>
      <c r="M92" s="4">
        <f t="shared" si="32"/>
        <v>6000000</v>
      </c>
      <c r="N92" s="4">
        <f t="shared" si="33"/>
        <v>220000</v>
      </c>
      <c r="O92" s="4">
        <f>+E92*5%</f>
        <v>275000</v>
      </c>
      <c r="P92" s="4"/>
      <c r="Q92" s="4">
        <v>490000</v>
      </c>
      <c r="R92" s="7">
        <v>69147</v>
      </c>
      <c r="S92" s="4"/>
      <c r="T92" s="4"/>
      <c r="U92" s="4">
        <v>480989</v>
      </c>
      <c r="V92" s="4">
        <f t="shared" si="26"/>
        <v>1535136</v>
      </c>
      <c r="W92" s="5">
        <f t="shared" ref="W92:W95" si="34">+M92-V92</f>
        <v>4464864</v>
      </c>
    </row>
    <row r="93" spans="1:23" ht="24.95" customHeight="1" x14ac:dyDescent="0.25">
      <c r="A93" s="63"/>
      <c r="B93" s="2">
        <v>27</v>
      </c>
      <c r="C93" s="1" t="s">
        <v>114</v>
      </c>
      <c r="D93" s="1" t="s">
        <v>30</v>
      </c>
      <c r="E93" s="4">
        <v>781242</v>
      </c>
      <c r="F93" s="3">
        <v>30</v>
      </c>
      <c r="G93" s="3">
        <f t="shared" si="31"/>
        <v>781242</v>
      </c>
      <c r="H93" s="4">
        <v>88211</v>
      </c>
      <c r="I93" s="4"/>
      <c r="J93" s="4"/>
      <c r="K93" s="4"/>
      <c r="L93" s="4"/>
      <c r="M93" s="4">
        <f t="shared" si="32"/>
        <v>869453</v>
      </c>
      <c r="N93" s="4">
        <f t="shared" si="33"/>
        <v>31249.68</v>
      </c>
      <c r="O93" s="4">
        <f>+E93*4%</f>
        <v>31249.68</v>
      </c>
      <c r="P93" s="4"/>
      <c r="Q93" s="4"/>
      <c r="R93" s="7"/>
      <c r="S93" s="4"/>
      <c r="T93" s="4"/>
      <c r="U93" s="4"/>
      <c r="V93" s="4">
        <f t="shared" si="26"/>
        <v>62499.360000000001</v>
      </c>
      <c r="W93" s="5">
        <f t="shared" si="34"/>
        <v>806953.64</v>
      </c>
    </row>
    <row r="94" spans="1:23" ht="24.95" customHeight="1" x14ac:dyDescent="0.25">
      <c r="A94" s="63"/>
      <c r="B94" s="2">
        <v>28</v>
      </c>
      <c r="C94" s="1" t="s">
        <v>59</v>
      </c>
      <c r="D94" s="1" t="s">
        <v>30</v>
      </c>
      <c r="E94" s="4">
        <v>3500000</v>
      </c>
      <c r="F94" s="3">
        <v>30</v>
      </c>
      <c r="G94" s="3">
        <f>+E94-L94</f>
        <v>3383333</v>
      </c>
      <c r="H94" s="4"/>
      <c r="I94" s="4"/>
      <c r="J94" s="4"/>
      <c r="K94" s="4"/>
      <c r="L94" s="4">
        <v>116667</v>
      </c>
      <c r="M94" s="4">
        <f>+G94+H94+J94+K94+L94+I94</f>
        <v>3500000</v>
      </c>
      <c r="N94" s="4">
        <f t="shared" ref="N94" si="35">E94*4/100</f>
        <v>140000</v>
      </c>
      <c r="O94" s="4">
        <f t="shared" ref="O94" si="36">+E94*0.05</f>
        <v>175000</v>
      </c>
      <c r="P94" s="4"/>
      <c r="Q94" s="4"/>
      <c r="R94" s="7">
        <v>0</v>
      </c>
      <c r="S94" s="4"/>
      <c r="T94" s="4">
        <v>111000</v>
      </c>
      <c r="U94" s="4"/>
      <c r="V94" s="4">
        <f t="shared" si="26"/>
        <v>426000</v>
      </c>
      <c r="W94" s="5">
        <f>M94-V94</f>
        <v>3074000</v>
      </c>
    </row>
    <row r="95" spans="1:23" ht="24.95" customHeight="1" x14ac:dyDescent="0.25">
      <c r="A95" s="63"/>
      <c r="B95" s="2">
        <v>29</v>
      </c>
      <c r="C95" s="1" t="s">
        <v>116</v>
      </c>
      <c r="D95" s="1" t="s">
        <v>30</v>
      </c>
      <c r="E95" s="4">
        <v>2200000</v>
      </c>
      <c r="F95" s="3">
        <v>30</v>
      </c>
      <c r="G95" s="3">
        <f t="shared" si="31"/>
        <v>2200000</v>
      </c>
      <c r="H95" s="4"/>
      <c r="I95" s="4"/>
      <c r="J95" s="4"/>
      <c r="K95" s="4"/>
      <c r="L95" s="4"/>
      <c r="M95" s="4">
        <f t="shared" si="32"/>
        <v>2200000</v>
      </c>
      <c r="N95" s="4">
        <f t="shared" si="33"/>
        <v>88000</v>
      </c>
      <c r="O95" s="4">
        <f>+E95*4%</f>
        <v>88000</v>
      </c>
      <c r="P95" s="4"/>
      <c r="Q95" s="4"/>
      <c r="R95" s="7">
        <v>0</v>
      </c>
      <c r="S95" s="4"/>
      <c r="T95" s="4"/>
      <c r="U95" s="4"/>
      <c r="V95" s="4">
        <f t="shared" si="26"/>
        <v>176000</v>
      </c>
      <c r="W95" s="5">
        <f t="shared" si="34"/>
        <v>2024000</v>
      </c>
    </row>
    <row r="96" spans="1:23" ht="24.95" customHeight="1" x14ac:dyDescent="0.25">
      <c r="A96" s="63"/>
      <c r="B96" s="2">
        <v>30</v>
      </c>
      <c r="C96" s="1" t="s">
        <v>120</v>
      </c>
      <c r="D96" s="1" t="s">
        <v>30</v>
      </c>
      <c r="E96" s="4">
        <v>3500000</v>
      </c>
      <c r="F96" s="3">
        <v>30</v>
      </c>
      <c r="G96" s="3">
        <f t="shared" si="31"/>
        <v>3500000</v>
      </c>
      <c r="H96" s="4"/>
      <c r="I96" s="4"/>
      <c r="J96" s="4"/>
      <c r="K96" s="4"/>
      <c r="L96" s="4"/>
      <c r="M96" s="4">
        <f t="shared" si="32"/>
        <v>3500000</v>
      </c>
      <c r="N96" s="4">
        <f t="shared" si="33"/>
        <v>140000</v>
      </c>
      <c r="O96" s="4">
        <f>+E96*5%</f>
        <v>175000</v>
      </c>
      <c r="P96" s="4">
        <v>0</v>
      </c>
      <c r="Q96" s="4"/>
      <c r="R96" s="4">
        <v>0</v>
      </c>
      <c r="S96" s="4"/>
      <c r="T96" s="4"/>
      <c r="U96" s="4"/>
      <c r="V96" s="4">
        <f t="shared" si="26"/>
        <v>315000</v>
      </c>
      <c r="W96" s="5">
        <f t="shared" ref="W96:W101" si="37">M96-V96</f>
        <v>3185000</v>
      </c>
    </row>
    <row r="97" spans="1:23" ht="24.95" customHeight="1" x14ac:dyDescent="0.25">
      <c r="A97" s="63"/>
      <c r="B97" s="2">
        <v>31</v>
      </c>
      <c r="C97" s="9" t="s">
        <v>122</v>
      </c>
      <c r="D97" s="1" t="s">
        <v>30</v>
      </c>
      <c r="E97" s="4">
        <v>781242</v>
      </c>
      <c r="F97" s="3">
        <v>30</v>
      </c>
      <c r="G97" s="3">
        <f>+E97</f>
        <v>781242</v>
      </c>
      <c r="H97" s="4">
        <v>88211</v>
      </c>
      <c r="I97" s="4">
        <v>99080</v>
      </c>
      <c r="J97" s="4"/>
      <c r="K97" s="4"/>
      <c r="L97" s="4"/>
      <c r="M97" s="4">
        <f>+G97+H97+J97+K97+L97+I97</f>
        <v>968533</v>
      </c>
      <c r="N97" s="4">
        <f>+E97*0.04</f>
        <v>31249.68</v>
      </c>
      <c r="O97" s="4">
        <f>+E97*0.04</f>
        <v>31249.68</v>
      </c>
      <c r="P97" s="4"/>
      <c r="Q97" s="4"/>
      <c r="R97" s="4">
        <v>0</v>
      </c>
      <c r="S97" s="4"/>
      <c r="T97" s="4"/>
      <c r="U97" s="4"/>
      <c r="V97" s="4">
        <f t="shared" si="26"/>
        <v>62499.360000000001</v>
      </c>
      <c r="W97" s="5">
        <f t="shared" si="37"/>
        <v>906033.64</v>
      </c>
    </row>
    <row r="98" spans="1:23" ht="24.95" customHeight="1" x14ac:dyDescent="0.25">
      <c r="A98" s="63"/>
      <c r="B98" s="2">
        <v>32</v>
      </c>
      <c r="C98" s="1" t="s">
        <v>155</v>
      </c>
      <c r="D98" s="1" t="s">
        <v>30</v>
      </c>
      <c r="E98" s="4">
        <v>781242</v>
      </c>
      <c r="F98" s="3">
        <v>30</v>
      </c>
      <c r="G98" s="3">
        <f t="shared" ref="G98" si="38">+E98/30*F98</f>
        <v>781242</v>
      </c>
      <c r="H98" s="4"/>
      <c r="I98" s="4"/>
      <c r="J98" s="4"/>
      <c r="K98" s="4"/>
      <c r="L98" s="4"/>
      <c r="M98" s="4">
        <f t="shared" ref="M98" si="39">+G98+H98+J98+K98+L98+I98</f>
        <v>781242</v>
      </c>
      <c r="N98" s="4">
        <v>0</v>
      </c>
      <c r="O98" s="4">
        <v>0</v>
      </c>
      <c r="P98" s="4">
        <v>0</v>
      </c>
      <c r="Q98" s="4"/>
      <c r="R98" s="4">
        <v>0</v>
      </c>
      <c r="S98" s="4"/>
      <c r="T98" s="4"/>
      <c r="U98" s="4"/>
      <c r="V98" s="4">
        <f t="shared" ref="V98" si="40">SUM(N98:U98)</f>
        <v>0</v>
      </c>
      <c r="W98" s="5">
        <f t="shared" si="37"/>
        <v>781242</v>
      </c>
    </row>
    <row r="99" spans="1:23" ht="24.95" customHeight="1" x14ac:dyDescent="0.25">
      <c r="A99" s="63"/>
      <c r="B99" s="2">
        <v>33</v>
      </c>
      <c r="C99" s="9" t="s">
        <v>123</v>
      </c>
      <c r="D99" s="1" t="s">
        <v>30</v>
      </c>
      <c r="E99" s="4">
        <v>2100000</v>
      </c>
      <c r="F99" s="3">
        <v>30</v>
      </c>
      <c r="G99" s="3">
        <f>+E99-L99</f>
        <v>2100000</v>
      </c>
      <c r="H99" s="4"/>
      <c r="I99" s="4"/>
      <c r="J99" s="4"/>
      <c r="K99" s="4"/>
      <c r="L99" s="4"/>
      <c r="M99" s="4">
        <f t="shared" si="32"/>
        <v>2100000</v>
      </c>
      <c r="N99" s="4">
        <f>+E99*0.04</f>
        <v>84000</v>
      </c>
      <c r="O99" s="4">
        <f>+E99*0.04</f>
        <v>84000</v>
      </c>
      <c r="P99" s="4"/>
      <c r="Q99" s="4"/>
      <c r="R99" s="4">
        <v>0</v>
      </c>
      <c r="S99" s="4"/>
      <c r="T99" s="4"/>
      <c r="U99" s="4"/>
      <c r="V99" s="4">
        <f t="shared" si="26"/>
        <v>168000</v>
      </c>
      <c r="W99" s="5">
        <f t="shared" si="37"/>
        <v>1932000</v>
      </c>
    </row>
    <row r="100" spans="1:23" ht="24.95" customHeight="1" x14ac:dyDescent="0.25">
      <c r="A100" s="63"/>
      <c r="B100" s="2">
        <v>34</v>
      </c>
      <c r="C100" s="9" t="s">
        <v>124</v>
      </c>
      <c r="D100" s="1" t="s">
        <v>30</v>
      </c>
      <c r="E100" s="4">
        <v>781242</v>
      </c>
      <c r="F100" s="3">
        <v>30</v>
      </c>
      <c r="G100" s="3">
        <f t="shared" si="31"/>
        <v>781242</v>
      </c>
      <c r="H100" s="4">
        <v>88211</v>
      </c>
      <c r="I100" s="4">
        <v>136311</v>
      </c>
      <c r="J100" s="4"/>
      <c r="K100" s="4">
        <v>0</v>
      </c>
      <c r="L100" s="4">
        <f>+E100-G100</f>
        <v>0</v>
      </c>
      <c r="M100" s="4">
        <f t="shared" si="32"/>
        <v>1005764</v>
      </c>
      <c r="N100" s="4">
        <f>+E100*0.04</f>
        <v>31249.68</v>
      </c>
      <c r="O100" s="4">
        <f>+E100*4%</f>
        <v>31249.68</v>
      </c>
      <c r="P100" s="4"/>
      <c r="Q100" s="4"/>
      <c r="R100" s="4"/>
      <c r="S100" s="4"/>
      <c r="T100" s="4"/>
      <c r="U100" s="4"/>
      <c r="V100" s="4">
        <f t="shared" si="26"/>
        <v>62499.360000000001</v>
      </c>
      <c r="W100" s="5">
        <f t="shared" si="37"/>
        <v>943264.64</v>
      </c>
    </row>
    <row r="101" spans="1:23" ht="24.95" customHeight="1" x14ac:dyDescent="0.25">
      <c r="A101" s="63"/>
      <c r="B101" s="2">
        <v>35</v>
      </c>
      <c r="C101" s="9" t="s">
        <v>125</v>
      </c>
      <c r="D101" s="1" t="s">
        <v>30</v>
      </c>
      <c r="E101" s="4">
        <v>781242</v>
      </c>
      <c r="F101" s="3">
        <v>30</v>
      </c>
      <c r="G101" s="3">
        <f t="shared" si="31"/>
        <v>781242</v>
      </c>
      <c r="H101" s="4">
        <f>+H100</f>
        <v>88211</v>
      </c>
      <c r="I101" s="4"/>
      <c r="J101" s="4"/>
      <c r="K101" s="4"/>
      <c r="L101" s="4"/>
      <c r="M101" s="4">
        <f t="shared" si="32"/>
        <v>869453</v>
      </c>
      <c r="N101" s="4">
        <f>+E101*4%</f>
        <v>31249.68</v>
      </c>
      <c r="O101" s="4">
        <f>+E101*4%</f>
        <v>31249.68</v>
      </c>
      <c r="P101" s="4"/>
      <c r="Q101" s="4"/>
      <c r="R101" s="4"/>
      <c r="S101" s="4"/>
      <c r="T101" s="4"/>
      <c r="U101" s="4"/>
      <c r="V101" s="4">
        <f t="shared" si="26"/>
        <v>62499.360000000001</v>
      </c>
      <c r="W101" s="5">
        <f t="shared" si="37"/>
        <v>806953.64</v>
      </c>
    </row>
    <row r="102" spans="1:23" ht="24.95" customHeight="1" x14ac:dyDescent="0.25">
      <c r="A102" s="63"/>
      <c r="B102" s="2">
        <v>36</v>
      </c>
      <c r="C102" s="1" t="s">
        <v>126</v>
      </c>
      <c r="D102" s="1" t="s">
        <v>30</v>
      </c>
      <c r="E102" s="4">
        <v>15400000</v>
      </c>
      <c r="F102" s="3">
        <v>30</v>
      </c>
      <c r="G102" s="3">
        <f t="shared" si="31"/>
        <v>15400000</v>
      </c>
      <c r="H102" s="4"/>
      <c r="I102" s="4"/>
      <c r="J102" s="4"/>
      <c r="K102" s="4">
        <v>600000</v>
      </c>
      <c r="L102" s="4">
        <f>+E102-G102</f>
        <v>0</v>
      </c>
      <c r="M102" s="4">
        <f t="shared" si="32"/>
        <v>16000000</v>
      </c>
      <c r="N102" s="4">
        <v>616000</v>
      </c>
      <c r="O102" s="4">
        <f>616000+308000</f>
        <v>924000</v>
      </c>
      <c r="P102" s="4">
        <v>112700</v>
      </c>
      <c r="Q102" s="4"/>
      <c r="R102" s="4">
        <v>916000</v>
      </c>
      <c r="S102" s="4">
        <v>5000000</v>
      </c>
      <c r="T102" s="4"/>
      <c r="U102" s="4">
        <v>2314715</v>
      </c>
      <c r="V102" s="4">
        <f t="shared" si="26"/>
        <v>9883415</v>
      </c>
      <c r="W102" s="5">
        <f>+M102-V102</f>
        <v>6116585</v>
      </c>
    </row>
    <row r="103" spans="1:23" ht="24.95" customHeight="1" x14ac:dyDescent="0.25">
      <c r="A103" s="63"/>
      <c r="B103" s="2">
        <v>37</v>
      </c>
      <c r="C103" s="1" t="s">
        <v>127</v>
      </c>
      <c r="D103" s="1" t="s">
        <v>30</v>
      </c>
      <c r="E103" s="4">
        <v>5500000</v>
      </c>
      <c r="F103" s="3">
        <v>30</v>
      </c>
      <c r="G103" s="3">
        <f t="shared" si="31"/>
        <v>5500000</v>
      </c>
      <c r="H103" s="4"/>
      <c r="I103" s="4"/>
      <c r="J103" s="4"/>
      <c r="K103" s="4">
        <v>500000</v>
      </c>
      <c r="L103" s="4">
        <f>+E103-G103</f>
        <v>0</v>
      </c>
      <c r="M103" s="4">
        <f t="shared" si="32"/>
        <v>6000000</v>
      </c>
      <c r="N103" s="4">
        <f>+E103*0.04</f>
        <v>220000</v>
      </c>
      <c r="O103" s="4">
        <f>+E103*0.05</f>
        <v>275000</v>
      </c>
      <c r="P103" s="4"/>
      <c r="Q103" s="4"/>
      <c r="R103" s="4">
        <v>120000</v>
      </c>
      <c r="S103" s="4"/>
      <c r="T103" s="4"/>
      <c r="U103" s="4">
        <v>979498</v>
      </c>
      <c r="V103" s="4">
        <f t="shared" si="26"/>
        <v>1594498</v>
      </c>
      <c r="W103" s="5">
        <f>+M103-V103</f>
        <v>4405502</v>
      </c>
    </row>
    <row r="104" spans="1:23" ht="24.95" customHeight="1" x14ac:dyDescent="0.25">
      <c r="A104" s="63"/>
      <c r="B104" s="2">
        <v>38</v>
      </c>
      <c r="C104" s="1" t="s">
        <v>128</v>
      </c>
      <c r="D104" s="1" t="s">
        <v>30</v>
      </c>
      <c r="E104" s="4">
        <v>1600000</v>
      </c>
      <c r="F104" s="3">
        <v>30</v>
      </c>
      <c r="G104" s="3">
        <f t="shared" si="31"/>
        <v>1600000</v>
      </c>
      <c r="H104" s="4"/>
      <c r="I104" s="4"/>
      <c r="J104" s="4"/>
      <c r="K104" s="4"/>
      <c r="L104" s="4">
        <f>+E104-G104</f>
        <v>0</v>
      </c>
      <c r="M104" s="4">
        <f t="shared" si="32"/>
        <v>1600000</v>
      </c>
      <c r="N104" s="4">
        <f>+E104*4%</f>
        <v>64000</v>
      </c>
      <c r="O104" s="4">
        <f>+E104*4%</f>
        <v>64000</v>
      </c>
      <c r="P104" s="4"/>
      <c r="Q104" s="4"/>
      <c r="R104" s="4"/>
      <c r="S104" s="4"/>
      <c r="T104" s="4"/>
      <c r="U104" s="4"/>
      <c r="V104" s="4">
        <f t="shared" si="26"/>
        <v>128000</v>
      </c>
      <c r="W104" s="5">
        <f>+M104-V104</f>
        <v>1472000</v>
      </c>
    </row>
    <row r="105" spans="1:23" ht="24.95" customHeight="1" x14ac:dyDescent="0.25">
      <c r="A105" s="63"/>
      <c r="B105" s="2">
        <v>39</v>
      </c>
      <c r="C105" s="9" t="s">
        <v>130</v>
      </c>
      <c r="D105" s="1" t="s">
        <v>30</v>
      </c>
      <c r="E105" s="4">
        <v>4000000</v>
      </c>
      <c r="F105" s="3">
        <v>30</v>
      </c>
      <c r="G105" s="3">
        <f t="shared" si="31"/>
        <v>4000000.0000000005</v>
      </c>
      <c r="H105" s="4"/>
      <c r="I105" s="4"/>
      <c r="J105" s="4"/>
      <c r="K105" s="4"/>
      <c r="L105" s="4"/>
      <c r="M105" s="4">
        <f t="shared" si="32"/>
        <v>4000000.0000000005</v>
      </c>
      <c r="N105" s="4">
        <f>+E105*0.04</f>
        <v>160000</v>
      </c>
      <c r="O105" s="4">
        <f>+E105*0.05</f>
        <v>200000</v>
      </c>
      <c r="P105" s="4"/>
      <c r="Q105" s="4"/>
      <c r="R105" s="4">
        <v>0</v>
      </c>
      <c r="S105" s="4"/>
      <c r="T105" s="4"/>
      <c r="U105" s="4">
        <v>514771</v>
      </c>
      <c r="V105" s="4">
        <f t="shared" si="26"/>
        <v>874771</v>
      </c>
      <c r="W105" s="5">
        <f>M105-V105</f>
        <v>3125229.0000000005</v>
      </c>
    </row>
    <row r="106" spans="1:23" ht="24.95" customHeight="1" x14ac:dyDescent="0.25">
      <c r="A106" s="63"/>
      <c r="B106" s="2">
        <v>40</v>
      </c>
      <c r="C106" s="1" t="s">
        <v>133</v>
      </c>
      <c r="D106" s="1" t="s">
        <v>30</v>
      </c>
      <c r="E106" s="4">
        <v>3850220</v>
      </c>
      <c r="F106" s="3">
        <v>30</v>
      </c>
      <c r="G106" s="3">
        <f t="shared" si="31"/>
        <v>3850220</v>
      </c>
      <c r="H106" s="4"/>
      <c r="I106" s="4"/>
      <c r="J106" s="4"/>
      <c r="K106" s="4">
        <v>676390</v>
      </c>
      <c r="L106" s="4">
        <f>+E106-G106</f>
        <v>0</v>
      </c>
      <c r="M106" s="4">
        <f t="shared" si="32"/>
        <v>4526610</v>
      </c>
      <c r="N106" s="4">
        <f t="shared" ref="N106:N111" si="41">+E106*4%</f>
        <v>154008.80000000002</v>
      </c>
      <c r="O106" s="4">
        <f>+E106*5%</f>
        <v>192511</v>
      </c>
      <c r="P106" s="4"/>
      <c r="Q106" s="4"/>
      <c r="R106" s="4"/>
      <c r="S106" s="4"/>
      <c r="T106" s="4"/>
      <c r="U106" s="4"/>
      <c r="V106" s="4">
        <f t="shared" si="26"/>
        <v>346519.80000000005</v>
      </c>
      <c r="W106" s="5">
        <f>+M106-V106</f>
        <v>4180090.2</v>
      </c>
    </row>
    <row r="107" spans="1:23" ht="24.95" customHeight="1" x14ac:dyDescent="0.25">
      <c r="A107" s="63"/>
      <c r="B107" s="2">
        <v>41</v>
      </c>
      <c r="C107" s="1" t="s">
        <v>134</v>
      </c>
      <c r="D107" s="1" t="s">
        <v>30</v>
      </c>
      <c r="E107" s="4">
        <v>4500000</v>
      </c>
      <c r="F107" s="3">
        <v>29</v>
      </c>
      <c r="G107" s="3">
        <f t="shared" si="31"/>
        <v>4350000</v>
      </c>
      <c r="H107" s="4">
        <v>100005</v>
      </c>
      <c r="I107" s="4"/>
      <c r="J107" s="4"/>
      <c r="K107" s="4" t="s">
        <v>1</v>
      </c>
      <c r="L107" s="4"/>
      <c r="M107" s="4">
        <f>+G107+H107</f>
        <v>4450005</v>
      </c>
      <c r="N107" s="4">
        <f t="shared" si="41"/>
        <v>180000</v>
      </c>
      <c r="O107" s="4">
        <f>+E107*5%</f>
        <v>225000</v>
      </c>
      <c r="P107" s="4"/>
      <c r="Q107" s="4"/>
      <c r="R107" s="4"/>
      <c r="S107" s="4"/>
      <c r="T107" s="4"/>
      <c r="U107" s="4"/>
      <c r="V107" s="4">
        <f>SUM(N107:U107)</f>
        <v>405000</v>
      </c>
      <c r="W107" s="5">
        <f>+M107-V107</f>
        <v>4045005</v>
      </c>
    </row>
    <row r="108" spans="1:23" ht="24.95" customHeight="1" x14ac:dyDescent="0.25">
      <c r="A108" s="63"/>
      <c r="B108" s="2">
        <v>42</v>
      </c>
      <c r="C108" s="1" t="s">
        <v>162</v>
      </c>
      <c r="D108" s="1" t="s">
        <v>30</v>
      </c>
      <c r="E108" s="4">
        <v>781242</v>
      </c>
      <c r="F108" s="3">
        <v>30</v>
      </c>
      <c r="G108" s="3">
        <f t="shared" si="31"/>
        <v>781242</v>
      </c>
      <c r="H108" s="4"/>
      <c r="I108" s="4"/>
      <c r="J108" s="4"/>
      <c r="K108" s="4"/>
      <c r="L108" s="4"/>
      <c r="M108" s="4">
        <f>+G108+H108+J108+K108+L108+I108</f>
        <v>781242</v>
      </c>
      <c r="N108" s="4"/>
      <c r="O108" s="4"/>
      <c r="P108" s="4"/>
      <c r="Q108" s="4"/>
      <c r="R108" s="7"/>
      <c r="S108" s="4"/>
      <c r="T108" s="4"/>
      <c r="U108" s="4"/>
      <c r="V108" s="4">
        <f t="shared" ref="V108" si="42">SUM(N108:U108)</f>
        <v>0</v>
      </c>
      <c r="W108" s="5">
        <f>+M108-V108</f>
        <v>781242</v>
      </c>
    </row>
    <row r="109" spans="1:23" ht="24.95" customHeight="1" x14ac:dyDescent="0.25">
      <c r="A109" s="63"/>
      <c r="B109" s="2">
        <v>43</v>
      </c>
      <c r="C109" s="9" t="s">
        <v>136</v>
      </c>
      <c r="D109" s="1" t="s">
        <v>30</v>
      </c>
      <c r="E109" s="4">
        <v>1600000</v>
      </c>
      <c r="F109" s="3">
        <v>29</v>
      </c>
      <c r="G109" s="3">
        <f t="shared" si="31"/>
        <v>1546666.6666666667</v>
      </c>
      <c r="H109" s="4">
        <v>35557</v>
      </c>
      <c r="I109" s="4"/>
      <c r="J109" s="4">
        <v>0</v>
      </c>
      <c r="K109" s="4"/>
      <c r="L109" s="4"/>
      <c r="M109" s="4">
        <f t="shared" si="32"/>
        <v>1582223.6666666667</v>
      </c>
      <c r="N109" s="4">
        <f t="shared" si="41"/>
        <v>64000</v>
      </c>
      <c r="O109" s="4">
        <f>+E109*0.04</f>
        <v>64000</v>
      </c>
      <c r="P109" s="4"/>
      <c r="Q109" s="4">
        <v>198000</v>
      </c>
      <c r="R109" s="4">
        <v>0</v>
      </c>
      <c r="S109" s="4"/>
      <c r="T109" s="4"/>
      <c r="U109" s="4"/>
      <c r="V109" s="4">
        <f t="shared" si="26"/>
        <v>326000</v>
      </c>
      <c r="W109" s="5">
        <f>M109-V109</f>
        <v>1256223.6666666667</v>
      </c>
    </row>
    <row r="110" spans="1:23" ht="24.95" customHeight="1" x14ac:dyDescent="0.25">
      <c r="A110" s="63"/>
      <c r="B110" s="2">
        <v>44</v>
      </c>
      <c r="C110" s="9" t="s">
        <v>146</v>
      </c>
      <c r="D110" s="1" t="s">
        <v>30</v>
      </c>
      <c r="E110" s="4">
        <v>1500000</v>
      </c>
      <c r="F110" s="3">
        <v>30</v>
      </c>
      <c r="G110" s="3">
        <f t="shared" si="31"/>
        <v>1500000</v>
      </c>
      <c r="H110" s="4">
        <v>88211</v>
      </c>
      <c r="I110" s="4"/>
      <c r="J110" s="4"/>
      <c r="K110" s="4"/>
      <c r="L110" s="4"/>
      <c r="M110" s="4">
        <f t="shared" si="32"/>
        <v>1588211</v>
      </c>
      <c r="N110" s="4">
        <f>+E110*4%</f>
        <v>60000</v>
      </c>
      <c r="O110" s="4">
        <f>+E110*0.04</f>
        <v>60000</v>
      </c>
      <c r="P110" s="4"/>
      <c r="Q110" s="4">
        <v>600000</v>
      </c>
      <c r="R110" s="4">
        <v>0</v>
      </c>
      <c r="S110" s="4"/>
      <c r="T110" s="4">
        <v>0</v>
      </c>
      <c r="U110" s="4"/>
      <c r="V110" s="4">
        <f t="shared" si="26"/>
        <v>720000</v>
      </c>
      <c r="W110" s="5">
        <f>M110-V110</f>
        <v>868211</v>
      </c>
    </row>
    <row r="111" spans="1:23" ht="24.95" customHeight="1" x14ac:dyDescent="0.25">
      <c r="A111" s="63"/>
      <c r="B111" s="2">
        <v>45</v>
      </c>
      <c r="C111" s="1" t="s">
        <v>137</v>
      </c>
      <c r="D111" s="1" t="s">
        <v>30</v>
      </c>
      <c r="E111" s="4">
        <v>2300000</v>
      </c>
      <c r="F111" s="3">
        <v>30</v>
      </c>
      <c r="G111" s="3">
        <f t="shared" si="31"/>
        <v>2300000</v>
      </c>
      <c r="H111" s="4"/>
      <c r="I111" s="4"/>
      <c r="J111" s="4"/>
      <c r="K111" s="4"/>
      <c r="L111" s="4"/>
      <c r="M111" s="4">
        <f t="shared" si="32"/>
        <v>2300000</v>
      </c>
      <c r="N111" s="4">
        <f t="shared" si="41"/>
        <v>92000</v>
      </c>
      <c r="O111" s="4">
        <f>+E111*4%</f>
        <v>92000</v>
      </c>
      <c r="P111" s="4"/>
      <c r="Q111" s="4"/>
      <c r="R111" s="4">
        <v>0</v>
      </c>
      <c r="S111" s="4"/>
      <c r="T111" s="4"/>
      <c r="U111" s="4"/>
      <c r="V111" s="4">
        <f t="shared" si="26"/>
        <v>184000</v>
      </c>
      <c r="W111" s="5">
        <f t="shared" ref="W111:W115" si="43">+M111-V111</f>
        <v>2116000</v>
      </c>
    </row>
    <row r="112" spans="1:23" ht="24.95" customHeight="1" x14ac:dyDescent="0.25">
      <c r="A112" s="63"/>
      <c r="B112" s="2">
        <v>46</v>
      </c>
      <c r="C112" s="1" t="s">
        <v>138</v>
      </c>
      <c r="D112" s="1" t="s">
        <v>30</v>
      </c>
      <c r="E112" s="4">
        <v>912000</v>
      </c>
      <c r="F112" s="3">
        <v>30</v>
      </c>
      <c r="G112" s="3">
        <f t="shared" si="31"/>
        <v>912000</v>
      </c>
      <c r="H112" s="4">
        <v>88211</v>
      </c>
      <c r="I112" s="4"/>
      <c r="J112" s="4">
        <v>0</v>
      </c>
      <c r="K112" s="4"/>
      <c r="L112" s="4"/>
      <c r="M112" s="4">
        <f t="shared" si="32"/>
        <v>1000211</v>
      </c>
      <c r="N112" s="4">
        <f>+E112*0.04</f>
        <v>36480</v>
      </c>
      <c r="O112" s="4">
        <f>+E112*0.04</f>
        <v>36480</v>
      </c>
      <c r="P112" s="4"/>
      <c r="Q112" s="4"/>
      <c r="R112" s="4"/>
      <c r="S112" s="4"/>
      <c r="T112" s="4"/>
      <c r="U112" s="4"/>
      <c r="V112" s="4">
        <f>SUM(N112:U112)</f>
        <v>72960</v>
      </c>
      <c r="W112" s="5">
        <f>+M112-V112</f>
        <v>927251</v>
      </c>
    </row>
    <row r="113" spans="1:25" ht="24.95" customHeight="1" x14ac:dyDescent="0.25">
      <c r="A113" s="63"/>
      <c r="B113" s="2">
        <v>47</v>
      </c>
      <c r="C113" s="1" t="s">
        <v>139</v>
      </c>
      <c r="D113" s="1" t="s">
        <v>30</v>
      </c>
      <c r="E113" s="4">
        <v>2700000</v>
      </c>
      <c r="F113" s="3">
        <v>30</v>
      </c>
      <c r="G113" s="3">
        <f t="shared" si="31"/>
        <v>2700000</v>
      </c>
      <c r="H113" s="4"/>
      <c r="I113" s="4"/>
      <c r="J113" s="4"/>
      <c r="K113" s="4"/>
      <c r="L113" s="4"/>
      <c r="M113" s="4">
        <f t="shared" si="32"/>
        <v>2700000</v>
      </c>
      <c r="N113" s="4">
        <f>+E113*0.04</f>
        <v>108000</v>
      </c>
      <c r="O113" s="4">
        <f>+E113*0.04</f>
        <v>108000</v>
      </c>
      <c r="P113" s="4"/>
      <c r="Q113" s="4">
        <v>95000</v>
      </c>
      <c r="R113" s="4"/>
      <c r="S113" s="4"/>
      <c r="T113" s="4"/>
      <c r="U113" s="4"/>
      <c r="V113" s="4">
        <f t="shared" si="26"/>
        <v>311000</v>
      </c>
      <c r="W113" s="5">
        <f t="shared" si="43"/>
        <v>2389000</v>
      </c>
    </row>
    <row r="114" spans="1:25" ht="24.95" customHeight="1" x14ac:dyDescent="0.25">
      <c r="A114" s="63"/>
      <c r="B114" s="2">
        <v>48</v>
      </c>
      <c r="C114" s="1" t="s">
        <v>140</v>
      </c>
      <c r="D114" s="1" t="s">
        <v>30</v>
      </c>
      <c r="E114" s="4">
        <v>2000000</v>
      </c>
      <c r="F114" s="3">
        <v>30</v>
      </c>
      <c r="G114" s="3">
        <f t="shared" si="31"/>
        <v>2000000.0000000002</v>
      </c>
      <c r="H114" s="4"/>
      <c r="I114" s="4"/>
      <c r="J114" s="4"/>
      <c r="K114" s="4"/>
      <c r="L114" s="4"/>
      <c r="M114" s="4">
        <f t="shared" si="32"/>
        <v>2000000.0000000002</v>
      </c>
      <c r="N114" s="4">
        <f>+E114*4%</f>
        <v>80000</v>
      </c>
      <c r="O114" s="4">
        <f>+E114*4%</f>
        <v>80000</v>
      </c>
      <c r="P114" s="4"/>
      <c r="Q114" s="4"/>
      <c r="R114" s="4">
        <v>0</v>
      </c>
      <c r="S114" s="4"/>
      <c r="T114" s="4"/>
      <c r="U114" s="4"/>
      <c r="V114" s="4">
        <f t="shared" si="26"/>
        <v>160000</v>
      </c>
      <c r="W114" s="5">
        <f t="shared" si="43"/>
        <v>1840000.0000000002</v>
      </c>
    </row>
    <row r="115" spans="1:25" ht="17.25" customHeight="1" x14ac:dyDescent="0.25">
      <c r="A115" s="63"/>
      <c r="B115" s="2">
        <v>49</v>
      </c>
      <c r="C115" s="1" t="s">
        <v>142</v>
      </c>
      <c r="D115" s="1" t="s">
        <v>30</v>
      </c>
      <c r="E115" s="4">
        <v>1200000</v>
      </c>
      <c r="F115" s="3">
        <v>30</v>
      </c>
      <c r="G115" s="3">
        <f>+E115-J115</f>
        <v>1200000</v>
      </c>
      <c r="H115" s="4">
        <v>88211</v>
      </c>
      <c r="I115" s="4"/>
      <c r="J115" s="4"/>
      <c r="K115" s="4"/>
      <c r="L115" s="4"/>
      <c r="M115" s="4">
        <f t="shared" si="32"/>
        <v>1288211</v>
      </c>
      <c r="N115" s="4">
        <f>+E115*4%</f>
        <v>48000</v>
      </c>
      <c r="O115" s="4">
        <f>+E115*4%</f>
        <v>48000</v>
      </c>
      <c r="P115" s="4"/>
      <c r="Q115" s="4">
        <v>169000</v>
      </c>
      <c r="R115" s="4">
        <v>0</v>
      </c>
      <c r="S115" s="4"/>
      <c r="T115" s="4"/>
      <c r="U115" s="4"/>
      <c r="V115" s="4">
        <f t="shared" si="26"/>
        <v>265000</v>
      </c>
      <c r="W115" s="5">
        <f t="shared" si="43"/>
        <v>1023211</v>
      </c>
    </row>
    <row r="116" spans="1:25" x14ac:dyDescent="0.25">
      <c r="E116" s="12">
        <f>SUM(E4:E115)</f>
        <v>454901019</v>
      </c>
      <c r="F116" s="12"/>
      <c r="G116" s="12">
        <f t="shared" ref="G116:W116" si="44">SUM(G4:G115)</f>
        <v>439145397.26666671</v>
      </c>
      <c r="H116" s="12">
        <f t="shared" si="44"/>
        <v>3383094</v>
      </c>
      <c r="I116" s="12">
        <f t="shared" si="44"/>
        <v>502391</v>
      </c>
      <c r="J116" s="12">
        <f t="shared" si="44"/>
        <v>0</v>
      </c>
      <c r="K116" s="12">
        <f t="shared" si="44"/>
        <v>15446635.333333334</v>
      </c>
      <c r="L116" s="12">
        <f t="shared" si="44"/>
        <v>5836458</v>
      </c>
      <c r="M116" s="12">
        <f t="shared" si="44"/>
        <v>464313975.60000002</v>
      </c>
      <c r="N116" s="12">
        <f t="shared" si="44"/>
        <v>17762242.52</v>
      </c>
      <c r="O116" s="12">
        <f t="shared" si="44"/>
        <v>21715108.053333331</v>
      </c>
      <c r="P116" s="12">
        <f t="shared" si="44"/>
        <v>2277700</v>
      </c>
      <c r="Q116" s="12">
        <f t="shared" si="44"/>
        <v>3316389</v>
      </c>
      <c r="R116" s="12">
        <f t="shared" si="44"/>
        <v>4946423</v>
      </c>
      <c r="S116" s="12">
        <f t="shared" si="44"/>
        <v>10015000</v>
      </c>
      <c r="T116" s="12">
        <f t="shared" si="44"/>
        <v>344614</v>
      </c>
      <c r="U116" s="12">
        <f t="shared" si="44"/>
        <v>15332810</v>
      </c>
      <c r="V116" s="12">
        <f t="shared" si="44"/>
        <v>75710286.573333323</v>
      </c>
      <c r="W116" s="12">
        <f t="shared" si="44"/>
        <v>388603689.02666664</v>
      </c>
    </row>
    <row r="117" spans="1:25" x14ac:dyDescent="0.25">
      <c r="D117" s="66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64"/>
    </row>
    <row r="118" spans="1:25" x14ac:dyDescent="0.25">
      <c r="D118" s="66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T118" s="12"/>
      <c r="U118" s="12"/>
      <c r="V118" s="12"/>
      <c r="W118" s="64"/>
    </row>
    <row r="119" spans="1:25" x14ac:dyDescent="0.25">
      <c r="C119" s="70"/>
      <c r="D119" s="66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T119" s="12"/>
      <c r="U119" s="12"/>
      <c r="V119" s="12"/>
      <c r="W119" s="66"/>
    </row>
    <row r="120" spans="1:25" x14ac:dyDescent="0.25">
      <c r="C120" s="70"/>
      <c r="D120" s="66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66"/>
      <c r="X120" s="66"/>
      <c r="Y120" s="66"/>
    </row>
    <row r="121" spans="1:25" x14ac:dyDescent="0.25">
      <c r="B121" s="66"/>
      <c r="C121" s="70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12"/>
      <c r="Q121" s="71"/>
      <c r="R121" s="71"/>
      <c r="S121" s="71"/>
      <c r="T121" s="71"/>
      <c r="U121" s="71"/>
      <c r="V121" s="71"/>
      <c r="W121" s="71"/>
      <c r="X121" s="66"/>
      <c r="Y121" s="66"/>
    </row>
    <row r="122" spans="1:25" x14ac:dyDescent="0.25">
      <c r="B122" s="66"/>
      <c r="C122" s="70"/>
      <c r="D122" s="66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66"/>
      <c r="X122" s="66"/>
      <c r="Y122" s="66"/>
    </row>
    <row r="123" spans="1:25" x14ac:dyDescent="0.25">
      <c r="B123" s="66"/>
      <c r="C123" s="70"/>
      <c r="D123" s="66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66"/>
      <c r="X123" s="66"/>
      <c r="Y123" s="66"/>
    </row>
    <row r="124" spans="1:25" x14ac:dyDescent="0.25">
      <c r="B124" s="66"/>
      <c r="C124" s="70"/>
      <c r="D124" s="66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66"/>
      <c r="X124" s="66"/>
      <c r="Y124" s="66"/>
    </row>
    <row r="125" spans="1:25" x14ac:dyDescent="0.25">
      <c r="B125" s="66"/>
      <c r="C125" s="72"/>
      <c r="D125" s="72"/>
      <c r="E125" s="72"/>
      <c r="F125" s="72"/>
      <c r="G125" s="88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66"/>
      <c r="Y125" s="66"/>
    </row>
    <row r="126" spans="1:25" x14ac:dyDescent="0.25">
      <c r="B126" s="75"/>
      <c r="C126" s="89"/>
      <c r="D126" s="73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3"/>
      <c r="X126" s="66"/>
      <c r="Y126" s="66"/>
    </row>
    <row r="127" spans="1:25" x14ac:dyDescent="0.25">
      <c r="B127" s="66"/>
      <c r="C127" s="90"/>
      <c r="D127" s="66"/>
      <c r="E127" s="12"/>
      <c r="F127" s="12"/>
      <c r="G127" s="77"/>
      <c r="H127" s="12"/>
      <c r="I127" s="12"/>
      <c r="J127" s="12"/>
      <c r="K127" s="12"/>
      <c r="L127" s="12"/>
      <c r="M127" s="12"/>
      <c r="N127" s="12"/>
      <c r="O127" s="12"/>
      <c r="P127" s="78"/>
      <c r="Q127" s="78"/>
      <c r="R127" s="78"/>
      <c r="S127" s="78"/>
      <c r="T127" s="78"/>
      <c r="U127" s="12"/>
      <c r="V127" s="12"/>
      <c r="W127" s="66"/>
      <c r="X127" s="66"/>
      <c r="Y127" s="66"/>
    </row>
    <row r="128" spans="1:25" x14ac:dyDescent="0.25">
      <c r="B128" s="66"/>
      <c r="C128" s="79"/>
      <c r="D128" s="73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3"/>
      <c r="X128" s="66"/>
      <c r="Y128" s="66"/>
    </row>
    <row r="129" spans="2:25" x14ac:dyDescent="0.25">
      <c r="B129" s="73"/>
      <c r="C129" s="79"/>
      <c r="D129" s="73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3"/>
      <c r="X129" s="66"/>
      <c r="Y129" s="66"/>
    </row>
    <row r="130" spans="2:25" x14ac:dyDescent="0.25">
      <c r="B130" s="66"/>
      <c r="C130" s="79"/>
      <c r="D130" s="7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64"/>
      <c r="X130" s="66"/>
      <c r="Y130" s="66"/>
    </row>
    <row r="131" spans="2:25" x14ac:dyDescent="0.25">
      <c r="C131" s="79"/>
      <c r="D131" s="7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64"/>
      <c r="X131" s="66"/>
      <c r="Y131" s="66"/>
    </row>
    <row r="132" spans="2:25" x14ac:dyDescent="0.25">
      <c r="C132" s="79"/>
      <c r="D132" s="7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64"/>
      <c r="X132" s="66"/>
      <c r="Y132" s="66"/>
    </row>
    <row r="133" spans="2:25" x14ac:dyDescent="0.25">
      <c r="C133" s="79"/>
      <c r="D133" s="7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64"/>
      <c r="X133" s="66"/>
      <c r="Y133" s="66"/>
    </row>
    <row r="134" spans="2:25" x14ac:dyDescent="0.25">
      <c r="C134" s="79"/>
      <c r="D134" s="7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64"/>
      <c r="X134" s="66"/>
      <c r="Y134" s="66"/>
    </row>
    <row r="135" spans="2:25" x14ac:dyDescent="0.25">
      <c r="C135" s="79"/>
      <c r="D135" s="7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64"/>
      <c r="X135" s="66"/>
      <c r="Y135" s="66"/>
    </row>
    <row r="136" spans="2:25" x14ac:dyDescent="0.25">
      <c r="C136" s="70"/>
      <c r="D136" s="66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64"/>
      <c r="X136" s="66"/>
      <c r="Y136" s="66"/>
    </row>
    <row r="137" spans="2:25" x14ac:dyDescent="0.25">
      <c r="C137" s="79"/>
      <c r="D137" s="66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64"/>
      <c r="X137" s="66"/>
      <c r="Y137" s="66"/>
    </row>
    <row r="138" spans="2:25" x14ac:dyDescent="0.25">
      <c r="C138" s="79"/>
      <c r="D138" s="6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64"/>
      <c r="X138" s="66"/>
      <c r="Y138" s="66"/>
    </row>
    <row r="139" spans="2:25" x14ac:dyDescent="0.25">
      <c r="C139" s="79"/>
      <c r="D139" s="6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64"/>
      <c r="X139" s="66"/>
      <c r="Y139" s="66"/>
    </row>
    <row r="140" spans="2:25" x14ac:dyDescent="0.25">
      <c r="C140" s="79"/>
      <c r="D140" s="6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64"/>
      <c r="X140" s="66"/>
      <c r="Y140" s="66"/>
    </row>
    <row r="141" spans="2:25" x14ac:dyDescent="0.25">
      <c r="C141" s="79"/>
      <c r="D141" s="66"/>
      <c r="E141" s="12"/>
      <c r="F141" s="12"/>
      <c r="G141" s="12"/>
      <c r="H141" s="12"/>
      <c r="I141" s="12"/>
      <c r="J141" s="12"/>
      <c r="K141" s="12"/>
      <c r="L141" s="12"/>
      <c r="M141" s="12">
        <f>737717*4</f>
        <v>2950868</v>
      </c>
      <c r="N141" s="12">
        <f>737717*2</f>
        <v>1475434</v>
      </c>
      <c r="O141" s="12"/>
      <c r="P141" s="12"/>
      <c r="Q141" s="12"/>
      <c r="R141" s="12"/>
      <c r="S141" s="12"/>
      <c r="T141" s="12"/>
      <c r="U141" s="12"/>
      <c r="V141" s="12"/>
      <c r="W141" s="64"/>
      <c r="X141" s="66"/>
      <c r="Y141" s="66"/>
    </row>
    <row r="142" spans="2:25" x14ac:dyDescent="0.25">
      <c r="C142" s="79"/>
      <c r="D142" s="6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64"/>
      <c r="X142" s="66"/>
      <c r="Y142" s="66"/>
    </row>
    <row r="143" spans="2:25" x14ac:dyDescent="0.25">
      <c r="C143" s="79"/>
      <c r="D143" s="66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64"/>
      <c r="X143" s="66"/>
      <c r="Y143" s="66"/>
    </row>
    <row r="144" spans="2:25" x14ac:dyDescent="0.25">
      <c r="C144" s="79"/>
      <c r="D144" s="66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64"/>
      <c r="X144" s="66"/>
      <c r="Y144" s="66"/>
    </row>
    <row r="145" spans="2:25" x14ac:dyDescent="0.25">
      <c r="C145" s="79"/>
      <c r="D145" s="66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64"/>
      <c r="X145" s="66"/>
      <c r="Y145" s="66"/>
    </row>
    <row r="146" spans="2:25" x14ac:dyDescent="0.25">
      <c r="C146" s="79"/>
      <c r="D146" s="66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64"/>
      <c r="X146" s="66"/>
      <c r="Y146" s="66"/>
    </row>
    <row r="147" spans="2:25" x14ac:dyDescent="0.25">
      <c r="C147" s="79"/>
      <c r="D147" s="66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64"/>
      <c r="X147" s="66"/>
      <c r="Y147" s="66"/>
    </row>
    <row r="148" spans="2:25" x14ac:dyDescent="0.25">
      <c r="C148" s="70"/>
      <c r="D148" s="66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66"/>
      <c r="X148" s="66"/>
      <c r="Y148" s="66"/>
    </row>
    <row r="149" spans="2:25" x14ac:dyDescent="0.25">
      <c r="C149" s="70"/>
      <c r="D149" s="66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66"/>
      <c r="U149" s="12"/>
      <c r="V149" s="12"/>
      <c r="W149" s="66"/>
      <c r="X149" s="66"/>
      <c r="Y149" s="66"/>
    </row>
    <row r="150" spans="2:25" x14ac:dyDescent="0.25">
      <c r="B150" s="66"/>
      <c r="C150" s="70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66"/>
      <c r="Y150" s="66"/>
    </row>
    <row r="151" spans="2:25" x14ac:dyDescent="0.25">
      <c r="B151" s="66"/>
      <c r="C151" s="70"/>
      <c r="D151" s="6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3"/>
      <c r="X151" s="66"/>
      <c r="Y151" s="66"/>
    </row>
    <row r="152" spans="2:25" x14ac:dyDescent="0.25">
      <c r="B152" s="66"/>
      <c r="C152" s="79"/>
      <c r="D152" s="73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3"/>
    </row>
    <row r="153" spans="2:25" x14ac:dyDescent="0.25">
      <c r="B153" s="82"/>
      <c r="C153" s="79"/>
      <c r="D153" s="73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3"/>
    </row>
    <row r="154" spans="2:25" x14ac:dyDescent="0.25">
      <c r="C154" s="79"/>
      <c r="D154" s="7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64"/>
    </row>
    <row r="155" spans="2:25" x14ac:dyDescent="0.25">
      <c r="C155" s="79"/>
      <c r="D155" s="7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64"/>
    </row>
    <row r="156" spans="2:25" x14ac:dyDescent="0.25">
      <c r="C156" s="79"/>
      <c r="D156" s="7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64"/>
    </row>
    <row r="157" spans="2:25" x14ac:dyDescent="0.25">
      <c r="C157" s="70"/>
      <c r="D157" s="66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64"/>
    </row>
    <row r="158" spans="2:25" x14ac:dyDescent="0.25">
      <c r="C158" s="79"/>
      <c r="D158" s="66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64"/>
    </row>
    <row r="159" spans="2:25" x14ac:dyDescent="0.25">
      <c r="C159" s="70"/>
      <c r="D159" s="6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66"/>
    </row>
    <row r="160" spans="2:25" x14ac:dyDescent="0.25">
      <c r="C160" s="70"/>
      <c r="D160" s="6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64"/>
    </row>
    <row r="161" spans="2:23" x14ac:dyDescent="0.25">
      <c r="B161" s="66"/>
      <c r="C161" s="70"/>
      <c r="D161" s="6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66"/>
    </row>
    <row r="162" spans="2:23" x14ac:dyDescent="0.25">
      <c r="B162" s="66"/>
      <c r="C162" s="70"/>
      <c r="D162" s="6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66"/>
    </row>
    <row r="163" spans="2:23" x14ac:dyDescent="0.25">
      <c r="B163" s="66"/>
      <c r="C163" s="70"/>
      <c r="D163" s="6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83"/>
    </row>
    <row r="164" spans="2:23" x14ac:dyDescent="0.25">
      <c r="B164" s="66"/>
      <c r="C164" s="70"/>
      <c r="D164" s="6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84"/>
    </row>
    <row r="165" spans="2:23" x14ac:dyDescent="0.25">
      <c r="C165" s="70"/>
      <c r="D165" s="6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66"/>
    </row>
    <row r="166" spans="2:23" x14ac:dyDescent="0.25">
      <c r="C166" s="70"/>
      <c r="D166" s="6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66"/>
    </row>
    <row r="167" spans="2:23" x14ac:dyDescent="0.25">
      <c r="C167" s="70"/>
      <c r="D167" s="6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66"/>
    </row>
    <row r="168" spans="2:23" x14ac:dyDescent="0.25">
      <c r="C168" s="70"/>
      <c r="D168" s="6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66"/>
    </row>
    <row r="169" spans="2:23" x14ac:dyDescent="0.25">
      <c r="C169" s="70"/>
      <c r="D169" s="6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66"/>
    </row>
    <row r="170" spans="2:23" x14ac:dyDescent="0.25">
      <c r="C170" s="70"/>
      <c r="D170" s="6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66"/>
    </row>
    <row r="171" spans="2:23" x14ac:dyDescent="0.25">
      <c r="C171" s="70"/>
      <c r="D171" s="6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66"/>
    </row>
    <row r="172" spans="2:23" x14ac:dyDescent="0.25">
      <c r="C172" s="70"/>
      <c r="D172" s="66"/>
      <c r="E172" s="12"/>
      <c r="F172" s="12"/>
      <c r="G172" s="12"/>
      <c r="H172" s="12"/>
      <c r="I172" s="12"/>
      <c r="J172" s="12"/>
      <c r="K172" s="12"/>
      <c r="L172" s="12"/>
      <c r="M172" s="12"/>
      <c r="N172" s="12">
        <v>3003000</v>
      </c>
      <c r="O172" s="12"/>
      <c r="P172" s="12"/>
      <c r="Q172" s="12"/>
      <c r="R172" s="12"/>
      <c r="S172" s="12"/>
      <c r="T172" s="12"/>
      <c r="U172" s="12"/>
      <c r="V172" s="12"/>
      <c r="W172" s="66"/>
    </row>
    <row r="173" spans="2:23" x14ac:dyDescent="0.25">
      <c r="C173" s="79"/>
      <c r="D173" s="6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66"/>
    </row>
    <row r="174" spans="2:23" x14ac:dyDescent="0.25">
      <c r="C174" s="79"/>
      <c r="D174" s="66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66"/>
    </row>
    <row r="175" spans="2:23" x14ac:dyDescent="0.25">
      <c r="C175" s="79"/>
      <c r="D175" s="6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66"/>
    </row>
    <row r="176" spans="2:23" x14ac:dyDescent="0.25">
      <c r="C176" s="79"/>
      <c r="D176" s="6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66"/>
    </row>
    <row r="177" spans="3:23" x14ac:dyDescent="0.25">
      <c r="C177" s="70">
        <v>42614840</v>
      </c>
      <c r="D177" s="6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>
        <v>412608</v>
      </c>
      <c r="W177" s="66"/>
    </row>
    <row r="178" spans="3:23" x14ac:dyDescent="0.25">
      <c r="C178" s="70">
        <v>9675182</v>
      </c>
      <c r="D178" s="6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>
        <v>1880000</v>
      </c>
      <c r="W178" s="66"/>
    </row>
    <row r="179" spans="3:23" x14ac:dyDescent="0.25">
      <c r="C179" s="70">
        <v>17903600</v>
      </c>
      <c r="D179" s="66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66"/>
    </row>
    <row r="180" spans="3:23" x14ac:dyDescent="0.25">
      <c r="C180" s="70">
        <f>SUM(C177:C179)</f>
        <v>70193622</v>
      </c>
      <c r="D180" s="66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66"/>
    </row>
    <row r="181" spans="3:23" x14ac:dyDescent="0.25">
      <c r="C181" s="70">
        <v>400000</v>
      </c>
      <c r="D181" s="6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66"/>
    </row>
    <row r="182" spans="3:23" x14ac:dyDescent="0.25">
      <c r="C182" s="70">
        <f>+C180+C181</f>
        <v>70593622</v>
      </c>
      <c r="D182" s="66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66"/>
    </row>
    <row r="186" spans="3:23" x14ac:dyDescent="0.25">
      <c r="C186" s="13">
        <v>11000000</v>
      </c>
    </row>
    <row r="187" spans="3:23" x14ac:dyDescent="0.25">
      <c r="C187" s="13">
        <f>+C185+C186</f>
        <v>11000000</v>
      </c>
    </row>
    <row r="192" spans="3:23" x14ac:dyDescent="0.25">
      <c r="C192" s="13">
        <v>3185000</v>
      </c>
    </row>
    <row r="193" spans="3:3" x14ac:dyDescent="0.25">
      <c r="C193" s="13">
        <v>1080000</v>
      </c>
    </row>
    <row r="194" spans="3:3" x14ac:dyDescent="0.25">
      <c r="C194" s="13">
        <v>4850100</v>
      </c>
    </row>
    <row r="195" spans="3:3" x14ac:dyDescent="0.25">
      <c r="C195" s="13">
        <v>5027500</v>
      </c>
    </row>
    <row r="196" spans="3:3" x14ac:dyDescent="0.25">
      <c r="C196" s="13">
        <v>4566000</v>
      </c>
    </row>
    <row r="197" spans="3:3" x14ac:dyDescent="0.25">
      <c r="C197" s="13">
        <v>1050000</v>
      </c>
    </row>
    <row r="198" spans="3:3" x14ac:dyDescent="0.25">
      <c r="C198" s="13">
        <v>3877333</v>
      </c>
    </row>
    <row r="199" spans="3:3" x14ac:dyDescent="0.25">
      <c r="C199" s="13">
        <v>6732440</v>
      </c>
    </row>
    <row r="200" spans="3:3" x14ac:dyDescent="0.25">
      <c r="C200" s="13">
        <v>3460000</v>
      </c>
    </row>
    <row r="201" spans="3:3" x14ac:dyDescent="0.25">
      <c r="C201" s="13">
        <v>588800</v>
      </c>
    </row>
    <row r="202" spans="3:3" x14ac:dyDescent="0.25">
      <c r="C202" s="13">
        <v>1868000</v>
      </c>
    </row>
    <row r="203" spans="3:3" x14ac:dyDescent="0.25">
      <c r="C203" s="13">
        <v>10313000</v>
      </c>
    </row>
    <row r="204" spans="3:3" x14ac:dyDescent="0.25">
      <c r="C204" s="13">
        <v>3443800</v>
      </c>
    </row>
    <row r="205" spans="3:3" x14ac:dyDescent="0.25">
      <c r="C205" s="13">
        <v>8136400</v>
      </c>
    </row>
    <row r="206" spans="3:3" x14ac:dyDescent="0.25">
      <c r="C206" s="13">
        <v>9675183</v>
      </c>
    </row>
    <row r="207" spans="3:3" x14ac:dyDescent="0.25">
      <c r="C207" s="13">
        <f>SUM(C191:C206)</f>
        <v>67853556</v>
      </c>
    </row>
  </sheetData>
  <mergeCells count="7">
    <mergeCell ref="D150:W150"/>
    <mergeCell ref="A1:W1"/>
    <mergeCell ref="A2:M2"/>
    <mergeCell ref="N2:V2"/>
    <mergeCell ref="A4:A66"/>
    <mergeCell ref="A67:A115"/>
    <mergeCell ref="E149:S14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A788-C30A-400D-B590-A1D5A595596F}">
  <dimension ref="A1:Z209"/>
  <sheetViews>
    <sheetView tabSelected="1" workbookViewId="0">
      <selection activeCell="P10" sqref="P10"/>
    </sheetView>
  </sheetViews>
  <sheetFormatPr baseColWidth="10" defaultRowHeight="12" x14ac:dyDescent="0.25"/>
  <cols>
    <col min="1" max="1" width="6.7109375" style="60" customWidth="1"/>
    <col min="2" max="2" width="4.85546875" style="60" customWidth="1"/>
    <col min="3" max="3" width="32.28515625" style="13" customWidth="1"/>
    <col min="4" max="4" width="8.5703125" style="60" customWidth="1"/>
    <col min="5" max="5" width="15" style="69" customWidth="1"/>
    <col min="6" max="6" width="4.42578125" style="69" customWidth="1"/>
    <col min="7" max="7" width="15.5703125" style="69" customWidth="1"/>
    <col min="8" max="9" width="11.28515625" style="69" customWidth="1"/>
    <col min="10" max="10" width="9.5703125" style="69" customWidth="1"/>
    <col min="11" max="11" width="12.28515625" style="69" customWidth="1"/>
    <col min="12" max="12" width="12.5703125" style="69" customWidth="1"/>
    <col min="13" max="13" width="16" style="69" customWidth="1"/>
    <col min="14" max="14" width="12.28515625" style="69" customWidth="1"/>
    <col min="15" max="15" width="14.140625" style="69" customWidth="1"/>
    <col min="16" max="18" width="11.28515625" style="69" customWidth="1"/>
    <col min="19" max="19" width="12.28515625" style="69" customWidth="1"/>
    <col min="20" max="20" width="11.28515625" style="69" customWidth="1"/>
    <col min="21" max="21" width="15.7109375" style="69" customWidth="1"/>
    <col min="22" max="22" width="12.42578125" style="69" customWidth="1"/>
    <col min="23" max="23" width="18" style="60" bestFit="1" customWidth="1"/>
    <col min="24" max="24" width="11.85546875" style="60" bestFit="1" customWidth="1"/>
    <col min="25" max="243" width="11.42578125" style="60"/>
    <col min="244" max="244" width="10.5703125" style="60" customWidth="1"/>
    <col min="245" max="245" width="4.85546875" style="60" customWidth="1"/>
    <col min="246" max="246" width="32.42578125" style="60" customWidth="1"/>
    <col min="247" max="247" width="9.85546875" style="60" customWidth="1"/>
    <col min="248" max="248" width="10.140625" style="60" customWidth="1"/>
    <col min="249" max="249" width="12.28515625" style="60" customWidth="1"/>
    <col min="250" max="250" width="15.42578125" style="60" customWidth="1"/>
    <col min="251" max="251" width="11.85546875" style="60" customWidth="1"/>
    <col min="252" max="252" width="13.28515625" style="60" customWidth="1"/>
    <col min="253" max="253" width="15.28515625" style="60" customWidth="1"/>
    <col min="254" max="254" width="11.85546875" style="60" customWidth="1"/>
    <col min="255" max="255" width="6.140625" style="60" customWidth="1"/>
    <col min="256" max="256" width="11.85546875" style="60" customWidth="1"/>
    <col min="257" max="257" width="9.42578125" style="60" customWidth="1"/>
    <col min="258" max="258" width="14.7109375" style="60" customWidth="1"/>
    <col min="259" max="259" width="11.5703125" style="60" customWidth="1"/>
    <col min="260" max="260" width="0.42578125" style="60" customWidth="1"/>
    <col min="261" max="261" width="10.5703125" style="60" bestFit="1" customWidth="1"/>
    <col min="262" max="262" width="12.28515625" style="60" customWidth="1"/>
    <col min="263" max="263" width="12.5703125" style="60" customWidth="1"/>
    <col min="264" max="264" width="10.5703125" style="60" customWidth="1"/>
    <col min="265" max="265" width="10.140625" style="60" customWidth="1"/>
    <col min="266" max="266" width="8.42578125" style="60" customWidth="1"/>
    <col min="267" max="267" width="18.85546875" style="60" customWidth="1"/>
    <col min="268" max="268" width="10.28515625" style="60" customWidth="1"/>
    <col min="269" max="269" width="11.42578125" style="60"/>
    <col min="270" max="270" width="12.140625" style="60" customWidth="1"/>
    <col min="271" max="271" width="10.5703125" style="60" customWidth="1"/>
    <col min="272" max="272" width="12.42578125" style="60" customWidth="1"/>
    <col min="273" max="273" width="15.140625" style="60" customWidth="1"/>
    <col min="274" max="274" width="13.5703125" style="60" customWidth="1"/>
    <col min="275" max="275" width="13.140625" style="60" customWidth="1"/>
    <col min="276" max="276" width="15.7109375" style="60" customWidth="1"/>
    <col min="277" max="277" width="37.5703125" style="60" customWidth="1"/>
    <col min="278" max="499" width="11.42578125" style="60"/>
    <col min="500" max="500" width="10.5703125" style="60" customWidth="1"/>
    <col min="501" max="501" width="4.85546875" style="60" customWidth="1"/>
    <col min="502" max="502" width="32.42578125" style="60" customWidth="1"/>
    <col min="503" max="503" width="9.85546875" style="60" customWidth="1"/>
    <col min="504" max="504" width="10.140625" style="60" customWidth="1"/>
    <col min="505" max="505" width="12.28515625" style="60" customWidth="1"/>
    <col min="506" max="506" width="15.42578125" style="60" customWidth="1"/>
    <col min="507" max="507" width="11.85546875" style="60" customWidth="1"/>
    <col min="508" max="508" width="13.28515625" style="60" customWidth="1"/>
    <col min="509" max="509" width="15.28515625" style="60" customWidth="1"/>
    <col min="510" max="510" width="11.85546875" style="60" customWidth="1"/>
    <col min="511" max="511" width="6.140625" style="60" customWidth="1"/>
    <col min="512" max="512" width="11.85546875" style="60" customWidth="1"/>
    <col min="513" max="513" width="9.42578125" style="60" customWidth="1"/>
    <col min="514" max="514" width="14.7109375" style="60" customWidth="1"/>
    <col min="515" max="515" width="11.5703125" style="60" customWidth="1"/>
    <col min="516" max="516" width="0.42578125" style="60" customWidth="1"/>
    <col min="517" max="517" width="10.5703125" style="60" bestFit="1" customWidth="1"/>
    <col min="518" max="518" width="12.28515625" style="60" customWidth="1"/>
    <col min="519" max="519" width="12.5703125" style="60" customWidth="1"/>
    <col min="520" max="520" width="10.5703125" style="60" customWidth="1"/>
    <col min="521" max="521" width="10.140625" style="60" customWidth="1"/>
    <col min="522" max="522" width="8.42578125" style="60" customWidth="1"/>
    <col min="523" max="523" width="18.85546875" style="60" customWidth="1"/>
    <col min="524" max="524" width="10.28515625" style="60" customWidth="1"/>
    <col min="525" max="525" width="11.42578125" style="60"/>
    <col min="526" max="526" width="12.140625" style="60" customWidth="1"/>
    <col min="527" max="527" width="10.5703125" style="60" customWidth="1"/>
    <col min="528" max="528" width="12.42578125" style="60" customWidth="1"/>
    <col min="529" max="529" width="15.140625" style="60" customWidth="1"/>
    <col min="530" max="530" width="13.5703125" style="60" customWidth="1"/>
    <col min="531" max="531" width="13.140625" style="60" customWidth="1"/>
    <col min="532" max="532" width="15.7109375" style="60" customWidth="1"/>
    <col min="533" max="533" width="37.5703125" style="60" customWidth="1"/>
    <col min="534" max="755" width="11.42578125" style="60"/>
    <col min="756" max="756" width="10.5703125" style="60" customWidth="1"/>
    <col min="757" max="757" width="4.85546875" style="60" customWidth="1"/>
    <col min="758" max="758" width="32.42578125" style="60" customWidth="1"/>
    <col min="759" max="759" width="9.85546875" style="60" customWidth="1"/>
    <col min="760" max="760" width="10.140625" style="60" customWidth="1"/>
    <col min="761" max="761" width="12.28515625" style="60" customWidth="1"/>
    <col min="762" max="762" width="15.42578125" style="60" customWidth="1"/>
    <col min="763" max="763" width="11.85546875" style="60" customWidth="1"/>
    <col min="764" max="764" width="13.28515625" style="60" customWidth="1"/>
    <col min="765" max="765" width="15.28515625" style="60" customWidth="1"/>
    <col min="766" max="766" width="11.85546875" style="60" customWidth="1"/>
    <col min="767" max="767" width="6.140625" style="60" customWidth="1"/>
    <col min="768" max="768" width="11.85546875" style="60" customWidth="1"/>
    <col min="769" max="769" width="9.42578125" style="60" customWidth="1"/>
    <col min="770" max="770" width="14.7109375" style="60" customWidth="1"/>
    <col min="771" max="771" width="11.5703125" style="60" customWidth="1"/>
    <col min="772" max="772" width="0.42578125" style="60" customWidth="1"/>
    <col min="773" max="773" width="10.5703125" style="60" bestFit="1" customWidth="1"/>
    <col min="774" max="774" width="12.28515625" style="60" customWidth="1"/>
    <col min="775" max="775" width="12.5703125" style="60" customWidth="1"/>
    <col min="776" max="776" width="10.5703125" style="60" customWidth="1"/>
    <col min="777" max="777" width="10.140625" style="60" customWidth="1"/>
    <col min="778" max="778" width="8.42578125" style="60" customWidth="1"/>
    <col min="779" max="779" width="18.85546875" style="60" customWidth="1"/>
    <col min="780" max="780" width="10.28515625" style="60" customWidth="1"/>
    <col min="781" max="781" width="11.42578125" style="60"/>
    <col min="782" max="782" width="12.140625" style="60" customWidth="1"/>
    <col min="783" max="783" width="10.5703125" style="60" customWidth="1"/>
    <col min="784" max="784" width="12.42578125" style="60" customWidth="1"/>
    <col min="785" max="785" width="15.140625" style="60" customWidth="1"/>
    <col min="786" max="786" width="13.5703125" style="60" customWidth="1"/>
    <col min="787" max="787" width="13.140625" style="60" customWidth="1"/>
    <col min="788" max="788" width="15.7109375" style="60" customWidth="1"/>
    <col min="789" max="789" width="37.5703125" style="60" customWidth="1"/>
    <col min="790" max="1011" width="11.42578125" style="60"/>
    <col min="1012" max="1012" width="10.5703125" style="60" customWidth="1"/>
    <col min="1013" max="1013" width="4.85546875" style="60" customWidth="1"/>
    <col min="1014" max="1014" width="32.42578125" style="60" customWidth="1"/>
    <col min="1015" max="1015" width="9.85546875" style="60" customWidth="1"/>
    <col min="1016" max="1016" width="10.140625" style="60" customWidth="1"/>
    <col min="1017" max="1017" width="12.28515625" style="60" customWidth="1"/>
    <col min="1018" max="1018" width="15.42578125" style="60" customWidth="1"/>
    <col min="1019" max="1019" width="11.85546875" style="60" customWidth="1"/>
    <col min="1020" max="1020" width="13.28515625" style="60" customWidth="1"/>
    <col min="1021" max="1021" width="15.28515625" style="60" customWidth="1"/>
    <col min="1022" max="1022" width="11.85546875" style="60" customWidth="1"/>
    <col min="1023" max="1023" width="6.140625" style="60" customWidth="1"/>
    <col min="1024" max="1024" width="11.85546875" style="60" customWidth="1"/>
    <col min="1025" max="1025" width="9.42578125" style="60" customWidth="1"/>
    <col min="1026" max="1026" width="14.7109375" style="60" customWidth="1"/>
    <col min="1027" max="1027" width="11.5703125" style="60" customWidth="1"/>
    <col min="1028" max="1028" width="0.42578125" style="60" customWidth="1"/>
    <col min="1029" max="1029" width="10.5703125" style="60" bestFit="1" customWidth="1"/>
    <col min="1030" max="1030" width="12.28515625" style="60" customWidth="1"/>
    <col min="1031" max="1031" width="12.5703125" style="60" customWidth="1"/>
    <col min="1032" max="1032" width="10.5703125" style="60" customWidth="1"/>
    <col min="1033" max="1033" width="10.140625" style="60" customWidth="1"/>
    <col min="1034" max="1034" width="8.42578125" style="60" customWidth="1"/>
    <col min="1035" max="1035" width="18.85546875" style="60" customWidth="1"/>
    <col min="1036" max="1036" width="10.28515625" style="60" customWidth="1"/>
    <col min="1037" max="1037" width="11.42578125" style="60"/>
    <col min="1038" max="1038" width="12.140625" style="60" customWidth="1"/>
    <col min="1039" max="1039" width="10.5703125" style="60" customWidth="1"/>
    <col min="1040" max="1040" width="12.42578125" style="60" customWidth="1"/>
    <col min="1041" max="1041" width="15.140625" style="60" customWidth="1"/>
    <col min="1042" max="1042" width="13.5703125" style="60" customWidth="1"/>
    <col min="1043" max="1043" width="13.140625" style="60" customWidth="1"/>
    <col min="1044" max="1044" width="15.7109375" style="60" customWidth="1"/>
    <col min="1045" max="1045" width="37.5703125" style="60" customWidth="1"/>
    <col min="1046" max="1267" width="11.42578125" style="60"/>
    <col min="1268" max="1268" width="10.5703125" style="60" customWidth="1"/>
    <col min="1269" max="1269" width="4.85546875" style="60" customWidth="1"/>
    <col min="1270" max="1270" width="32.42578125" style="60" customWidth="1"/>
    <col min="1271" max="1271" width="9.85546875" style="60" customWidth="1"/>
    <col min="1272" max="1272" width="10.140625" style="60" customWidth="1"/>
    <col min="1273" max="1273" width="12.28515625" style="60" customWidth="1"/>
    <col min="1274" max="1274" width="15.42578125" style="60" customWidth="1"/>
    <col min="1275" max="1275" width="11.85546875" style="60" customWidth="1"/>
    <col min="1276" max="1276" width="13.28515625" style="60" customWidth="1"/>
    <col min="1277" max="1277" width="15.28515625" style="60" customWidth="1"/>
    <col min="1278" max="1278" width="11.85546875" style="60" customWidth="1"/>
    <col min="1279" max="1279" width="6.140625" style="60" customWidth="1"/>
    <col min="1280" max="1280" width="11.85546875" style="60" customWidth="1"/>
    <col min="1281" max="1281" width="9.42578125" style="60" customWidth="1"/>
    <col min="1282" max="1282" width="14.7109375" style="60" customWidth="1"/>
    <col min="1283" max="1283" width="11.5703125" style="60" customWidth="1"/>
    <col min="1284" max="1284" width="0.42578125" style="60" customWidth="1"/>
    <col min="1285" max="1285" width="10.5703125" style="60" bestFit="1" customWidth="1"/>
    <col min="1286" max="1286" width="12.28515625" style="60" customWidth="1"/>
    <col min="1287" max="1287" width="12.5703125" style="60" customWidth="1"/>
    <col min="1288" max="1288" width="10.5703125" style="60" customWidth="1"/>
    <col min="1289" max="1289" width="10.140625" style="60" customWidth="1"/>
    <col min="1290" max="1290" width="8.42578125" style="60" customWidth="1"/>
    <col min="1291" max="1291" width="18.85546875" style="60" customWidth="1"/>
    <col min="1292" max="1292" width="10.28515625" style="60" customWidth="1"/>
    <col min="1293" max="1293" width="11.42578125" style="60"/>
    <col min="1294" max="1294" width="12.140625" style="60" customWidth="1"/>
    <col min="1295" max="1295" width="10.5703125" style="60" customWidth="1"/>
    <col min="1296" max="1296" width="12.42578125" style="60" customWidth="1"/>
    <col min="1297" max="1297" width="15.140625" style="60" customWidth="1"/>
    <col min="1298" max="1298" width="13.5703125" style="60" customWidth="1"/>
    <col min="1299" max="1299" width="13.140625" style="60" customWidth="1"/>
    <col min="1300" max="1300" width="15.7109375" style="60" customWidth="1"/>
    <col min="1301" max="1301" width="37.5703125" style="60" customWidth="1"/>
    <col min="1302" max="1523" width="11.42578125" style="60"/>
    <col min="1524" max="1524" width="10.5703125" style="60" customWidth="1"/>
    <col min="1525" max="1525" width="4.85546875" style="60" customWidth="1"/>
    <col min="1526" max="1526" width="32.42578125" style="60" customWidth="1"/>
    <col min="1527" max="1527" width="9.85546875" style="60" customWidth="1"/>
    <col min="1528" max="1528" width="10.140625" style="60" customWidth="1"/>
    <col min="1529" max="1529" width="12.28515625" style="60" customWidth="1"/>
    <col min="1530" max="1530" width="15.42578125" style="60" customWidth="1"/>
    <col min="1531" max="1531" width="11.85546875" style="60" customWidth="1"/>
    <col min="1532" max="1532" width="13.28515625" style="60" customWidth="1"/>
    <col min="1533" max="1533" width="15.28515625" style="60" customWidth="1"/>
    <col min="1534" max="1534" width="11.85546875" style="60" customWidth="1"/>
    <col min="1535" max="1535" width="6.140625" style="60" customWidth="1"/>
    <col min="1536" max="1536" width="11.85546875" style="60" customWidth="1"/>
    <col min="1537" max="1537" width="9.42578125" style="60" customWidth="1"/>
    <col min="1538" max="1538" width="14.7109375" style="60" customWidth="1"/>
    <col min="1539" max="1539" width="11.5703125" style="60" customWidth="1"/>
    <col min="1540" max="1540" width="0.42578125" style="60" customWidth="1"/>
    <col min="1541" max="1541" width="10.5703125" style="60" bestFit="1" customWidth="1"/>
    <col min="1542" max="1542" width="12.28515625" style="60" customWidth="1"/>
    <col min="1543" max="1543" width="12.5703125" style="60" customWidth="1"/>
    <col min="1544" max="1544" width="10.5703125" style="60" customWidth="1"/>
    <col min="1545" max="1545" width="10.140625" style="60" customWidth="1"/>
    <col min="1546" max="1546" width="8.42578125" style="60" customWidth="1"/>
    <col min="1547" max="1547" width="18.85546875" style="60" customWidth="1"/>
    <col min="1548" max="1548" width="10.28515625" style="60" customWidth="1"/>
    <col min="1549" max="1549" width="11.42578125" style="60"/>
    <col min="1550" max="1550" width="12.140625" style="60" customWidth="1"/>
    <col min="1551" max="1551" width="10.5703125" style="60" customWidth="1"/>
    <col min="1552" max="1552" width="12.42578125" style="60" customWidth="1"/>
    <col min="1553" max="1553" width="15.140625" style="60" customWidth="1"/>
    <col min="1554" max="1554" width="13.5703125" style="60" customWidth="1"/>
    <col min="1555" max="1555" width="13.140625" style="60" customWidth="1"/>
    <col min="1556" max="1556" width="15.7109375" style="60" customWidth="1"/>
    <col min="1557" max="1557" width="37.5703125" style="60" customWidth="1"/>
    <col min="1558" max="1779" width="11.42578125" style="60"/>
    <col min="1780" max="1780" width="10.5703125" style="60" customWidth="1"/>
    <col min="1781" max="1781" width="4.85546875" style="60" customWidth="1"/>
    <col min="1782" max="1782" width="32.42578125" style="60" customWidth="1"/>
    <col min="1783" max="1783" width="9.85546875" style="60" customWidth="1"/>
    <col min="1784" max="1784" width="10.140625" style="60" customWidth="1"/>
    <col min="1785" max="1785" width="12.28515625" style="60" customWidth="1"/>
    <col min="1786" max="1786" width="15.42578125" style="60" customWidth="1"/>
    <col min="1787" max="1787" width="11.85546875" style="60" customWidth="1"/>
    <col min="1788" max="1788" width="13.28515625" style="60" customWidth="1"/>
    <col min="1789" max="1789" width="15.28515625" style="60" customWidth="1"/>
    <col min="1790" max="1790" width="11.85546875" style="60" customWidth="1"/>
    <col min="1791" max="1791" width="6.140625" style="60" customWidth="1"/>
    <col min="1792" max="1792" width="11.85546875" style="60" customWidth="1"/>
    <col min="1793" max="1793" width="9.42578125" style="60" customWidth="1"/>
    <col min="1794" max="1794" width="14.7109375" style="60" customWidth="1"/>
    <col min="1795" max="1795" width="11.5703125" style="60" customWidth="1"/>
    <col min="1796" max="1796" width="0.42578125" style="60" customWidth="1"/>
    <col min="1797" max="1797" width="10.5703125" style="60" bestFit="1" customWidth="1"/>
    <col min="1798" max="1798" width="12.28515625" style="60" customWidth="1"/>
    <col min="1799" max="1799" width="12.5703125" style="60" customWidth="1"/>
    <col min="1800" max="1800" width="10.5703125" style="60" customWidth="1"/>
    <col min="1801" max="1801" width="10.140625" style="60" customWidth="1"/>
    <col min="1802" max="1802" width="8.42578125" style="60" customWidth="1"/>
    <col min="1803" max="1803" width="18.85546875" style="60" customWidth="1"/>
    <col min="1804" max="1804" width="10.28515625" style="60" customWidth="1"/>
    <col min="1805" max="1805" width="11.42578125" style="60"/>
    <col min="1806" max="1806" width="12.140625" style="60" customWidth="1"/>
    <col min="1807" max="1807" width="10.5703125" style="60" customWidth="1"/>
    <col min="1808" max="1808" width="12.42578125" style="60" customWidth="1"/>
    <col min="1809" max="1809" width="15.140625" style="60" customWidth="1"/>
    <col min="1810" max="1810" width="13.5703125" style="60" customWidth="1"/>
    <col min="1811" max="1811" width="13.140625" style="60" customWidth="1"/>
    <col min="1812" max="1812" width="15.7109375" style="60" customWidth="1"/>
    <col min="1813" max="1813" width="37.5703125" style="60" customWidth="1"/>
    <col min="1814" max="2035" width="11.42578125" style="60"/>
    <col min="2036" max="2036" width="10.5703125" style="60" customWidth="1"/>
    <col min="2037" max="2037" width="4.85546875" style="60" customWidth="1"/>
    <col min="2038" max="2038" width="32.42578125" style="60" customWidth="1"/>
    <col min="2039" max="2039" width="9.85546875" style="60" customWidth="1"/>
    <col min="2040" max="2040" width="10.140625" style="60" customWidth="1"/>
    <col min="2041" max="2041" width="12.28515625" style="60" customWidth="1"/>
    <col min="2042" max="2042" width="15.42578125" style="60" customWidth="1"/>
    <col min="2043" max="2043" width="11.85546875" style="60" customWidth="1"/>
    <col min="2044" max="2044" width="13.28515625" style="60" customWidth="1"/>
    <col min="2045" max="2045" width="15.28515625" style="60" customWidth="1"/>
    <col min="2046" max="2046" width="11.85546875" style="60" customWidth="1"/>
    <col min="2047" max="2047" width="6.140625" style="60" customWidth="1"/>
    <col min="2048" max="2048" width="11.85546875" style="60" customWidth="1"/>
    <col min="2049" max="2049" width="9.42578125" style="60" customWidth="1"/>
    <col min="2050" max="2050" width="14.7109375" style="60" customWidth="1"/>
    <col min="2051" max="2051" width="11.5703125" style="60" customWidth="1"/>
    <col min="2052" max="2052" width="0.42578125" style="60" customWidth="1"/>
    <col min="2053" max="2053" width="10.5703125" style="60" bestFit="1" customWidth="1"/>
    <col min="2054" max="2054" width="12.28515625" style="60" customWidth="1"/>
    <col min="2055" max="2055" width="12.5703125" style="60" customWidth="1"/>
    <col min="2056" max="2056" width="10.5703125" style="60" customWidth="1"/>
    <col min="2057" max="2057" width="10.140625" style="60" customWidth="1"/>
    <col min="2058" max="2058" width="8.42578125" style="60" customWidth="1"/>
    <col min="2059" max="2059" width="18.85546875" style="60" customWidth="1"/>
    <col min="2060" max="2060" width="10.28515625" style="60" customWidth="1"/>
    <col min="2061" max="2061" width="11.42578125" style="60"/>
    <col min="2062" max="2062" width="12.140625" style="60" customWidth="1"/>
    <col min="2063" max="2063" width="10.5703125" style="60" customWidth="1"/>
    <col min="2064" max="2064" width="12.42578125" style="60" customWidth="1"/>
    <col min="2065" max="2065" width="15.140625" style="60" customWidth="1"/>
    <col min="2066" max="2066" width="13.5703125" style="60" customWidth="1"/>
    <col min="2067" max="2067" width="13.140625" style="60" customWidth="1"/>
    <col min="2068" max="2068" width="15.7109375" style="60" customWidth="1"/>
    <col min="2069" max="2069" width="37.5703125" style="60" customWidth="1"/>
    <col min="2070" max="2291" width="11.42578125" style="60"/>
    <col min="2292" max="2292" width="10.5703125" style="60" customWidth="1"/>
    <col min="2293" max="2293" width="4.85546875" style="60" customWidth="1"/>
    <col min="2294" max="2294" width="32.42578125" style="60" customWidth="1"/>
    <col min="2295" max="2295" width="9.85546875" style="60" customWidth="1"/>
    <col min="2296" max="2296" width="10.140625" style="60" customWidth="1"/>
    <col min="2297" max="2297" width="12.28515625" style="60" customWidth="1"/>
    <col min="2298" max="2298" width="15.42578125" style="60" customWidth="1"/>
    <col min="2299" max="2299" width="11.85546875" style="60" customWidth="1"/>
    <col min="2300" max="2300" width="13.28515625" style="60" customWidth="1"/>
    <col min="2301" max="2301" width="15.28515625" style="60" customWidth="1"/>
    <col min="2302" max="2302" width="11.85546875" style="60" customWidth="1"/>
    <col min="2303" max="2303" width="6.140625" style="60" customWidth="1"/>
    <col min="2304" max="2304" width="11.85546875" style="60" customWidth="1"/>
    <col min="2305" max="2305" width="9.42578125" style="60" customWidth="1"/>
    <col min="2306" max="2306" width="14.7109375" style="60" customWidth="1"/>
    <col min="2307" max="2307" width="11.5703125" style="60" customWidth="1"/>
    <col min="2308" max="2308" width="0.42578125" style="60" customWidth="1"/>
    <col min="2309" max="2309" width="10.5703125" style="60" bestFit="1" customWidth="1"/>
    <col min="2310" max="2310" width="12.28515625" style="60" customWidth="1"/>
    <col min="2311" max="2311" width="12.5703125" style="60" customWidth="1"/>
    <col min="2312" max="2312" width="10.5703125" style="60" customWidth="1"/>
    <col min="2313" max="2313" width="10.140625" style="60" customWidth="1"/>
    <col min="2314" max="2314" width="8.42578125" style="60" customWidth="1"/>
    <col min="2315" max="2315" width="18.85546875" style="60" customWidth="1"/>
    <col min="2316" max="2316" width="10.28515625" style="60" customWidth="1"/>
    <col min="2317" max="2317" width="11.42578125" style="60"/>
    <col min="2318" max="2318" width="12.140625" style="60" customWidth="1"/>
    <col min="2319" max="2319" width="10.5703125" style="60" customWidth="1"/>
    <col min="2320" max="2320" width="12.42578125" style="60" customWidth="1"/>
    <col min="2321" max="2321" width="15.140625" style="60" customWidth="1"/>
    <col min="2322" max="2322" width="13.5703125" style="60" customWidth="1"/>
    <col min="2323" max="2323" width="13.140625" style="60" customWidth="1"/>
    <col min="2324" max="2324" width="15.7109375" style="60" customWidth="1"/>
    <col min="2325" max="2325" width="37.5703125" style="60" customWidth="1"/>
    <col min="2326" max="2547" width="11.42578125" style="60"/>
    <col min="2548" max="2548" width="10.5703125" style="60" customWidth="1"/>
    <col min="2549" max="2549" width="4.85546875" style="60" customWidth="1"/>
    <col min="2550" max="2550" width="32.42578125" style="60" customWidth="1"/>
    <col min="2551" max="2551" width="9.85546875" style="60" customWidth="1"/>
    <col min="2552" max="2552" width="10.140625" style="60" customWidth="1"/>
    <col min="2553" max="2553" width="12.28515625" style="60" customWidth="1"/>
    <col min="2554" max="2554" width="15.42578125" style="60" customWidth="1"/>
    <col min="2555" max="2555" width="11.85546875" style="60" customWidth="1"/>
    <col min="2556" max="2556" width="13.28515625" style="60" customWidth="1"/>
    <col min="2557" max="2557" width="15.28515625" style="60" customWidth="1"/>
    <col min="2558" max="2558" width="11.85546875" style="60" customWidth="1"/>
    <col min="2559" max="2559" width="6.140625" style="60" customWidth="1"/>
    <col min="2560" max="2560" width="11.85546875" style="60" customWidth="1"/>
    <col min="2561" max="2561" width="9.42578125" style="60" customWidth="1"/>
    <col min="2562" max="2562" width="14.7109375" style="60" customWidth="1"/>
    <col min="2563" max="2563" width="11.5703125" style="60" customWidth="1"/>
    <col min="2564" max="2564" width="0.42578125" style="60" customWidth="1"/>
    <col min="2565" max="2565" width="10.5703125" style="60" bestFit="1" customWidth="1"/>
    <col min="2566" max="2566" width="12.28515625" style="60" customWidth="1"/>
    <col min="2567" max="2567" width="12.5703125" style="60" customWidth="1"/>
    <col min="2568" max="2568" width="10.5703125" style="60" customWidth="1"/>
    <col min="2569" max="2569" width="10.140625" style="60" customWidth="1"/>
    <col min="2570" max="2570" width="8.42578125" style="60" customWidth="1"/>
    <col min="2571" max="2571" width="18.85546875" style="60" customWidth="1"/>
    <col min="2572" max="2572" width="10.28515625" style="60" customWidth="1"/>
    <col min="2573" max="2573" width="11.42578125" style="60"/>
    <col min="2574" max="2574" width="12.140625" style="60" customWidth="1"/>
    <col min="2575" max="2575" width="10.5703125" style="60" customWidth="1"/>
    <col min="2576" max="2576" width="12.42578125" style="60" customWidth="1"/>
    <col min="2577" max="2577" width="15.140625" style="60" customWidth="1"/>
    <col min="2578" max="2578" width="13.5703125" style="60" customWidth="1"/>
    <col min="2579" max="2579" width="13.140625" style="60" customWidth="1"/>
    <col min="2580" max="2580" width="15.7109375" style="60" customWidth="1"/>
    <col min="2581" max="2581" width="37.5703125" style="60" customWidth="1"/>
    <col min="2582" max="2803" width="11.42578125" style="60"/>
    <col min="2804" max="2804" width="10.5703125" style="60" customWidth="1"/>
    <col min="2805" max="2805" width="4.85546875" style="60" customWidth="1"/>
    <col min="2806" max="2806" width="32.42578125" style="60" customWidth="1"/>
    <col min="2807" max="2807" width="9.85546875" style="60" customWidth="1"/>
    <col min="2808" max="2808" width="10.140625" style="60" customWidth="1"/>
    <col min="2809" max="2809" width="12.28515625" style="60" customWidth="1"/>
    <col min="2810" max="2810" width="15.42578125" style="60" customWidth="1"/>
    <col min="2811" max="2811" width="11.85546875" style="60" customWidth="1"/>
    <col min="2812" max="2812" width="13.28515625" style="60" customWidth="1"/>
    <col min="2813" max="2813" width="15.28515625" style="60" customWidth="1"/>
    <col min="2814" max="2814" width="11.85546875" style="60" customWidth="1"/>
    <col min="2815" max="2815" width="6.140625" style="60" customWidth="1"/>
    <col min="2816" max="2816" width="11.85546875" style="60" customWidth="1"/>
    <col min="2817" max="2817" width="9.42578125" style="60" customWidth="1"/>
    <col min="2818" max="2818" width="14.7109375" style="60" customWidth="1"/>
    <col min="2819" max="2819" width="11.5703125" style="60" customWidth="1"/>
    <col min="2820" max="2820" width="0.42578125" style="60" customWidth="1"/>
    <col min="2821" max="2821" width="10.5703125" style="60" bestFit="1" customWidth="1"/>
    <col min="2822" max="2822" width="12.28515625" style="60" customWidth="1"/>
    <col min="2823" max="2823" width="12.5703125" style="60" customWidth="1"/>
    <col min="2824" max="2824" width="10.5703125" style="60" customWidth="1"/>
    <col min="2825" max="2825" width="10.140625" style="60" customWidth="1"/>
    <col min="2826" max="2826" width="8.42578125" style="60" customWidth="1"/>
    <col min="2827" max="2827" width="18.85546875" style="60" customWidth="1"/>
    <col min="2828" max="2828" width="10.28515625" style="60" customWidth="1"/>
    <col min="2829" max="2829" width="11.42578125" style="60"/>
    <col min="2830" max="2830" width="12.140625" style="60" customWidth="1"/>
    <col min="2831" max="2831" width="10.5703125" style="60" customWidth="1"/>
    <col min="2832" max="2832" width="12.42578125" style="60" customWidth="1"/>
    <col min="2833" max="2833" width="15.140625" style="60" customWidth="1"/>
    <col min="2834" max="2834" width="13.5703125" style="60" customWidth="1"/>
    <col min="2835" max="2835" width="13.140625" style="60" customWidth="1"/>
    <col min="2836" max="2836" width="15.7109375" style="60" customWidth="1"/>
    <col min="2837" max="2837" width="37.5703125" style="60" customWidth="1"/>
    <col min="2838" max="3059" width="11.42578125" style="60"/>
    <col min="3060" max="3060" width="10.5703125" style="60" customWidth="1"/>
    <col min="3061" max="3061" width="4.85546875" style="60" customWidth="1"/>
    <col min="3062" max="3062" width="32.42578125" style="60" customWidth="1"/>
    <col min="3063" max="3063" width="9.85546875" style="60" customWidth="1"/>
    <col min="3064" max="3064" width="10.140625" style="60" customWidth="1"/>
    <col min="3065" max="3065" width="12.28515625" style="60" customWidth="1"/>
    <col min="3066" max="3066" width="15.42578125" style="60" customWidth="1"/>
    <col min="3067" max="3067" width="11.85546875" style="60" customWidth="1"/>
    <col min="3068" max="3068" width="13.28515625" style="60" customWidth="1"/>
    <col min="3069" max="3069" width="15.28515625" style="60" customWidth="1"/>
    <col min="3070" max="3070" width="11.85546875" style="60" customWidth="1"/>
    <col min="3071" max="3071" width="6.140625" style="60" customWidth="1"/>
    <col min="3072" max="3072" width="11.85546875" style="60" customWidth="1"/>
    <col min="3073" max="3073" width="9.42578125" style="60" customWidth="1"/>
    <col min="3074" max="3074" width="14.7109375" style="60" customWidth="1"/>
    <col min="3075" max="3075" width="11.5703125" style="60" customWidth="1"/>
    <col min="3076" max="3076" width="0.42578125" style="60" customWidth="1"/>
    <col min="3077" max="3077" width="10.5703125" style="60" bestFit="1" customWidth="1"/>
    <col min="3078" max="3078" width="12.28515625" style="60" customWidth="1"/>
    <col min="3079" max="3079" width="12.5703125" style="60" customWidth="1"/>
    <col min="3080" max="3080" width="10.5703125" style="60" customWidth="1"/>
    <col min="3081" max="3081" width="10.140625" style="60" customWidth="1"/>
    <col min="3082" max="3082" width="8.42578125" style="60" customWidth="1"/>
    <col min="3083" max="3083" width="18.85546875" style="60" customWidth="1"/>
    <col min="3084" max="3084" width="10.28515625" style="60" customWidth="1"/>
    <col min="3085" max="3085" width="11.42578125" style="60"/>
    <col min="3086" max="3086" width="12.140625" style="60" customWidth="1"/>
    <col min="3087" max="3087" width="10.5703125" style="60" customWidth="1"/>
    <col min="3088" max="3088" width="12.42578125" style="60" customWidth="1"/>
    <col min="3089" max="3089" width="15.140625" style="60" customWidth="1"/>
    <col min="3090" max="3090" width="13.5703125" style="60" customWidth="1"/>
    <col min="3091" max="3091" width="13.140625" style="60" customWidth="1"/>
    <col min="3092" max="3092" width="15.7109375" style="60" customWidth="1"/>
    <col min="3093" max="3093" width="37.5703125" style="60" customWidth="1"/>
    <col min="3094" max="3315" width="11.42578125" style="60"/>
    <col min="3316" max="3316" width="10.5703125" style="60" customWidth="1"/>
    <col min="3317" max="3317" width="4.85546875" style="60" customWidth="1"/>
    <col min="3318" max="3318" width="32.42578125" style="60" customWidth="1"/>
    <col min="3319" max="3319" width="9.85546875" style="60" customWidth="1"/>
    <col min="3320" max="3320" width="10.140625" style="60" customWidth="1"/>
    <col min="3321" max="3321" width="12.28515625" style="60" customWidth="1"/>
    <col min="3322" max="3322" width="15.42578125" style="60" customWidth="1"/>
    <col min="3323" max="3323" width="11.85546875" style="60" customWidth="1"/>
    <col min="3324" max="3324" width="13.28515625" style="60" customWidth="1"/>
    <col min="3325" max="3325" width="15.28515625" style="60" customWidth="1"/>
    <col min="3326" max="3326" width="11.85546875" style="60" customWidth="1"/>
    <col min="3327" max="3327" width="6.140625" style="60" customWidth="1"/>
    <col min="3328" max="3328" width="11.85546875" style="60" customWidth="1"/>
    <col min="3329" max="3329" width="9.42578125" style="60" customWidth="1"/>
    <col min="3330" max="3330" width="14.7109375" style="60" customWidth="1"/>
    <col min="3331" max="3331" width="11.5703125" style="60" customWidth="1"/>
    <col min="3332" max="3332" width="0.42578125" style="60" customWidth="1"/>
    <col min="3333" max="3333" width="10.5703125" style="60" bestFit="1" customWidth="1"/>
    <col min="3334" max="3334" width="12.28515625" style="60" customWidth="1"/>
    <col min="3335" max="3335" width="12.5703125" style="60" customWidth="1"/>
    <col min="3336" max="3336" width="10.5703125" style="60" customWidth="1"/>
    <col min="3337" max="3337" width="10.140625" style="60" customWidth="1"/>
    <col min="3338" max="3338" width="8.42578125" style="60" customWidth="1"/>
    <col min="3339" max="3339" width="18.85546875" style="60" customWidth="1"/>
    <col min="3340" max="3340" width="10.28515625" style="60" customWidth="1"/>
    <col min="3341" max="3341" width="11.42578125" style="60"/>
    <col min="3342" max="3342" width="12.140625" style="60" customWidth="1"/>
    <col min="3343" max="3343" width="10.5703125" style="60" customWidth="1"/>
    <col min="3344" max="3344" width="12.42578125" style="60" customWidth="1"/>
    <col min="3345" max="3345" width="15.140625" style="60" customWidth="1"/>
    <col min="3346" max="3346" width="13.5703125" style="60" customWidth="1"/>
    <col min="3347" max="3347" width="13.140625" style="60" customWidth="1"/>
    <col min="3348" max="3348" width="15.7109375" style="60" customWidth="1"/>
    <col min="3349" max="3349" width="37.5703125" style="60" customWidth="1"/>
    <col min="3350" max="3571" width="11.42578125" style="60"/>
    <col min="3572" max="3572" width="10.5703125" style="60" customWidth="1"/>
    <col min="3573" max="3573" width="4.85546875" style="60" customWidth="1"/>
    <col min="3574" max="3574" width="32.42578125" style="60" customWidth="1"/>
    <col min="3575" max="3575" width="9.85546875" style="60" customWidth="1"/>
    <col min="3576" max="3576" width="10.140625" style="60" customWidth="1"/>
    <col min="3577" max="3577" width="12.28515625" style="60" customWidth="1"/>
    <col min="3578" max="3578" width="15.42578125" style="60" customWidth="1"/>
    <col min="3579" max="3579" width="11.85546875" style="60" customWidth="1"/>
    <col min="3580" max="3580" width="13.28515625" style="60" customWidth="1"/>
    <col min="3581" max="3581" width="15.28515625" style="60" customWidth="1"/>
    <col min="3582" max="3582" width="11.85546875" style="60" customWidth="1"/>
    <col min="3583" max="3583" width="6.140625" style="60" customWidth="1"/>
    <col min="3584" max="3584" width="11.85546875" style="60" customWidth="1"/>
    <col min="3585" max="3585" width="9.42578125" style="60" customWidth="1"/>
    <col min="3586" max="3586" width="14.7109375" style="60" customWidth="1"/>
    <col min="3587" max="3587" width="11.5703125" style="60" customWidth="1"/>
    <col min="3588" max="3588" width="0.42578125" style="60" customWidth="1"/>
    <col min="3589" max="3589" width="10.5703125" style="60" bestFit="1" customWidth="1"/>
    <col min="3590" max="3590" width="12.28515625" style="60" customWidth="1"/>
    <col min="3591" max="3591" width="12.5703125" style="60" customWidth="1"/>
    <col min="3592" max="3592" width="10.5703125" style="60" customWidth="1"/>
    <col min="3593" max="3593" width="10.140625" style="60" customWidth="1"/>
    <col min="3594" max="3594" width="8.42578125" style="60" customWidth="1"/>
    <col min="3595" max="3595" width="18.85546875" style="60" customWidth="1"/>
    <col min="3596" max="3596" width="10.28515625" style="60" customWidth="1"/>
    <col min="3597" max="3597" width="11.42578125" style="60"/>
    <col min="3598" max="3598" width="12.140625" style="60" customWidth="1"/>
    <col min="3599" max="3599" width="10.5703125" style="60" customWidth="1"/>
    <col min="3600" max="3600" width="12.42578125" style="60" customWidth="1"/>
    <col min="3601" max="3601" width="15.140625" style="60" customWidth="1"/>
    <col min="3602" max="3602" width="13.5703125" style="60" customWidth="1"/>
    <col min="3603" max="3603" width="13.140625" style="60" customWidth="1"/>
    <col min="3604" max="3604" width="15.7109375" style="60" customWidth="1"/>
    <col min="3605" max="3605" width="37.5703125" style="60" customWidth="1"/>
    <col min="3606" max="3827" width="11.42578125" style="60"/>
    <col min="3828" max="3828" width="10.5703125" style="60" customWidth="1"/>
    <col min="3829" max="3829" width="4.85546875" style="60" customWidth="1"/>
    <col min="3830" max="3830" width="32.42578125" style="60" customWidth="1"/>
    <col min="3831" max="3831" width="9.85546875" style="60" customWidth="1"/>
    <col min="3832" max="3832" width="10.140625" style="60" customWidth="1"/>
    <col min="3833" max="3833" width="12.28515625" style="60" customWidth="1"/>
    <col min="3834" max="3834" width="15.42578125" style="60" customWidth="1"/>
    <col min="3835" max="3835" width="11.85546875" style="60" customWidth="1"/>
    <col min="3836" max="3836" width="13.28515625" style="60" customWidth="1"/>
    <col min="3837" max="3837" width="15.28515625" style="60" customWidth="1"/>
    <col min="3838" max="3838" width="11.85546875" style="60" customWidth="1"/>
    <col min="3839" max="3839" width="6.140625" style="60" customWidth="1"/>
    <col min="3840" max="3840" width="11.85546875" style="60" customWidth="1"/>
    <col min="3841" max="3841" width="9.42578125" style="60" customWidth="1"/>
    <col min="3842" max="3842" width="14.7109375" style="60" customWidth="1"/>
    <col min="3843" max="3843" width="11.5703125" style="60" customWidth="1"/>
    <col min="3844" max="3844" width="0.42578125" style="60" customWidth="1"/>
    <col min="3845" max="3845" width="10.5703125" style="60" bestFit="1" customWidth="1"/>
    <col min="3846" max="3846" width="12.28515625" style="60" customWidth="1"/>
    <col min="3847" max="3847" width="12.5703125" style="60" customWidth="1"/>
    <col min="3848" max="3848" width="10.5703125" style="60" customWidth="1"/>
    <col min="3849" max="3849" width="10.140625" style="60" customWidth="1"/>
    <col min="3850" max="3850" width="8.42578125" style="60" customWidth="1"/>
    <col min="3851" max="3851" width="18.85546875" style="60" customWidth="1"/>
    <col min="3852" max="3852" width="10.28515625" style="60" customWidth="1"/>
    <col min="3853" max="3853" width="11.42578125" style="60"/>
    <col min="3854" max="3854" width="12.140625" style="60" customWidth="1"/>
    <col min="3855" max="3855" width="10.5703125" style="60" customWidth="1"/>
    <col min="3856" max="3856" width="12.42578125" style="60" customWidth="1"/>
    <col min="3857" max="3857" width="15.140625" style="60" customWidth="1"/>
    <col min="3858" max="3858" width="13.5703125" style="60" customWidth="1"/>
    <col min="3859" max="3859" width="13.140625" style="60" customWidth="1"/>
    <col min="3860" max="3860" width="15.7109375" style="60" customWidth="1"/>
    <col min="3861" max="3861" width="37.5703125" style="60" customWidth="1"/>
    <col min="3862" max="4083" width="11.42578125" style="60"/>
    <col min="4084" max="4084" width="10.5703125" style="60" customWidth="1"/>
    <col min="4085" max="4085" width="4.85546875" style="60" customWidth="1"/>
    <col min="4086" max="4086" width="32.42578125" style="60" customWidth="1"/>
    <col min="4087" max="4087" width="9.85546875" style="60" customWidth="1"/>
    <col min="4088" max="4088" width="10.140625" style="60" customWidth="1"/>
    <col min="4089" max="4089" width="12.28515625" style="60" customWidth="1"/>
    <col min="4090" max="4090" width="15.42578125" style="60" customWidth="1"/>
    <col min="4091" max="4091" width="11.85546875" style="60" customWidth="1"/>
    <col min="4092" max="4092" width="13.28515625" style="60" customWidth="1"/>
    <col min="4093" max="4093" width="15.28515625" style="60" customWidth="1"/>
    <col min="4094" max="4094" width="11.85546875" style="60" customWidth="1"/>
    <col min="4095" max="4095" width="6.140625" style="60" customWidth="1"/>
    <col min="4096" max="4096" width="11.85546875" style="60" customWidth="1"/>
    <col min="4097" max="4097" width="9.42578125" style="60" customWidth="1"/>
    <col min="4098" max="4098" width="14.7109375" style="60" customWidth="1"/>
    <col min="4099" max="4099" width="11.5703125" style="60" customWidth="1"/>
    <col min="4100" max="4100" width="0.42578125" style="60" customWidth="1"/>
    <col min="4101" max="4101" width="10.5703125" style="60" bestFit="1" customWidth="1"/>
    <col min="4102" max="4102" width="12.28515625" style="60" customWidth="1"/>
    <col min="4103" max="4103" width="12.5703125" style="60" customWidth="1"/>
    <col min="4104" max="4104" width="10.5703125" style="60" customWidth="1"/>
    <col min="4105" max="4105" width="10.140625" style="60" customWidth="1"/>
    <col min="4106" max="4106" width="8.42578125" style="60" customWidth="1"/>
    <col min="4107" max="4107" width="18.85546875" style="60" customWidth="1"/>
    <col min="4108" max="4108" width="10.28515625" style="60" customWidth="1"/>
    <col min="4109" max="4109" width="11.42578125" style="60"/>
    <col min="4110" max="4110" width="12.140625" style="60" customWidth="1"/>
    <col min="4111" max="4111" width="10.5703125" style="60" customWidth="1"/>
    <col min="4112" max="4112" width="12.42578125" style="60" customWidth="1"/>
    <col min="4113" max="4113" width="15.140625" style="60" customWidth="1"/>
    <col min="4114" max="4114" width="13.5703125" style="60" customWidth="1"/>
    <col min="4115" max="4115" width="13.140625" style="60" customWidth="1"/>
    <col min="4116" max="4116" width="15.7109375" style="60" customWidth="1"/>
    <col min="4117" max="4117" width="37.5703125" style="60" customWidth="1"/>
    <col min="4118" max="4339" width="11.42578125" style="60"/>
    <col min="4340" max="4340" width="10.5703125" style="60" customWidth="1"/>
    <col min="4341" max="4341" width="4.85546875" style="60" customWidth="1"/>
    <col min="4342" max="4342" width="32.42578125" style="60" customWidth="1"/>
    <col min="4343" max="4343" width="9.85546875" style="60" customWidth="1"/>
    <col min="4344" max="4344" width="10.140625" style="60" customWidth="1"/>
    <col min="4345" max="4345" width="12.28515625" style="60" customWidth="1"/>
    <col min="4346" max="4346" width="15.42578125" style="60" customWidth="1"/>
    <col min="4347" max="4347" width="11.85546875" style="60" customWidth="1"/>
    <col min="4348" max="4348" width="13.28515625" style="60" customWidth="1"/>
    <col min="4349" max="4349" width="15.28515625" style="60" customWidth="1"/>
    <col min="4350" max="4350" width="11.85546875" style="60" customWidth="1"/>
    <col min="4351" max="4351" width="6.140625" style="60" customWidth="1"/>
    <col min="4352" max="4352" width="11.85546875" style="60" customWidth="1"/>
    <col min="4353" max="4353" width="9.42578125" style="60" customWidth="1"/>
    <col min="4354" max="4354" width="14.7109375" style="60" customWidth="1"/>
    <col min="4355" max="4355" width="11.5703125" style="60" customWidth="1"/>
    <col min="4356" max="4356" width="0.42578125" style="60" customWidth="1"/>
    <col min="4357" max="4357" width="10.5703125" style="60" bestFit="1" customWidth="1"/>
    <col min="4358" max="4358" width="12.28515625" style="60" customWidth="1"/>
    <col min="4359" max="4359" width="12.5703125" style="60" customWidth="1"/>
    <col min="4360" max="4360" width="10.5703125" style="60" customWidth="1"/>
    <col min="4361" max="4361" width="10.140625" style="60" customWidth="1"/>
    <col min="4362" max="4362" width="8.42578125" style="60" customWidth="1"/>
    <col min="4363" max="4363" width="18.85546875" style="60" customWidth="1"/>
    <col min="4364" max="4364" width="10.28515625" style="60" customWidth="1"/>
    <col min="4365" max="4365" width="11.42578125" style="60"/>
    <col min="4366" max="4366" width="12.140625" style="60" customWidth="1"/>
    <col min="4367" max="4367" width="10.5703125" style="60" customWidth="1"/>
    <col min="4368" max="4368" width="12.42578125" style="60" customWidth="1"/>
    <col min="4369" max="4369" width="15.140625" style="60" customWidth="1"/>
    <col min="4370" max="4370" width="13.5703125" style="60" customWidth="1"/>
    <col min="4371" max="4371" width="13.140625" style="60" customWidth="1"/>
    <col min="4372" max="4372" width="15.7109375" style="60" customWidth="1"/>
    <col min="4373" max="4373" width="37.5703125" style="60" customWidth="1"/>
    <col min="4374" max="4595" width="11.42578125" style="60"/>
    <col min="4596" max="4596" width="10.5703125" style="60" customWidth="1"/>
    <col min="4597" max="4597" width="4.85546875" style="60" customWidth="1"/>
    <col min="4598" max="4598" width="32.42578125" style="60" customWidth="1"/>
    <col min="4599" max="4599" width="9.85546875" style="60" customWidth="1"/>
    <col min="4600" max="4600" width="10.140625" style="60" customWidth="1"/>
    <col min="4601" max="4601" width="12.28515625" style="60" customWidth="1"/>
    <col min="4602" max="4602" width="15.42578125" style="60" customWidth="1"/>
    <col min="4603" max="4603" width="11.85546875" style="60" customWidth="1"/>
    <col min="4604" max="4604" width="13.28515625" style="60" customWidth="1"/>
    <col min="4605" max="4605" width="15.28515625" style="60" customWidth="1"/>
    <col min="4606" max="4606" width="11.85546875" style="60" customWidth="1"/>
    <col min="4607" max="4607" width="6.140625" style="60" customWidth="1"/>
    <col min="4608" max="4608" width="11.85546875" style="60" customWidth="1"/>
    <col min="4609" max="4609" width="9.42578125" style="60" customWidth="1"/>
    <col min="4610" max="4610" width="14.7109375" style="60" customWidth="1"/>
    <col min="4611" max="4611" width="11.5703125" style="60" customWidth="1"/>
    <col min="4612" max="4612" width="0.42578125" style="60" customWidth="1"/>
    <col min="4613" max="4613" width="10.5703125" style="60" bestFit="1" customWidth="1"/>
    <col min="4614" max="4614" width="12.28515625" style="60" customWidth="1"/>
    <col min="4615" max="4615" width="12.5703125" style="60" customWidth="1"/>
    <col min="4616" max="4616" width="10.5703125" style="60" customWidth="1"/>
    <col min="4617" max="4617" width="10.140625" style="60" customWidth="1"/>
    <col min="4618" max="4618" width="8.42578125" style="60" customWidth="1"/>
    <col min="4619" max="4619" width="18.85546875" style="60" customWidth="1"/>
    <col min="4620" max="4620" width="10.28515625" style="60" customWidth="1"/>
    <col min="4621" max="4621" width="11.42578125" style="60"/>
    <col min="4622" max="4622" width="12.140625" style="60" customWidth="1"/>
    <col min="4623" max="4623" width="10.5703125" style="60" customWidth="1"/>
    <col min="4624" max="4624" width="12.42578125" style="60" customWidth="1"/>
    <col min="4625" max="4625" width="15.140625" style="60" customWidth="1"/>
    <col min="4626" max="4626" width="13.5703125" style="60" customWidth="1"/>
    <col min="4627" max="4627" width="13.140625" style="60" customWidth="1"/>
    <col min="4628" max="4628" width="15.7109375" style="60" customWidth="1"/>
    <col min="4629" max="4629" width="37.5703125" style="60" customWidth="1"/>
    <col min="4630" max="4851" width="11.42578125" style="60"/>
    <col min="4852" max="4852" width="10.5703125" style="60" customWidth="1"/>
    <col min="4853" max="4853" width="4.85546875" style="60" customWidth="1"/>
    <col min="4854" max="4854" width="32.42578125" style="60" customWidth="1"/>
    <col min="4855" max="4855" width="9.85546875" style="60" customWidth="1"/>
    <col min="4856" max="4856" width="10.140625" style="60" customWidth="1"/>
    <col min="4857" max="4857" width="12.28515625" style="60" customWidth="1"/>
    <col min="4858" max="4858" width="15.42578125" style="60" customWidth="1"/>
    <col min="4859" max="4859" width="11.85546875" style="60" customWidth="1"/>
    <col min="4860" max="4860" width="13.28515625" style="60" customWidth="1"/>
    <col min="4861" max="4861" width="15.28515625" style="60" customWidth="1"/>
    <col min="4862" max="4862" width="11.85546875" style="60" customWidth="1"/>
    <col min="4863" max="4863" width="6.140625" style="60" customWidth="1"/>
    <col min="4864" max="4864" width="11.85546875" style="60" customWidth="1"/>
    <col min="4865" max="4865" width="9.42578125" style="60" customWidth="1"/>
    <col min="4866" max="4866" width="14.7109375" style="60" customWidth="1"/>
    <col min="4867" max="4867" width="11.5703125" style="60" customWidth="1"/>
    <col min="4868" max="4868" width="0.42578125" style="60" customWidth="1"/>
    <col min="4869" max="4869" width="10.5703125" style="60" bestFit="1" customWidth="1"/>
    <col min="4870" max="4870" width="12.28515625" style="60" customWidth="1"/>
    <col min="4871" max="4871" width="12.5703125" style="60" customWidth="1"/>
    <col min="4872" max="4872" width="10.5703125" style="60" customWidth="1"/>
    <col min="4873" max="4873" width="10.140625" style="60" customWidth="1"/>
    <col min="4874" max="4874" width="8.42578125" style="60" customWidth="1"/>
    <col min="4875" max="4875" width="18.85546875" style="60" customWidth="1"/>
    <col min="4876" max="4876" width="10.28515625" style="60" customWidth="1"/>
    <col min="4877" max="4877" width="11.42578125" style="60"/>
    <col min="4878" max="4878" width="12.140625" style="60" customWidth="1"/>
    <col min="4879" max="4879" width="10.5703125" style="60" customWidth="1"/>
    <col min="4880" max="4880" width="12.42578125" style="60" customWidth="1"/>
    <col min="4881" max="4881" width="15.140625" style="60" customWidth="1"/>
    <col min="4882" max="4882" width="13.5703125" style="60" customWidth="1"/>
    <col min="4883" max="4883" width="13.140625" style="60" customWidth="1"/>
    <col min="4884" max="4884" width="15.7109375" style="60" customWidth="1"/>
    <col min="4885" max="4885" width="37.5703125" style="60" customWidth="1"/>
    <col min="4886" max="5107" width="11.42578125" style="60"/>
    <col min="5108" max="5108" width="10.5703125" style="60" customWidth="1"/>
    <col min="5109" max="5109" width="4.85546875" style="60" customWidth="1"/>
    <col min="5110" max="5110" width="32.42578125" style="60" customWidth="1"/>
    <col min="5111" max="5111" width="9.85546875" style="60" customWidth="1"/>
    <col min="5112" max="5112" width="10.140625" style="60" customWidth="1"/>
    <col min="5113" max="5113" width="12.28515625" style="60" customWidth="1"/>
    <col min="5114" max="5114" width="15.42578125" style="60" customWidth="1"/>
    <col min="5115" max="5115" width="11.85546875" style="60" customWidth="1"/>
    <col min="5116" max="5116" width="13.28515625" style="60" customWidth="1"/>
    <col min="5117" max="5117" width="15.28515625" style="60" customWidth="1"/>
    <col min="5118" max="5118" width="11.85546875" style="60" customWidth="1"/>
    <col min="5119" max="5119" width="6.140625" style="60" customWidth="1"/>
    <col min="5120" max="5120" width="11.85546875" style="60" customWidth="1"/>
    <col min="5121" max="5121" width="9.42578125" style="60" customWidth="1"/>
    <col min="5122" max="5122" width="14.7109375" style="60" customWidth="1"/>
    <col min="5123" max="5123" width="11.5703125" style="60" customWidth="1"/>
    <col min="5124" max="5124" width="0.42578125" style="60" customWidth="1"/>
    <col min="5125" max="5125" width="10.5703125" style="60" bestFit="1" customWidth="1"/>
    <col min="5126" max="5126" width="12.28515625" style="60" customWidth="1"/>
    <col min="5127" max="5127" width="12.5703125" style="60" customWidth="1"/>
    <col min="5128" max="5128" width="10.5703125" style="60" customWidth="1"/>
    <col min="5129" max="5129" width="10.140625" style="60" customWidth="1"/>
    <col min="5130" max="5130" width="8.42578125" style="60" customWidth="1"/>
    <col min="5131" max="5131" width="18.85546875" style="60" customWidth="1"/>
    <col min="5132" max="5132" width="10.28515625" style="60" customWidth="1"/>
    <col min="5133" max="5133" width="11.42578125" style="60"/>
    <col min="5134" max="5134" width="12.140625" style="60" customWidth="1"/>
    <col min="5135" max="5135" width="10.5703125" style="60" customWidth="1"/>
    <col min="5136" max="5136" width="12.42578125" style="60" customWidth="1"/>
    <col min="5137" max="5137" width="15.140625" style="60" customWidth="1"/>
    <col min="5138" max="5138" width="13.5703125" style="60" customWidth="1"/>
    <col min="5139" max="5139" width="13.140625" style="60" customWidth="1"/>
    <col min="5140" max="5140" width="15.7109375" style="60" customWidth="1"/>
    <col min="5141" max="5141" width="37.5703125" style="60" customWidth="1"/>
    <col min="5142" max="5363" width="11.42578125" style="60"/>
    <col min="5364" max="5364" width="10.5703125" style="60" customWidth="1"/>
    <col min="5365" max="5365" width="4.85546875" style="60" customWidth="1"/>
    <col min="5366" max="5366" width="32.42578125" style="60" customWidth="1"/>
    <col min="5367" max="5367" width="9.85546875" style="60" customWidth="1"/>
    <col min="5368" max="5368" width="10.140625" style="60" customWidth="1"/>
    <col min="5369" max="5369" width="12.28515625" style="60" customWidth="1"/>
    <col min="5370" max="5370" width="15.42578125" style="60" customWidth="1"/>
    <col min="5371" max="5371" width="11.85546875" style="60" customWidth="1"/>
    <col min="5372" max="5372" width="13.28515625" style="60" customWidth="1"/>
    <col min="5373" max="5373" width="15.28515625" style="60" customWidth="1"/>
    <col min="5374" max="5374" width="11.85546875" style="60" customWidth="1"/>
    <col min="5375" max="5375" width="6.140625" style="60" customWidth="1"/>
    <col min="5376" max="5376" width="11.85546875" style="60" customWidth="1"/>
    <col min="5377" max="5377" width="9.42578125" style="60" customWidth="1"/>
    <col min="5378" max="5378" width="14.7109375" style="60" customWidth="1"/>
    <col min="5379" max="5379" width="11.5703125" style="60" customWidth="1"/>
    <col min="5380" max="5380" width="0.42578125" style="60" customWidth="1"/>
    <col min="5381" max="5381" width="10.5703125" style="60" bestFit="1" customWidth="1"/>
    <col min="5382" max="5382" width="12.28515625" style="60" customWidth="1"/>
    <col min="5383" max="5383" width="12.5703125" style="60" customWidth="1"/>
    <col min="5384" max="5384" width="10.5703125" style="60" customWidth="1"/>
    <col min="5385" max="5385" width="10.140625" style="60" customWidth="1"/>
    <col min="5386" max="5386" width="8.42578125" style="60" customWidth="1"/>
    <col min="5387" max="5387" width="18.85546875" style="60" customWidth="1"/>
    <col min="5388" max="5388" width="10.28515625" style="60" customWidth="1"/>
    <col min="5389" max="5389" width="11.42578125" style="60"/>
    <col min="5390" max="5390" width="12.140625" style="60" customWidth="1"/>
    <col min="5391" max="5391" width="10.5703125" style="60" customWidth="1"/>
    <col min="5392" max="5392" width="12.42578125" style="60" customWidth="1"/>
    <col min="5393" max="5393" width="15.140625" style="60" customWidth="1"/>
    <col min="5394" max="5394" width="13.5703125" style="60" customWidth="1"/>
    <col min="5395" max="5395" width="13.140625" style="60" customWidth="1"/>
    <col min="5396" max="5396" width="15.7109375" style="60" customWidth="1"/>
    <col min="5397" max="5397" width="37.5703125" style="60" customWidth="1"/>
    <col min="5398" max="5619" width="11.42578125" style="60"/>
    <col min="5620" max="5620" width="10.5703125" style="60" customWidth="1"/>
    <col min="5621" max="5621" width="4.85546875" style="60" customWidth="1"/>
    <col min="5622" max="5622" width="32.42578125" style="60" customWidth="1"/>
    <col min="5623" max="5623" width="9.85546875" style="60" customWidth="1"/>
    <col min="5624" max="5624" width="10.140625" style="60" customWidth="1"/>
    <col min="5625" max="5625" width="12.28515625" style="60" customWidth="1"/>
    <col min="5626" max="5626" width="15.42578125" style="60" customWidth="1"/>
    <col min="5627" max="5627" width="11.85546875" style="60" customWidth="1"/>
    <col min="5628" max="5628" width="13.28515625" style="60" customWidth="1"/>
    <col min="5629" max="5629" width="15.28515625" style="60" customWidth="1"/>
    <col min="5630" max="5630" width="11.85546875" style="60" customWidth="1"/>
    <col min="5631" max="5631" width="6.140625" style="60" customWidth="1"/>
    <col min="5632" max="5632" width="11.85546875" style="60" customWidth="1"/>
    <col min="5633" max="5633" width="9.42578125" style="60" customWidth="1"/>
    <col min="5634" max="5634" width="14.7109375" style="60" customWidth="1"/>
    <col min="5635" max="5635" width="11.5703125" style="60" customWidth="1"/>
    <col min="5636" max="5636" width="0.42578125" style="60" customWidth="1"/>
    <col min="5637" max="5637" width="10.5703125" style="60" bestFit="1" customWidth="1"/>
    <col min="5638" max="5638" width="12.28515625" style="60" customWidth="1"/>
    <col min="5639" max="5639" width="12.5703125" style="60" customWidth="1"/>
    <col min="5640" max="5640" width="10.5703125" style="60" customWidth="1"/>
    <col min="5641" max="5641" width="10.140625" style="60" customWidth="1"/>
    <col min="5642" max="5642" width="8.42578125" style="60" customWidth="1"/>
    <col min="5643" max="5643" width="18.85546875" style="60" customWidth="1"/>
    <col min="5644" max="5644" width="10.28515625" style="60" customWidth="1"/>
    <col min="5645" max="5645" width="11.42578125" style="60"/>
    <col min="5646" max="5646" width="12.140625" style="60" customWidth="1"/>
    <col min="5647" max="5647" width="10.5703125" style="60" customWidth="1"/>
    <col min="5648" max="5648" width="12.42578125" style="60" customWidth="1"/>
    <col min="5649" max="5649" width="15.140625" style="60" customWidth="1"/>
    <col min="5650" max="5650" width="13.5703125" style="60" customWidth="1"/>
    <col min="5651" max="5651" width="13.140625" style="60" customWidth="1"/>
    <col min="5652" max="5652" width="15.7109375" style="60" customWidth="1"/>
    <col min="5653" max="5653" width="37.5703125" style="60" customWidth="1"/>
    <col min="5654" max="5875" width="11.42578125" style="60"/>
    <col min="5876" max="5876" width="10.5703125" style="60" customWidth="1"/>
    <col min="5877" max="5877" width="4.85546875" style="60" customWidth="1"/>
    <col min="5878" max="5878" width="32.42578125" style="60" customWidth="1"/>
    <col min="5879" max="5879" width="9.85546875" style="60" customWidth="1"/>
    <col min="5880" max="5880" width="10.140625" style="60" customWidth="1"/>
    <col min="5881" max="5881" width="12.28515625" style="60" customWidth="1"/>
    <col min="5882" max="5882" width="15.42578125" style="60" customWidth="1"/>
    <col min="5883" max="5883" width="11.85546875" style="60" customWidth="1"/>
    <col min="5884" max="5884" width="13.28515625" style="60" customWidth="1"/>
    <col min="5885" max="5885" width="15.28515625" style="60" customWidth="1"/>
    <col min="5886" max="5886" width="11.85546875" style="60" customWidth="1"/>
    <col min="5887" max="5887" width="6.140625" style="60" customWidth="1"/>
    <col min="5888" max="5888" width="11.85546875" style="60" customWidth="1"/>
    <col min="5889" max="5889" width="9.42578125" style="60" customWidth="1"/>
    <col min="5890" max="5890" width="14.7109375" style="60" customWidth="1"/>
    <col min="5891" max="5891" width="11.5703125" style="60" customWidth="1"/>
    <col min="5892" max="5892" width="0.42578125" style="60" customWidth="1"/>
    <col min="5893" max="5893" width="10.5703125" style="60" bestFit="1" customWidth="1"/>
    <col min="5894" max="5894" width="12.28515625" style="60" customWidth="1"/>
    <col min="5895" max="5895" width="12.5703125" style="60" customWidth="1"/>
    <col min="5896" max="5896" width="10.5703125" style="60" customWidth="1"/>
    <col min="5897" max="5897" width="10.140625" style="60" customWidth="1"/>
    <col min="5898" max="5898" width="8.42578125" style="60" customWidth="1"/>
    <col min="5899" max="5899" width="18.85546875" style="60" customWidth="1"/>
    <col min="5900" max="5900" width="10.28515625" style="60" customWidth="1"/>
    <col min="5901" max="5901" width="11.42578125" style="60"/>
    <col min="5902" max="5902" width="12.140625" style="60" customWidth="1"/>
    <col min="5903" max="5903" width="10.5703125" style="60" customWidth="1"/>
    <col min="5904" max="5904" width="12.42578125" style="60" customWidth="1"/>
    <col min="5905" max="5905" width="15.140625" style="60" customWidth="1"/>
    <col min="5906" max="5906" width="13.5703125" style="60" customWidth="1"/>
    <col min="5907" max="5907" width="13.140625" style="60" customWidth="1"/>
    <col min="5908" max="5908" width="15.7109375" style="60" customWidth="1"/>
    <col min="5909" max="5909" width="37.5703125" style="60" customWidth="1"/>
    <col min="5910" max="6131" width="11.42578125" style="60"/>
    <col min="6132" max="6132" width="10.5703125" style="60" customWidth="1"/>
    <col min="6133" max="6133" width="4.85546875" style="60" customWidth="1"/>
    <col min="6134" max="6134" width="32.42578125" style="60" customWidth="1"/>
    <col min="6135" max="6135" width="9.85546875" style="60" customWidth="1"/>
    <col min="6136" max="6136" width="10.140625" style="60" customWidth="1"/>
    <col min="6137" max="6137" width="12.28515625" style="60" customWidth="1"/>
    <col min="6138" max="6138" width="15.42578125" style="60" customWidth="1"/>
    <col min="6139" max="6139" width="11.85546875" style="60" customWidth="1"/>
    <col min="6140" max="6140" width="13.28515625" style="60" customWidth="1"/>
    <col min="6141" max="6141" width="15.28515625" style="60" customWidth="1"/>
    <col min="6142" max="6142" width="11.85546875" style="60" customWidth="1"/>
    <col min="6143" max="6143" width="6.140625" style="60" customWidth="1"/>
    <col min="6144" max="6144" width="11.85546875" style="60" customWidth="1"/>
    <col min="6145" max="6145" width="9.42578125" style="60" customWidth="1"/>
    <col min="6146" max="6146" width="14.7109375" style="60" customWidth="1"/>
    <col min="6147" max="6147" width="11.5703125" style="60" customWidth="1"/>
    <col min="6148" max="6148" width="0.42578125" style="60" customWidth="1"/>
    <col min="6149" max="6149" width="10.5703125" style="60" bestFit="1" customWidth="1"/>
    <col min="6150" max="6150" width="12.28515625" style="60" customWidth="1"/>
    <col min="6151" max="6151" width="12.5703125" style="60" customWidth="1"/>
    <col min="6152" max="6152" width="10.5703125" style="60" customWidth="1"/>
    <col min="6153" max="6153" width="10.140625" style="60" customWidth="1"/>
    <col min="6154" max="6154" width="8.42578125" style="60" customWidth="1"/>
    <col min="6155" max="6155" width="18.85546875" style="60" customWidth="1"/>
    <col min="6156" max="6156" width="10.28515625" style="60" customWidth="1"/>
    <col min="6157" max="6157" width="11.42578125" style="60"/>
    <col min="6158" max="6158" width="12.140625" style="60" customWidth="1"/>
    <col min="6159" max="6159" width="10.5703125" style="60" customWidth="1"/>
    <col min="6160" max="6160" width="12.42578125" style="60" customWidth="1"/>
    <col min="6161" max="6161" width="15.140625" style="60" customWidth="1"/>
    <col min="6162" max="6162" width="13.5703125" style="60" customWidth="1"/>
    <col min="6163" max="6163" width="13.140625" style="60" customWidth="1"/>
    <col min="6164" max="6164" width="15.7109375" style="60" customWidth="1"/>
    <col min="6165" max="6165" width="37.5703125" style="60" customWidth="1"/>
    <col min="6166" max="6387" width="11.42578125" style="60"/>
    <col min="6388" max="6388" width="10.5703125" style="60" customWidth="1"/>
    <col min="6389" max="6389" width="4.85546875" style="60" customWidth="1"/>
    <col min="6390" max="6390" width="32.42578125" style="60" customWidth="1"/>
    <col min="6391" max="6391" width="9.85546875" style="60" customWidth="1"/>
    <col min="6392" max="6392" width="10.140625" style="60" customWidth="1"/>
    <col min="6393" max="6393" width="12.28515625" style="60" customWidth="1"/>
    <col min="6394" max="6394" width="15.42578125" style="60" customWidth="1"/>
    <col min="6395" max="6395" width="11.85546875" style="60" customWidth="1"/>
    <col min="6396" max="6396" width="13.28515625" style="60" customWidth="1"/>
    <col min="6397" max="6397" width="15.28515625" style="60" customWidth="1"/>
    <col min="6398" max="6398" width="11.85546875" style="60" customWidth="1"/>
    <col min="6399" max="6399" width="6.140625" style="60" customWidth="1"/>
    <col min="6400" max="6400" width="11.85546875" style="60" customWidth="1"/>
    <col min="6401" max="6401" width="9.42578125" style="60" customWidth="1"/>
    <col min="6402" max="6402" width="14.7109375" style="60" customWidth="1"/>
    <col min="6403" max="6403" width="11.5703125" style="60" customWidth="1"/>
    <col min="6404" max="6404" width="0.42578125" style="60" customWidth="1"/>
    <col min="6405" max="6405" width="10.5703125" style="60" bestFit="1" customWidth="1"/>
    <col min="6406" max="6406" width="12.28515625" style="60" customWidth="1"/>
    <col min="6407" max="6407" width="12.5703125" style="60" customWidth="1"/>
    <col min="6408" max="6408" width="10.5703125" style="60" customWidth="1"/>
    <col min="6409" max="6409" width="10.140625" style="60" customWidth="1"/>
    <col min="6410" max="6410" width="8.42578125" style="60" customWidth="1"/>
    <col min="6411" max="6411" width="18.85546875" style="60" customWidth="1"/>
    <col min="6412" max="6412" width="10.28515625" style="60" customWidth="1"/>
    <col min="6413" max="6413" width="11.42578125" style="60"/>
    <col min="6414" max="6414" width="12.140625" style="60" customWidth="1"/>
    <col min="6415" max="6415" width="10.5703125" style="60" customWidth="1"/>
    <col min="6416" max="6416" width="12.42578125" style="60" customWidth="1"/>
    <col min="6417" max="6417" width="15.140625" style="60" customWidth="1"/>
    <col min="6418" max="6418" width="13.5703125" style="60" customWidth="1"/>
    <col min="6419" max="6419" width="13.140625" style="60" customWidth="1"/>
    <col min="6420" max="6420" width="15.7109375" style="60" customWidth="1"/>
    <col min="6421" max="6421" width="37.5703125" style="60" customWidth="1"/>
    <col min="6422" max="6643" width="11.42578125" style="60"/>
    <col min="6644" max="6644" width="10.5703125" style="60" customWidth="1"/>
    <col min="6645" max="6645" width="4.85546875" style="60" customWidth="1"/>
    <col min="6646" max="6646" width="32.42578125" style="60" customWidth="1"/>
    <col min="6647" max="6647" width="9.85546875" style="60" customWidth="1"/>
    <col min="6648" max="6648" width="10.140625" style="60" customWidth="1"/>
    <col min="6649" max="6649" width="12.28515625" style="60" customWidth="1"/>
    <col min="6650" max="6650" width="15.42578125" style="60" customWidth="1"/>
    <col min="6651" max="6651" width="11.85546875" style="60" customWidth="1"/>
    <col min="6652" max="6652" width="13.28515625" style="60" customWidth="1"/>
    <col min="6653" max="6653" width="15.28515625" style="60" customWidth="1"/>
    <col min="6654" max="6654" width="11.85546875" style="60" customWidth="1"/>
    <col min="6655" max="6655" width="6.140625" style="60" customWidth="1"/>
    <col min="6656" max="6656" width="11.85546875" style="60" customWidth="1"/>
    <col min="6657" max="6657" width="9.42578125" style="60" customWidth="1"/>
    <col min="6658" max="6658" width="14.7109375" style="60" customWidth="1"/>
    <col min="6659" max="6659" width="11.5703125" style="60" customWidth="1"/>
    <col min="6660" max="6660" width="0.42578125" style="60" customWidth="1"/>
    <col min="6661" max="6661" width="10.5703125" style="60" bestFit="1" customWidth="1"/>
    <col min="6662" max="6662" width="12.28515625" style="60" customWidth="1"/>
    <col min="6663" max="6663" width="12.5703125" style="60" customWidth="1"/>
    <col min="6664" max="6664" width="10.5703125" style="60" customWidth="1"/>
    <col min="6665" max="6665" width="10.140625" style="60" customWidth="1"/>
    <col min="6666" max="6666" width="8.42578125" style="60" customWidth="1"/>
    <col min="6667" max="6667" width="18.85546875" style="60" customWidth="1"/>
    <col min="6668" max="6668" width="10.28515625" style="60" customWidth="1"/>
    <col min="6669" max="6669" width="11.42578125" style="60"/>
    <col min="6670" max="6670" width="12.140625" style="60" customWidth="1"/>
    <col min="6671" max="6671" width="10.5703125" style="60" customWidth="1"/>
    <col min="6672" max="6672" width="12.42578125" style="60" customWidth="1"/>
    <col min="6673" max="6673" width="15.140625" style="60" customWidth="1"/>
    <col min="6674" max="6674" width="13.5703125" style="60" customWidth="1"/>
    <col min="6675" max="6675" width="13.140625" style="60" customWidth="1"/>
    <col min="6676" max="6676" width="15.7109375" style="60" customWidth="1"/>
    <col min="6677" max="6677" width="37.5703125" style="60" customWidth="1"/>
    <col min="6678" max="6899" width="11.42578125" style="60"/>
    <col min="6900" max="6900" width="10.5703125" style="60" customWidth="1"/>
    <col min="6901" max="6901" width="4.85546875" style="60" customWidth="1"/>
    <col min="6902" max="6902" width="32.42578125" style="60" customWidth="1"/>
    <col min="6903" max="6903" width="9.85546875" style="60" customWidth="1"/>
    <col min="6904" max="6904" width="10.140625" style="60" customWidth="1"/>
    <col min="6905" max="6905" width="12.28515625" style="60" customWidth="1"/>
    <col min="6906" max="6906" width="15.42578125" style="60" customWidth="1"/>
    <col min="6907" max="6907" width="11.85546875" style="60" customWidth="1"/>
    <col min="6908" max="6908" width="13.28515625" style="60" customWidth="1"/>
    <col min="6909" max="6909" width="15.28515625" style="60" customWidth="1"/>
    <col min="6910" max="6910" width="11.85546875" style="60" customWidth="1"/>
    <col min="6911" max="6911" width="6.140625" style="60" customWidth="1"/>
    <col min="6912" max="6912" width="11.85546875" style="60" customWidth="1"/>
    <col min="6913" max="6913" width="9.42578125" style="60" customWidth="1"/>
    <col min="6914" max="6914" width="14.7109375" style="60" customWidth="1"/>
    <col min="6915" max="6915" width="11.5703125" style="60" customWidth="1"/>
    <col min="6916" max="6916" width="0.42578125" style="60" customWidth="1"/>
    <col min="6917" max="6917" width="10.5703125" style="60" bestFit="1" customWidth="1"/>
    <col min="6918" max="6918" width="12.28515625" style="60" customWidth="1"/>
    <col min="6919" max="6919" width="12.5703125" style="60" customWidth="1"/>
    <col min="6920" max="6920" width="10.5703125" style="60" customWidth="1"/>
    <col min="6921" max="6921" width="10.140625" style="60" customWidth="1"/>
    <col min="6922" max="6922" width="8.42578125" style="60" customWidth="1"/>
    <col min="6923" max="6923" width="18.85546875" style="60" customWidth="1"/>
    <col min="6924" max="6924" width="10.28515625" style="60" customWidth="1"/>
    <col min="6925" max="6925" width="11.42578125" style="60"/>
    <col min="6926" max="6926" width="12.140625" style="60" customWidth="1"/>
    <col min="6927" max="6927" width="10.5703125" style="60" customWidth="1"/>
    <col min="6928" max="6928" width="12.42578125" style="60" customWidth="1"/>
    <col min="6929" max="6929" width="15.140625" style="60" customWidth="1"/>
    <col min="6930" max="6930" width="13.5703125" style="60" customWidth="1"/>
    <col min="6931" max="6931" width="13.140625" style="60" customWidth="1"/>
    <col min="6932" max="6932" width="15.7109375" style="60" customWidth="1"/>
    <col min="6933" max="6933" width="37.5703125" style="60" customWidth="1"/>
    <col min="6934" max="7155" width="11.42578125" style="60"/>
    <col min="7156" max="7156" width="10.5703125" style="60" customWidth="1"/>
    <col min="7157" max="7157" width="4.85546875" style="60" customWidth="1"/>
    <col min="7158" max="7158" width="32.42578125" style="60" customWidth="1"/>
    <col min="7159" max="7159" width="9.85546875" style="60" customWidth="1"/>
    <col min="7160" max="7160" width="10.140625" style="60" customWidth="1"/>
    <col min="7161" max="7161" width="12.28515625" style="60" customWidth="1"/>
    <col min="7162" max="7162" width="15.42578125" style="60" customWidth="1"/>
    <col min="7163" max="7163" width="11.85546875" style="60" customWidth="1"/>
    <col min="7164" max="7164" width="13.28515625" style="60" customWidth="1"/>
    <col min="7165" max="7165" width="15.28515625" style="60" customWidth="1"/>
    <col min="7166" max="7166" width="11.85546875" style="60" customWidth="1"/>
    <col min="7167" max="7167" width="6.140625" style="60" customWidth="1"/>
    <col min="7168" max="7168" width="11.85546875" style="60" customWidth="1"/>
    <col min="7169" max="7169" width="9.42578125" style="60" customWidth="1"/>
    <col min="7170" max="7170" width="14.7109375" style="60" customWidth="1"/>
    <col min="7171" max="7171" width="11.5703125" style="60" customWidth="1"/>
    <col min="7172" max="7172" width="0.42578125" style="60" customWidth="1"/>
    <col min="7173" max="7173" width="10.5703125" style="60" bestFit="1" customWidth="1"/>
    <col min="7174" max="7174" width="12.28515625" style="60" customWidth="1"/>
    <col min="7175" max="7175" width="12.5703125" style="60" customWidth="1"/>
    <col min="7176" max="7176" width="10.5703125" style="60" customWidth="1"/>
    <col min="7177" max="7177" width="10.140625" style="60" customWidth="1"/>
    <col min="7178" max="7178" width="8.42578125" style="60" customWidth="1"/>
    <col min="7179" max="7179" width="18.85546875" style="60" customWidth="1"/>
    <col min="7180" max="7180" width="10.28515625" style="60" customWidth="1"/>
    <col min="7181" max="7181" width="11.42578125" style="60"/>
    <col min="7182" max="7182" width="12.140625" style="60" customWidth="1"/>
    <col min="7183" max="7183" width="10.5703125" style="60" customWidth="1"/>
    <col min="7184" max="7184" width="12.42578125" style="60" customWidth="1"/>
    <col min="7185" max="7185" width="15.140625" style="60" customWidth="1"/>
    <col min="7186" max="7186" width="13.5703125" style="60" customWidth="1"/>
    <col min="7187" max="7187" width="13.140625" style="60" customWidth="1"/>
    <col min="7188" max="7188" width="15.7109375" style="60" customWidth="1"/>
    <col min="7189" max="7189" width="37.5703125" style="60" customWidth="1"/>
    <col min="7190" max="7411" width="11.42578125" style="60"/>
    <col min="7412" max="7412" width="10.5703125" style="60" customWidth="1"/>
    <col min="7413" max="7413" width="4.85546875" style="60" customWidth="1"/>
    <col min="7414" max="7414" width="32.42578125" style="60" customWidth="1"/>
    <col min="7415" max="7415" width="9.85546875" style="60" customWidth="1"/>
    <col min="7416" max="7416" width="10.140625" style="60" customWidth="1"/>
    <col min="7417" max="7417" width="12.28515625" style="60" customWidth="1"/>
    <col min="7418" max="7418" width="15.42578125" style="60" customWidth="1"/>
    <col min="7419" max="7419" width="11.85546875" style="60" customWidth="1"/>
    <col min="7420" max="7420" width="13.28515625" style="60" customWidth="1"/>
    <col min="7421" max="7421" width="15.28515625" style="60" customWidth="1"/>
    <col min="7422" max="7422" width="11.85546875" style="60" customWidth="1"/>
    <col min="7423" max="7423" width="6.140625" style="60" customWidth="1"/>
    <col min="7424" max="7424" width="11.85546875" style="60" customWidth="1"/>
    <col min="7425" max="7425" width="9.42578125" style="60" customWidth="1"/>
    <col min="7426" max="7426" width="14.7109375" style="60" customWidth="1"/>
    <col min="7427" max="7427" width="11.5703125" style="60" customWidth="1"/>
    <col min="7428" max="7428" width="0.42578125" style="60" customWidth="1"/>
    <col min="7429" max="7429" width="10.5703125" style="60" bestFit="1" customWidth="1"/>
    <col min="7430" max="7430" width="12.28515625" style="60" customWidth="1"/>
    <col min="7431" max="7431" width="12.5703125" style="60" customWidth="1"/>
    <col min="7432" max="7432" width="10.5703125" style="60" customWidth="1"/>
    <col min="7433" max="7433" width="10.140625" style="60" customWidth="1"/>
    <col min="7434" max="7434" width="8.42578125" style="60" customWidth="1"/>
    <col min="7435" max="7435" width="18.85546875" style="60" customWidth="1"/>
    <col min="7436" max="7436" width="10.28515625" style="60" customWidth="1"/>
    <col min="7437" max="7437" width="11.42578125" style="60"/>
    <col min="7438" max="7438" width="12.140625" style="60" customWidth="1"/>
    <col min="7439" max="7439" width="10.5703125" style="60" customWidth="1"/>
    <col min="7440" max="7440" width="12.42578125" style="60" customWidth="1"/>
    <col min="7441" max="7441" width="15.140625" style="60" customWidth="1"/>
    <col min="7442" max="7442" width="13.5703125" style="60" customWidth="1"/>
    <col min="7443" max="7443" width="13.140625" style="60" customWidth="1"/>
    <col min="7444" max="7444" width="15.7109375" style="60" customWidth="1"/>
    <col min="7445" max="7445" width="37.5703125" style="60" customWidth="1"/>
    <col min="7446" max="7667" width="11.42578125" style="60"/>
    <col min="7668" max="7668" width="10.5703125" style="60" customWidth="1"/>
    <col min="7669" max="7669" width="4.85546875" style="60" customWidth="1"/>
    <col min="7670" max="7670" width="32.42578125" style="60" customWidth="1"/>
    <col min="7671" max="7671" width="9.85546875" style="60" customWidth="1"/>
    <col min="7672" max="7672" width="10.140625" style="60" customWidth="1"/>
    <col min="7673" max="7673" width="12.28515625" style="60" customWidth="1"/>
    <col min="7674" max="7674" width="15.42578125" style="60" customWidth="1"/>
    <col min="7675" max="7675" width="11.85546875" style="60" customWidth="1"/>
    <col min="7676" max="7676" width="13.28515625" style="60" customWidth="1"/>
    <col min="7677" max="7677" width="15.28515625" style="60" customWidth="1"/>
    <col min="7678" max="7678" width="11.85546875" style="60" customWidth="1"/>
    <col min="7679" max="7679" width="6.140625" style="60" customWidth="1"/>
    <col min="7680" max="7680" width="11.85546875" style="60" customWidth="1"/>
    <col min="7681" max="7681" width="9.42578125" style="60" customWidth="1"/>
    <col min="7682" max="7682" width="14.7109375" style="60" customWidth="1"/>
    <col min="7683" max="7683" width="11.5703125" style="60" customWidth="1"/>
    <col min="7684" max="7684" width="0.42578125" style="60" customWidth="1"/>
    <col min="7685" max="7685" width="10.5703125" style="60" bestFit="1" customWidth="1"/>
    <col min="7686" max="7686" width="12.28515625" style="60" customWidth="1"/>
    <col min="7687" max="7687" width="12.5703125" style="60" customWidth="1"/>
    <col min="7688" max="7688" width="10.5703125" style="60" customWidth="1"/>
    <col min="7689" max="7689" width="10.140625" style="60" customWidth="1"/>
    <col min="7690" max="7690" width="8.42578125" style="60" customWidth="1"/>
    <col min="7691" max="7691" width="18.85546875" style="60" customWidth="1"/>
    <col min="7692" max="7692" width="10.28515625" style="60" customWidth="1"/>
    <col min="7693" max="7693" width="11.42578125" style="60"/>
    <col min="7694" max="7694" width="12.140625" style="60" customWidth="1"/>
    <col min="7695" max="7695" width="10.5703125" style="60" customWidth="1"/>
    <col min="7696" max="7696" width="12.42578125" style="60" customWidth="1"/>
    <col min="7697" max="7697" width="15.140625" style="60" customWidth="1"/>
    <col min="7698" max="7698" width="13.5703125" style="60" customWidth="1"/>
    <col min="7699" max="7699" width="13.140625" style="60" customWidth="1"/>
    <col min="7700" max="7700" width="15.7109375" style="60" customWidth="1"/>
    <col min="7701" max="7701" width="37.5703125" style="60" customWidth="1"/>
    <col min="7702" max="7923" width="11.42578125" style="60"/>
    <col min="7924" max="7924" width="10.5703125" style="60" customWidth="1"/>
    <col min="7925" max="7925" width="4.85546875" style="60" customWidth="1"/>
    <col min="7926" max="7926" width="32.42578125" style="60" customWidth="1"/>
    <col min="7927" max="7927" width="9.85546875" style="60" customWidth="1"/>
    <col min="7928" max="7928" width="10.140625" style="60" customWidth="1"/>
    <col min="7929" max="7929" width="12.28515625" style="60" customWidth="1"/>
    <col min="7930" max="7930" width="15.42578125" style="60" customWidth="1"/>
    <col min="7931" max="7931" width="11.85546875" style="60" customWidth="1"/>
    <col min="7932" max="7932" width="13.28515625" style="60" customWidth="1"/>
    <col min="7933" max="7933" width="15.28515625" style="60" customWidth="1"/>
    <col min="7934" max="7934" width="11.85546875" style="60" customWidth="1"/>
    <col min="7935" max="7935" width="6.140625" style="60" customWidth="1"/>
    <col min="7936" max="7936" width="11.85546875" style="60" customWidth="1"/>
    <col min="7937" max="7937" width="9.42578125" style="60" customWidth="1"/>
    <col min="7938" max="7938" width="14.7109375" style="60" customWidth="1"/>
    <col min="7939" max="7939" width="11.5703125" style="60" customWidth="1"/>
    <col min="7940" max="7940" width="0.42578125" style="60" customWidth="1"/>
    <col min="7941" max="7941" width="10.5703125" style="60" bestFit="1" customWidth="1"/>
    <col min="7942" max="7942" width="12.28515625" style="60" customWidth="1"/>
    <col min="7943" max="7943" width="12.5703125" style="60" customWidth="1"/>
    <col min="7944" max="7944" width="10.5703125" style="60" customWidth="1"/>
    <col min="7945" max="7945" width="10.140625" style="60" customWidth="1"/>
    <col min="7946" max="7946" width="8.42578125" style="60" customWidth="1"/>
    <col min="7947" max="7947" width="18.85546875" style="60" customWidth="1"/>
    <col min="7948" max="7948" width="10.28515625" style="60" customWidth="1"/>
    <col min="7949" max="7949" width="11.42578125" style="60"/>
    <col min="7950" max="7950" width="12.140625" style="60" customWidth="1"/>
    <col min="7951" max="7951" width="10.5703125" style="60" customWidth="1"/>
    <col min="7952" max="7952" width="12.42578125" style="60" customWidth="1"/>
    <col min="7953" max="7953" width="15.140625" style="60" customWidth="1"/>
    <col min="7954" max="7954" width="13.5703125" style="60" customWidth="1"/>
    <col min="7955" max="7955" width="13.140625" style="60" customWidth="1"/>
    <col min="7956" max="7956" width="15.7109375" style="60" customWidth="1"/>
    <col min="7957" max="7957" width="37.5703125" style="60" customWidth="1"/>
    <col min="7958" max="8179" width="11.42578125" style="60"/>
    <col min="8180" max="8180" width="10.5703125" style="60" customWidth="1"/>
    <col min="8181" max="8181" width="4.85546875" style="60" customWidth="1"/>
    <col min="8182" max="8182" width="32.42578125" style="60" customWidth="1"/>
    <col min="8183" max="8183" width="9.85546875" style="60" customWidth="1"/>
    <col min="8184" max="8184" width="10.140625" style="60" customWidth="1"/>
    <col min="8185" max="8185" width="12.28515625" style="60" customWidth="1"/>
    <col min="8186" max="8186" width="15.42578125" style="60" customWidth="1"/>
    <col min="8187" max="8187" width="11.85546875" style="60" customWidth="1"/>
    <col min="8188" max="8188" width="13.28515625" style="60" customWidth="1"/>
    <col min="8189" max="8189" width="15.28515625" style="60" customWidth="1"/>
    <col min="8190" max="8190" width="11.85546875" style="60" customWidth="1"/>
    <col min="8191" max="8191" width="6.140625" style="60" customWidth="1"/>
    <col min="8192" max="8192" width="11.85546875" style="60" customWidth="1"/>
    <col min="8193" max="8193" width="9.42578125" style="60" customWidth="1"/>
    <col min="8194" max="8194" width="14.7109375" style="60" customWidth="1"/>
    <col min="8195" max="8195" width="11.5703125" style="60" customWidth="1"/>
    <col min="8196" max="8196" width="0.42578125" style="60" customWidth="1"/>
    <col min="8197" max="8197" width="10.5703125" style="60" bestFit="1" customWidth="1"/>
    <col min="8198" max="8198" width="12.28515625" style="60" customWidth="1"/>
    <col min="8199" max="8199" width="12.5703125" style="60" customWidth="1"/>
    <col min="8200" max="8200" width="10.5703125" style="60" customWidth="1"/>
    <col min="8201" max="8201" width="10.140625" style="60" customWidth="1"/>
    <col min="8202" max="8202" width="8.42578125" style="60" customWidth="1"/>
    <col min="8203" max="8203" width="18.85546875" style="60" customWidth="1"/>
    <col min="8204" max="8204" width="10.28515625" style="60" customWidth="1"/>
    <col min="8205" max="8205" width="11.42578125" style="60"/>
    <col min="8206" max="8206" width="12.140625" style="60" customWidth="1"/>
    <col min="8207" max="8207" width="10.5703125" style="60" customWidth="1"/>
    <col min="8208" max="8208" width="12.42578125" style="60" customWidth="1"/>
    <col min="8209" max="8209" width="15.140625" style="60" customWidth="1"/>
    <col min="8210" max="8210" width="13.5703125" style="60" customWidth="1"/>
    <col min="8211" max="8211" width="13.140625" style="60" customWidth="1"/>
    <col min="8212" max="8212" width="15.7109375" style="60" customWidth="1"/>
    <col min="8213" max="8213" width="37.5703125" style="60" customWidth="1"/>
    <col min="8214" max="8435" width="11.42578125" style="60"/>
    <col min="8436" max="8436" width="10.5703125" style="60" customWidth="1"/>
    <col min="8437" max="8437" width="4.85546875" style="60" customWidth="1"/>
    <col min="8438" max="8438" width="32.42578125" style="60" customWidth="1"/>
    <col min="8439" max="8439" width="9.85546875" style="60" customWidth="1"/>
    <col min="8440" max="8440" width="10.140625" style="60" customWidth="1"/>
    <col min="8441" max="8441" width="12.28515625" style="60" customWidth="1"/>
    <col min="8442" max="8442" width="15.42578125" style="60" customWidth="1"/>
    <col min="8443" max="8443" width="11.85546875" style="60" customWidth="1"/>
    <col min="8444" max="8444" width="13.28515625" style="60" customWidth="1"/>
    <col min="8445" max="8445" width="15.28515625" style="60" customWidth="1"/>
    <col min="8446" max="8446" width="11.85546875" style="60" customWidth="1"/>
    <col min="8447" max="8447" width="6.140625" style="60" customWidth="1"/>
    <col min="8448" max="8448" width="11.85546875" style="60" customWidth="1"/>
    <col min="8449" max="8449" width="9.42578125" style="60" customWidth="1"/>
    <col min="8450" max="8450" width="14.7109375" style="60" customWidth="1"/>
    <col min="8451" max="8451" width="11.5703125" style="60" customWidth="1"/>
    <col min="8452" max="8452" width="0.42578125" style="60" customWidth="1"/>
    <col min="8453" max="8453" width="10.5703125" style="60" bestFit="1" customWidth="1"/>
    <col min="8454" max="8454" width="12.28515625" style="60" customWidth="1"/>
    <col min="8455" max="8455" width="12.5703125" style="60" customWidth="1"/>
    <col min="8456" max="8456" width="10.5703125" style="60" customWidth="1"/>
    <col min="8457" max="8457" width="10.140625" style="60" customWidth="1"/>
    <col min="8458" max="8458" width="8.42578125" style="60" customWidth="1"/>
    <col min="8459" max="8459" width="18.85546875" style="60" customWidth="1"/>
    <col min="8460" max="8460" width="10.28515625" style="60" customWidth="1"/>
    <col min="8461" max="8461" width="11.42578125" style="60"/>
    <col min="8462" max="8462" width="12.140625" style="60" customWidth="1"/>
    <col min="8463" max="8463" width="10.5703125" style="60" customWidth="1"/>
    <col min="8464" max="8464" width="12.42578125" style="60" customWidth="1"/>
    <col min="8465" max="8465" width="15.140625" style="60" customWidth="1"/>
    <col min="8466" max="8466" width="13.5703125" style="60" customWidth="1"/>
    <col min="8467" max="8467" width="13.140625" style="60" customWidth="1"/>
    <col min="8468" max="8468" width="15.7109375" style="60" customWidth="1"/>
    <col min="8469" max="8469" width="37.5703125" style="60" customWidth="1"/>
    <col min="8470" max="8691" width="11.42578125" style="60"/>
    <col min="8692" max="8692" width="10.5703125" style="60" customWidth="1"/>
    <col min="8693" max="8693" width="4.85546875" style="60" customWidth="1"/>
    <col min="8694" max="8694" width="32.42578125" style="60" customWidth="1"/>
    <col min="8695" max="8695" width="9.85546875" style="60" customWidth="1"/>
    <col min="8696" max="8696" width="10.140625" style="60" customWidth="1"/>
    <col min="8697" max="8697" width="12.28515625" style="60" customWidth="1"/>
    <col min="8698" max="8698" width="15.42578125" style="60" customWidth="1"/>
    <col min="8699" max="8699" width="11.85546875" style="60" customWidth="1"/>
    <col min="8700" max="8700" width="13.28515625" style="60" customWidth="1"/>
    <col min="8701" max="8701" width="15.28515625" style="60" customWidth="1"/>
    <col min="8702" max="8702" width="11.85546875" style="60" customWidth="1"/>
    <col min="8703" max="8703" width="6.140625" style="60" customWidth="1"/>
    <col min="8704" max="8704" width="11.85546875" style="60" customWidth="1"/>
    <col min="8705" max="8705" width="9.42578125" style="60" customWidth="1"/>
    <col min="8706" max="8706" width="14.7109375" style="60" customWidth="1"/>
    <col min="8707" max="8707" width="11.5703125" style="60" customWidth="1"/>
    <col min="8708" max="8708" width="0.42578125" style="60" customWidth="1"/>
    <col min="8709" max="8709" width="10.5703125" style="60" bestFit="1" customWidth="1"/>
    <col min="8710" max="8710" width="12.28515625" style="60" customWidth="1"/>
    <col min="8711" max="8711" width="12.5703125" style="60" customWidth="1"/>
    <col min="8712" max="8712" width="10.5703125" style="60" customWidth="1"/>
    <col min="8713" max="8713" width="10.140625" style="60" customWidth="1"/>
    <col min="8714" max="8714" width="8.42578125" style="60" customWidth="1"/>
    <col min="8715" max="8715" width="18.85546875" style="60" customWidth="1"/>
    <col min="8716" max="8716" width="10.28515625" style="60" customWidth="1"/>
    <col min="8717" max="8717" width="11.42578125" style="60"/>
    <col min="8718" max="8718" width="12.140625" style="60" customWidth="1"/>
    <col min="8719" max="8719" width="10.5703125" style="60" customWidth="1"/>
    <col min="8720" max="8720" width="12.42578125" style="60" customWidth="1"/>
    <col min="8721" max="8721" width="15.140625" style="60" customWidth="1"/>
    <col min="8722" max="8722" width="13.5703125" style="60" customWidth="1"/>
    <col min="8723" max="8723" width="13.140625" style="60" customWidth="1"/>
    <col min="8724" max="8724" width="15.7109375" style="60" customWidth="1"/>
    <col min="8725" max="8725" width="37.5703125" style="60" customWidth="1"/>
    <col min="8726" max="8947" width="11.42578125" style="60"/>
    <col min="8948" max="8948" width="10.5703125" style="60" customWidth="1"/>
    <col min="8949" max="8949" width="4.85546875" style="60" customWidth="1"/>
    <col min="8950" max="8950" width="32.42578125" style="60" customWidth="1"/>
    <col min="8951" max="8951" width="9.85546875" style="60" customWidth="1"/>
    <col min="8952" max="8952" width="10.140625" style="60" customWidth="1"/>
    <col min="8953" max="8953" width="12.28515625" style="60" customWidth="1"/>
    <col min="8954" max="8954" width="15.42578125" style="60" customWidth="1"/>
    <col min="8955" max="8955" width="11.85546875" style="60" customWidth="1"/>
    <col min="8956" max="8956" width="13.28515625" style="60" customWidth="1"/>
    <col min="8957" max="8957" width="15.28515625" style="60" customWidth="1"/>
    <col min="8958" max="8958" width="11.85546875" style="60" customWidth="1"/>
    <col min="8959" max="8959" width="6.140625" style="60" customWidth="1"/>
    <col min="8960" max="8960" width="11.85546875" style="60" customWidth="1"/>
    <col min="8961" max="8961" width="9.42578125" style="60" customWidth="1"/>
    <col min="8962" max="8962" width="14.7109375" style="60" customWidth="1"/>
    <col min="8963" max="8963" width="11.5703125" style="60" customWidth="1"/>
    <col min="8964" max="8964" width="0.42578125" style="60" customWidth="1"/>
    <col min="8965" max="8965" width="10.5703125" style="60" bestFit="1" customWidth="1"/>
    <col min="8966" max="8966" width="12.28515625" style="60" customWidth="1"/>
    <col min="8967" max="8967" width="12.5703125" style="60" customWidth="1"/>
    <col min="8968" max="8968" width="10.5703125" style="60" customWidth="1"/>
    <col min="8969" max="8969" width="10.140625" style="60" customWidth="1"/>
    <col min="8970" max="8970" width="8.42578125" style="60" customWidth="1"/>
    <col min="8971" max="8971" width="18.85546875" style="60" customWidth="1"/>
    <col min="8972" max="8972" width="10.28515625" style="60" customWidth="1"/>
    <col min="8973" max="8973" width="11.42578125" style="60"/>
    <col min="8974" max="8974" width="12.140625" style="60" customWidth="1"/>
    <col min="8975" max="8975" width="10.5703125" style="60" customWidth="1"/>
    <col min="8976" max="8976" width="12.42578125" style="60" customWidth="1"/>
    <col min="8977" max="8977" width="15.140625" style="60" customWidth="1"/>
    <col min="8978" max="8978" width="13.5703125" style="60" customWidth="1"/>
    <col min="8979" max="8979" width="13.140625" style="60" customWidth="1"/>
    <col min="8980" max="8980" width="15.7109375" style="60" customWidth="1"/>
    <col min="8981" max="8981" width="37.5703125" style="60" customWidth="1"/>
    <col min="8982" max="9203" width="11.42578125" style="60"/>
    <col min="9204" max="9204" width="10.5703125" style="60" customWidth="1"/>
    <col min="9205" max="9205" width="4.85546875" style="60" customWidth="1"/>
    <col min="9206" max="9206" width="32.42578125" style="60" customWidth="1"/>
    <col min="9207" max="9207" width="9.85546875" style="60" customWidth="1"/>
    <col min="9208" max="9208" width="10.140625" style="60" customWidth="1"/>
    <col min="9209" max="9209" width="12.28515625" style="60" customWidth="1"/>
    <col min="9210" max="9210" width="15.42578125" style="60" customWidth="1"/>
    <col min="9211" max="9211" width="11.85546875" style="60" customWidth="1"/>
    <col min="9212" max="9212" width="13.28515625" style="60" customWidth="1"/>
    <col min="9213" max="9213" width="15.28515625" style="60" customWidth="1"/>
    <col min="9214" max="9214" width="11.85546875" style="60" customWidth="1"/>
    <col min="9215" max="9215" width="6.140625" style="60" customWidth="1"/>
    <col min="9216" max="9216" width="11.85546875" style="60" customWidth="1"/>
    <col min="9217" max="9217" width="9.42578125" style="60" customWidth="1"/>
    <col min="9218" max="9218" width="14.7109375" style="60" customWidth="1"/>
    <col min="9219" max="9219" width="11.5703125" style="60" customWidth="1"/>
    <col min="9220" max="9220" width="0.42578125" style="60" customWidth="1"/>
    <col min="9221" max="9221" width="10.5703125" style="60" bestFit="1" customWidth="1"/>
    <col min="9222" max="9222" width="12.28515625" style="60" customWidth="1"/>
    <col min="9223" max="9223" width="12.5703125" style="60" customWidth="1"/>
    <col min="9224" max="9224" width="10.5703125" style="60" customWidth="1"/>
    <col min="9225" max="9225" width="10.140625" style="60" customWidth="1"/>
    <col min="9226" max="9226" width="8.42578125" style="60" customWidth="1"/>
    <col min="9227" max="9227" width="18.85546875" style="60" customWidth="1"/>
    <col min="9228" max="9228" width="10.28515625" style="60" customWidth="1"/>
    <col min="9229" max="9229" width="11.42578125" style="60"/>
    <col min="9230" max="9230" width="12.140625" style="60" customWidth="1"/>
    <col min="9231" max="9231" width="10.5703125" style="60" customWidth="1"/>
    <col min="9232" max="9232" width="12.42578125" style="60" customWidth="1"/>
    <col min="9233" max="9233" width="15.140625" style="60" customWidth="1"/>
    <col min="9234" max="9234" width="13.5703125" style="60" customWidth="1"/>
    <col min="9235" max="9235" width="13.140625" style="60" customWidth="1"/>
    <col min="9236" max="9236" width="15.7109375" style="60" customWidth="1"/>
    <col min="9237" max="9237" width="37.5703125" style="60" customWidth="1"/>
    <col min="9238" max="9459" width="11.42578125" style="60"/>
    <col min="9460" max="9460" width="10.5703125" style="60" customWidth="1"/>
    <col min="9461" max="9461" width="4.85546875" style="60" customWidth="1"/>
    <col min="9462" max="9462" width="32.42578125" style="60" customWidth="1"/>
    <col min="9463" max="9463" width="9.85546875" style="60" customWidth="1"/>
    <col min="9464" max="9464" width="10.140625" style="60" customWidth="1"/>
    <col min="9465" max="9465" width="12.28515625" style="60" customWidth="1"/>
    <col min="9466" max="9466" width="15.42578125" style="60" customWidth="1"/>
    <col min="9467" max="9467" width="11.85546875" style="60" customWidth="1"/>
    <col min="9468" max="9468" width="13.28515625" style="60" customWidth="1"/>
    <col min="9469" max="9469" width="15.28515625" style="60" customWidth="1"/>
    <col min="9470" max="9470" width="11.85546875" style="60" customWidth="1"/>
    <col min="9471" max="9471" width="6.140625" style="60" customWidth="1"/>
    <col min="9472" max="9472" width="11.85546875" style="60" customWidth="1"/>
    <col min="9473" max="9473" width="9.42578125" style="60" customWidth="1"/>
    <col min="9474" max="9474" width="14.7109375" style="60" customWidth="1"/>
    <col min="9475" max="9475" width="11.5703125" style="60" customWidth="1"/>
    <col min="9476" max="9476" width="0.42578125" style="60" customWidth="1"/>
    <col min="9477" max="9477" width="10.5703125" style="60" bestFit="1" customWidth="1"/>
    <col min="9478" max="9478" width="12.28515625" style="60" customWidth="1"/>
    <col min="9479" max="9479" width="12.5703125" style="60" customWidth="1"/>
    <col min="9480" max="9480" width="10.5703125" style="60" customWidth="1"/>
    <col min="9481" max="9481" width="10.140625" style="60" customWidth="1"/>
    <col min="9482" max="9482" width="8.42578125" style="60" customWidth="1"/>
    <col min="9483" max="9483" width="18.85546875" style="60" customWidth="1"/>
    <col min="9484" max="9484" width="10.28515625" style="60" customWidth="1"/>
    <col min="9485" max="9485" width="11.42578125" style="60"/>
    <col min="9486" max="9486" width="12.140625" style="60" customWidth="1"/>
    <col min="9487" max="9487" width="10.5703125" style="60" customWidth="1"/>
    <col min="9488" max="9488" width="12.42578125" style="60" customWidth="1"/>
    <col min="9489" max="9489" width="15.140625" style="60" customWidth="1"/>
    <col min="9490" max="9490" width="13.5703125" style="60" customWidth="1"/>
    <col min="9491" max="9491" width="13.140625" style="60" customWidth="1"/>
    <col min="9492" max="9492" width="15.7109375" style="60" customWidth="1"/>
    <col min="9493" max="9493" width="37.5703125" style="60" customWidth="1"/>
    <col min="9494" max="9715" width="11.42578125" style="60"/>
    <col min="9716" max="9716" width="10.5703125" style="60" customWidth="1"/>
    <col min="9717" max="9717" width="4.85546875" style="60" customWidth="1"/>
    <col min="9718" max="9718" width="32.42578125" style="60" customWidth="1"/>
    <col min="9719" max="9719" width="9.85546875" style="60" customWidth="1"/>
    <col min="9720" max="9720" width="10.140625" style="60" customWidth="1"/>
    <col min="9721" max="9721" width="12.28515625" style="60" customWidth="1"/>
    <col min="9722" max="9722" width="15.42578125" style="60" customWidth="1"/>
    <col min="9723" max="9723" width="11.85546875" style="60" customWidth="1"/>
    <col min="9724" max="9724" width="13.28515625" style="60" customWidth="1"/>
    <col min="9725" max="9725" width="15.28515625" style="60" customWidth="1"/>
    <col min="9726" max="9726" width="11.85546875" style="60" customWidth="1"/>
    <col min="9727" max="9727" width="6.140625" style="60" customWidth="1"/>
    <col min="9728" max="9728" width="11.85546875" style="60" customWidth="1"/>
    <col min="9729" max="9729" width="9.42578125" style="60" customWidth="1"/>
    <col min="9730" max="9730" width="14.7109375" style="60" customWidth="1"/>
    <col min="9731" max="9731" width="11.5703125" style="60" customWidth="1"/>
    <col min="9732" max="9732" width="0.42578125" style="60" customWidth="1"/>
    <col min="9733" max="9733" width="10.5703125" style="60" bestFit="1" customWidth="1"/>
    <col min="9734" max="9734" width="12.28515625" style="60" customWidth="1"/>
    <col min="9735" max="9735" width="12.5703125" style="60" customWidth="1"/>
    <col min="9736" max="9736" width="10.5703125" style="60" customWidth="1"/>
    <col min="9737" max="9737" width="10.140625" style="60" customWidth="1"/>
    <col min="9738" max="9738" width="8.42578125" style="60" customWidth="1"/>
    <col min="9739" max="9739" width="18.85546875" style="60" customWidth="1"/>
    <col min="9740" max="9740" width="10.28515625" style="60" customWidth="1"/>
    <col min="9741" max="9741" width="11.42578125" style="60"/>
    <col min="9742" max="9742" width="12.140625" style="60" customWidth="1"/>
    <col min="9743" max="9743" width="10.5703125" style="60" customWidth="1"/>
    <col min="9744" max="9744" width="12.42578125" style="60" customWidth="1"/>
    <col min="9745" max="9745" width="15.140625" style="60" customWidth="1"/>
    <col min="9746" max="9746" width="13.5703125" style="60" customWidth="1"/>
    <col min="9747" max="9747" width="13.140625" style="60" customWidth="1"/>
    <col min="9748" max="9748" width="15.7109375" style="60" customWidth="1"/>
    <col min="9749" max="9749" width="37.5703125" style="60" customWidth="1"/>
    <col min="9750" max="9971" width="11.42578125" style="60"/>
    <col min="9972" max="9972" width="10.5703125" style="60" customWidth="1"/>
    <col min="9973" max="9973" width="4.85546875" style="60" customWidth="1"/>
    <col min="9974" max="9974" width="32.42578125" style="60" customWidth="1"/>
    <col min="9975" max="9975" width="9.85546875" style="60" customWidth="1"/>
    <col min="9976" max="9976" width="10.140625" style="60" customWidth="1"/>
    <col min="9977" max="9977" width="12.28515625" style="60" customWidth="1"/>
    <col min="9978" max="9978" width="15.42578125" style="60" customWidth="1"/>
    <col min="9979" max="9979" width="11.85546875" style="60" customWidth="1"/>
    <col min="9980" max="9980" width="13.28515625" style="60" customWidth="1"/>
    <col min="9981" max="9981" width="15.28515625" style="60" customWidth="1"/>
    <col min="9982" max="9982" width="11.85546875" style="60" customWidth="1"/>
    <col min="9983" max="9983" width="6.140625" style="60" customWidth="1"/>
    <col min="9984" max="9984" width="11.85546875" style="60" customWidth="1"/>
    <col min="9985" max="9985" width="9.42578125" style="60" customWidth="1"/>
    <col min="9986" max="9986" width="14.7109375" style="60" customWidth="1"/>
    <col min="9987" max="9987" width="11.5703125" style="60" customWidth="1"/>
    <col min="9988" max="9988" width="0.42578125" style="60" customWidth="1"/>
    <col min="9989" max="9989" width="10.5703125" style="60" bestFit="1" customWidth="1"/>
    <col min="9990" max="9990" width="12.28515625" style="60" customWidth="1"/>
    <col min="9991" max="9991" width="12.5703125" style="60" customWidth="1"/>
    <col min="9992" max="9992" width="10.5703125" style="60" customWidth="1"/>
    <col min="9993" max="9993" width="10.140625" style="60" customWidth="1"/>
    <col min="9994" max="9994" width="8.42578125" style="60" customWidth="1"/>
    <col min="9995" max="9995" width="18.85546875" style="60" customWidth="1"/>
    <col min="9996" max="9996" width="10.28515625" style="60" customWidth="1"/>
    <col min="9997" max="9997" width="11.42578125" style="60"/>
    <col min="9998" max="9998" width="12.140625" style="60" customWidth="1"/>
    <col min="9999" max="9999" width="10.5703125" style="60" customWidth="1"/>
    <col min="10000" max="10000" width="12.42578125" style="60" customWidth="1"/>
    <col min="10001" max="10001" width="15.140625" style="60" customWidth="1"/>
    <col min="10002" max="10002" width="13.5703125" style="60" customWidth="1"/>
    <col min="10003" max="10003" width="13.140625" style="60" customWidth="1"/>
    <col min="10004" max="10004" width="15.7109375" style="60" customWidth="1"/>
    <col min="10005" max="10005" width="37.5703125" style="60" customWidth="1"/>
    <col min="10006" max="10227" width="11.42578125" style="60"/>
    <col min="10228" max="10228" width="10.5703125" style="60" customWidth="1"/>
    <col min="10229" max="10229" width="4.85546875" style="60" customWidth="1"/>
    <col min="10230" max="10230" width="32.42578125" style="60" customWidth="1"/>
    <col min="10231" max="10231" width="9.85546875" style="60" customWidth="1"/>
    <col min="10232" max="10232" width="10.140625" style="60" customWidth="1"/>
    <col min="10233" max="10233" width="12.28515625" style="60" customWidth="1"/>
    <col min="10234" max="10234" width="15.42578125" style="60" customWidth="1"/>
    <col min="10235" max="10235" width="11.85546875" style="60" customWidth="1"/>
    <col min="10236" max="10236" width="13.28515625" style="60" customWidth="1"/>
    <col min="10237" max="10237" width="15.28515625" style="60" customWidth="1"/>
    <col min="10238" max="10238" width="11.85546875" style="60" customWidth="1"/>
    <col min="10239" max="10239" width="6.140625" style="60" customWidth="1"/>
    <col min="10240" max="10240" width="11.85546875" style="60" customWidth="1"/>
    <col min="10241" max="10241" width="9.42578125" style="60" customWidth="1"/>
    <col min="10242" max="10242" width="14.7109375" style="60" customWidth="1"/>
    <col min="10243" max="10243" width="11.5703125" style="60" customWidth="1"/>
    <col min="10244" max="10244" width="0.42578125" style="60" customWidth="1"/>
    <col min="10245" max="10245" width="10.5703125" style="60" bestFit="1" customWidth="1"/>
    <col min="10246" max="10246" width="12.28515625" style="60" customWidth="1"/>
    <col min="10247" max="10247" width="12.5703125" style="60" customWidth="1"/>
    <col min="10248" max="10248" width="10.5703125" style="60" customWidth="1"/>
    <col min="10249" max="10249" width="10.140625" style="60" customWidth="1"/>
    <col min="10250" max="10250" width="8.42578125" style="60" customWidth="1"/>
    <col min="10251" max="10251" width="18.85546875" style="60" customWidth="1"/>
    <col min="10252" max="10252" width="10.28515625" style="60" customWidth="1"/>
    <col min="10253" max="10253" width="11.42578125" style="60"/>
    <col min="10254" max="10254" width="12.140625" style="60" customWidth="1"/>
    <col min="10255" max="10255" width="10.5703125" style="60" customWidth="1"/>
    <col min="10256" max="10256" width="12.42578125" style="60" customWidth="1"/>
    <col min="10257" max="10257" width="15.140625" style="60" customWidth="1"/>
    <col min="10258" max="10258" width="13.5703125" style="60" customWidth="1"/>
    <col min="10259" max="10259" width="13.140625" style="60" customWidth="1"/>
    <col min="10260" max="10260" width="15.7109375" style="60" customWidth="1"/>
    <col min="10261" max="10261" width="37.5703125" style="60" customWidth="1"/>
    <col min="10262" max="10483" width="11.42578125" style="60"/>
    <col min="10484" max="10484" width="10.5703125" style="60" customWidth="1"/>
    <col min="10485" max="10485" width="4.85546875" style="60" customWidth="1"/>
    <col min="10486" max="10486" width="32.42578125" style="60" customWidth="1"/>
    <col min="10487" max="10487" width="9.85546875" style="60" customWidth="1"/>
    <col min="10488" max="10488" width="10.140625" style="60" customWidth="1"/>
    <col min="10489" max="10489" width="12.28515625" style="60" customWidth="1"/>
    <col min="10490" max="10490" width="15.42578125" style="60" customWidth="1"/>
    <col min="10491" max="10491" width="11.85546875" style="60" customWidth="1"/>
    <col min="10492" max="10492" width="13.28515625" style="60" customWidth="1"/>
    <col min="10493" max="10493" width="15.28515625" style="60" customWidth="1"/>
    <col min="10494" max="10494" width="11.85546875" style="60" customWidth="1"/>
    <col min="10495" max="10495" width="6.140625" style="60" customWidth="1"/>
    <col min="10496" max="10496" width="11.85546875" style="60" customWidth="1"/>
    <col min="10497" max="10497" width="9.42578125" style="60" customWidth="1"/>
    <col min="10498" max="10498" width="14.7109375" style="60" customWidth="1"/>
    <col min="10499" max="10499" width="11.5703125" style="60" customWidth="1"/>
    <col min="10500" max="10500" width="0.42578125" style="60" customWidth="1"/>
    <col min="10501" max="10501" width="10.5703125" style="60" bestFit="1" customWidth="1"/>
    <col min="10502" max="10502" width="12.28515625" style="60" customWidth="1"/>
    <col min="10503" max="10503" width="12.5703125" style="60" customWidth="1"/>
    <col min="10504" max="10504" width="10.5703125" style="60" customWidth="1"/>
    <col min="10505" max="10505" width="10.140625" style="60" customWidth="1"/>
    <col min="10506" max="10506" width="8.42578125" style="60" customWidth="1"/>
    <col min="10507" max="10507" width="18.85546875" style="60" customWidth="1"/>
    <col min="10508" max="10508" width="10.28515625" style="60" customWidth="1"/>
    <col min="10509" max="10509" width="11.42578125" style="60"/>
    <col min="10510" max="10510" width="12.140625" style="60" customWidth="1"/>
    <col min="10511" max="10511" width="10.5703125" style="60" customWidth="1"/>
    <col min="10512" max="10512" width="12.42578125" style="60" customWidth="1"/>
    <col min="10513" max="10513" width="15.140625" style="60" customWidth="1"/>
    <col min="10514" max="10514" width="13.5703125" style="60" customWidth="1"/>
    <col min="10515" max="10515" width="13.140625" style="60" customWidth="1"/>
    <col min="10516" max="10516" width="15.7109375" style="60" customWidth="1"/>
    <col min="10517" max="10517" width="37.5703125" style="60" customWidth="1"/>
    <col min="10518" max="10739" width="11.42578125" style="60"/>
    <col min="10740" max="10740" width="10.5703125" style="60" customWidth="1"/>
    <col min="10741" max="10741" width="4.85546875" style="60" customWidth="1"/>
    <col min="10742" max="10742" width="32.42578125" style="60" customWidth="1"/>
    <col min="10743" max="10743" width="9.85546875" style="60" customWidth="1"/>
    <col min="10744" max="10744" width="10.140625" style="60" customWidth="1"/>
    <col min="10745" max="10745" width="12.28515625" style="60" customWidth="1"/>
    <col min="10746" max="10746" width="15.42578125" style="60" customWidth="1"/>
    <col min="10747" max="10747" width="11.85546875" style="60" customWidth="1"/>
    <col min="10748" max="10748" width="13.28515625" style="60" customWidth="1"/>
    <col min="10749" max="10749" width="15.28515625" style="60" customWidth="1"/>
    <col min="10750" max="10750" width="11.85546875" style="60" customWidth="1"/>
    <col min="10751" max="10751" width="6.140625" style="60" customWidth="1"/>
    <col min="10752" max="10752" width="11.85546875" style="60" customWidth="1"/>
    <col min="10753" max="10753" width="9.42578125" style="60" customWidth="1"/>
    <col min="10754" max="10754" width="14.7109375" style="60" customWidth="1"/>
    <col min="10755" max="10755" width="11.5703125" style="60" customWidth="1"/>
    <col min="10756" max="10756" width="0.42578125" style="60" customWidth="1"/>
    <col min="10757" max="10757" width="10.5703125" style="60" bestFit="1" customWidth="1"/>
    <col min="10758" max="10758" width="12.28515625" style="60" customWidth="1"/>
    <col min="10759" max="10759" width="12.5703125" style="60" customWidth="1"/>
    <col min="10760" max="10760" width="10.5703125" style="60" customWidth="1"/>
    <col min="10761" max="10761" width="10.140625" style="60" customWidth="1"/>
    <col min="10762" max="10762" width="8.42578125" style="60" customWidth="1"/>
    <col min="10763" max="10763" width="18.85546875" style="60" customWidth="1"/>
    <col min="10764" max="10764" width="10.28515625" style="60" customWidth="1"/>
    <col min="10765" max="10765" width="11.42578125" style="60"/>
    <col min="10766" max="10766" width="12.140625" style="60" customWidth="1"/>
    <col min="10767" max="10767" width="10.5703125" style="60" customWidth="1"/>
    <col min="10768" max="10768" width="12.42578125" style="60" customWidth="1"/>
    <col min="10769" max="10769" width="15.140625" style="60" customWidth="1"/>
    <col min="10770" max="10770" width="13.5703125" style="60" customWidth="1"/>
    <col min="10771" max="10771" width="13.140625" style="60" customWidth="1"/>
    <col min="10772" max="10772" width="15.7109375" style="60" customWidth="1"/>
    <col min="10773" max="10773" width="37.5703125" style="60" customWidth="1"/>
    <col min="10774" max="10995" width="11.42578125" style="60"/>
    <col min="10996" max="10996" width="10.5703125" style="60" customWidth="1"/>
    <col min="10997" max="10997" width="4.85546875" style="60" customWidth="1"/>
    <col min="10998" max="10998" width="32.42578125" style="60" customWidth="1"/>
    <col min="10999" max="10999" width="9.85546875" style="60" customWidth="1"/>
    <col min="11000" max="11000" width="10.140625" style="60" customWidth="1"/>
    <col min="11001" max="11001" width="12.28515625" style="60" customWidth="1"/>
    <col min="11002" max="11002" width="15.42578125" style="60" customWidth="1"/>
    <col min="11003" max="11003" width="11.85546875" style="60" customWidth="1"/>
    <col min="11004" max="11004" width="13.28515625" style="60" customWidth="1"/>
    <col min="11005" max="11005" width="15.28515625" style="60" customWidth="1"/>
    <col min="11006" max="11006" width="11.85546875" style="60" customWidth="1"/>
    <col min="11007" max="11007" width="6.140625" style="60" customWidth="1"/>
    <col min="11008" max="11008" width="11.85546875" style="60" customWidth="1"/>
    <col min="11009" max="11009" width="9.42578125" style="60" customWidth="1"/>
    <col min="11010" max="11010" width="14.7109375" style="60" customWidth="1"/>
    <col min="11011" max="11011" width="11.5703125" style="60" customWidth="1"/>
    <col min="11012" max="11012" width="0.42578125" style="60" customWidth="1"/>
    <col min="11013" max="11013" width="10.5703125" style="60" bestFit="1" customWidth="1"/>
    <col min="11014" max="11014" width="12.28515625" style="60" customWidth="1"/>
    <col min="11015" max="11015" width="12.5703125" style="60" customWidth="1"/>
    <col min="11016" max="11016" width="10.5703125" style="60" customWidth="1"/>
    <col min="11017" max="11017" width="10.140625" style="60" customWidth="1"/>
    <col min="11018" max="11018" width="8.42578125" style="60" customWidth="1"/>
    <col min="11019" max="11019" width="18.85546875" style="60" customWidth="1"/>
    <col min="11020" max="11020" width="10.28515625" style="60" customWidth="1"/>
    <col min="11021" max="11021" width="11.42578125" style="60"/>
    <col min="11022" max="11022" width="12.140625" style="60" customWidth="1"/>
    <col min="11023" max="11023" width="10.5703125" style="60" customWidth="1"/>
    <col min="11024" max="11024" width="12.42578125" style="60" customWidth="1"/>
    <col min="11025" max="11025" width="15.140625" style="60" customWidth="1"/>
    <col min="11026" max="11026" width="13.5703125" style="60" customWidth="1"/>
    <col min="11027" max="11027" width="13.140625" style="60" customWidth="1"/>
    <col min="11028" max="11028" width="15.7109375" style="60" customWidth="1"/>
    <col min="11029" max="11029" width="37.5703125" style="60" customWidth="1"/>
    <col min="11030" max="11251" width="11.42578125" style="60"/>
    <col min="11252" max="11252" width="10.5703125" style="60" customWidth="1"/>
    <col min="11253" max="11253" width="4.85546875" style="60" customWidth="1"/>
    <col min="11254" max="11254" width="32.42578125" style="60" customWidth="1"/>
    <col min="11255" max="11255" width="9.85546875" style="60" customWidth="1"/>
    <col min="11256" max="11256" width="10.140625" style="60" customWidth="1"/>
    <col min="11257" max="11257" width="12.28515625" style="60" customWidth="1"/>
    <col min="11258" max="11258" width="15.42578125" style="60" customWidth="1"/>
    <col min="11259" max="11259" width="11.85546875" style="60" customWidth="1"/>
    <col min="11260" max="11260" width="13.28515625" style="60" customWidth="1"/>
    <col min="11261" max="11261" width="15.28515625" style="60" customWidth="1"/>
    <col min="11262" max="11262" width="11.85546875" style="60" customWidth="1"/>
    <col min="11263" max="11263" width="6.140625" style="60" customWidth="1"/>
    <col min="11264" max="11264" width="11.85546875" style="60" customWidth="1"/>
    <col min="11265" max="11265" width="9.42578125" style="60" customWidth="1"/>
    <col min="11266" max="11266" width="14.7109375" style="60" customWidth="1"/>
    <col min="11267" max="11267" width="11.5703125" style="60" customWidth="1"/>
    <col min="11268" max="11268" width="0.42578125" style="60" customWidth="1"/>
    <col min="11269" max="11269" width="10.5703125" style="60" bestFit="1" customWidth="1"/>
    <col min="11270" max="11270" width="12.28515625" style="60" customWidth="1"/>
    <col min="11271" max="11271" width="12.5703125" style="60" customWidth="1"/>
    <col min="11272" max="11272" width="10.5703125" style="60" customWidth="1"/>
    <col min="11273" max="11273" width="10.140625" style="60" customWidth="1"/>
    <col min="11274" max="11274" width="8.42578125" style="60" customWidth="1"/>
    <col min="11275" max="11275" width="18.85546875" style="60" customWidth="1"/>
    <col min="11276" max="11276" width="10.28515625" style="60" customWidth="1"/>
    <col min="11277" max="11277" width="11.42578125" style="60"/>
    <col min="11278" max="11278" width="12.140625" style="60" customWidth="1"/>
    <col min="11279" max="11279" width="10.5703125" style="60" customWidth="1"/>
    <col min="11280" max="11280" width="12.42578125" style="60" customWidth="1"/>
    <col min="11281" max="11281" width="15.140625" style="60" customWidth="1"/>
    <col min="11282" max="11282" width="13.5703125" style="60" customWidth="1"/>
    <col min="11283" max="11283" width="13.140625" style="60" customWidth="1"/>
    <col min="11284" max="11284" width="15.7109375" style="60" customWidth="1"/>
    <col min="11285" max="11285" width="37.5703125" style="60" customWidth="1"/>
    <col min="11286" max="11507" width="11.42578125" style="60"/>
    <col min="11508" max="11508" width="10.5703125" style="60" customWidth="1"/>
    <col min="11509" max="11509" width="4.85546875" style="60" customWidth="1"/>
    <col min="11510" max="11510" width="32.42578125" style="60" customWidth="1"/>
    <col min="11511" max="11511" width="9.85546875" style="60" customWidth="1"/>
    <col min="11512" max="11512" width="10.140625" style="60" customWidth="1"/>
    <col min="11513" max="11513" width="12.28515625" style="60" customWidth="1"/>
    <col min="11514" max="11514" width="15.42578125" style="60" customWidth="1"/>
    <col min="11515" max="11515" width="11.85546875" style="60" customWidth="1"/>
    <col min="11516" max="11516" width="13.28515625" style="60" customWidth="1"/>
    <col min="11517" max="11517" width="15.28515625" style="60" customWidth="1"/>
    <col min="11518" max="11518" width="11.85546875" style="60" customWidth="1"/>
    <col min="11519" max="11519" width="6.140625" style="60" customWidth="1"/>
    <col min="11520" max="11520" width="11.85546875" style="60" customWidth="1"/>
    <col min="11521" max="11521" width="9.42578125" style="60" customWidth="1"/>
    <col min="11522" max="11522" width="14.7109375" style="60" customWidth="1"/>
    <col min="11523" max="11523" width="11.5703125" style="60" customWidth="1"/>
    <col min="11524" max="11524" width="0.42578125" style="60" customWidth="1"/>
    <col min="11525" max="11525" width="10.5703125" style="60" bestFit="1" customWidth="1"/>
    <col min="11526" max="11526" width="12.28515625" style="60" customWidth="1"/>
    <col min="11527" max="11527" width="12.5703125" style="60" customWidth="1"/>
    <col min="11528" max="11528" width="10.5703125" style="60" customWidth="1"/>
    <col min="11529" max="11529" width="10.140625" style="60" customWidth="1"/>
    <col min="11530" max="11530" width="8.42578125" style="60" customWidth="1"/>
    <col min="11531" max="11531" width="18.85546875" style="60" customWidth="1"/>
    <col min="11532" max="11532" width="10.28515625" style="60" customWidth="1"/>
    <col min="11533" max="11533" width="11.42578125" style="60"/>
    <col min="11534" max="11534" width="12.140625" style="60" customWidth="1"/>
    <col min="11535" max="11535" width="10.5703125" style="60" customWidth="1"/>
    <col min="11536" max="11536" width="12.42578125" style="60" customWidth="1"/>
    <col min="11537" max="11537" width="15.140625" style="60" customWidth="1"/>
    <col min="11538" max="11538" width="13.5703125" style="60" customWidth="1"/>
    <col min="11539" max="11539" width="13.140625" style="60" customWidth="1"/>
    <col min="11540" max="11540" width="15.7109375" style="60" customWidth="1"/>
    <col min="11541" max="11541" width="37.5703125" style="60" customWidth="1"/>
    <col min="11542" max="11763" width="11.42578125" style="60"/>
    <col min="11764" max="11764" width="10.5703125" style="60" customWidth="1"/>
    <col min="11765" max="11765" width="4.85546875" style="60" customWidth="1"/>
    <col min="11766" max="11766" width="32.42578125" style="60" customWidth="1"/>
    <col min="11767" max="11767" width="9.85546875" style="60" customWidth="1"/>
    <col min="11768" max="11768" width="10.140625" style="60" customWidth="1"/>
    <col min="11769" max="11769" width="12.28515625" style="60" customWidth="1"/>
    <col min="11770" max="11770" width="15.42578125" style="60" customWidth="1"/>
    <col min="11771" max="11771" width="11.85546875" style="60" customWidth="1"/>
    <col min="11772" max="11772" width="13.28515625" style="60" customWidth="1"/>
    <col min="11773" max="11773" width="15.28515625" style="60" customWidth="1"/>
    <col min="11774" max="11774" width="11.85546875" style="60" customWidth="1"/>
    <col min="11775" max="11775" width="6.140625" style="60" customWidth="1"/>
    <col min="11776" max="11776" width="11.85546875" style="60" customWidth="1"/>
    <col min="11777" max="11777" width="9.42578125" style="60" customWidth="1"/>
    <col min="11778" max="11778" width="14.7109375" style="60" customWidth="1"/>
    <col min="11779" max="11779" width="11.5703125" style="60" customWidth="1"/>
    <col min="11780" max="11780" width="0.42578125" style="60" customWidth="1"/>
    <col min="11781" max="11781" width="10.5703125" style="60" bestFit="1" customWidth="1"/>
    <col min="11782" max="11782" width="12.28515625" style="60" customWidth="1"/>
    <col min="11783" max="11783" width="12.5703125" style="60" customWidth="1"/>
    <col min="11784" max="11784" width="10.5703125" style="60" customWidth="1"/>
    <col min="11785" max="11785" width="10.140625" style="60" customWidth="1"/>
    <col min="11786" max="11786" width="8.42578125" style="60" customWidth="1"/>
    <col min="11787" max="11787" width="18.85546875" style="60" customWidth="1"/>
    <col min="11788" max="11788" width="10.28515625" style="60" customWidth="1"/>
    <col min="11789" max="11789" width="11.42578125" style="60"/>
    <col min="11790" max="11790" width="12.140625" style="60" customWidth="1"/>
    <col min="11791" max="11791" width="10.5703125" style="60" customWidth="1"/>
    <col min="11792" max="11792" width="12.42578125" style="60" customWidth="1"/>
    <col min="11793" max="11793" width="15.140625" style="60" customWidth="1"/>
    <col min="11794" max="11794" width="13.5703125" style="60" customWidth="1"/>
    <col min="11795" max="11795" width="13.140625" style="60" customWidth="1"/>
    <col min="11796" max="11796" width="15.7109375" style="60" customWidth="1"/>
    <col min="11797" max="11797" width="37.5703125" style="60" customWidth="1"/>
    <col min="11798" max="12019" width="11.42578125" style="60"/>
    <col min="12020" max="12020" width="10.5703125" style="60" customWidth="1"/>
    <col min="12021" max="12021" width="4.85546875" style="60" customWidth="1"/>
    <col min="12022" max="12022" width="32.42578125" style="60" customWidth="1"/>
    <col min="12023" max="12023" width="9.85546875" style="60" customWidth="1"/>
    <col min="12024" max="12024" width="10.140625" style="60" customWidth="1"/>
    <col min="12025" max="12025" width="12.28515625" style="60" customWidth="1"/>
    <col min="12026" max="12026" width="15.42578125" style="60" customWidth="1"/>
    <col min="12027" max="12027" width="11.85546875" style="60" customWidth="1"/>
    <col min="12028" max="12028" width="13.28515625" style="60" customWidth="1"/>
    <col min="12029" max="12029" width="15.28515625" style="60" customWidth="1"/>
    <col min="12030" max="12030" width="11.85546875" style="60" customWidth="1"/>
    <col min="12031" max="12031" width="6.140625" style="60" customWidth="1"/>
    <col min="12032" max="12032" width="11.85546875" style="60" customWidth="1"/>
    <col min="12033" max="12033" width="9.42578125" style="60" customWidth="1"/>
    <col min="12034" max="12034" width="14.7109375" style="60" customWidth="1"/>
    <col min="12035" max="12035" width="11.5703125" style="60" customWidth="1"/>
    <col min="12036" max="12036" width="0.42578125" style="60" customWidth="1"/>
    <col min="12037" max="12037" width="10.5703125" style="60" bestFit="1" customWidth="1"/>
    <col min="12038" max="12038" width="12.28515625" style="60" customWidth="1"/>
    <col min="12039" max="12039" width="12.5703125" style="60" customWidth="1"/>
    <col min="12040" max="12040" width="10.5703125" style="60" customWidth="1"/>
    <col min="12041" max="12041" width="10.140625" style="60" customWidth="1"/>
    <col min="12042" max="12042" width="8.42578125" style="60" customWidth="1"/>
    <col min="12043" max="12043" width="18.85546875" style="60" customWidth="1"/>
    <col min="12044" max="12044" width="10.28515625" style="60" customWidth="1"/>
    <col min="12045" max="12045" width="11.42578125" style="60"/>
    <col min="12046" max="12046" width="12.140625" style="60" customWidth="1"/>
    <col min="12047" max="12047" width="10.5703125" style="60" customWidth="1"/>
    <col min="12048" max="12048" width="12.42578125" style="60" customWidth="1"/>
    <col min="12049" max="12049" width="15.140625" style="60" customWidth="1"/>
    <col min="12050" max="12050" width="13.5703125" style="60" customWidth="1"/>
    <col min="12051" max="12051" width="13.140625" style="60" customWidth="1"/>
    <col min="12052" max="12052" width="15.7109375" style="60" customWidth="1"/>
    <col min="12053" max="12053" width="37.5703125" style="60" customWidth="1"/>
    <col min="12054" max="12275" width="11.42578125" style="60"/>
    <col min="12276" max="12276" width="10.5703125" style="60" customWidth="1"/>
    <col min="12277" max="12277" width="4.85546875" style="60" customWidth="1"/>
    <col min="12278" max="12278" width="32.42578125" style="60" customWidth="1"/>
    <col min="12279" max="12279" width="9.85546875" style="60" customWidth="1"/>
    <col min="12280" max="12280" width="10.140625" style="60" customWidth="1"/>
    <col min="12281" max="12281" width="12.28515625" style="60" customWidth="1"/>
    <col min="12282" max="12282" width="15.42578125" style="60" customWidth="1"/>
    <col min="12283" max="12283" width="11.85546875" style="60" customWidth="1"/>
    <col min="12284" max="12284" width="13.28515625" style="60" customWidth="1"/>
    <col min="12285" max="12285" width="15.28515625" style="60" customWidth="1"/>
    <col min="12286" max="12286" width="11.85546875" style="60" customWidth="1"/>
    <col min="12287" max="12287" width="6.140625" style="60" customWidth="1"/>
    <col min="12288" max="12288" width="11.85546875" style="60" customWidth="1"/>
    <col min="12289" max="12289" width="9.42578125" style="60" customWidth="1"/>
    <col min="12290" max="12290" width="14.7109375" style="60" customWidth="1"/>
    <col min="12291" max="12291" width="11.5703125" style="60" customWidth="1"/>
    <col min="12292" max="12292" width="0.42578125" style="60" customWidth="1"/>
    <col min="12293" max="12293" width="10.5703125" style="60" bestFit="1" customWidth="1"/>
    <col min="12294" max="12294" width="12.28515625" style="60" customWidth="1"/>
    <col min="12295" max="12295" width="12.5703125" style="60" customWidth="1"/>
    <col min="12296" max="12296" width="10.5703125" style="60" customWidth="1"/>
    <col min="12297" max="12297" width="10.140625" style="60" customWidth="1"/>
    <col min="12298" max="12298" width="8.42578125" style="60" customWidth="1"/>
    <col min="12299" max="12299" width="18.85546875" style="60" customWidth="1"/>
    <col min="12300" max="12300" width="10.28515625" style="60" customWidth="1"/>
    <col min="12301" max="12301" width="11.42578125" style="60"/>
    <col min="12302" max="12302" width="12.140625" style="60" customWidth="1"/>
    <col min="12303" max="12303" width="10.5703125" style="60" customWidth="1"/>
    <col min="12304" max="12304" width="12.42578125" style="60" customWidth="1"/>
    <col min="12305" max="12305" width="15.140625" style="60" customWidth="1"/>
    <col min="12306" max="12306" width="13.5703125" style="60" customWidth="1"/>
    <col min="12307" max="12307" width="13.140625" style="60" customWidth="1"/>
    <col min="12308" max="12308" width="15.7109375" style="60" customWidth="1"/>
    <col min="12309" max="12309" width="37.5703125" style="60" customWidth="1"/>
    <col min="12310" max="12531" width="11.42578125" style="60"/>
    <col min="12532" max="12532" width="10.5703125" style="60" customWidth="1"/>
    <col min="12533" max="12533" width="4.85546875" style="60" customWidth="1"/>
    <col min="12534" max="12534" width="32.42578125" style="60" customWidth="1"/>
    <col min="12535" max="12535" width="9.85546875" style="60" customWidth="1"/>
    <col min="12536" max="12536" width="10.140625" style="60" customWidth="1"/>
    <col min="12537" max="12537" width="12.28515625" style="60" customWidth="1"/>
    <col min="12538" max="12538" width="15.42578125" style="60" customWidth="1"/>
    <col min="12539" max="12539" width="11.85546875" style="60" customWidth="1"/>
    <col min="12540" max="12540" width="13.28515625" style="60" customWidth="1"/>
    <col min="12541" max="12541" width="15.28515625" style="60" customWidth="1"/>
    <col min="12542" max="12542" width="11.85546875" style="60" customWidth="1"/>
    <col min="12543" max="12543" width="6.140625" style="60" customWidth="1"/>
    <col min="12544" max="12544" width="11.85546875" style="60" customWidth="1"/>
    <col min="12545" max="12545" width="9.42578125" style="60" customWidth="1"/>
    <col min="12546" max="12546" width="14.7109375" style="60" customWidth="1"/>
    <col min="12547" max="12547" width="11.5703125" style="60" customWidth="1"/>
    <col min="12548" max="12548" width="0.42578125" style="60" customWidth="1"/>
    <col min="12549" max="12549" width="10.5703125" style="60" bestFit="1" customWidth="1"/>
    <col min="12550" max="12550" width="12.28515625" style="60" customWidth="1"/>
    <col min="12551" max="12551" width="12.5703125" style="60" customWidth="1"/>
    <col min="12552" max="12552" width="10.5703125" style="60" customWidth="1"/>
    <col min="12553" max="12553" width="10.140625" style="60" customWidth="1"/>
    <col min="12554" max="12554" width="8.42578125" style="60" customWidth="1"/>
    <col min="12555" max="12555" width="18.85546875" style="60" customWidth="1"/>
    <col min="12556" max="12556" width="10.28515625" style="60" customWidth="1"/>
    <col min="12557" max="12557" width="11.42578125" style="60"/>
    <col min="12558" max="12558" width="12.140625" style="60" customWidth="1"/>
    <col min="12559" max="12559" width="10.5703125" style="60" customWidth="1"/>
    <col min="12560" max="12560" width="12.42578125" style="60" customWidth="1"/>
    <col min="12561" max="12561" width="15.140625" style="60" customWidth="1"/>
    <col min="12562" max="12562" width="13.5703125" style="60" customWidth="1"/>
    <col min="12563" max="12563" width="13.140625" style="60" customWidth="1"/>
    <col min="12564" max="12564" width="15.7109375" style="60" customWidth="1"/>
    <col min="12565" max="12565" width="37.5703125" style="60" customWidth="1"/>
    <col min="12566" max="12787" width="11.42578125" style="60"/>
    <col min="12788" max="12788" width="10.5703125" style="60" customWidth="1"/>
    <col min="12789" max="12789" width="4.85546875" style="60" customWidth="1"/>
    <col min="12790" max="12790" width="32.42578125" style="60" customWidth="1"/>
    <col min="12791" max="12791" width="9.85546875" style="60" customWidth="1"/>
    <col min="12792" max="12792" width="10.140625" style="60" customWidth="1"/>
    <col min="12793" max="12793" width="12.28515625" style="60" customWidth="1"/>
    <col min="12794" max="12794" width="15.42578125" style="60" customWidth="1"/>
    <col min="12795" max="12795" width="11.85546875" style="60" customWidth="1"/>
    <col min="12796" max="12796" width="13.28515625" style="60" customWidth="1"/>
    <col min="12797" max="12797" width="15.28515625" style="60" customWidth="1"/>
    <col min="12798" max="12798" width="11.85546875" style="60" customWidth="1"/>
    <col min="12799" max="12799" width="6.140625" style="60" customWidth="1"/>
    <col min="12800" max="12800" width="11.85546875" style="60" customWidth="1"/>
    <col min="12801" max="12801" width="9.42578125" style="60" customWidth="1"/>
    <col min="12802" max="12802" width="14.7109375" style="60" customWidth="1"/>
    <col min="12803" max="12803" width="11.5703125" style="60" customWidth="1"/>
    <col min="12804" max="12804" width="0.42578125" style="60" customWidth="1"/>
    <col min="12805" max="12805" width="10.5703125" style="60" bestFit="1" customWidth="1"/>
    <col min="12806" max="12806" width="12.28515625" style="60" customWidth="1"/>
    <col min="12807" max="12807" width="12.5703125" style="60" customWidth="1"/>
    <col min="12808" max="12808" width="10.5703125" style="60" customWidth="1"/>
    <col min="12809" max="12809" width="10.140625" style="60" customWidth="1"/>
    <col min="12810" max="12810" width="8.42578125" style="60" customWidth="1"/>
    <col min="12811" max="12811" width="18.85546875" style="60" customWidth="1"/>
    <col min="12812" max="12812" width="10.28515625" style="60" customWidth="1"/>
    <col min="12813" max="12813" width="11.42578125" style="60"/>
    <col min="12814" max="12814" width="12.140625" style="60" customWidth="1"/>
    <col min="12815" max="12815" width="10.5703125" style="60" customWidth="1"/>
    <col min="12816" max="12816" width="12.42578125" style="60" customWidth="1"/>
    <col min="12817" max="12817" width="15.140625" style="60" customWidth="1"/>
    <col min="12818" max="12818" width="13.5703125" style="60" customWidth="1"/>
    <col min="12819" max="12819" width="13.140625" style="60" customWidth="1"/>
    <col min="12820" max="12820" width="15.7109375" style="60" customWidth="1"/>
    <col min="12821" max="12821" width="37.5703125" style="60" customWidth="1"/>
    <col min="12822" max="13043" width="11.42578125" style="60"/>
    <col min="13044" max="13044" width="10.5703125" style="60" customWidth="1"/>
    <col min="13045" max="13045" width="4.85546875" style="60" customWidth="1"/>
    <col min="13046" max="13046" width="32.42578125" style="60" customWidth="1"/>
    <col min="13047" max="13047" width="9.85546875" style="60" customWidth="1"/>
    <col min="13048" max="13048" width="10.140625" style="60" customWidth="1"/>
    <col min="13049" max="13049" width="12.28515625" style="60" customWidth="1"/>
    <col min="13050" max="13050" width="15.42578125" style="60" customWidth="1"/>
    <col min="13051" max="13051" width="11.85546875" style="60" customWidth="1"/>
    <col min="13052" max="13052" width="13.28515625" style="60" customWidth="1"/>
    <col min="13053" max="13053" width="15.28515625" style="60" customWidth="1"/>
    <col min="13054" max="13054" width="11.85546875" style="60" customWidth="1"/>
    <col min="13055" max="13055" width="6.140625" style="60" customWidth="1"/>
    <col min="13056" max="13056" width="11.85546875" style="60" customWidth="1"/>
    <col min="13057" max="13057" width="9.42578125" style="60" customWidth="1"/>
    <col min="13058" max="13058" width="14.7109375" style="60" customWidth="1"/>
    <col min="13059" max="13059" width="11.5703125" style="60" customWidth="1"/>
    <col min="13060" max="13060" width="0.42578125" style="60" customWidth="1"/>
    <col min="13061" max="13061" width="10.5703125" style="60" bestFit="1" customWidth="1"/>
    <col min="13062" max="13062" width="12.28515625" style="60" customWidth="1"/>
    <col min="13063" max="13063" width="12.5703125" style="60" customWidth="1"/>
    <col min="13064" max="13064" width="10.5703125" style="60" customWidth="1"/>
    <col min="13065" max="13065" width="10.140625" style="60" customWidth="1"/>
    <col min="13066" max="13066" width="8.42578125" style="60" customWidth="1"/>
    <col min="13067" max="13067" width="18.85546875" style="60" customWidth="1"/>
    <col min="13068" max="13068" width="10.28515625" style="60" customWidth="1"/>
    <col min="13069" max="13069" width="11.42578125" style="60"/>
    <col min="13070" max="13070" width="12.140625" style="60" customWidth="1"/>
    <col min="13071" max="13071" width="10.5703125" style="60" customWidth="1"/>
    <col min="13072" max="13072" width="12.42578125" style="60" customWidth="1"/>
    <col min="13073" max="13073" width="15.140625" style="60" customWidth="1"/>
    <col min="13074" max="13074" width="13.5703125" style="60" customWidth="1"/>
    <col min="13075" max="13075" width="13.140625" style="60" customWidth="1"/>
    <col min="13076" max="13076" width="15.7109375" style="60" customWidth="1"/>
    <col min="13077" max="13077" width="37.5703125" style="60" customWidth="1"/>
    <col min="13078" max="13299" width="11.42578125" style="60"/>
    <col min="13300" max="13300" width="10.5703125" style="60" customWidth="1"/>
    <col min="13301" max="13301" width="4.85546875" style="60" customWidth="1"/>
    <col min="13302" max="13302" width="32.42578125" style="60" customWidth="1"/>
    <col min="13303" max="13303" width="9.85546875" style="60" customWidth="1"/>
    <col min="13304" max="13304" width="10.140625" style="60" customWidth="1"/>
    <col min="13305" max="13305" width="12.28515625" style="60" customWidth="1"/>
    <col min="13306" max="13306" width="15.42578125" style="60" customWidth="1"/>
    <col min="13307" max="13307" width="11.85546875" style="60" customWidth="1"/>
    <col min="13308" max="13308" width="13.28515625" style="60" customWidth="1"/>
    <col min="13309" max="13309" width="15.28515625" style="60" customWidth="1"/>
    <col min="13310" max="13310" width="11.85546875" style="60" customWidth="1"/>
    <col min="13311" max="13311" width="6.140625" style="60" customWidth="1"/>
    <col min="13312" max="13312" width="11.85546875" style="60" customWidth="1"/>
    <col min="13313" max="13313" width="9.42578125" style="60" customWidth="1"/>
    <col min="13314" max="13314" width="14.7109375" style="60" customWidth="1"/>
    <col min="13315" max="13315" width="11.5703125" style="60" customWidth="1"/>
    <col min="13316" max="13316" width="0.42578125" style="60" customWidth="1"/>
    <col min="13317" max="13317" width="10.5703125" style="60" bestFit="1" customWidth="1"/>
    <col min="13318" max="13318" width="12.28515625" style="60" customWidth="1"/>
    <col min="13319" max="13319" width="12.5703125" style="60" customWidth="1"/>
    <col min="13320" max="13320" width="10.5703125" style="60" customWidth="1"/>
    <col min="13321" max="13321" width="10.140625" style="60" customWidth="1"/>
    <col min="13322" max="13322" width="8.42578125" style="60" customWidth="1"/>
    <col min="13323" max="13323" width="18.85546875" style="60" customWidth="1"/>
    <col min="13324" max="13324" width="10.28515625" style="60" customWidth="1"/>
    <col min="13325" max="13325" width="11.42578125" style="60"/>
    <col min="13326" max="13326" width="12.140625" style="60" customWidth="1"/>
    <col min="13327" max="13327" width="10.5703125" style="60" customWidth="1"/>
    <col min="13328" max="13328" width="12.42578125" style="60" customWidth="1"/>
    <col min="13329" max="13329" width="15.140625" style="60" customWidth="1"/>
    <col min="13330" max="13330" width="13.5703125" style="60" customWidth="1"/>
    <col min="13331" max="13331" width="13.140625" style="60" customWidth="1"/>
    <col min="13332" max="13332" width="15.7109375" style="60" customWidth="1"/>
    <col min="13333" max="13333" width="37.5703125" style="60" customWidth="1"/>
    <col min="13334" max="13555" width="11.42578125" style="60"/>
    <col min="13556" max="13556" width="10.5703125" style="60" customWidth="1"/>
    <col min="13557" max="13557" width="4.85546875" style="60" customWidth="1"/>
    <col min="13558" max="13558" width="32.42578125" style="60" customWidth="1"/>
    <col min="13559" max="13559" width="9.85546875" style="60" customWidth="1"/>
    <col min="13560" max="13560" width="10.140625" style="60" customWidth="1"/>
    <col min="13561" max="13561" width="12.28515625" style="60" customWidth="1"/>
    <col min="13562" max="13562" width="15.42578125" style="60" customWidth="1"/>
    <col min="13563" max="13563" width="11.85546875" style="60" customWidth="1"/>
    <col min="13564" max="13564" width="13.28515625" style="60" customWidth="1"/>
    <col min="13565" max="13565" width="15.28515625" style="60" customWidth="1"/>
    <col min="13566" max="13566" width="11.85546875" style="60" customWidth="1"/>
    <col min="13567" max="13567" width="6.140625" style="60" customWidth="1"/>
    <col min="13568" max="13568" width="11.85546875" style="60" customWidth="1"/>
    <col min="13569" max="13569" width="9.42578125" style="60" customWidth="1"/>
    <col min="13570" max="13570" width="14.7109375" style="60" customWidth="1"/>
    <col min="13571" max="13571" width="11.5703125" style="60" customWidth="1"/>
    <col min="13572" max="13572" width="0.42578125" style="60" customWidth="1"/>
    <col min="13573" max="13573" width="10.5703125" style="60" bestFit="1" customWidth="1"/>
    <col min="13574" max="13574" width="12.28515625" style="60" customWidth="1"/>
    <col min="13575" max="13575" width="12.5703125" style="60" customWidth="1"/>
    <col min="13576" max="13576" width="10.5703125" style="60" customWidth="1"/>
    <col min="13577" max="13577" width="10.140625" style="60" customWidth="1"/>
    <col min="13578" max="13578" width="8.42578125" style="60" customWidth="1"/>
    <col min="13579" max="13579" width="18.85546875" style="60" customWidth="1"/>
    <col min="13580" max="13580" width="10.28515625" style="60" customWidth="1"/>
    <col min="13581" max="13581" width="11.42578125" style="60"/>
    <col min="13582" max="13582" width="12.140625" style="60" customWidth="1"/>
    <col min="13583" max="13583" width="10.5703125" style="60" customWidth="1"/>
    <col min="13584" max="13584" width="12.42578125" style="60" customWidth="1"/>
    <col min="13585" max="13585" width="15.140625" style="60" customWidth="1"/>
    <col min="13586" max="13586" width="13.5703125" style="60" customWidth="1"/>
    <col min="13587" max="13587" width="13.140625" style="60" customWidth="1"/>
    <col min="13588" max="13588" width="15.7109375" style="60" customWidth="1"/>
    <col min="13589" max="13589" width="37.5703125" style="60" customWidth="1"/>
    <col min="13590" max="13811" width="11.42578125" style="60"/>
    <col min="13812" max="13812" width="10.5703125" style="60" customWidth="1"/>
    <col min="13813" max="13813" width="4.85546875" style="60" customWidth="1"/>
    <col min="13814" max="13814" width="32.42578125" style="60" customWidth="1"/>
    <col min="13815" max="13815" width="9.85546875" style="60" customWidth="1"/>
    <col min="13816" max="13816" width="10.140625" style="60" customWidth="1"/>
    <col min="13817" max="13817" width="12.28515625" style="60" customWidth="1"/>
    <col min="13818" max="13818" width="15.42578125" style="60" customWidth="1"/>
    <col min="13819" max="13819" width="11.85546875" style="60" customWidth="1"/>
    <col min="13820" max="13820" width="13.28515625" style="60" customWidth="1"/>
    <col min="13821" max="13821" width="15.28515625" style="60" customWidth="1"/>
    <col min="13822" max="13822" width="11.85546875" style="60" customWidth="1"/>
    <col min="13823" max="13823" width="6.140625" style="60" customWidth="1"/>
    <col min="13824" max="13824" width="11.85546875" style="60" customWidth="1"/>
    <col min="13825" max="13825" width="9.42578125" style="60" customWidth="1"/>
    <col min="13826" max="13826" width="14.7109375" style="60" customWidth="1"/>
    <col min="13827" max="13827" width="11.5703125" style="60" customWidth="1"/>
    <col min="13828" max="13828" width="0.42578125" style="60" customWidth="1"/>
    <col min="13829" max="13829" width="10.5703125" style="60" bestFit="1" customWidth="1"/>
    <col min="13830" max="13830" width="12.28515625" style="60" customWidth="1"/>
    <col min="13831" max="13831" width="12.5703125" style="60" customWidth="1"/>
    <col min="13832" max="13832" width="10.5703125" style="60" customWidth="1"/>
    <col min="13833" max="13833" width="10.140625" style="60" customWidth="1"/>
    <col min="13834" max="13834" width="8.42578125" style="60" customWidth="1"/>
    <col min="13835" max="13835" width="18.85546875" style="60" customWidth="1"/>
    <col min="13836" max="13836" width="10.28515625" style="60" customWidth="1"/>
    <col min="13837" max="13837" width="11.42578125" style="60"/>
    <col min="13838" max="13838" width="12.140625" style="60" customWidth="1"/>
    <col min="13839" max="13839" width="10.5703125" style="60" customWidth="1"/>
    <col min="13840" max="13840" width="12.42578125" style="60" customWidth="1"/>
    <col min="13841" max="13841" width="15.140625" style="60" customWidth="1"/>
    <col min="13842" max="13842" width="13.5703125" style="60" customWidth="1"/>
    <col min="13843" max="13843" width="13.140625" style="60" customWidth="1"/>
    <col min="13844" max="13844" width="15.7109375" style="60" customWidth="1"/>
    <col min="13845" max="13845" width="37.5703125" style="60" customWidth="1"/>
    <col min="13846" max="14067" width="11.42578125" style="60"/>
    <col min="14068" max="14068" width="10.5703125" style="60" customWidth="1"/>
    <col min="14069" max="14069" width="4.85546875" style="60" customWidth="1"/>
    <col min="14070" max="14070" width="32.42578125" style="60" customWidth="1"/>
    <col min="14071" max="14071" width="9.85546875" style="60" customWidth="1"/>
    <col min="14072" max="14072" width="10.140625" style="60" customWidth="1"/>
    <col min="14073" max="14073" width="12.28515625" style="60" customWidth="1"/>
    <col min="14074" max="14074" width="15.42578125" style="60" customWidth="1"/>
    <col min="14075" max="14075" width="11.85546875" style="60" customWidth="1"/>
    <col min="14076" max="14076" width="13.28515625" style="60" customWidth="1"/>
    <col min="14077" max="14077" width="15.28515625" style="60" customWidth="1"/>
    <col min="14078" max="14078" width="11.85546875" style="60" customWidth="1"/>
    <col min="14079" max="14079" width="6.140625" style="60" customWidth="1"/>
    <col min="14080" max="14080" width="11.85546875" style="60" customWidth="1"/>
    <col min="14081" max="14081" width="9.42578125" style="60" customWidth="1"/>
    <col min="14082" max="14082" width="14.7109375" style="60" customWidth="1"/>
    <col min="14083" max="14083" width="11.5703125" style="60" customWidth="1"/>
    <col min="14084" max="14084" width="0.42578125" style="60" customWidth="1"/>
    <col min="14085" max="14085" width="10.5703125" style="60" bestFit="1" customWidth="1"/>
    <col min="14086" max="14086" width="12.28515625" style="60" customWidth="1"/>
    <col min="14087" max="14087" width="12.5703125" style="60" customWidth="1"/>
    <col min="14088" max="14088" width="10.5703125" style="60" customWidth="1"/>
    <col min="14089" max="14089" width="10.140625" style="60" customWidth="1"/>
    <col min="14090" max="14090" width="8.42578125" style="60" customWidth="1"/>
    <col min="14091" max="14091" width="18.85546875" style="60" customWidth="1"/>
    <col min="14092" max="14092" width="10.28515625" style="60" customWidth="1"/>
    <col min="14093" max="14093" width="11.42578125" style="60"/>
    <col min="14094" max="14094" width="12.140625" style="60" customWidth="1"/>
    <col min="14095" max="14095" width="10.5703125" style="60" customWidth="1"/>
    <col min="14096" max="14096" width="12.42578125" style="60" customWidth="1"/>
    <col min="14097" max="14097" width="15.140625" style="60" customWidth="1"/>
    <col min="14098" max="14098" width="13.5703125" style="60" customWidth="1"/>
    <col min="14099" max="14099" width="13.140625" style="60" customWidth="1"/>
    <col min="14100" max="14100" width="15.7109375" style="60" customWidth="1"/>
    <col min="14101" max="14101" width="37.5703125" style="60" customWidth="1"/>
    <col min="14102" max="14323" width="11.42578125" style="60"/>
    <col min="14324" max="14324" width="10.5703125" style="60" customWidth="1"/>
    <col min="14325" max="14325" width="4.85546875" style="60" customWidth="1"/>
    <col min="14326" max="14326" width="32.42578125" style="60" customWidth="1"/>
    <col min="14327" max="14327" width="9.85546875" style="60" customWidth="1"/>
    <col min="14328" max="14328" width="10.140625" style="60" customWidth="1"/>
    <col min="14329" max="14329" width="12.28515625" style="60" customWidth="1"/>
    <col min="14330" max="14330" width="15.42578125" style="60" customWidth="1"/>
    <col min="14331" max="14331" width="11.85546875" style="60" customWidth="1"/>
    <col min="14332" max="14332" width="13.28515625" style="60" customWidth="1"/>
    <col min="14333" max="14333" width="15.28515625" style="60" customWidth="1"/>
    <col min="14334" max="14334" width="11.85546875" style="60" customWidth="1"/>
    <col min="14335" max="14335" width="6.140625" style="60" customWidth="1"/>
    <col min="14336" max="14336" width="11.85546875" style="60" customWidth="1"/>
    <col min="14337" max="14337" width="9.42578125" style="60" customWidth="1"/>
    <col min="14338" max="14338" width="14.7109375" style="60" customWidth="1"/>
    <col min="14339" max="14339" width="11.5703125" style="60" customWidth="1"/>
    <col min="14340" max="14340" width="0.42578125" style="60" customWidth="1"/>
    <col min="14341" max="14341" width="10.5703125" style="60" bestFit="1" customWidth="1"/>
    <col min="14342" max="14342" width="12.28515625" style="60" customWidth="1"/>
    <col min="14343" max="14343" width="12.5703125" style="60" customWidth="1"/>
    <col min="14344" max="14344" width="10.5703125" style="60" customWidth="1"/>
    <col min="14345" max="14345" width="10.140625" style="60" customWidth="1"/>
    <col min="14346" max="14346" width="8.42578125" style="60" customWidth="1"/>
    <col min="14347" max="14347" width="18.85546875" style="60" customWidth="1"/>
    <col min="14348" max="14348" width="10.28515625" style="60" customWidth="1"/>
    <col min="14349" max="14349" width="11.42578125" style="60"/>
    <col min="14350" max="14350" width="12.140625" style="60" customWidth="1"/>
    <col min="14351" max="14351" width="10.5703125" style="60" customWidth="1"/>
    <col min="14352" max="14352" width="12.42578125" style="60" customWidth="1"/>
    <col min="14353" max="14353" width="15.140625" style="60" customWidth="1"/>
    <col min="14354" max="14354" width="13.5703125" style="60" customWidth="1"/>
    <col min="14355" max="14355" width="13.140625" style="60" customWidth="1"/>
    <col min="14356" max="14356" width="15.7109375" style="60" customWidth="1"/>
    <col min="14357" max="14357" width="37.5703125" style="60" customWidth="1"/>
    <col min="14358" max="14579" width="11.42578125" style="60"/>
    <col min="14580" max="14580" width="10.5703125" style="60" customWidth="1"/>
    <col min="14581" max="14581" width="4.85546875" style="60" customWidth="1"/>
    <col min="14582" max="14582" width="32.42578125" style="60" customWidth="1"/>
    <col min="14583" max="14583" width="9.85546875" style="60" customWidth="1"/>
    <col min="14584" max="14584" width="10.140625" style="60" customWidth="1"/>
    <col min="14585" max="14585" width="12.28515625" style="60" customWidth="1"/>
    <col min="14586" max="14586" width="15.42578125" style="60" customWidth="1"/>
    <col min="14587" max="14587" width="11.85546875" style="60" customWidth="1"/>
    <col min="14588" max="14588" width="13.28515625" style="60" customWidth="1"/>
    <col min="14589" max="14589" width="15.28515625" style="60" customWidth="1"/>
    <col min="14590" max="14590" width="11.85546875" style="60" customWidth="1"/>
    <col min="14591" max="14591" width="6.140625" style="60" customWidth="1"/>
    <col min="14592" max="14592" width="11.85546875" style="60" customWidth="1"/>
    <col min="14593" max="14593" width="9.42578125" style="60" customWidth="1"/>
    <col min="14594" max="14594" width="14.7109375" style="60" customWidth="1"/>
    <col min="14595" max="14595" width="11.5703125" style="60" customWidth="1"/>
    <col min="14596" max="14596" width="0.42578125" style="60" customWidth="1"/>
    <col min="14597" max="14597" width="10.5703125" style="60" bestFit="1" customWidth="1"/>
    <col min="14598" max="14598" width="12.28515625" style="60" customWidth="1"/>
    <col min="14599" max="14599" width="12.5703125" style="60" customWidth="1"/>
    <col min="14600" max="14600" width="10.5703125" style="60" customWidth="1"/>
    <col min="14601" max="14601" width="10.140625" style="60" customWidth="1"/>
    <col min="14602" max="14602" width="8.42578125" style="60" customWidth="1"/>
    <col min="14603" max="14603" width="18.85546875" style="60" customWidth="1"/>
    <col min="14604" max="14604" width="10.28515625" style="60" customWidth="1"/>
    <col min="14605" max="14605" width="11.42578125" style="60"/>
    <col min="14606" max="14606" width="12.140625" style="60" customWidth="1"/>
    <col min="14607" max="14607" width="10.5703125" style="60" customWidth="1"/>
    <col min="14608" max="14608" width="12.42578125" style="60" customWidth="1"/>
    <col min="14609" max="14609" width="15.140625" style="60" customWidth="1"/>
    <col min="14610" max="14610" width="13.5703125" style="60" customWidth="1"/>
    <col min="14611" max="14611" width="13.140625" style="60" customWidth="1"/>
    <col min="14612" max="14612" width="15.7109375" style="60" customWidth="1"/>
    <col min="14613" max="14613" width="37.5703125" style="60" customWidth="1"/>
    <col min="14614" max="14835" width="11.42578125" style="60"/>
    <col min="14836" max="14836" width="10.5703125" style="60" customWidth="1"/>
    <col min="14837" max="14837" width="4.85546875" style="60" customWidth="1"/>
    <col min="14838" max="14838" width="32.42578125" style="60" customWidth="1"/>
    <col min="14839" max="14839" width="9.85546875" style="60" customWidth="1"/>
    <col min="14840" max="14840" width="10.140625" style="60" customWidth="1"/>
    <col min="14841" max="14841" width="12.28515625" style="60" customWidth="1"/>
    <col min="14842" max="14842" width="15.42578125" style="60" customWidth="1"/>
    <col min="14843" max="14843" width="11.85546875" style="60" customWidth="1"/>
    <col min="14844" max="14844" width="13.28515625" style="60" customWidth="1"/>
    <col min="14845" max="14845" width="15.28515625" style="60" customWidth="1"/>
    <col min="14846" max="14846" width="11.85546875" style="60" customWidth="1"/>
    <col min="14847" max="14847" width="6.140625" style="60" customWidth="1"/>
    <col min="14848" max="14848" width="11.85546875" style="60" customWidth="1"/>
    <col min="14849" max="14849" width="9.42578125" style="60" customWidth="1"/>
    <col min="14850" max="14850" width="14.7109375" style="60" customWidth="1"/>
    <col min="14851" max="14851" width="11.5703125" style="60" customWidth="1"/>
    <col min="14852" max="14852" width="0.42578125" style="60" customWidth="1"/>
    <col min="14853" max="14853" width="10.5703125" style="60" bestFit="1" customWidth="1"/>
    <col min="14854" max="14854" width="12.28515625" style="60" customWidth="1"/>
    <col min="14855" max="14855" width="12.5703125" style="60" customWidth="1"/>
    <col min="14856" max="14856" width="10.5703125" style="60" customWidth="1"/>
    <col min="14857" max="14857" width="10.140625" style="60" customWidth="1"/>
    <col min="14858" max="14858" width="8.42578125" style="60" customWidth="1"/>
    <col min="14859" max="14859" width="18.85546875" style="60" customWidth="1"/>
    <col min="14860" max="14860" width="10.28515625" style="60" customWidth="1"/>
    <col min="14861" max="14861" width="11.42578125" style="60"/>
    <col min="14862" max="14862" width="12.140625" style="60" customWidth="1"/>
    <col min="14863" max="14863" width="10.5703125" style="60" customWidth="1"/>
    <col min="14864" max="14864" width="12.42578125" style="60" customWidth="1"/>
    <col min="14865" max="14865" width="15.140625" style="60" customWidth="1"/>
    <col min="14866" max="14866" width="13.5703125" style="60" customWidth="1"/>
    <col min="14867" max="14867" width="13.140625" style="60" customWidth="1"/>
    <col min="14868" max="14868" width="15.7109375" style="60" customWidth="1"/>
    <col min="14869" max="14869" width="37.5703125" style="60" customWidth="1"/>
    <col min="14870" max="15091" width="11.42578125" style="60"/>
    <col min="15092" max="15092" width="10.5703125" style="60" customWidth="1"/>
    <col min="15093" max="15093" width="4.85546875" style="60" customWidth="1"/>
    <col min="15094" max="15094" width="32.42578125" style="60" customWidth="1"/>
    <col min="15095" max="15095" width="9.85546875" style="60" customWidth="1"/>
    <col min="15096" max="15096" width="10.140625" style="60" customWidth="1"/>
    <col min="15097" max="15097" width="12.28515625" style="60" customWidth="1"/>
    <col min="15098" max="15098" width="15.42578125" style="60" customWidth="1"/>
    <col min="15099" max="15099" width="11.85546875" style="60" customWidth="1"/>
    <col min="15100" max="15100" width="13.28515625" style="60" customWidth="1"/>
    <col min="15101" max="15101" width="15.28515625" style="60" customWidth="1"/>
    <col min="15102" max="15102" width="11.85546875" style="60" customWidth="1"/>
    <col min="15103" max="15103" width="6.140625" style="60" customWidth="1"/>
    <col min="15104" max="15104" width="11.85546875" style="60" customWidth="1"/>
    <col min="15105" max="15105" width="9.42578125" style="60" customWidth="1"/>
    <col min="15106" max="15106" width="14.7109375" style="60" customWidth="1"/>
    <col min="15107" max="15107" width="11.5703125" style="60" customWidth="1"/>
    <col min="15108" max="15108" width="0.42578125" style="60" customWidth="1"/>
    <col min="15109" max="15109" width="10.5703125" style="60" bestFit="1" customWidth="1"/>
    <col min="15110" max="15110" width="12.28515625" style="60" customWidth="1"/>
    <col min="15111" max="15111" width="12.5703125" style="60" customWidth="1"/>
    <col min="15112" max="15112" width="10.5703125" style="60" customWidth="1"/>
    <col min="15113" max="15113" width="10.140625" style="60" customWidth="1"/>
    <col min="15114" max="15114" width="8.42578125" style="60" customWidth="1"/>
    <col min="15115" max="15115" width="18.85546875" style="60" customWidth="1"/>
    <col min="15116" max="15116" width="10.28515625" style="60" customWidth="1"/>
    <col min="15117" max="15117" width="11.42578125" style="60"/>
    <col min="15118" max="15118" width="12.140625" style="60" customWidth="1"/>
    <col min="15119" max="15119" width="10.5703125" style="60" customWidth="1"/>
    <col min="15120" max="15120" width="12.42578125" style="60" customWidth="1"/>
    <col min="15121" max="15121" width="15.140625" style="60" customWidth="1"/>
    <col min="15122" max="15122" width="13.5703125" style="60" customWidth="1"/>
    <col min="15123" max="15123" width="13.140625" style="60" customWidth="1"/>
    <col min="15124" max="15124" width="15.7109375" style="60" customWidth="1"/>
    <col min="15125" max="15125" width="37.5703125" style="60" customWidth="1"/>
    <col min="15126" max="15347" width="11.42578125" style="60"/>
    <col min="15348" max="15348" width="10.5703125" style="60" customWidth="1"/>
    <col min="15349" max="15349" width="4.85546875" style="60" customWidth="1"/>
    <col min="15350" max="15350" width="32.42578125" style="60" customWidth="1"/>
    <col min="15351" max="15351" width="9.85546875" style="60" customWidth="1"/>
    <col min="15352" max="15352" width="10.140625" style="60" customWidth="1"/>
    <col min="15353" max="15353" width="12.28515625" style="60" customWidth="1"/>
    <col min="15354" max="15354" width="15.42578125" style="60" customWidth="1"/>
    <col min="15355" max="15355" width="11.85546875" style="60" customWidth="1"/>
    <col min="15356" max="15356" width="13.28515625" style="60" customWidth="1"/>
    <col min="15357" max="15357" width="15.28515625" style="60" customWidth="1"/>
    <col min="15358" max="15358" width="11.85546875" style="60" customWidth="1"/>
    <col min="15359" max="15359" width="6.140625" style="60" customWidth="1"/>
    <col min="15360" max="15360" width="11.85546875" style="60" customWidth="1"/>
    <col min="15361" max="15361" width="9.42578125" style="60" customWidth="1"/>
    <col min="15362" max="15362" width="14.7109375" style="60" customWidth="1"/>
    <col min="15363" max="15363" width="11.5703125" style="60" customWidth="1"/>
    <col min="15364" max="15364" width="0.42578125" style="60" customWidth="1"/>
    <col min="15365" max="15365" width="10.5703125" style="60" bestFit="1" customWidth="1"/>
    <col min="15366" max="15366" width="12.28515625" style="60" customWidth="1"/>
    <col min="15367" max="15367" width="12.5703125" style="60" customWidth="1"/>
    <col min="15368" max="15368" width="10.5703125" style="60" customWidth="1"/>
    <col min="15369" max="15369" width="10.140625" style="60" customWidth="1"/>
    <col min="15370" max="15370" width="8.42578125" style="60" customWidth="1"/>
    <col min="15371" max="15371" width="18.85546875" style="60" customWidth="1"/>
    <col min="15372" max="15372" width="10.28515625" style="60" customWidth="1"/>
    <col min="15373" max="15373" width="11.42578125" style="60"/>
    <col min="15374" max="15374" width="12.140625" style="60" customWidth="1"/>
    <col min="15375" max="15375" width="10.5703125" style="60" customWidth="1"/>
    <col min="15376" max="15376" width="12.42578125" style="60" customWidth="1"/>
    <col min="15377" max="15377" width="15.140625" style="60" customWidth="1"/>
    <col min="15378" max="15378" width="13.5703125" style="60" customWidth="1"/>
    <col min="15379" max="15379" width="13.140625" style="60" customWidth="1"/>
    <col min="15380" max="15380" width="15.7109375" style="60" customWidth="1"/>
    <col min="15381" max="15381" width="37.5703125" style="60" customWidth="1"/>
    <col min="15382" max="15603" width="11.42578125" style="60"/>
    <col min="15604" max="15604" width="10.5703125" style="60" customWidth="1"/>
    <col min="15605" max="15605" width="4.85546875" style="60" customWidth="1"/>
    <col min="15606" max="15606" width="32.42578125" style="60" customWidth="1"/>
    <col min="15607" max="15607" width="9.85546875" style="60" customWidth="1"/>
    <col min="15608" max="15608" width="10.140625" style="60" customWidth="1"/>
    <col min="15609" max="15609" width="12.28515625" style="60" customWidth="1"/>
    <col min="15610" max="15610" width="15.42578125" style="60" customWidth="1"/>
    <col min="15611" max="15611" width="11.85546875" style="60" customWidth="1"/>
    <col min="15612" max="15612" width="13.28515625" style="60" customWidth="1"/>
    <col min="15613" max="15613" width="15.28515625" style="60" customWidth="1"/>
    <col min="15614" max="15614" width="11.85546875" style="60" customWidth="1"/>
    <col min="15615" max="15615" width="6.140625" style="60" customWidth="1"/>
    <col min="15616" max="15616" width="11.85546875" style="60" customWidth="1"/>
    <col min="15617" max="15617" width="9.42578125" style="60" customWidth="1"/>
    <col min="15618" max="15618" width="14.7109375" style="60" customWidth="1"/>
    <col min="15619" max="15619" width="11.5703125" style="60" customWidth="1"/>
    <col min="15620" max="15620" width="0.42578125" style="60" customWidth="1"/>
    <col min="15621" max="15621" width="10.5703125" style="60" bestFit="1" customWidth="1"/>
    <col min="15622" max="15622" width="12.28515625" style="60" customWidth="1"/>
    <col min="15623" max="15623" width="12.5703125" style="60" customWidth="1"/>
    <col min="15624" max="15624" width="10.5703125" style="60" customWidth="1"/>
    <col min="15625" max="15625" width="10.140625" style="60" customWidth="1"/>
    <col min="15626" max="15626" width="8.42578125" style="60" customWidth="1"/>
    <col min="15627" max="15627" width="18.85546875" style="60" customWidth="1"/>
    <col min="15628" max="15628" width="10.28515625" style="60" customWidth="1"/>
    <col min="15629" max="15629" width="11.42578125" style="60"/>
    <col min="15630" max="15630" width="12.140625" style="60" customWidth="1"/>
    <col min="15631" max="15631" width="10.5703125" style="60" customWidth="1"/>
    <col min="15632" max="15632" width="12.42578125" style="60" customWidth="1"/>
    <col min="15633" max="15633" width="15.140625" style="60" customWidth="1"/>
    <col min="15634" max="15634" width="13.5703125" style="60" customWidth="1"/>
    <col min="15635" max="15635" width="13.140625" style="60" customWidth="1"/>
    <col min="15636" max="15636" width="15.7109375" style="60" customWidth="1"/>
    <col min="15637" max="15637" width="37.5703125" style="60" customWidth="1"/>
    <col min="15638" max="15859" width="11.42578125" style="60"/>
    <col min="15860" max="15860" width="10.5703125" style="60" customWidth="1"/>
    <col min="15861" max="15861" width="4.85546875" style="60" customWidth="1"/>
    <col min="15862" max="15862" width="32.42578125" style="60" customWidth="1"/>
    <col min="15863" max="15863" width="9.85546875" style="60" customWidth="1"/>
    <col min="15864" max="15864" width="10.140625" style="60" customWidth="1"/>
    <col min="15865" max="15865" width="12.28515625" style="60" customWidth="1"/>
    <col min="15866" max="15866" width="15.42578125" style="60" customWidth="1"/>
    <col min="15867" max="15867" width="11.85546875" style="60" customWidth="1"/>
    <col min="15868" max="15868" width="13.28515625" style="60" customWidth="1"/>
    <col min="15869" max="15869" width="15.28515625" style="60" customWidth="1"/>
    <col min="15870" max="15870" width="11.85546875" style="60" customWidth="1"/>
    <col min="15871" max="15871" width="6.140625" style="60" customWidth="1"/>
    <col min="15872" max="15872" width="11.85546875" style="60" customWidth="1"/>
    <col min="15873" max="15873" width="9.42578125" style="60" customWidth="1"/>
    <col min="15874" max="15874" width="14.7109375" style="60" customWidth="1"/>
    <col min="15875" max="15875" width="11.5703125" style="60" customWidth="1"/>
    <col min="15876" max="15876" width="0.42578125" style="60" customWidth="1"/>
    <col min="15877" max="15877" width="10.5703125" style="60" bestFit="1" customWidth="1"/>
    <col min="15878" max="15878" width="12.28515625" style="60" customWidth="1"/>
    <col min="15879" max="15879" width="12.5703125" style="60" customWidth="1"/>
    <col min="15880" max="15880" width="10.5703125" style="60" customWidth="1"/>
    <col min="15881" max="15881" width="10.140625" style="60" customWidth="1"/>
    <col min="15882" max="15882" width="8.42578125" style="60" customWidth="1"/>
    <col min="15883" max="15883" width="18.85546875" style="60" customWidth="1"/>
    <col min="15884" max="15884" width="10.28515625" style="60" customWidth="1"/>
    <col min="15885" max="15885" width="11.42578125" style="60"/>
    <col min="15886" max="15886" width="12.140625" style="60" customWidth="1"/>
    <col min="15887" max="15887" width="10.5703125" style="60" customWidth="1"/>
    <col min="15888" max="15888" width="12.42578125" style="60" customWidth="1"/>
    <col min="15889" max="15889" width="15.140625" style="60" customWidth="1"/>
    <col min="15890" max="15890" width="13.5703125" style="60" customWidth="1"/>
    <col min="15891" max="15891" width="13.140625" style="60" customWidth="1"/>
    <col min="15892" max="15892" width="15.7109375" style="60" customWidth="1"/>
    <col min="15893" max="15893" width="37.5703125" style="60" customWidth="1"/>
    <col min="15894" max="16115" width="11.42578125" style="60"/>
    <col min="16116" max="16116" width="10.5703125" style="60" customWidth="1"/>
    <col min="16117" max="16117" width="4.85546875" style="60" customWidth="1"/>
    <col min="16118" max="16118" width="32.42578125" style="60" customWidth="1"/>
    <col min="16119" max="16119" width="9.85546875" style="60" customWidth="1"/>
    <col min="16120" max="16120" width="10.140625" style="60" customWidth="1"/>
    <col min="16121" max="16121" width="12.28515625" style="60" customWidth="1"/>
    <col min="16122" max="16122" width="15.42578125" style="60" customWidth="1"/>
    <col min="16123" max="16123" width="11.85546875" style="60" customWidth="1"/>
    <col min="16124" max="16124" width="13.28515625" style="60" customWidth="1"/>
    <col min="16125" max="16125" width="15.28515625" style="60" customWidth="1"/>
    <col min="16126" max="16126" width="11.85546875" style="60" customWidth="1"/>
    <col min="16127" max="16127" width="6.140625" style="60" customWidth="1"/>
    <col min="16128" max="16128" width="11.85546875" style="60" customWidth="1"/>
    <col min="16129" max="16129" width="9.42578125" style="60" customWidth="1"/>
    <col min="16130" max="16130" width="14.7109375" style="60" customWidth="1"/>
    <col min="16131" max="16131" width="11.5703125" style="60" customWidth="1"/>
    <col min="16132" max="16132" width="0.42578125" style="60" customWidth="1"/>
    <col min="16133" max="16133" width="10.5703125" style="60" bestFit="1" customWidth="1"/>
    <col min="16134" max="16134" width="12.28515625" style="60" customWidth="1"/>
    <col min="16135" max="16135" width="12.5703125" style="60" customWidth="1"/>
    <col min="16136" max="16136" width="10.5703125" style="60" customWidth="1"/>
    <col min="16137" max="16137" width="10.140625" style="60" customWidth="1"/>
    <col min="16138" max="16138" width="8.42578125" style="60" customWidth="1"/>
    <col min="16139" max="16139" width="18.85546875" style="60" customWidth="1"/>
    <col min="16140" max="16140" width="10.28515625" style="60" customWidth="1"/>
    <col min="16141" max="16141" width="11.42578125" style="60"/>
    <col min="16142" max="16142" width="12.140625" style="60" customWidth="1"/>
    <col min="16143" max="16143" width="10.5703125" style="60" customWidth="1"/>
    <col min="16144" max="16144" width="12.42578125" style="60" customWidth="1"/>
    <col min="16145" max="16145" width="15.140625" style="60" customWidth="1"/>
    <col min="16146" max="16146" width="13.5703125" style="60" customWidth="1"/>
    <col min="16147" max="16147" width="13.140625" style="60" customWidth="1"/>
    <col min="16148" max="16148" width="15.7109375" style="60" customWidth="1"/>
    <col min="16149" max="16149" width="37.5703125" style="60" customWidth="1"/>
    <col min="16150" max="16384" width="11.42578125" style="60"/>
  </cols>
  <sheetData>
    <row r="1" spans="1:23" ht="15" customHeight="1" x14ac:dyDescent="0.25">
      <c r="A1" s="97" t="s">
        <v>169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8"/>
    </row>
    <row r="2" spans="1:23" ht="15" customHeight="1" x14ac:dyDescent="0.25">
      <c r="A2" s="91" t="s">
        <v>2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93" t="s">
        <v>3</v>
      </c>
      <c r="O2" s="94"/>
      <c r="P2" s="94"/>
      <c r="Q2" s="94"/>
      <c r="R2" s="94"/>
      <c r="S2" s="94"/>
      <c r="T2" s="94"/>
      <c r="U2" s="94"/>
      <c r="V2" s="95"/>
      <c r="W2" s="96"/>
    </row>
    <row r="3" spans="1:23" ht="24.95" customHeight="1" x14ac:dyDescent="0.25">
      <c r="B3" s="2" t="s">
        <v>4</v>
      </c>
      <c r="C3" s="2" t="s">
        <v>5</v>
      </c>
      <c r="D3" s="2" t="s">
        <v>6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170</v>
      </c>
      <c r="J3" s="3" t="s">
        <v>171</v>
      </c>
      <c r="K3" s="3" t="s">
        <v>13</v>
      </c>
      <c r="L3" s="3" t="s">
        <v>172</v>
      </c>
      <c r="M3" s="3" t="s">
        <v>16</v>
      </c>
      <c r="N3" s="3" t="s">
        <v>17</v>
      </c>
      <c r="O3" s="3" t="s">
        <v>18</v>
      </c>
      <c r="P3" s="3" t="s">
        <v>19</v>
      </c>
      <c r="Q3" s="3" t="s">
        <v>157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2" t="s">
        <v>26</v>
      </c>
    </row>
    <row r="4" spans="1:23" s="13" customFormat="1" ht="24.95" customHeight="1" x14ac:dyDescent="0.25">
      <c r="A4" s="63" t="s">
        <v>28</v>
      </c>
      <c r="B4" s="2">
        <v>1</v>
      </c>
      <c r="C4" s="1" t="s">
        <v>145</v>
      </c>
      <c r="D4" s="1" t="s">
        <v>30</v>
      </c>
      <c r="E4" s="3">
        <v>4500000</v>
      </c>
      <c r="F4" s="3">
        <v>30</v>
      </c>
      <c r="G4" s="3">
        <f>+E4/30*F4</f>
        <v>4500000</v>
      </c>
      <c r="H4" s="3"/>
      <c r="I4" s="3"/>
      <c r="J4" s="3"/>
      <c r="K4" s="3"/>
      <c r="L4" s="3"/>
      <c r="M4" s="3">
        <f>+G4+L4+K4+J4+I4+H4</f>
        <v>4500000</v>
      </c>
      <c r="N4" s="3">
        <f>+E4*0.04</f>
        <v>180000</v>
      </c>
      <c r="O4" s="3">
        <f>+E4*0.05</f>
        <v>225000</v>
      </c>
      <c r="P4" s="3"/>
      <c r="Q4" s="3"/>
      <c r="R4" s="3"/>
      <c r="S4" s="3"/>
      <c r="T4" s="3"/>
      <c r="U4" s="3"/>
      <c r="V4" s="4">
        <f>SUM(N4:U4)</f>
        <v>405000</v>
      </c>
      <c r="W4" s="5">
        <f>+M4-V4</f>
        <v>4095000</v>
      </c>
    </row>
    <row r="5" spans="1:23" ht="24.95" customHeight="1" x14ac:dyDescent="0.25">
      <c r="A5" s="63"/>
      <c r="B5" s="2">
        <v>2</v>
      </c>
      <c r="C5" s="1" t="s">
        <v>29</v>
      </c>
      <c r="D5" s="1" t="s">
        <v>30</v>
      </c>
      <c r="E5" s="4">
        <v>5000000</v>
      </c>
      <c r="F5" s="3">
        <v>30</v>
      </c>
      <c r="G5" s="3">
        <f>+E5/30*F5</f>
        <v>5000000</v>
      </c>
      <c r="H5" s="4"/>
      <c r="I5" s="4"/>
      <c r="J5" s="4">
        <v>113282</v>
      </c>
      <c r="K5" s="4">
        <v>500000</v>
      </c>
      <c r="L5" s="4">
        <v>1359375</v>
      </c>
      <c r="M5" s="4">
        <f>+G5+H5+J5+K5+L5+I5</f>
        <v>6972657</v>
      </c>
      <c r="N5" s="4">
        <f>+(G5+L5)*4%</f>
        <v>254375</v>
      </c>
      <c r="O5" s="4">
        <f>+(G5+L5)*5%</f>
        <v>317968.75</v>
      </c>
      <c r="P5" s="4"/>
      <c r="Q5" s="4"/>
      <c r="R5" s="4">
        <v>30672</v>
      </c>
      <c r="S5" s="4"/>
      <c r="T5" s="4"/>
      <c r="U5" s="4"/>
      <c r="V5" s="4">
        <f t="shared" ref="V5:V11" si="0">SUM(N5:U5)</f>
        <v>603015.75</v>
      </c>
      <c r="W5" s="5">
        <f>+M5-V5</f>
        <v>6369641.25</v>
      </c>
    </row>
    <row r="6" spans="1:23" ht="24.95" customHeight="1" x14ac:dyDescent="0.25">
      <c r="A6" s="63"/>
      <c r="B6" s="2">
        <v>3</v>
      </c>
      <c r="C6" s="1" t="s">
        <v>32</v>
      </c>
      <c r="D6" s="1" t="s">
        <v>30</v>
      </c>
      <c r="E6" s="4">
        <v>6000000</v>
      </c>
      <c r="F6" s="3">
        <v>30</v>
      </c>
      <c r="G6" s="3">
        <f t="shared" ref="G6:G85" si="1">+E6/30*F6</f>
        <v>6000000</v>
      </c>
      <c r="H6" s="4"/>
      <c r="I6" s="4"/>
      <c r="J6" s="4"/>
      <c r="K6" s="4">
        <v>600000</v>
      </c>
      <c r="L6" s="4"/>
      <c r="M6" s="4">
        <f t="shared" ref="M6:M85" si="2">+G6+H6+J6+K6+L6+I6</f>
        <v>6600000</v>
      </c>
      <c r="N6" s="4">
        <f>E6*4%</f>
        <v>240000</v>
      </c>
      <c r="O6" s="4">
        <f>E6*5%</f>
        <v>300000</v>
      </c>
      <c r="P6" s="4"/>
      <c r="Q6" s="4"/>
      <c r="R6" s="4">
        <v>102000</v>
      </c>
      <c r="S6" s="4"/>
      <c r="T6" s="4"/>
      <c r="U6" s="4">
        <v>1212777</v>
      </c>
      <c r="V6" s="4">
        <f t="shared" si="0"/>
        <v>1854777</v>
      </c>
      <c r="W6" s="5">
        <f t="shared" ref="W6:W7" si="3">+M6-V6</f>
        <v>4745223</v>
      </c>
    </row>
    <row r="7" spans="1:23" ht="24.95" customHeight="1" x14ac:dyDescent="0.25">
      <c r="A7" s="63"/>
      <c r="B7" s="2">
        <v>4</v>
      </c>
      <c r="C7" s="1" t="s">
        <v>33</v>
      </c>
      <c r="D7" s="1" t="s">
        <v>30</v>
      </c>
      <c r="E7" s="4">
        <v>6000000</v>
      </c>
      <c r="F7" s="3">
        <v>30</v>
      </c>
      <c r="G7" s="3">
        <f>+E7-L7</f>
        <v>3200000</v>
      </c>
      <c r="H7" s="4"/>
      <c r="I7" s="4">
        <v>1400000</v>
      </c>
      <c r="J7" s="4"/>
      <c r="K7" s="4"/>
      <c r="L7" s="4">
        <v>2800000</v>
      </c>
      <c r="M7" s="4">
        <f t="shared" si="2"/>
        <v>7400000</v>
      </c>
      <c r="N7" s="4">
        <f>+M7*4%</f>
        <v>296000</v>
      </c>
      <c r="O7" s="4">
        <f>+M7*5%</f>
        <v>370000</v>
      </c>
      <c r="P7" s="4"/>
      <c r="Q7" s="4"/>
      <c r="R7" s="7">
        <v>98000</v>
      </c>
      <c r="S7" s="4"/>
      <c r="T7" s="4"/>
      <c r="U7" s="4">
        <v>726520</v>
      </c>
      <c r="V7" s="4">
        <f t="shared" si="0"/>
        <v>1490520</v>
      </c>
      <c r="W7" s="5">
        <f t="shared" si="3"/>
        <v>5909480</v>
      </c>
    </row>
    <row r="8" spans="1:23" ht="24.95" customHeight="1" x14ac:dyDescent="0.25">
      <c r="A8" s="63"/>
      <c r="B8" s="2">
        <v>5</v>
      </c>
      <c r="C8" s="1" t="s">
        <v>34</v>
      </c>
      <c r="D8" s="1" t="s">
        <v>30</v>
      </c>
      <c r="E8" s="4">
        <v>5000000</v>
      </c>
      <c r="F8" s="3">
        <v>30</v>
      </c>
      <c r="G8" s="3">
        <f t="shared" si="1"/>
        <v>5000000</v>
      </c>
      <c r="H8" s="4"/>
      <c r="I8" s="4"/>
      <c r="J8" s="4"/>
      <c r="K8" s="4"/>
      <c r="L8" s="4"/>
      <c r="M8" s="4">
        <f t="shared" si="2"/>
        <v>5000000</v>
      </c>
      <c r="N8" s="4">
        <f t="shared" ref="N8:N17" si="4">+E8*4%</f>
        <v>200000</v>
      </c>
      <c r="O8" s="4">
        <f t="shared" ref="O8:O15" si="5">+E8*5%</f>
        <v>250000</v>
      </c>
      <c r="P8" s="4"/>
      <c r="Q8" s="4"/>
      <c r="R8" s="7">
        <v>21409</v>
      </c>
      <c r="S8" s="4">
        <v>500000</v>
      </c>
      <c r="T8" s="4">
        <v>111000</v>
      </c>
      <c r="U8" s="4"/>
      <c r="V8" s="4">
        <f t="shared" si="0"/>
        <v>1082409</v>
      </c>
      <c r="W8" s="5">
        <f>+M8-V8</f>
        <v>3917591</v>
      </c>
    </row>
    <row r="9" spans="1:23" ht="24.95" customHeight="1" x14ac:dyDescent="0.25">
      <c r="A9" s="63"/>
      <c r="B9" s="2">
        <v>6</v>
      </c>
      <c r="C9" s="1" t="s">
        <v>173</v>
      </c>
      <c r="D9" s="1" t="s">
        <v>30</v>
      </c>
      <c r="E9" s="4">
        <v>4750000</v>
      </c>
      <c r="F9" s="3">
        <v>32</v>
      </c>
      <c r="G9" s="3">
        <f t="shared" si="1"/>
        <v>5066666.666666667</v>
      </c>
      <c r="H9" s="4"/>
      <c r="I9" s="4"/>
      <c r="J9" s="4"/>
      <c r="K9" s="4"/>
      <c r="L9" s="4"/>
      <c r="M9" s="4">
        <f t="shared" si="2"/>
        <v>5066666.666666667</v>
      </c>
      <c r="N9" s="4">
        <f>+G9*4%</f>
        <v>202666.66666666669</v>
      </c>
      <c r="O9" s="4">
        <f>+G9*5%</f>
        <v>253333.33333333337</v>
      </c>
      <c r="P9" s="4"/>
      <c r="Q9" s="4"/>
      <c r="R9" s="7">
        <v>87000</v>
      </c>
      <c r="S9" s="4"/>
      <c r="T9" s="4"/>
      <c r="U9" s="4"/>
      <c r="V9" s="4">
        <f t="shared" ref="V9" si="6">SUM(N9:U9)</f>
        <v>543000</v>
      </c>
      <c r="W9" s="5">
        <f>+M9-V9</f>
        <v>4523666.666666667</v>
      </c>
    </row>
    <row r="10" spans="1:23" ht="24.95" customHeight="1" x14ac:dyDescent="0.25">
      <c r="A10" s="63"/>
      <c r="B10" s="2">
        <v>7</v>
      </c>
      <c r="C10" s="1" t="s">
        <v>35</v>
      </c>
      <c r="D10" s="1" t="s">
        <v>30</v>
      </c>
      <c r="E10" s="4">
        <v>5300000</v>
      </c>
      <c r="F10" s="3">
        <v>30</v>
      </c>
      <c r="G10" s="3">
        <f t="shared" si="1"/>
        <v>5300000</v>
      </c>
      <c r="H10" s="4"/>
      <c r="I10" s="4"/>
      <c r="J10" s="4"/>
      <c r="K10" s="4">
        <v>2012670</v>
      </c>
      <c r="L10" s="4"/>
      <c r="M10" s="4">
        <f t="shared" si="2"/>
        <v>7312670</v>
      </c>
      <c r="N10" s="4">
        <f t="shared" si="4"/>
        <v>212000</v>
      </c>
      <c r="O10" s="4">
        <f t="shared" si="5"/>
        <v>265000</v>
      </c>
      <c r="P10" s="4"/>
      <c r="Q10" s="4"/>
      <c r="R10" s="4">
        <v>50000</v>
      </c>
      <c r="S10" s="4">
        <v>700000</v>
      </c>
      <c r="T10" s="4"/>
      <c r="U10" s="4"/>
      <c r="V10" s="4">
        <f t="shared" si="0"/>
        <v>1227000</v>
      </c>
      <c r="W10" s="5">
        <f>+M10-V10</f>
        <v>6085670</v>
      </c>
    </row>
    <row r="11" spans="1:23" ht="24.95" customHeight="1" x14ac:dyDescent="0.25">
      <c r="A11" s="63"/>
      <c r="B11" s="2">
        <v>8</v>
      </c>
      <c r="C11" s="1" t="s">
        <v>36</v>
      </c>
      <c r="D11" s="1" t="s">
        <v>30</v>
      </c>
      <c r="E11" s="4">
        <v>5200000</v>
      </c>
      <c r="F11" s="3">
        <v>30</v>
      </c>
      <c r="G11" s="3">
        <f>+E11-L11</f>
        <v>5200000</v>
      </c>
      <c r="H11" s="4">
        <v>89000</v>
      </c>
      <c r="I11" s="4"/>
      <c r="J11" s="4"/>
      <c r="K11" s="4"/>
      <c r="L11" s="4"/>
      <c r="M11" s="4">
        <f t="shared" si="2"/>
        <v>5289000</v>
      </c>
      <c r="N11" s="4">
        <f>+E11*4%</f>
        <v>208000</v>
      </c>
      <c r="O11" s="4">
        <f>+E11*5%</f>
        <v>260000</v>
      </c>
      <c r="P11" s="4"/>
      <c r="Q11" s="4"/>
      <c r="R11" s="4">
        <v>0</v>
      </c>
      <c r="S11" s="4"/>
      <c r="T11" s="4"/>
      <c r="U11" s="4">
        <f>945750+420786</f>
        <v>1366536</v>
      </c>
      <c r="V11" s="4">
        <f t="shared" si="0"/>
        <v>1834536</v>
      </c>
      <c r="W11" s="5">
        <f>M11-V11</f>
        <v>3454464</v>
      </c>
    </row>
    <row r="12" spans="1:23" ht="24.95" customHeight="1" x14ac:dyDescent="0.25">
      <c r="A12" s="63"/>
      <c r="B12" s="2">
        <v>9</v>
      </c>
      <c r="C12" s="1" t="s">
        <v>37</v>
      </c>
      <c r="D12" s="1" t="s">
        <v>30</v>
      </c>
      <c r="E12" s="4">
        <v>5184000</v>
      </c>
      <c r="F12" s="3">
        <v>30</v>
      </c>
      <c r="G12" s="3">
        <f t="shared" si="1"/>
        <v>5184000</v>
      </c>
      <c r="H12" s="4"/>
      <c r="I12" s="4"/>
      <c r="J12" s="4"/>
      <c r="K12" s="4"/>
      <c r="L12" s="4"/>
      <c r="M12" s="4">
        <f t="shared" si="2"/>
        <v>5184000</v>
      </c>
      <c r="N12" s="4">
        <f>+G12*4%</f>
        <v>207360</v>
      </c>
      <c r="O12" s="4">
        <f>+G12*5%</f>
        <v>259200</v>
      </c>
      <c r="P12" s="4"/>
      <c r="Q12" s="4"/>
      <c r="R12" s="4">
        <v>78000</v>
      </c>
      <c r="S12" s="4"/>
      <c r="T12" s="4"/>
      <c r="U12" s="4"/>
      <c r="V12" s="4">
        <f t="shared" ref="V12:V68" si="7">SUM(N12:U12)</f>
        <v>544560</v>
      </c>
      <c r="W12" s="5">
        <f>M12-V12</f>
        <v>4639440</v>
      </c>
    </row>
    <row r="13" spans="1:23" ht="24.95" customHeight="1" x14ac:dyDescent="0.25">
      <c r="A13" s="63"/>
      <c r="B13" s="2">
        <v>10</v>
      </c>
      <c r="C13" s="1" t="s">
        <v>158</v>
      </c>
      <c r="D13" s="1" t="s">
        <v>43</v>
      </c>
      <c r="E13" s="4">
        <v>3700000</v>
      </c>
      <c r="F13" s="3">
        <v>30</v>
      </c>
      <c r="G13" s="3">
        <f t="shared" si="1"/>
        <v>3700000</v>
      </c>
      <c r="H13" s="4"/>
      <c r="I13" s="4"/>
      <c r="J13" s="4"/>
      <c r="K13" s="4"/>
      <c r="L13" s="4"/>
      <c r="M13" s="4">
        <f t="shared" si="2"/>
        <v>3700000</v>
      </c>
      <c r="N13" s="4">
        <f>+G13*4%</f>
        <v>148000</v>
      </c>
      <c r="O13" s="4">
        <f>+G13*5%</f>
        <v>185000</v>
      </c>
      <c r="P13" s="4"/>
      <c r="Q13" s="4"/>
      <c r="R13" s="4"/>
      <c r="S13" s="4"/>
      <c r="T13" s="4"/>
      <c r="U13" s="4"/>
      <c r="V13" s="4">
        <f t="shared" ref="V13:V14" si="8">SUM(N13:U13)</f>
        <v>333000</v>
      </c>
      <c r="W13" s="5">
        <f>M13-V13</f>
        <v>3367000</v>
      </c>
    </row>
    <row r="14" spans="1:23" ht="24.95" customHeight="1" x14ac:dyDescent="0.25">
      <c r="A14" s="63"/>
      <c r="B14" s="2">
        <v>11</v>
      </c>
      <c r="C14" s="1" t="s">
        <v>164</v>
      </c>
      <c r="D14" s="1" t="s">
        <v>43</v>
      </c>
      <c r="E14" s="4">
        <v>4000000</v>
      </c>
      <c r="F14" s="3">
        <v>30</v>
      </c>
      <c r="G14" s="3">
        <f t="shared" si="1"/>
        <v>4000000.0000000005</v>
      </c>
      <c r="H14" s="4"/>
      <c r="I14" s="4"/>
      <c r="J14" s="4"/>
      <c r="K14" s="4"/>
      <c r="L14" s="4"/>
      <c r="M14" s="4">
        <f t="shared" si="2"/>
        <v>4000000.0000000005</v>
      </c>
      <c r="N14" s="4">
        <f>+G14*4%</f>
        <v>160000.00000000003</v>
      </c>
      <c r="O14" s="4">
        <f>+G14*5%</f>
        <v>200000.00000000003</v>
      </c>
      <c r="P14" s="4"/>
      <c r="Q14" s="4"/>
      <c r="R14" s="4"/>
      <c r="S14" s="4"/>
      <c r="T14" s="4"/>
      <c r="U14" s="4"/>
      <c r="V14" s="4">
        <f t="shared" si="8"/>
        <v>360000.00000000006</v>
      </c>
      <c r="W14" s="5">
        <f>M14-V14</f>
        <v>3640000.0000000005</v>
      </c>
    </row>
    <row r="15" spans="1:23" ht="24.95" customHeight="1" x14ac:dyDescent="0.25">
      <c r="A15" s="63"/>
      <c r="B15" s="2">
        <v>12</v>
      </c>
      <c r="C15" s="1" t="s">
        <v>38</v>
      </c>
      <c r="D15" s="1" t="s">
        <v>30</v>
      </c>
      <c r="E15" s="4">
        <v>5725000</v>
      </c>
      <c r="F15" s="3">
        <v>30</v>
      </c>
      <c r="G15" s="3">
        <f>+E15-L15</f>
        <v>4961667</v>
      </c>
      <c r="H15" s="4"/>
      <c r="I15" s="4"/>
      <c r="J15" s="4"/>
      <c r="K15" s="4"/>
      <c r="L15" s="4">
        <v>763333</v>
      </c>
      <c r="M15" s="4">
        <f t="shared" si="2"/>
        <v>5725000</v>
      </c>
      <c r="N15" s="4">
        <f>+E15*4%</f>
        <v>229000</v>
      </c>
      <c r="O15" s="4">
        <f t="shared" si="5"/>
        <v>286250</v>
      </c>
      <c r="P15" s="4"/>
      <c r="Q15" s="4"/>
      <c r="R15" s="4">
        <v>0</v>
      </c>
      <c r="S15" s="4"/>
      <c r="T15" s="4"/>
      <c r="U15" s="4"/>
      <c r="V15" s="4">
        <f t="shared" si="7"/>
        <v>515250</v>
      </c>
      <c r="W15" s="5">
        <f t="shared" ref="W15:W27" si="9">+M15-V15</f>
        <v>5209750</v>
      </c>
    </row>
    <row r="16" spans="1:23" ht="24.95" customHeight="1" x14ac:dyDescent="0.25">
      <c r="A16" s="63"/>
      <c r="B16" s="2">
        <v>13</v>
      </c>
      <c r="C16" s="1" t="s">
        <v>39</v>
      </c>
      <c r="D16" s="1" t="s">
        <v>30</v>
      </c>
      <c r="E16" s="4">
        <v>4500000</v>
      </c>
      <c r="F16" s="3">
        <v>30</v>
      </c>
      <c r="G16" s="3">
        <f>+E16-J16</f>
        <v>4500000</v>
      </c>
      <c r="H16" s="4"/>
      <c r="I16" s="4"/>
      <c r="J16" s="4"/>
      <c r="K16" s="4"/>
      <c r="L16" s="4"/>
      <c r="M16" s="4">
        <f t="shared" si="2"/>
        <v>4500000</v>
      </c>
      <c r="N16" s="4">
        <f t="shared" si="4"/>
        <v>180000</v>
      </c>
      <c r="O16" s="4">
        <f>+G16*5%</f>
        <v>225000</v>
      </c>
      <c r="P16" s="4"/>
      <c r="Q16" s="4"/>
      <c r="R16" s="7">
        <v>0</v>
      </c>
      <c r="S16" s="4"/>
      <c r="T16" s="4"/>
      <c r="U16" s="4"/>
      <c r="V16" s="4">
        <f t="shared" si="7"/>
        <v>405000</v>
      </c>
      <c r="W16" s="5">
        <f t="shared" si="9"/>
        <v>4095000</v>
      </c>
    </row>
    <row r="17" spans="1:23" ht="24.95" customHeight="1" x14ac:dyDescent="0.25">
      <c r="A17" s="63"/>
      <c r="B17" s="2">
        <v>14</v>
      </c>
      <c r="C17" s="1" t="s">
        <v>91</v>
      </c>
      <c r="D17" s="1" t="s">
        <v>30</v>
      </c>
      <c r="E17" s="4">
        <v>4500000</v>
      </c>
      <c r="F17" s="3">
        <v>30</v>
      </c>
      <c r="G17" s="3">
        <f t="shared" ref="G17:G18" si="10">+E17/30*F17</f>
        <v>4500000</v>
      </c>
      <c r="H17" s="4"/>
      <c r="I17" s="4"/>
      <c r="J17" s="4"/>
      <c r="K17" s="4"/>
      <c r="L17" s="4"/>
      <c r="M17" s="4">
        <f t="shared" si="2"/>
        <v>4500000</v>
      </c>
      <c r="N17" s="4">
        <f t="shared" si="4"/>
        <v>180000</v>
      </c>
      <c r="O17" s="4">
        <f>+E17*5%</f>
        <v>225000</v>
      </c>
      <c r="P17" s="4"/>
      <c r="Q17" s="4"/>
      <c r="R17" s="4">
        <v>0</v>
      </c>
      <c r="S17" s="4"/>
      <c r="T17" s="4"/>
      <c r="U17" s="4">
        <v>774624</v>
      </c>
      <c r="V17" s="4">
        <f t="shared" ref="V17:V18" si="11">SUM(N17:U17)</f>
        <v>1179624</v>
      </c>
      <c r="W17" s="5">
        <f t="shared" si="9"/>
        <v>3320376</v>
      </c>
    </row>
    <row r="18" spans="1:23" ht="24.95" customHeight="1" x14ac:dyDescent="0.25">
      <c r="A18" s="63"/>
      <c r="B18" s="2">
        <v>15</v>
      </c>
      <c r="C18" s="1" t="s">
        <v>165</v>
      </c>
      <c r="D18" s="1" t="s">
        <v>30</v>
      </c>
      <c r="E18" s="4">
        <v>5500000</v>
      </c>
      <c r="F18" s="3">
        <v>30</v>
      </c>
      <c r="G18" s="3">
        <f t="shared" si="10"/>
        <v>5500000</v>
      </c>
      <c r="H18" s="4"/>
      <c r="I18" s="4"/>
      <c r="J18" s="4"/>
      <c r="K18" s="4"/>
      <c r="L18" s="4"/>
      <c r="M18" s="4">
        <f t="shared" si="2"/>
        <v>5500000</v>
      </c>
      <c r="N18" s="4">
        <f>+G18*4%</f>
        <v>220000</v>
      </c>
      <c r="O18" s="4">
        <f>+G18*5%</f>
        <v>275000</v>
      </c>
      <c r="P18" s="4"/>
      <c r="Q18" s="4"/>
      <c r="R18" s="4">
        <v>21000</v>
      </c>
      <c r="S18" s="4"/>
      <c r="T18" s="4"/>
      <c r="U18" s="4"/>
      <c r="V18" s="4">
        <f t="shared" si="11"/>
        <v>516000</v>
      </c>
      <c r="W18" s="5">
        <f t="shared" si="9"/>
        <v>4984000</v>
      </c>
    </row>
    <row r="19" spans="1:23" ht="24.95" customHeight="1" x14ac:dyDescent="0.25">
      <c r="A19" s="63"/>
      <c r="B19" s="2">
        <v>16</v>
      </c>
      <c r="C19" s="9" t="s">
        <v>40</v>
      </c>
      <c r="D19" s="1" t="s">
        <v>30</v>
      </c>
      <c r="E19" s="4">
        <v>4800000</v>
      </c>
      <c r="F19" s="3">
        <v>30</v>
      </c>
      <c r="G19" s="3">
        <f t="shared" si="1"/>
        <v>4800000</v>
      </c>
      <c r="H19" s="4"/>
      <c r="I19" s="4"/>
      <c r="J19" s="4"/>
      <c r="K19" s="4"/>
      <c r="L19" s="4"/>
      <c r="M19" s="4">
        <f t="shared" si="2"/>
        <v>4800000</v>
      </c>
      <c r="N19" s="4">
        <f>+G19*4%</f>
        <v>192000</v>
      </c>
      <c r="O19" s="4">
        <f>+G19*5%</f>
        <v>240000</v>
      </c>
      <c r="P19" s="4"/>
      <c r="Q19" s="4"/>
      <c r="R19" s="4">
        <v>0</v>
      </c>
      <c r="S19" s="4"/>
      <c r="T19" s="4"/>
      <c r="U19" s="4"/>
      <c r="V19" s="4">
        <f t="shared" si="7"/>
        <v>432000</v>
      </c>
      <c r="W19" s="5">
        <f t="shared" si="9"/>
        <v>4368000</v>
      </c>
    </row>
    <row r="20" spans="1:23" ht="24.95" customHeight="1" x14ac:dyDescent="0.25">
      <c r="A20" s="63"/>
      <c r="B20" s="2">
        <v>17</v>
      </c>
      <c r="C20" s="9" t="s">
        <v>159</v>
      </c>
      <c r="D20" s="1" t="s">
        <v>30</v>
      </c>
      <c r="E20" s="4">
        <v>4600000</v>
      </c>
      <c r="F20" s="3">
        <v>30</v>
      </c>
      <c r="G20" s="3">
        <f>+E20-L20</f>
        <v>3680000</v>
      </c>
      <c r="H20" s="4"/>
      <c r="I20" s="4"/>
      <c r="J20" s="4"/>
      <c r="K20" s="4"/>
      <c r="L20" s="4">
        <v>920000</v>
      </c>
      <c r="M20" s="4">
        <f t="shared" si="2"/>
        <v>4600000</v>
      </c>
      <c r="N20" s="4">
        <f>+E20*4%</f>
        <v>184000</v>
      </c>
      <c r="O20" s="4">
        <f>+E20*0.05</f>
        <v>230000</v>
      </c>
      <c r="P20" s="4"/>
      <c r="Q20" s="4"/>
      <c r="R20" s="4">
        <v>24000</v>
      </c>
      <c r="S20" s="4"/>
      <c r="T20" s="4"/>
      <c r="U20" s="4"/>
      <c r="V20" s="4">
        <f t="shared" ref="V20" si="12">SUM(N20:U20)</f>
        <v>438000</v>
      </c>
      <c r="W20" s="5">
        <f t="shared" si="9"/>
        <v>4162000</v>
      </c>
    </row>
    <row r="21" spans="1:23" ht="24.95" customHeight="1" x14ac:dyDescent="0.25">
      <c r="A21" s="63"/>
      <c r="B21" s="2">
        <v>18</v>
      </c>
      <c r="C21" s="9" t="s">
        <v>41</v>
      </c>
      <c r="D21" s="1" t="s">
        <v>30</v>
      </c>
      <c r="E21" s="4">
        <v>5200000</v>
      </c>
      <c r="F21" s="3">
        <v>30</v>
      </c>
      <c r="G21" s="3">
        <f t="shared" si="1"/>
        <v>5200000</v>
      </c>
      <c r="H21" s="4"/>
      <c r="I21" s="4"/>
      <c r="J21" s="4"/>
      <c r="K21" s="4">
        <v>0</v>
      </c>
      <c r="L21" s="4"/>
      <c r="M21" s="4">
        <f>+G21+H21+J21+K21+L21+I21</f>
        <v>5200000</v>
      </c>
      <c r="N21" s="4">
        <f>+E21*4%</f>
        <v>208000</v>
      </c>
      <c r="O21" s="4">
        <f>+E21*5%</f>
        <v>260000</v>
      </c>
      <c r="P21" s="4"/>
      <c r="Q21" s="4"/>
      <c r="R21" s="4">
        <v>81000</v>
      </c>
      <c r="S21" s="4"/>
      <c r="T21" s="4"/>
      <c r="U21" s="4">
        <v>519248</v>
      </c>
      <c r="V21" s="4">
        <f t="shared" si="7"/>
        <v>1068248</v>
      </c>
      <c r="W21" s="5">
        <f t="shared" si="9"/>
        <v>4131752</v>
      </c>
    </row>
    <row r="22" spans="1:23" ht="24.95" customHeight="1" x14ac:dyDescent="0.25">
      <c r="A22" s="63"/>
      <c r="B22" s="2">
        <v>19</v>
      </c>
      <c r="C22" s="9" t="s">
        <v>42</v>
      </c>
      <c r="D22" s="1" t="s">
        <v>30</v>
      </c>
      <c r="E22" s="4">
        <v>4400000</v>
      </c>
      <c r="F22" s="3">
        <v>30</v>
      </c>
      <c r="G22" s="3">
        <f t="shared" si="1"/>
        <v>4400000</v>
      </c>
      <c r="H22" s="4"/>
      <c r="I22" s="4"/>
      <c r="J22" s="4"/>
      <c r="K22" s="4"/>
      <c r="L22" s="4">
        <f>+E22-G22</f>
        <v>0</v>
      </c>
      <c r="M22" s="4">
        <f t="shared" si="2"/>
        <v>4400000</v>
      </c>
      <c r="N22" s="4">
        <f>+E22*0.04</f>
        <v>176000</v>
      </c>
      <c r="O22" s="4">
        <f>+E22*0.05</f>
        <v>220000</v>
      </c>
      <c r="P22" s="4"/>
      <c r="Q22" s="4"/>
      <c r="R22" s="4"/>
      <c r="S22" s="4"/>
      <c r="T22" s="4"/>
      <c r="U22" s="4"/>
      <c r="V22" s="4">
        <f t="shared" si="7"/>
        <v>396000</v>
      </c>
      <c r="W22" s="5">
        <f t="shared" si="9"/>
        <v>4004000</v>
      </c>
    </row>
    <row r="23" spans="1:23" ht="24.95" customHeight="1" x14ac:dyDescent="0.25">
      <c r="A23" s="63"/>
      <c r="B23" s="2">
        <v>20</v>
      </c>
      <c r="C23" s="9" t="s">
        <v>44</v>
      </c>
      <c r="D23" s="1" t="s">
        <v>30</v>
      </c>
      <c r="E23" s="4">
        <v>5500000</v>
      </c>
      <c r="F23" s="3">
        <v>30</v>
      </c>
      <c r="G23" s="3">
        <f>+E23-J23</f>
        <v>5500000</v>
      </c>
      <c r="H23" s="4"/>
      <c r="I23" s="4"/>
      <c r="J23" s="4"/>
      <c r="K23" s="4"/>
      <c r="L23" s="4"/>
      <c r="M23" s="4">
        <f t="shared" si="2"/>
        <v>5500000</v>
      </c>
      <c r="N23" s="4">
        <f>+E23*0.04</f>
        <v>220000</v>
      </c>
      <c r="O23" s="4">
        <f>+E23*0.05</f>
        <v>275000</v>
      </c>
      <c r="P23" s="4"/>
      <c r="Q23" s="4"/>
      <c r="R23" s="4">
        <v>83397</v>
      </c>
      <c r="S23" s="4"/>
      <c r="T23" s="4"/>
      <c r="U23" s="4"/>
      <c r="V23" s="4">
        <f t="shared" si="7"/>
        <v>578397</v>
      </c>
      <c r="W23" s="5">
        <f t="shared" si="9"/>
        <v>4921603</v>
      </c>
    </row>
    <row r="24" spans="1:23" ht="24.95" customHeight="1" x14ac:dyDescent="0.25">
      <c r="A24" s="63"/>
      <c r="B24" s="2">
        <v>21</v>
      </c>
      <c r="C24" s="9" t="s">
        <v>160</v>
      </c>
      <c r="D24" s="1" t="s">
        <v>30</v>
      </c>
      <c r="E24" s="4">
        <v>5000000</v>
      </c>
      <c r="F24" s="3">
        <v>30</v>
      </c>
      <c r="G24" s="3">
        <f t="shared" si="1"/>
        <v>5000000</v>
      </c>
      <c r="H24" s="4"/>
      <c r="I24" s="4"/>
      <c r="J24" s="4"/>
      <c r="K24" s="4"/>
      <c r="L24" s="4"/>
      <c r="M24" s="4">
        <f t="shared" si="2"/>
        <v>5000000</v>
      </c>
      <c r="N24" s="4">
        <f>+G24*4%</f>
        <v>200000</v>
      </c>
      <c r="O24" s="4">
        <f>+G24*0.05</f>
        <v>250000</v>
      </c>
      <c r="P24" s="4"/>
      <c r="Q24" s="4"/>
      <c r="R24" s="4">
        <v>78000</v>
      </c>
      <c r="S24" s="4"/>
      <c r="T24" s="4"/>
      <c r="U24" s="4"/>
      <c r="V24" s="4">
        <f t="shared" si="7"/>
        <v>528000</v>
      </c>
      <c r="W24" s="5">
        <f t="shared" si="9"/>
        <v>4472000</v>
      </c>
    </row>
    <row r="25" spans="1:23" ht="24.95" customHeight="1" x14ac:dyDescent="0.25">
      <c r="A25" s="63"/>
      <c r="B25" s="2">
        <v>22</v>
      </c>
      <c r="C25" s="1" t="s">
        <v>148</v>
      </c>
      <c r="D25" s="1" t="s">
        <v>30</v>
      </c>
      <c r="E25" s="4">
        <v>7000000</v>
      </c>
      <c r="F25" s="3">
        <v>30</v>
      </c>
      <c r="G25" s="3">
        <f>+E25/30*F25</f>
        <v>7000000</v>
      </c>
      <c r="H25" s="4"/>
      <c r="I25" s="4"/>
      <c r="J25" s="4"/>
      <c r="K25" s="4"/>
      <c r="L25" s="4"/>
      <c r="M25" s="4">
        <f>+G25+H25+J25+K25+L25+I25</f>
        <v>7000000</v>
      </c>
      <c r="N25" s="4">
        <f>G25*4%</f>
        <v>280000</v>
      </c>
      <c r="O25" s="4">
        <f>+G25*5%</f>
        <v>350000</v>
      </c>
      <c r="P25" s="4"/>
      <c r="Q25" s="4">
        <v>147000</v>
      </c>
      <c r="R25" s="4">
        <v>209509</v>
      </c>
      <c r="S25" s="4"/>
      <c r="T25" s="4"/>
      <c r="U25" s="4"/>
      <c r="V25" s="4">
        <f>SUM(N25:U25)</f>
        <v>986509</v>
      </c>
      <c r="W25" s="5">
        <f>M25-V25</f>
        <v>6013491</v>
      </c>
    </row>
    <row r="26" spans="1:23" ht="24.95" customHeight="1" x14ac:dyDescent="0.25">
      <c r="A26" s="63"/>
      <c r="B26" s="2">
        <v>23</v>
      </c>
      <c r="C26" s="9" t="s">
        <v>45</v>
      </c>
      <c r="D26" s="1" t="s">
        <v>30</v>
      </c>
      <c r="E26" s="4">
        <v>5200000</v>
      </c>
      <c r="F26" s="3">
        <v>30</v>
      </c>
      <c r="G26" s="3">
        <f t="shared" si="1"/>
        <v>5200000</v>
      </c>
      <c r="H26" s="4"/>
      <c r="I26" s="4"/>
      <c r="J26" s="4"/>
      <c r="K26" s="4"/>
      <c r="L26" s="4">
        <v>0</v>
      </c>
      <c r="M26" s="4">
        <f t="shared" si="2"/>
        <v>5200000</v>
      </c>
      <c r="N26" s="4">
        <f>+E26*4%</f>
        <v>208000</v>
      </c>
      <c r="O26" s="4">
        <f>+E26*5%</f>
        <v>260000</v>
      </c>
      <c r="P26" s="4"/>
      <c r="Q26" s="4"/>
      <c r="R26" s="4">
        <v>46204</v>
      </c>
      <c r="S26" s="4"/>
      <c r="T26" s="4"/>
      <c r="U26" s="4"/>
      <c r="V26" s="4">
        <f t="shared" si="7"/>
        <v>514204</v>
      </c>
      <c r="W26" s="5">
        <f t="shared" si="9"/>
        <v>4685796</v>
      </c>
    </row>
    <row r="27" spans="1:23" ht="24.95" customHeight="1" x14ac:dyDescent="0.25">
      <c r="A27" s="63"/>
      <c r="B27" s="2">
        <v>24</v>
      </c>
      <c r="C27" s="1" t="s">
        <v>46</v>
      </c>
      <c r="D27" s="1" t="s">
        <v>30</v>
      </c>
      <c r="E27" s="4">
        <v>5500000</v>
      </c>
      <c r="F27" s="3">
        <v>30</v>
      </c>
      <c r="G27" s="3">
        <f t="shared" si="1"/>
        <v>5500000</v>
      </c>
      <c r="H27" s="4"/>
      <c r="I27" s="4"/>
      <c r="J27" s="4"/>
      <c r="K27" s="4">
        <v>450000</v>
      </c>
      <c r="L27" s="4"/>
      <c r="M27" s="4">
        <f t="shared" si="2"/>
        <v>5950000</v>
      </c>
      <c r="N27" s="4">
        <f>+E27*4%</f>
        <v>220000</v>
      </c>
      <c r="O27" s="4">
        <f>+E27*5%</f>
        <v>275000</v>
      </c>
      <c r="P27" s="4"/>
      <c r="Q27" s="4"/>
      <c r="R27" s="7">
        <v>150521</v>
      </c>
      <c r="S27" s="4">
        <v>1365000</v>
      </c>
      <c r="T27" s="4"/>
      <c r="U27" s="4"/>
      <c r="V27" s="4">
        <f t="shared" si="7"/>
        <v>2010521</v>
      </c>
      <c r="W27" s="5">
        <f t="shared" si="9"/>
        <v>3939479</v>
      </c>
    </row>
    <row r="28" spans="1:23" ht="24.95" customHeight="1" x14ac:dyDescent="0.25">
      <c r="A28" s="63"/>
      <c r="B28" s="2">
        <v>25</v>
      </c>
      <c r="C28" s="1" t="s">
        <v>47</v>
      </c>
      <c r="D28" s="1" t="s">
        <v>30</v>
      </c>
      <c r="E28" s="4">
        <v>5350000</v>
      </c>
      <c r="F28" s="3">
        <v>30</v>
      </c>
      <c r="G28" s="3">
        <f t="shared" si="1"/>
        <v>5350000</v>
      </c>
      <c r="H28" s="4"/>
      <c r="I28" s="4"/>
      <c r="J28" s="4"/>
      <c r="K28" s="4">
        <v>1000000</v>
      </c>
      <c r="L28" s="4"/>
      <c r="M28" s="4">
        <f t="shared" si="2"/>
        <v>6350000</v>
      </c>
      <c r="N28" s="4">
        <f>+E28*4%</f>
        <v>214000</v>
      </c>
      <c r="O28" s="4">
        <f>+E28*0.05</f>
        <v>267500</v>
      </c>
      <c r="P28" s="4"/>
      <c r="Q28" s="4"/>
      <c r="R28" s="7">
        <v>96000</v>
      </c>
      <c r="S28" s="4"/>
      <c r="T28" s="4"/>
      <c r="U28" s="4">
        <v>810005</v>
      </c>
      <c r="V28" s="4">
        <f t="shared" si="7"/>
        <v>1387505</v>
      </c>
      <c r="W28" s="5">
        <f t="shared" ref="W28:W34" si="13">M28-V28</f>
        <v>4962495</v>
      </c>
    </row>
    <row r="29" spans="1:23" ht="24.95" customHeight="1" x14ac:dyDescent="0.25">
      <c r="A29" s="63"/>
      <c r="B29" s="2">
        <v>26</v>
      </c>
      <c r="C29" s="1" t="s">
        <v>166</v>
      </c>
      <c r="D29" s="1" t="s">
        <v>30</v>
      </c>
      <c r="E29" s="4">
        <v>5000000</v>
      </c>
      <c r="F29" s="3">
        <v>30</v>
      </c>
      <c r="G29" s="3">
        <f t="shared" si="1"/>
        <v>5000000</v>
      </c>
      <c r="H29" s="4"/>
      <c r="I29" s="4"/>
      <c r="J29" s="4"/>
      <c r="K29" s="4"/>
      <c r="L29" s="4"/>
      <c r="M29" s="4">
        <f t="shared" si="2"/>
        <v>5000000</v>
      </c>
      <c r="N29" s="4">
        <f>+G29*4%</f>
        <v>200000</v>
      </c>
      <c r="O29" s="4">
        <f>+G29*5%</f>
        <v>250000</v>
      </c>
      <c r="P29" s="4"/>
      <c r="Q29" s="4"/>
      <c r="R29" s="7">
        <v>78000</v>
      </c>
      <c r="S29" s="4"/>
      <c r="T29" s="4"/>
      <c r="U29" s="4"/>
      <c r="V29" s="4">
        <f t="shared" ref="V29" si="14">SUM(N29:U29)</f>
        <v>528000</v>
      </c>
      <c r="W29" s="5">
        <f t="shared" si="13"/>
        <v>4472000</v>
      </c>
    </row>
    <row r="30" spans="1:23" ht="24.95" customHeight="1" x14ac:dyDescent="0.25">
      <c r="A30" s="63"/>
      <c r="B30" s="2">
        <v>27</v>
      </c>
      <c r="C30" s="1" t="s">
        <v>174</v>
      </c>
      <c r="D30" s="1" t="s">
        <v>30</v>
      </c>
      <c r="E30" s="4">
        <v>7000000</v>
      </c>
      <c r="F30" s="3">
        <v>12</v>
      </c>
      <c r="G30" s="3">
        <f t="shared" si="1"/>
        <v>2800000</v>
      </c>
      <c r="H30" s="4">
        <v>155563</v>
      </c>
      <c r="I30" s="4"/>
      <c r="J30" s="4">
        <v>252778</v>
      </c>
      <c r="K30" s="4"/>
      <c r="L30" s="4"/>
      <c r="M30" s="4">
        <f t="shared" si="2"/>
        <v>3208341</v>
      </c>
      <c r="N30" s="4">
        <v>118222</v>
      </c>
      <c r="O30" s="4">
        <v>118222</v>
      </c>
      <c r="P30" s="4"/>
      <c r="Q30" s="4"/>
      <c r="R30" s="7"/>
      <c r="S30" s="4"/>
      <c r="T30" s="4"/>
      <c r="U30" s="4"/>
      <c r="V30" s="4">
        <f t="shared" ref="V30" si="15">SUM(N30:U30)</f>
        <v>236444</v>
      </c>
      <c r="W30" s="5">
        <f t="shared" si="13"/>
        <v>2971897</v>
      </c>
    </row>
    <row r="31" spans="1:23" ht="24.95" customHeight="1" x14ac:dyDescent="0.25">
      <c r="A31" s="63"/>
      <c r="B31" s="2">
        <v>28</v>
      </c>
      <c r="C31" s="1" t="s">
        <v>48</v>
      </c>
      <c r="D31" s="1" t="s">
        <v>30</v>
      </c>
      <c r="E31" s="4">
        <v>7000000</v>
      </c>
      <c r="F31" s="3">
        <v>30</v>
      </c>
      <c r="G31" s="3">
        <f>+E31-L31</f>
        <v>7000000</v>
      </c>
      <c r="H31" s="4"/>
      <c r="I31" s="4"/>
      <c r="J31" s="4"/>
      <c r="K31" s="4"/>
      <c r="L31" s="4"/>
      <c r="M31" s="4">
        <f t="shared" si="2"/>
        <v>7000000</v>
      </c>
      <c r="N31" s="4">
        <f>+E31*4%</f>
        <v>280000</v>
      </c>
      <c r="O31" s="4">
        <f>+E31*0.05</f>
        <v>350000</v>
      </c>
      <c r="P31" s="4"/>
      <c r="Q31" s="4"/>
      <c r="R31" s="7">
        <v>128000</v>
      </c>
      <c r="S31" s="4"/>
      <c r="T31" s="4"/>
      <c r="U31" s="4"/>
      <c r="V31" s="4">
        <f t="shared" si="7"/>
        <v>758000</v>
      </c>
      <c r="W31" s="5">
        <f t="shared" si="13"/>
        <v>6242000</v>
      </c>
    </row>
    <row r="32" spans="1:23" ht="24.95" customHeight="1" x14ac:dyDescent="0.25">
      <c r="A32" s="63"/>
      <c r="B32" s="2">
        <v>29</v>
      </c>
      <c r="C32" s="1" t="s">
        <v>49</v>
      </c>
      <c r="D32" s="1" t="s">
        <v>30</v>
      </c>
      <c r="E32" s="4">
        <v>7314000</v>
      </c>
      <c r="F32" s="3">
        <v>30</v>
      </c>
      <c r="G32" s="3">
        <f t="shared" si="1"/>
        <v>7314000</v>
      </c>
      <c r="H32" s="4"/>
      <c r="I32" s="4"/>
      <c r="J32" s="4"/>
      <c r="K32" s="4">
        <v>1400000</v>
      </c>
      <c r="L32" s="10"/>
      <c r="M32" s="4">
        <f t="shared" si="2"/>
        <v>8714000</v>
      </c>
      <c r="N32" s="4">
        <f>+E32*4%</f>
        <v>292560</v>
      </c>
      <c r="O32" s="4">
        <f>+E32*5%</f>
        <v>365700</v>
      </c>
      <c r="P32" s="4"/>
      <c r="Q32" s="4"/>
      <c r="R32" s="7">
        <v>162000</v>
      </c>
      <c r="S32" s="4">
        <v>1300000</v>
      </c>
      <c r="T32" s="4"/>
      <c r="U32" s="4"/>
      <c r="V32" s="4">
        <f t="shared" si="7"/>
        <v>2120260</v>
      </c>
      <c r="W32" s="5">
        <f t="shared" si="13"/>
        <v>6593740</v>
      </c>
    </row>
    <row r="33" spans="1:24" ht="24.95" customHeight="1" x14ac:dyDescent="0.25">
      <c r="A33" s="63"/>
      <c r="B33" s="2">
        <v>30</v>
      </c>
      <c r="C33" s="1" t="s">
        <v>175</v>
      </c>
      <c r="D33" s="1" t="s">
        <v>30</v>
      </c>
      <c r="E33" s="4">
        <v>5500000</v>
      </c>
      <c r="F33" s="3">
        <v>32</v>
      </c>
      <c r="G33" s="3">
        <f t="shared" si="1"/>
        <v>5866666.666666667</v>
      </c>
      <c r="H33" s="4"/>
      <c r="I33" s="4"/>
      <c r="J33" s="4"/>
      <c r="K33" s="4"/>
      <c r="L33" s="10"/>
      <c r="M33" s="4">
        <f t="shared" si="2"/>
        <v>5866666.666666667</v>
      </c>
      <c r="N33" s="4">
        <f>+G33*4%</f>
        <v>234666.66666666669</v>
      </c>
      <c r="O33" s="4">
        <f>+G33*5%</f>
        <v>293333.33333333337</v>
      </c>
      <c r="P33" s="4"/>
      <c r="Q33" s="4"/>
      <c r="R33" s="7">
        <v>196000</v>
      </c>
      <c r="S33" s="4"/>
      <c r="T33" s="4"/>
      <c r="U33" s="4"/>
      <c r="V33" s="4">
        <f t="shared" ref="V33" si="16">SUM(N33:U33)</f>
        <v>724000</v>
      </c>
      <c r="W33" s="5">
        <f t="shared" si="13"/>
        <v>5142666.666666667</v>
      </c>
    </row>
    <row r="34" spans="1:24" ht="24.95" customHeight="1" x14ac:dyDescent="0.25">
      <c r="A34" s="63"/>
      <c r="B34" s="2">
        <v>31</v>
      </c>
      <c r="C34" s="9" t="s">
        <v>149</v>
      </c>
      <c r="D34" s="1" t="s">
        <v>30</v>
      </c>
      <c r="E34" s="4">
        <v>4000000</v>
      </c>
      <c r="F34" s="3">
        <v>30</v>
      </c>
      <c r="G34" s="3">
        <f>+E34/30*F34</f>
        <v>4000000.0000000005</v>
      </c>
      <c r="H34" s="4"/>
      <c r="I34" s="4"/>
      <c r="J34" s="4"/>
      <c r="K34" s="4"/>
      <c r="L34" s="4"/>
      <c r="M34" s="4">
        <f>+G34+H34+J34+K34+L34+I34</f>
        <v>4000000.0000000005</v>
      </c>
      <c r="N34" s="4">
        <f>+G34*4%</f>
        <v>160000.00000000003</v>
      </c>
      <c r="O34" s="4">
        <f>+G34*5%</f>
        <v>200000.00000000003</v>
      </c>
      <c r="P34" s="4"/>
      <c r="Q34" s="4"/>
      <c r="R34" s="4"/>
      <c r="S34" s="4"/>
      <c r="T34" s="4"/>
      <c r="U34" s="4"/>
      <c r="V34" s="4">
        <f>SUM(N34:U34)</f>
        <v>360000.00000000006</v>
      </c>
      <c r="W34" s="5">
        <f t="shared" si="13"/>
        <v>3640000.0000000005</v>
      </c>
    </row>
    <row r="35" spans="1:24" ht="24.95" customHeight="1" x14ac:dyDescent="0.25">
      <c r="A35" s="63"/>
      <c r="B35" s="2">
        <v>32</v>
      </c>
      <c r="C35" s="1" t="s">
        <v>50</v>
      </c>
      <c r="D35" s="1" t="s">
        <v>30</v>
      </c>
      <c r="E35" s="4">
        <v>4000000</v>
      </c>
      <c r="F35" s="3">
        <v>30</v>
      </c>
      <c r="G35" s="3">
        <f t="shared" si="1"/>
        <v>4000000.0000000005</v>
      </c>
      <c r="H35" s="4"/>
      <c r="I35" s="4"/>
      <c r="J35" s="4"/>
      <c r="K35" s="4">
        <v>360000</v>
      </c>
      <c r="L35" s="4"/>
      <c r="M35" s="4">
        <f t="shared" si="2"/>
        <v>4360000</v>
      </c>
      <c r="N35" s="4">
        <f>E35*4/100</f>
        <v>160000</v>
      </c>
      <c r="O35" s="4">
        <f>+G35*5%</f>
        <v>200000.00000000003</v>
      </c>
      <c r="P35" s="4"/>
      <c r="Q35" s="4"/>
      <c r="R35" s="4"/>
      <c r="S35" s="4"/>
      <c r="T35" s="4"/>
      <c r="U35" s="4"/>
      <c r="V35" s="4">
        <f t="shared" si="7"/>
        <v>360000</v>
      </c>
      <c r="W35" s="5">
        <f t="shared" ref="W35:W40" si="17">+M35-V35</f>
        <v>4000000</v>
      </c>
    </row>
    <row r="36" spans="1:24" ht="24.95" customHeight="1" x14ac:dyDescent="0.25">
      <c r="A36" s="63"/>
      <c r="B36" s="2">
        <v>33</v>
      </c>
      <c r="C36" s="1" t="s">
        <v>150</v>
      </c>
      <c r="D36" s="1" t="s">
        <v>30</v>
      </c>
      <c r="E36" s="4">
        <v>4500000</v>
      </c>
      <c r="F36" s="3">
        <v>4</v>
      </c>
      <c r="G36" s="3">
        <f>+E36/30*F36</f>
        <v>600000</v>
      </c>
      <c r="H36" s="4">
        <f>100005*26</f>
        <v>2600130</v>
      </c>
      <c r="I36" s="4"/>
      <c r="J36" s="4"/>
      <c r="K36" s="4"/>
      <c r="L36" s="4"/>
      <c r="M36" s="4">
        <f t="shared" si="2"/>
        <v>3200130</v>
      </c>
      <c r="N36" s="4">
        <f>M36*4/100</f>
        <v>128005.2</v>
      </c>
      <c r="O36" s="4">
        <f>+M36*0.05</f>
        <v>160006.5</v>
      </c>
      <c r="P36" s="4"/>
      <c r="Q36" s="4"/>
      <c r="R36" s="7"/>
      <c r="S36" s="4"/>
      <c r="T36" s="4"/>
      <c r="U36" s="4"/>
      <c r="V36" s="4">
        <f>SUM(N36:U36)</f>
        <v>288011.7</v>
      </c>
      <c r="W36" s="5">
        <f t="shared" si="17"/>
        <v>2912118.3</v>
      </c>
    </row>
    <row r="37" spans="1:24" ht="24.95" customHeight="1" x14ac:dyDescent="0.25">
      <c r="A37" s="63"/>
      <c r="B37" s="2">
        <v>34</v>
      </c>
      <c r="C37" s="1" t="s">
        <v>51</v>
      </c>
      <c r="D37" s="1" t="s">
        <v>30</v>
      </c>
      <c r="E37" s="4">
        <v>5300000</v>
      </c>
      <c r="F37" s="3">
        <v>30</v>
      </c>
      <c r="G37" s="3">
        <f t="shared" si="1"/>
        <v>5300000</v>
      </c>
      <c r="H37" s="4"/>
      <c r="I37" s="4"/>
      <c r="J37" s="4"/>
      <c r="K37" s="4">
        <v>1621317</v>
      </c>
      <c r="L37" s="4"/>
      <c r="M37" s="4">
        <f t="shared" si="2"/>
        <v>6921317</v>
      </c>
      <c r="N37" s="4">
        <f t="shared" ref="N37:N65" si="18">E37*4/100</f>
        <v>212000</v>
      </c>
      <c r="O37" s="4">
        <f t="shared" ref="O37:O65" si="19">+E37*0.05</f>
        <v>265000</v>
      </c>
      <c r="P37" s="4"/>
      <c r="Q37" s="4"/>
      <c r="R37" s="7">
        <v>100000</v>
      </c>
      <c r="S37" s="4">
        <v>2000000</v>
      </c>
      <c r="T37" s="4"/>
      <c r="U37" s="4">
        <f>884747</f>
        <v>884747</v>
      </c>
      <c r="V37" s="4">
        <f t="shared" si="7"/>
        <v>3461747</v>
      </c>
      <c r="W37" s="5">
        <f t="shared" si="17"/>
        <v>3459570</v>
      </c>
    </row>
    <row r="38" spans="1:24" ht="24.95" customHeight="1" x14ac:dyDescent="0.25">
      <c r="A38" s="63"/>
      <c r="B38" s="2">
        <v>35</v>
      </c>
      <c r="C38" s="1" t="s">
        <v>52</v>
      </c>
      <c r="D38" s="1" t="s">
        <v>30</v>
      </c>
      <c r="E38" s="4">
        <v>4800000</v>
      </c>
      <c r="F38" s="3">
        <v>30</v>
      </c>
      <c r="G38" s="3">
        <f t="shared" si="1"/>
        <v>4800000</v>
      </c>
      <c r="H38" s="4"/>
      <c r="I38" s="4"/>
      <c r="J38" s="4"/>
      <c r="K38" s="4">
        <v>92925</v>
      </c>
      <c r="L38" s="4"/>
      <c r="M38" s="4">
        <f t="shared" si="2"/>
        <v>4892925</v>
      </c>
      <c r="N38" s="4">
        <f t="shared" si="18"/>
        <v>192000</v>
      </c>
      <c r="O38" s="4">
        <f t="shared" si="19"/>
        <v>240000</v>
      </c>
      <c r="P38" s="4"/>
      <c r="Q38" s="4"/>
      <c r="R38" s="7">
        <v>0</v>
      </c>
      <c r="S38" s="4"/>
      <c r="T38" s="4"/>
      <c r="U38" s="4"/>
      <c r="V38" s="4">
        <f t="shared" si="7"/>
        <v>432000</v>
      </c>
      <c r="W38" s="5">
        <f t="shared" si="17"/>
        <v>4460925</v>
      </c>
    </row>
    <row r="39" spans="1:24" ht="24.95" customHeight="1" x14ac:dyDescent="0.25">
      <c r="A39" s="63"/>
      <c r="B39" s="2">
        <v>36</v>
      </c>
      <c r="C39" s="1" t="s">
        <v>53</v>
      </c>
      <c r="D39" s="1" t="s">
        <v>30</v>
      </c>
      <c r="E39" s="4">
        <v>5500000</v>
      </c>
      <c r="F39" s="3">
        <v>30</v>
      </c>
      <c r="G39" s="3">
        <f t="shared" si="1"/>
        <v>5500000</v>
      </c>
      <c r="H39" s="4"/>
      <c r="I39" s="4"/>
      <c r="J39" s="4"/>
      <c r="K39" s="4"/>
      <c r="L39" s="4"/>
      <c r="M39" s="4">
        <f t="shared" si="2"/>
        <v>5500000</v>
      </c>
      <c r="N39" s="4">
        <f t="shared" si="18"/>
        <v>220000</v>
      </c>
      <c r="O39" s="4">
        <f t="shared" si="19"/>
        <v>275000</v>
      </c>
      <c r="P39" s="4"/>
      <c r="Q39" s="4"/>
      <c r="R39" s="4">
        <v>5022</v>
      </c>
      <c r="S39" s="4"/>
      <c r="T39" s="4"/>
      <c r="U39" s="4"/>
      <c r="V39" s="4">
        <f t="shared" si="7"/>
        <v>500022</v>
      </c>
      <c r="W39" s="5">
        <f t="shared" si="17"/>
        <v>4999978</v>
      </c>
    </row>
    <row r="40" spans="1:24" ht="24.95" customHeight="1" x14ac:dyDescent="0.25">
      <c r="A40" s="63"/>
      <c r="B40" s="2">
        <v>37</v>
      </c>
      <c r="C40" s="1" t="s">
        <v>54</v>
      </c>
      <c r="D40" s="1" t="s">
        <v>30</v>
      </c>
      <c r="E40" s="4">
        <v>5500000</v>
      </c>
      <c r="F40" s="3">
        <v>30</v>
      </c>
      <c r="G40" s="3">
        <f t="shared" si="1"/>
        <v>5500000</v>
      </c>
      <c r="H40" s="4"/>
      <c r="I40" s="4"/>
      <c r="J40" s="4"/>
      <c r="K40" s="4"/>
      <c r="L40" s="4"/>
      <c r="M40" s="4">
        <f t="shared" si="2"/>
        <v>5500000</v>
      </c>
      <c r="N40" s="4">
        <f t="shared" si="18"/>
        <v>220000</v>
      </c>
      <c r="O40" s="4">
        <f t="shared" si="19"/>
        <v>275000</v>
      </c>
      <c r="P40" s="4"/>
      <c r="Q40" s="4"/>
      <c r="R40" s="7">
        <v>116000</v>
      </c>
      <c r="S40" s="4"/>
      <c r="T40" s="4"/>
      <c r="U40" s="4"/>
      <c r="V40" s="4">
        <f t="shared" si="7"/>
        <v>611000</v>
      </c>
      <c r="W40" s="5">
        <f t="shared" si="17"/>
        <v>4889000</v>
      </c>
    </row>
    <row r="41" spans="1:24" ht="24.95" customHeight="1" x14ac:dyDescent="0.25">
      <c r="A41" s="63"/>
      <c r="B41" s="2">
        <v>38</v>
      </c>
      <c r="C41" s="1" t="s">
        <v>110</v>
      </c>
      <c r="D41" s="1" t="s">
        <v>30</v>
      </c>
      <c r="E41" s="4">
        <v>4300000</v>
      </c>
      <c r="F41" s="3">
        <v>30</v>
      </c>
      <c r="G41" s="3">
        <f t="shared" si="1"/>
        <v>4300000</v>
      </c>
      <c r="H41" s="4"/>
      <c r="I41" s="4"/>
      <c r="J41" s="4"/>
      <c r="K41" s="4"/>
      <c r="L41" s="4">
        <f>+E41-G41</f>
        <v>0</v>
      </c>
      <c r="M41" s="4">
        <f t="shared" si="2"/>
        <v>4300000</v>
      </c>
      <c r="N41" s="4">
        <f>+E41*4%</f>
        <v>172000</v>
      </c>
      <c r="O41" s="4">
        <f>+E41*5%</f>
        <v>215000</v>
      </c>
      <c r="P41" s="4"/>
      <c r="Q41" s="4"/>
      <c r="R41" s="7">
        <v>0</v>
      </c>
      <c r="S41" s="4"/>
      <c r="T41" s="4">
        <v>0</v>
      </c>
      <c r="U41" s="4"/>
      <c r="V41" s="4">
        <f t="shared" ref="V41" si="20">SUM(N41:U41)</f>
        <v>387000</v>
      </c>
      <c r="W41" s="5">
        <f>+M41-V41</f>
        <v>3913000</v>
      </c>
      <c r="X41" s="65"/>
    </row>
    <row r="42" spans="1:24" ht="24.95" customHeight="1" x14ac:dyDescent="0.25">
      <c r="A42" s="63"/>
      <c r="B42" s="2">
        <v>39</v>
      </c>
      <c r="C42" s="1" t="s">
        <v>57</v>
      </c>
      <c r="D42" s="1" t="s">
        <v>30</v>
      </c>
      <c r="E42" s="4">
        <v>6600000</v>
      </c>
      <c r="F42" s="3">
        <v>30</v>
      </c>
      <c r="G42" s="3">
        <f t="shared" si="1"/>
        <v>6600000</v>
      </c>
      <c r="H42" s="4"/>
      <c r="I42" s="4"/>
      <c r="J42" s="4"/>
      <c r="K42" s="4"/>
      <c r="L42" s="10"/>
      <c r="M42" s="4">
        <f t="shared" si="2"/>
        <v>6600000</v>
      </c>
      <c r="N42" s="4">
        <f t="shared" si="18"/>
        <v>264000</v>
      </c>
      <c r="O42" s="4">
        <f t="shared" si="19"/>
        <v>330000</v>
      </c>
      <c r="P42" s="4"/>
      <c r="Q42" s="4"/>
      <c r="R42" s="7">
        <v>86000</v>
      </c>
      <c r="S42" s="4"/>
      <c r="T42" s="4"/>
      <c r="U42" s="4"/>
      <c r="V42" s="4">
        <f t="shared" si="7"/>
        <v>680000</v>
      </c>
      <c r="W42" s="5">
        <f>M42-V42</f>
        <v>5920000</v>
      </c>
    </row>
    <row r="43" spans="1:24" ht="24.95" customHeight="1" x14ac:dyDescent="0.25">
      <c r="A43" s="63"/>
      <c r="B43" s="2">
        <v>40</v>
      </c>
      <c r="C43" s="1" t="s">
        <v>111</v>
      </c>
      <c r="D43" s="1" t="s">
        <v>30</v>
      </c>
      <c r="E43" s="4">
        <v>4770000</v>
      </c>
      <c r="F43" s="3">
        <v>30</v>
      </c>
      <c r="G43" s="3">
        <f t="shared" si="1"/>
        <v>4770000</v>
      </c>
      <c r="H43" s="4"/>
      <c r="I43" s="4"/>
      <c r="J43" s="4"/>
      <c r="K43" s="4">
        <v>160000</v>
      </c>
      <c r="L43" s="4">
        <f>+E43-G43</f>
        <v>0</v>
      </c>
      <c r="M43" s="4">
        <f t="shared" si="2"/>
        <v>4930000</v>
      </c>
      <c r="N43" s="4">
        <f t="shared" ref="N43" si="21">+E43*4%</f>
        <v>190800</v>
      </c>
      <c r="O43" s="4">
        <f>+E43*5%</f>
        <v>238500</v>
      </c>
      <c r="P43" s="4"/>
      <c r="Q43" s="4"/>
      <c r="R43" s="7">
        <v>0</v>
      </c>
      <c r="S43" s="4"/>
      <c r="T43" s="4"/>
      <c r="U43" s="4"/>
      <c r="V43" s="4">
        <f t="shared" ref="V43" si="22">SUM(N43:U43)</f>
        <v>429300</v>
      </c>
      <c r="W43" s="5">
        <f t="shared" ref="W43" si="23">+M43-V43</f>
        <v>4500700</v>
      </c>
    </row>
    <row r="44" spans="1:24" ht="24.95" customHeight="1" x14ac:dyDescent="0.25">
      <c r="A44" s="63"/>
      <c r="B44" s="2">
        <v>41</v>
      </c>
      <c r="C44" s="1" t="s">
        <v>58</v>
      </c>
      <c r="D44" s="1" t="s">
        <v>30</v>
      </c>
      <c r="E44" s="4">
        <v>7000000</v>
      </c>
      <c r="F44" s="3">
        <v>30</v>
      </c>
      <c r="G44" s="3">
        <f t="shared" si="1"/>
        <v>7000000</v>
      </c>
      <c r="H44" s="4"/>
      <c r="I44" s="4"/>
      <c r="J44" s="4"/>
      <c r="K44" s="4"/>
      <c r="L44" s="11"/>
      <c r="M44" s="4">
        <f t="shared" si="2"/>
        <v>7000000</v>
      </c>
      <c r="N44" s="4">
        <f t="shared" si="18"/>
        <v>280000</v>
      </c>
      <c r="O44" s="4">
        <f t="shared" si="19"/>
        <v>350000</v>
      </c>
      <c r="P44" s="4"/>
      <c r="Q44" s="4"/>
      <c r="R44" s="7">
        <v>86000</v>
      </c>
      <c r="S44" s="4"/>
      <c r="T44" s="4"/>
      <c r="U44" s="4"/>
      <c r="V44" s="4">
        <f t="shared" si="7"/>
        <v>716000</v>
      </c>
      <c r="W44" s="5">
        <f>M44-V44</f>
        <v>6284000</v>
      </c>
    </row>
    <row r="45" spans="1:24" ht="24.95" customHeight="1" x14ac:dyDescent="0.25">
      <c r="A45" s="63"/>
      <c r="B45" s="2">
        <v>42</v>
      </c>
      <c r="C45" s="1" t="s">
        <v>60</v>
      </c>
      <c r="D45" s="1" t="s">
        <v>30</v>
      </c>
      <c r="E45" s="4">
        <v>5088000</v>
      </c>
      <c r="F45" s="3">
        <v>30</v>
      </c>
      <c r="G45" s="3">
        <f t="shared" si="1"/>
        <v>5088000</v>
      </c>
      <c r="H45" s="4"/>
      <c r="I45" s="4"/>
      <c r="J45" s="4"/>
      <c r="K45" s="4"/>
      <c r="L45" s="4"/>
      <c r="M45" s="4">
        <f t="shared" si="2"/>
        <v>5088000</v>
      </c>
      <c r="N45" s="4">
        <f>E45*4/100</f>
        <v>203520</v>
      </c>
      <c r="O45" s="4">
        <f>+E45*0.05</f>
        <v>254400</v>
      </c>
      <c r="P45" s="4"/>
      <c r="Q45" s="4"/>
      <c r="R45" s="4">
        <v>0</v>
      </c>
      <c r="S45" s="4">
        <f>1150000</f>
        <v>1150000</v>
      </c>
      <c r="T45" s="4"/>
      <c r="U45" s="4">
        <f>209579</f>
        <v>209579</v>
      </c>
      <c r="V45" s="4">
        <f t="shared" si="7"/>
        <v>1817499</v>
      </c>
      <c r="W45" s="5">
        <f>M45-V45</f>
        <v>3270501</v>
      </c>
    </row>
    <row r="46" spans="1:24" ht="24.95" customHeight="1" x14ac:dyDescent="0.25">
      <c r="A46" s="63"/>
      <c r="B46" s="2">
        <v>43</v>
      </c>
      <c r="C46" s="1" t="s">
        <v>61</v>
      </c>
      <c r="D46" s="1" t="s">
        <v>30</v>
      </c>
      <c r="E46" s="4">
        <v>4540000</v>
      </c>
      <c r="F46" s="3">
        <v>30</v>
      </c>
      <c r="G46" s="3">
        <f t="shared" si="1"/>
        <v>4540000</v>
      </c>
      <c r="H46" s="4"/>
      <c r="I46" s="4"/>
      <c r="J46" s="4"/>
      <c r="K46" s="4"/>
      <c r="L46" s="4"/>
      <c r="M46" s="4">
        <f t="shared" si="2"/>
        <v>4540000</v>
      </c>
      <c r="N46" s="4">
        <f t="shared" si="18"/>
        <v>181600</v>
      </c>
      <c r="O46" s="4">
        <f t="shared" si="19"/>
        <v>227000</v>
      </c>
      <c r="P46" s="4"/>
      <c r="Q46" s="4">
        <v>270000</v>
      </c>
      <c r="R46" s="7">
        <v>0</v>
      </c>
      <c r="S46" s="4"/>
      <c r="T46" s="4"/>
      <c r="U46" s="4">
        <v>407106</v>
      </c>
      <c r="V46" s="4">
        <f t="shared" si="7"/>
        <v>1085706</v>
      </c>
      <c r="W46" s="5">
        <f>M46-V46</f>
        <v>3454294</v>
      </c>
    </row>
    <row r="47" spans="1:24" ht="24.95" customHeight="1" x14ac:dyDescent="0.25">
      <c r="A47" s="63"/>
      <c r="B47" s="2">
        <v>44</v>
      </c>
      <c r="C47" s="1" t="s">
        <v>62</v>
      </c>
      <c r="D47" s="1" t="s">
        <v>30</v>
      </c>
      <c r="E47" s="4">
        <v>3500000</v>
      </c>
      <c r="F47" s="3">
        <v>30</v>
      </c>
      <c r="G47" s="3">
        <f>+E47-L47</f>
        <v>3500000</v>
      </c>
      <c r="H47" s="4"/>
      <c r="I47" s="4"/>
      <c r="J47" s="4"/>
      <c r="K47" s="4"/>
      <c r="L47" s="4"/>
      <c r="M47" s="4">
        <f t="shared" si="2"/>
        <v>3500000</v>
      </c>
      <c r="N47" s="4">
        <f t="shared" si="18"/>
        <v>140000</v>
      </c>
      <c r="O47" s="4">
        <f t="shared" si="19"/>
        <v>175000</v>
      </c>
      <c r="P47" s="4"/>
      <c r="Q47" s="4"/>
      <c r="R47" s="4">
        <v>0</v>
      </c>
      <c r="S47" s="4"/>
      <c r="T47" s="4"/>
      <c r="U47" s="4">
        <v>257196</v>
      </c>
      <c r="V47" s="4">
        <f t="shared" si="7"/>
        <v>572196</v>
      </c>
      <c r="W47" s="5">
        <f>+M47-V47</f>
        <v>2927804</v>
      </c>
    </row>
    <row r="48" spans="1:24" ht="24.95" customHeight="1" x14ac:dyDescent="0.25">
      <c r="A48" s="63"/>
      <c r="B48" s="2">
        <v>45</v>
      </c>
      <c r="C48" s="1" t="s">
        <v>63</v>
      </c>
      <c r="D48" s="1" t="s">
        <v>30</v>
      </c>
      <c r="E48" s="4">
        <v>4500000</v>
      </c>
      <c r="F48" s="3">
        <v>30</v>
      </c>
      <c r="G48" s="3">
        <f t="shared" si="1"/>
        <v>4500000</v>
      </c>
      <c r="H48" s="4"/>
      <c r="I48" s="4"/>
      <c r="J48" s="4"/>
      <c r="K48" s="4"/>
      <c r="L48" s="4"/>
      <c r="M48" s="4">
        <f t="shared" si="2"/>
        <v>4500000</v>
      </c>
      <c r="N48" s="4">
        <f t="shared" si="18"/>
        <v>180000</v>
      </c>
      <c r="O48" s="4">
        <f t="shared" si="19"/>
        <v>225000</v>
      </c>
      <c r="P48" s="4"/>
      <c r="Q48" s="4"/>
      <c r="R48" s="4">
        <v>0</v>
      </c>
      <c r="S48" s="4"/>
      <c r="T48" s="4"/>
      <c r="U48" s="4"/>
      <c r="V48" s="4">
        <f t="shared" si="7"/>
        <v>405000</v>
      </c>
      <c r="W48" s="5">
        <f>+M48-V48</f>
        <v>4095000</v>
      </c>
    </row>
    <row r="49" spans="1:26" ht="24.95" customHeight="1" x14ac:dyDescent="0.25">
      <c r="A49" s="63"/>
      <c r="B49" s="2">
        <v>46</v>
      </c>
      <c r="C49" s="1" t="s">
        <v>64</v>
      </c>
      <c r="D49" s="1" t="s">
        <v>30</v>
      </c>
      <c r="E49" s="4">
        <v>6360000</v>
      </c>
      <c r="F49" s="3">
        <v>30</v>
      </c>
      <c r="G49" s="3">
        <f>+E49-L49</f>
        <v>6360000</v>
      </c>
      <c r="H49" s="4"/>
      <c r="I49" s="4"/>
      <c r="J49" s="4"/>
      <c r="K49" s="4"/>
      <c r="L49" s="4"/>
      <c r="M49" s="4">
        <f t="shared" si="2"/>
        <v>6360000</v>
      </c>
      <c r="N49" s="4">
        <f t="shared" si="18"/>
        <v>254400</v>
      </c>
      <c r="O49" s="4">
        <f t="shared" si="19"/>
        <v>318000</v>
      </c>
      <c r="P49" s="4"/>
      <c r="Q49" s="4"/>
      <c r="R49" s="4">
        <v>208000</v>
      </c>
      <c r="S49" s="4"/>
      <c r="T49" s="4">
        <v>122614</v>
      </c>
      <c r="U49" s="4"/>
      <c r="V49" s="4">
        <f t="shared" si="7"/>
        <v>903014</v>
      </c>
      <c r="W49" s="5">
        <f>+M49-V49</f>
        <v>5456986</v>
      </c>
    </row>
    <row r="50" spans="1:26" ht="24.95" customHeight="1" x14ac:dyDescent="0.25">
      <c r="A50" s="63"/>
      <c r="B50" s="2">
        <v>47</v>
      </c>
      <c r="C50" s="1" t="s">
        <v>151</v>
      </c>
      <c r="D50" s="1" t="s">
        <v>30</v>
      </c>
      <c r="E50" s="4">
        <v>3500000</v>
      </c>
      <c r="F50" s="3">
        <v>30</v>
      </c>
      <c r="G50" s="3">
        <f>+E50/30*F50</f>
        <v>3500000</v>
      </c>
      <c r="H50" s="4"/>
      <c r="I50" s="4"/>
      <c r="J50" s="4"/>
      <c r="K50" s="4"/>
      <c r="L50" s="4"/>
      <c r="M50" s="4">
        <f>+G50+H50+J50+K50+L50+I50</f>
        <v>3500000</v>
      </c>
      <c r="N50" s="4">
        <f>G50*4/100</f>
        <v>140000</v>
      </c>
      <c r="O50" s="4">
        <f>+G50*0.05</f>
        <v>175000</v>
      </c>
      <c r="P50" s="4"/>
      <c r="Q50" s="4"/>
      <c r="R50" s="4">
        <v>0</v>
      </c>
      <c r="S50" s="4"/>
      <c r="T50" s="4">
        <v>0</v>
      </c>
      <c r="U50" s="4"/>
      <c r="V50" s="4">
        <f t="shared" ref="V50" si="24">SUM(N50:U50)</f>
        <v>315000</v>
      </c>
      <c r="W50" s="5">
        <f>+M50-V50</f>
        <v>3185000</v>
      </c>
    </row>
    <row r="51" spans="1:26" ht="24.95" customHeight="1" x14ac:dyDescent="0.25">
      <c r="A51" s="63"/>
      <c r="B51" s="2">
        <v>48</v>
      </c>
      <c r="C51" s="1" t="s">
        <v>65</v>
      </c>
      <c r="D51" s="1" t="s">
        <v>30</v>
      </c>
      <c r="E51" s="4">
        <v>4770000</v>
      </c>
      <c r="F51" s="3">
        <v>30</v>
      </c>
      <c r="G51" s="3">
        <f t="shared" si="1"/>
        <v>4770000</v>
      </c>
      <c r="H51" s="4"/>
      <c r="I51" s="4"/>
      <c r="J51" s="4"/>
      <c r="K51" s="4">
        <v>500000</v>
      </c>
      <c r="L51" s="4"/>
      <c r="M51" s="4">
        <f t="shared" si="2"/>
        <v>5270000</v>
      </c>
      <c r="N51" s="4">
        <f t="shared" si="18"/>
        <v>190800</v>
      </c>
      <c r="O51" s="4">
        <f t="shared" si="19"/>
        <v>238500</v>
      </c>
      <c r="P51" s="4"/>
      <c r="Q51" s="4"/>
      <c r="R51" s="4">
        <v>22000</v>
      </c>
      <c r="S51" s="4"/>
      <c r="T51" s="4"/>
      <c r="U51" s="4">
        <v>551399</v>
      </c>
      <c r="V51" s="4">
        <f t="shared" si="7"/>
        <v>1002699</v>
      </c>
      <c r="W51" s="5">
        <f>+M51-V51</f>
        <v>4267301</v>
      </c>
    </row>
    <row r="52" spans="1:26" ht="24.95" customHeight="1" x14ac:dyDescent="0.25">
      <c r="A52" s="63"/>
      <c r="B52" s="2">
        <v>49</v>
      </c>
      <c r="C52" s="1" t="s">
        <v>67</v>
      </c>
      <c r="D52" s="1" t="s">
        <v>30</v>
      </c>
      <c r="E52" s="4">
        <v>6000000</v>
      </c>
      <c r="F52" s="3">
        <v>30</v>
      </c>
      <c r="G52" s="3">
        <f>+E52-L52</f>
        <v>6000000</v>
      </c>
      <c r="H52" s="4"/>
      <c r="I52" s="4"/>
      <c r="J52" s="4"/>
      <c r="K52" s="4"/>
      <c r="L52" s="4"/>
      <c r="M52" s="4">
        <f t="shared" si="2"/>
        <v>6000000</v>
      </c>
      <c r="N52" s="4">
        <f t="shared" si="18"/>
        <v>240000</v>
      </c>
      <c r="O52" s="4">
        <f t="shared" si="19"/>
        <v>300000</v>
      </c>
      <c r="P52" s="4">
        <v>0</v>
      </c>
      <c r="Q52" s="4"/>
      <c r="R52" s="4">
        <v>0</v>
      </c>
      <c r="S52" s="4"/>
      <c r="T52" s="4"/>
      <c r="U52" s="4"/>
      <c r="V52" s="4">
        <f t="shared" si="7"/>
        <v>540000</v>
      </c>
      <c r="W52" s="5">
        <f>M52-V52</f>
        <v>5460000</v>
      </c>
      <c r="Z52" s="60">
        <v>321831000</v>
      </c>
    </row>
    <row r="53" spans="1:26" ht="24.95" customHeight="1" x14ac:dyDescent="0.25">
      <c r="A53" s="63"/>
      <c r="B53" s="2">
        <v>50</v>
      </c>
      <c r="C53" s="1" t="s">
        <v>68</v>
      </c>
      <c r="D53" s="1" t="s">
        <v>30</v>
      </c>
      <c r="E53" s="4">
        <v>6420000</v>
      </c>
      <c r="F53" s="3">
        <v>30</v>
      </c>
      <c r="G53" s="3">
        <f t="shared" si="1"/>
        <v>6420000</v>
      </c>
      <c r="H53" s="4"/>
      <c r="I53" s="4"/>
      <c r="J53" s="4"/>
      <c r="K53" s="4"/>
      <c r="L53" s="4"/>
      <c r="M53" s="4">
        <f t="shared" si="2"/>
        <v>6420000</v>
      </c>
      <c r="N53" s="4">
        <f t="shared" si="18"/>
        <v>256800</v>
      </c>
      <c r="O53" s="4">
        <f t="shared" si="19"/>
        <v>321000</v>
      </c>
      <c r="P53" s="4"/>
      <c r="Q53" s="4"/>
      <c r="R53" s="4">
        <v>231000</v>
      </c>
      <c r="S53" s="4"/>
      <c r="T53" s="4"/>
      <c r="U53" s="4"/>
      <c r="V53" s="4">
        <f t="shared" si="7"/>
        <v>808800</v>
      </c>
      <c r="W53" s="5">
        <f>+M53-V53</f>
        <v>5611200</v>
      </c>
      <c r="Z53" s="60">
        <f>+Z52/2</f>
        <v>160915500</v>
      </c>
    </row>
    <row r="54" spans="1:26" ht="24.95" customHeight="1" x14ac:dyDescent="0.25">
      <c r="A54" s="63"/>
      <c r="B54" s="2">
        <v>51</v>
      </c>
      <c r="C54" s="9" t="s">
        <v>167</v>
      </c>
      <c r="D54" s="1" t="s">
        <v>30</v>
      </c>
      <c r="E54" s="4">
        <v>7700000</v>
      </c>
      <c r="F54" s="3">
        <v>30</v>
      </c>
      <c r="G54" s="3">
        <f t="shared" si="1"/>
        <v>7700000</v>
      </c>
      <c r="H54" s="4"/>
      <c r="I54" s="4"/>
      <c r="J54" s="4"/>
      <c r="K54" s="4">
        <f>+(800000/30)*F54</f>
        <v>800000</v>
      </c>
      <c r="L54" s="11"/>
      <c r="M54" s="4">
        <f>+G54+H54+J54+K54+L54+I54</f>
        <v>8500000</v>
      </c>
      <c r="N54" s="4">
        <f>G54*4/100</f>
        <v>308000</v>
      </c>
      <c r="O54" s="4">
        <f>+G54*0.05</f>
        <v>385000</v>
      </c>
      <c r="P54" s="4">
        <v>2165000</v>
      </c>
      <c r="Q54" s="4"/>
      <c r="R54" s="4">
        <v>182000</v>
      </c>
      <c r="S54" s="4"/>
      <c r="T54" s="4"/>
      <c r="U54" s="4"/>
      <c r="V54" s="4">
        <f t="shared" ref="V54" si="25">SUM(N54:U54)</f>
        <v>3040000</v>
      </c>
      <c r="W54" s="5">
        <f>M54-V54</f>
        <v>5460000</v>
      </c>
    </row>
    <row r="55" spans="1:26" ht="24.95" customHeight="1" x14ac:dyDescent="0.25">
      <c r="A55" s="63"/>
      <c r="B55" s="2">
        <v>52</v>
      </c>
      <c r="C55" s="9" t="s">
        <v>70</v>
      </c>
      <c r="D55" s="1" t="s">
        <v>30</v>
      </c>
      <c r="E55" s="4">
        <v>7000000</v>
      </c>
      <c r="F55" s="3">
        <v>30</v>
      </c>
      <c r="G55" s="3">
        <f>+E55-L55</f>
        <v>7000000</v>
      </c>
      <c r="H55" s="4"/>
      <c r="I55" s="4"/>
      <c r="J55" s="4">
        <v>0</v>
      </c>
      <c r="K55" s="4"/>
      <c r="L55" s="4"/>
      <c r="M55" s="4">
        <f t="shared" si="2"/>
        <v>7000000</v>
      </c>
      <c r="N55" s="4">
        <f t="shared" si="18"/>
        <v>280000</v>
      </c>
      <c r="O55" s="4">
        <f t="shared" si="19"/>
        <v>350000</v>
      </c>
      <c r="P55" s="4"/>
      <c r="Q55" s="4"/>
      <c r="R55" s="4">
        <v>208000</v>
      </c>
      <c r="S55" s="4"/>
      <c r="T55" s="4"/>
      <c r="U55" s="4"/>
      <c r="V55" s="4">
        <f t="shared" si="7"/>
        <v>838000</v>
      </c>
      <c r="W55" s="5">
        <f>M55-V55</f>
        <v>6162000</v>
      </c>
    </row>
    <row r="56" spans="1:26" ht="24.95" customHeight="1" x14ac:dyDescent="0.25">
      <c r="A56" s="63"/>
      <c r="B56" s="2">
        <v>53</v>
      </c>
      <c r="C56" s="1" t="s">
        <v>71</v>
      </c>
      <c r="D56" s="1" t="s">
        <v>30</v>
      </c>
      <c r="E56" s="4">
        <v>5350000</v>
      </c>
      <c r="F56" s="3">
        <v>30</v>
      </c>
      <c r="G56" s="3">
        <f t="shared" si="1"/>
        <v>5350000</v>
      </c>
      <c r="H56" s="4"/>
      <c r="I56" s="4"/>
      <c r="J56" s="4"/>
      <c r="K56" s="4"/>
      <c r="L56" s="4"/>
      <c r="M56" s="4">
        <f t="shared" si="2"/>
        <v>5350000</v>
      </c>
      <c r="N56" s="4">
        <f t="shared" si="18"/>
        <v>214000</v>
      </c>
      <c r="O56" s="4">
        <f t="shared" si="19"/>
        <v>267500</v>
      </c>
      <c r="P56" s="4"/>
      <c r="Q56" s="4"/>
      <c r="R56" s="4">
        <v>95000</v>
      </c>
      <c r="S56" s="4"/>
      <c r="T56" s="4"/>
      <c r="U56" s="4"/>
      <c r="V56" s="4">
        <f t="shared" si="7"/>
        <v>576500</v>
      </c>
      <c r="W56" s="5">
        <f t="shared" ref="W56:W63" si="26">+M56-V56</f>
        <v>4773500</v>
      </c>
    </row>
    <row r="57" spans="1:26" ht="24.95" customHeight="1" x14ac:dyDescent="0.25">
      <c r="A57" s="63"/>
      <c r="B57" s="2">
        <v>54</v>
      </c>
      <c r="C57" s="1" t="s">
        <v>72</v>
      </c>
      <c r="D57" s="2" t="s">
        <v>30</v>
      </c>
      <c r="E57" s="4">
        <v>4500000</v>
      </c>
      <c r="F57" s="3">
        <v>30</v>
      </c>
      <c r="G57" s="3">
        <f>+E57-L57</f>
        <v>4500000</v>
      </c>
      <c r="H57" s="4"/>
      <c r="I57" s="4"/>
      <c r="J57" s="4"/>
      <c r="K57" s="4"/>
      <c r="L57" s="4"/>
      <c r="M57" s="4">
        <f t="shared" si="2"/>
        <v>4500000</v>
      </c>
      <c r="N57" s="4">
        <f t="shared" si="18"/>
        <v>180000</v>
      </c>
      <c r="O57" s="4">
        <f t="shared" si="19"/>
        <v>225000</v>
      </c>
      <c r="P57" s="4"/>
      <c r="Q57" s="4"/>
      <c r="R57" s="4">
        <v>0</v>
      </c>
      <c r="S57" s="4"/>
      <c r="T57" s="4"/>
      <c r="U57" s="4"/>
      <c r="V57" s="4">
        <f t="shared" si="7"/>
        <v>405000</v>
      </c>
      <c r="W57" s="5">
        <f t="shared" si="26"/>
        <v>4095000</v>
      </c>
    </row>
    <row r="58" spans="1:26" ht="24.95" customHeight="1" x14ac:dyDescent="0.25">
      <c r="A58" s="63"/>
      <c r="B58" s="2">
        <v>55</v>
      </c>
      <c r="C58" s="1" t="s">
        <v>73</v>
      </c>
      <c r="D58" s="1" t="s">
        <v>30</v>
      </c>
      <c r="E58" s="4">
        <v>4770000</v>
      </c>
      <c r="F58" s="3">
        <v>30</v>
      </c>
      <c r="G58" s="3">
        <f t="shared" si="1"/>
        <v>4770000</v>
      </c>
      <c r="H58" s="4"/>
      <c r="I58" s="4"/>
      <c r="J58" s="4"/>
      <c r="K58" s="4"/>
      <c r="L58" s="4">
        <v>2544000</v>
      </c>
      <c r="M58" s="4">
        <f t="shared" si="2"/>
        <v>7314000</v>
      </c>
      <c r="N58" s="4">
        <f>M58*4/100</f>
        <v>292560</v>
      </c>
      <c r="O58" s="4">
        <f>+M58*0.05</f>
        <v>365700</v>
      </c>
      <c r="P58" s="4"/>
      <c r="Q58" s="4"/>
      <c r="R58" s="4">
        <v>0</v>
      </c>
      <c r="S58" s="4"/>
      <c r="T58" s="4"/>
      <c r="U58" s="4">
        <v>317224</v>
      </c>
      <c r="V58" s="4">
        <f t="shared" si="7"/>
        <v>975484</v>
      </c>
      <c r="W58" s="5">
        <f t="shared" si="26"/>
        <v>6338516</v>
      </c>
    </row>
    <row r="59" spans="1:26" ht="24.95" customHeight="1" x14ac:dyDescent="0.25">
      <c r="A59" s="63"/>
      <c r="B59" s="2">
        <v>56</v>
      </c>
      <c r="C59" s="1" t="s">
        <v>161</v>
      </c>
      <c r="D59" s="1" t="s">
        <v>30</v>
      </c>
      <c r="E59" s="4">
        <v>6800000</v>
      </c>
      <c r="F59" s="3">
        <v>30</v>
      </c>
      <c r="G59" s="3">
        <f t="shared" si="1"/>
        <v>6800000</v>
      </c>
      <c r="H59" s="4"/>
      <c r="I59" s="4"/>
      <c r="J59" s="4"/>
      <c r="K59" s="4"/>
      <c r="L59" s="4"/>
      <c r="M59" s="4">
        <f t="shared" si="2"/>
        <v>6800000</v>
      </c>
      <c r="N59" s="4">
        <f>+G59*4%</f>
        <v>272000</v>
      </c>
      <c r="O59" s="4">
        <f>+G59*0.05</f>
        <v>340000</v>
      </c>
      <c r="P59" s="4"/>
      <c r="Q59" s="4"/>
      <c r="R59" s="4">
        <v>115000</v>
      </c>
      <c r="S59" s="4"/>
      <c r="T59" s="4"/>
      <c r="U59" s="4"/>
      <c r="V59" s="4">
        <f t="shared" ref="V59" si="27">SUM(N59:U59)</f>
        <v>727000</v>
      </c>
      <c r="W59" s="5">
        <f t="shared" si="26"/>
        <v>6073000</v>
      </c>
    </row>
    <row r="60" spans="1:26" ht="24.95" customHeight="1" x14ac:dyDescent="0.25">
      <c r="A60" s="63"/>
      <c r="B60" s="2">
        <v>57</v>
      </c>
      <c r="C60" s="1" t="s">
        <v>74</v>
      </c>
      <c r="D60" s="1" t="s">
        <v>30</v>
      </c>
      <c r="E60" s="4">
        <v>5200000</v>
      </c>
      <c r="F60" s="3">
        <v>30</v>
      </c>
      <c r="G60" s="3">
        <f>+E60-L60</f>
        <v>4333333</v>
      </c>
      <c r="H60" s="4"/>
      <c r="I60" s="4"/>
      <c r="J60" s="4"/>
      <c r="K60" s="4"/>
      <c r="L60" s="4">
        <v>866667</v>
      </c>
      <c r="M60" s="4">
        <f t="shared" si="2"/>
        <v>5200000</v>
      </c>
      <c r="N60" s="4">
        <f>E60*4/100</f>
        <v>208000</v>
      </c>
      <c r="O60" s="4">
        <f>+E60*0.05</f>
        <v>260000</v>
      </c>
      <c r="P60" s="4"/>
      <c r="Q60" s="4"/>
      <c r="R60" s="4">
        <v>55000</v>
      </c>
      <c r="S60" s="4"/>
      <c r="T60" s="4"/>
      <c r="U60" s="4">
        <v>1198791</v>
      </c>
      <c r="V60" s="4">
        <f t="shared" si="7"/>
        <v>1721791</v>
      </c>
      <c r="W60" s="5">
        <f t="shared" si="26"/>
        <v>3478209</v>
      </c>
    </row>
    <row r="61" spans="1:26" ht="24.95" customHeight="1" x14ac:dyDescent="0.25">
      <c r="A61" s="63"/>
      <c r="B61" s="2">
        <v>58</v>
      </c>
      <c r="C61" s="1" t="s">
        <v>75</v>
      </c>
      <c r="D61" s="1" t="s">
        <v>30</v>
      </c>
      <c r="E61" s="4">
        <v>4400000</v>
      </c>
      <c r="F61" s="3">
        <v>30</v>
      </c>
      <c r="G61" s="3">
        <f>+E61-L61</f>
        <v>4400000</v>
      </c>
      <c r="H61" s="4"/>
      <c r="I61" s="4"/>
      <c r="J61" s="4"/>
      <c r="K61" s="4"/>
      <c r="L61" s="4"/>
      <c r="M61" s="4">
        <f t="shared" si="2"/>
        <v>4400000</v>
      </c>
      <c r="N61" s="4">
        <f>E61*4/100</f>
        <v>176000</v>
      </c>
      <c r="O61" s="4">
        <f>+E61*0.05</f>
        <v>220000</v>
      </c>
      <c r="P61" s="4"/>
      <c r="Q61" s="4"/>
      <c r="R61" s="4">
        <v>0</v>
      </c>
      <c r="S61" s="4"/>
      <c r="T61" s="4"/>
      <c r="U61" s="4">
        <v>141077</v>
      </c>
      <c r="V61" s="4">
        <f t="shared" si="7"/>
        <v>537077</v>
      </c>
      <c r="W61" s="5">
        <f t="shared" si="26"/>
        <v>3862923</v>
      </c>
    </row>
    <row r="62" spans="1:26" ht="24.95" customHeight="1" x14ac:dyDescent="0.25">
      <c r="A62" s="63"/>
      <c r="B62" s="2">
        <v>59</v>
      </c>
      <c r="C62" s="1" t="s">
        <v>76</v>
      </c>
      <c r="D62" s="1" t="s">
        <v>30</v>
      </c>
      <c r="E62" s="4">
        <v>6000000</v>
      </c>
      <c r="F62" s="3">
        <v>30</v>
      </c>
      <c r="G62" s="3">
        <f t="shared" si="1"/>
        <v>6000000</v>
      </c>
      <c r="H62" s="4"/>
      <c r="I62" s="4"/>
      <c r="J62" s="4"/>
      <c r="K62" s="4">
        <v>400000</v>
      </c>
      <c r="L62" s="4"/>
      <c r="M62" s="4">
        <f t="shared" si="2"/>
        <v>6400000</v>
      </c>
      <c r="N62" s="4">
        <f>E62*4/100</f>
        <v>240000</v>
      </c>
      <c r="O62" s="4">
        <f>+E62*0.05</f>
        <v>300000</v>
      </c>
      <c r="P62" s="4"/>
      <c r="Q62" s="4"/>
      <c r="R62" s="4">
        <v>97000</v>
      </c>
      <c r="S62" s="4"/>
      <c r="T62" s="4"/>
      <c r="U62" s="4"/>
      <c r="V62" s="4">
        <f t="shared" si="7"/>
        <v>637000</v>
      </c>
      <c r="W62" s="5">
        <f t="shared" si="26"/>
        <v>5763000</v>
      </c>
    </row>
    <row r="63" spans="1:26" ht="24.95" customHeight="1" x14ac:dyDescent="0.25">
      <c r="A63" s="63"/>
      <c r="B63" s="2">
        <v>60</v>
      </c>
      <c r="C63" s="1" t="s">
        <v>152</v>
      </c>
      <c r="D63" s="1" t="s">
        <v>30</v>
      </c>
      <c r="E63" s="4">
        <v>4000000</v>
      </c>
      <c r="F63" s="3">
        <v>30</v>
      </c>
      <c r="G63" s="3">
        <f t="shared" si="1"/>
        <v>4000000.0000000005</v>
      </c>
      <c r="H63" s="4"/>
      <c r="I63" s="4"/>
      <c r="J63" s="4"/>
      <c r="K63" s="4"/>
      <c r="L63" s="4"/>
      <c r="M63" s="4">
        <f t="shared" si="2"/>
        <v>4000000.0000000005</v>
      </c>
      <c r="N63" s="4">
        <f>G63*4/100</f>
        <v>160000.00000000003</v>
      </c>
      <c r="O63" s="4">
        <f>+G63*0.05</f>
        <v>200000.00000000003</v>
      </c>
      <c r="P63" s="4"/>
      <c r="Q63" s="4"/>
      <c r="R63" s="4"/>
      <c r="S63" s="4"/>
      <c r="T63" s="4"/>
      <c r="U63" s="4"/>
      <c r="V63" s="4">
        <f t="shared" ref="V63" si="28">SUM(N63:U63)</f>
        <v>360000.00000000006</v>
      </c>
      <c r="W63" s="5">
        <f t="shared" si="26"/>
        <v>3640000.0000000005</v>
      </c>
    </row>
    <row r="64" spans="1:26" ht="24.95" customHeight="1" x14ac:dyDescent="0.25">
      <c r="A64" s="63"/>
      <c r="B64" s="2">
        <v>61</v>
      </c>
      <c r="C64" s="1" t="s">
        <v>176</v>
      </c>
      <c r="D64" s="1" t="s">
        <v>30</v>
      </c>
      <c r="E64" s="4">
        <v>5500000</v>
      </c>
      <c r="F64" s="3">
        <v>19</v>
      </c>
      <c r="G64" s="3">
        <f t="shared" si="1"/>
        <v>3483333.3333333335</v>
      </c>
      <c r="H64" s="4"/>
      <c r="I64" s="4"/>
      <c r="J64" s="4">
        <v>290278</v>
      </c>
      <c r="K64" s="4"/>
      <c r="L64" s="4">
        <v>0</v>
      </c>
      <c r="M64" s="4">
        <f t="shared" si="2"/>
        <v>3773611.3333333335</v>
      </c>
      <c r="N64" s="4">
        <f>G64*4/100</f>
        <v>139333.33333333334</v>
      </c>
      <c r="O64" s="4">
        <f>+G64*0.05</f>
        <v>174166.66666666669</v>
      </c>
      <c r="P64" s="4"/>
      <c r="Q64" s="4"/>
      <c r="R64" s="4"/>
      <c r="S64" s="4"/>
      <c r="T64" s="4"/>
      <c r="U64" s="4"/>
      <c r="V64" s="4">
        <f t="shared" si="7"/>
        <v>313500</v>
      </c>
      <c r="W64" s="5">
        <f>M64-V64</f>
        <v>3460111.3333333335</v>
      </c>
    </row>
    <row r="65" spans="1:23" ht="24.95" customHeight="1" x14ac:dyDescent="0.25">
      <c r="A65" s="63"/>
      <c r="B65" s="2">
        <v>62</v>
      </c>
      <c r="C65" s="1" t="s">
        <v>78</v>
      </c>
      <c r="D65" s="1" t="s">
        <v>30</v>
      </c>
      <c r="E65" s="4">
        <v>6000000</v>
      </c>
      <c r="F65" s="3">
        <v>30</v>
      </c>
      <c r="G65" s="3">
        <f t="shared" si="1"/>
        <v>6000000</v>
      </c>
      <c r="H65" s="4"/>
      <c r="I65" s="4"/>
      <c r="J65" s="4"/>
      <c r="K65" s="4">
        <v>400000</v>
      </c>
      <c r="L65" s="4"/>
      <c r="M65" s="4">
        <f t="shared" si="2"/>
        <v>6400000</v>
      </c>
      <c r="N65" s="4">
        <f t="shared" si="18"/>
        <v>240000</v>
      </c>
      <c r="O65" s="4">
        <f t="shared" si="19"/>
        <v>300000</v>
      </c>
      <c r="P65" s="4"/>
      <c r="Q65" s="4"/>
      <c r="R65" s="4">
        <v>120000</v>
      </c>
      <c r="S65" s="4"/>
      <c r="T65" s="4"/>
      <c r="U65" s="4"/>
      <c r="V65" s="4">
        <f t="shared" si="7"/>
        <v>660000</v>
      </c>
      <c r="W65" s="5">
        <f>M65-V65</f>
        <v>5740000</v>
      </c>
    </row>
    <row r="66" spans="1:23" ht="24.95" customHeight="1" x14ac:dyDescent="0.25">
      <c r="A66" s="63"/>
      <c r="B66" s="2">
        <v>63</v>
      </c>
      <c r="C66" s="1" t="s">
        <v>79</v>
      </c>
      <c r="D66" s="1" t="s">
        <v>30</v>
      </c>
      <c r="E66" s="4">
        <v>4800000</v>
      </c>
      <c r="F66" s="3">
        <v>30</v>
      </c>
      <c r="G66" s="3">
        <f>+E66-L66</f>
        <v>4800000</v>
      </c>
      <c r="H66" s="4"/>
      <c r="I66" s="4"/>
      <c r="J66" s="4"/>
      <c r="K66" s="4"/>
      <c r="L66" s="4"/>
      <c r="M66" s="4">
        <f t="shared" si="2"/>
        <v>4800000</v>
      </c>
      <c r="N66" s="4">
        <f>+E66*4%</f>
        <v>192000</v>
      </c>
      <c r="O66" s="4">
        <f>+E66*5%</f>
        <v>240000</v>
      </c>
      <c r="P66" s="4"/>
      <c r="Q66" s="4"/>
      <c r="R66" s="4">
        <v>0</v>
      </c>
      <c r="S66" s="4"/>
      <c r="T66" s="4"/>
      <c r="U66" s="4"/>
      <c r="V66" s="4">
        <f t="shared" si="7"/>
        <v>432000</v>
      </c>
      <c r="W66" s="5">
        <f>+M66-V66</f>
        <v>4368000</v>
      </c>
    </row>
    <row r="67" spans="1:23" ht="24.95" customHeight="1" x14ac:dyDescent="0.25">
      <c r="A67" s="63"/>
      <c r="B67" s="2">
        <v>64</v>
      </c>
      <c r="C67" s="1" t="s">
        <v>153</v>
      </c>
      <c r="D67" s="1" t="s">
        <v>30</v>
      </c>
      <c r="E67" s="4">
        <v>4500000</v>
      </c>
      <c r="F67" s="3">
        <v>30</v>
      </c>
      <c r="G67" s="3">
        <f t="shared" si="1"/>
        <v>4500000</v>
      </c>
      <c r="H67" s="4"/>
      <c r="I67" s="4"/>
      <c r="J67" s="4"/>
      <c r="K67" s="4"/>
      <c r="L67" s="4"/>
      <c r="M67" s="4">
        <f t="shared" si="2"/>
        <v>4500000</v>
      </c>
      <c r="N67" s="4">
        <f>+G67*4%</f>
        <v>180000</v>
      </c>
      <c r="O67" s="4">
        <f>+G67*5%</f>
        <v>225000</v>
      </c>
      <c r="P67" s="4"/>
      <c r="Q67" s="4"/>
      <c r="R67" s="4"/>
      <c r="S67" s="4"/>
      <c r="T67" s="4"/>
      <c r="U67" s="4"/>
      <c r="V67" s="4">
        <f t="shared" ref="V67" si="29">SUM(N67:U67)</f>
        <v>405000</v>
      </c>
      <c r="W67" s="5">
        <f>+M67-V67</f>
        <v>4095000</v>
      </c>
    </row>
    <row r="68" spans="1:23" ht="24.95" customHeight="1" x14ac:dyDescent="0.25">
      <c r="A68" s="63"/>
      <c r="B68" s="2">
        <v>65</v>
      </c>
      <c r="C68" s="1" t="s">
        <v>80</v>
      </c>
      <c r="D68" s="1" t="s">
        <v>30</v>
      </c>
      <c r="E68" s="4">
        <v>6500000</v>
      </c>
      <c r="F68" s="3">
        <v>30</v>
      </c>
      <c r="G68" s="3">
        <f t="shared" si="1"/>
        <v>6500000</v>
      </c>
      <c r="H68" s="4"/>
      <c r="I68" s="4"/>
      <c r="J68" s="4"/>
      <c r="K68" s="4"/>
      <c r="L68" s="4"/>
      <c r="M68" s="4">
        <f t="shared" si="2"/>
        <v>6500000</v>
      </c>
      <c r="N68" s="4">
        <f>+E68*0.04</f>
        <v>260000</v>
      </c>
      <c r="O68" s="4">
        <f>+E68*0.05</f>
        <v>325000</v>
      </c>
      <c r="P68" s="4"/>
      <c r="Q68" s="4">
        <v>147000</v>
      </c>
      <c r="R68" s="4">
        <v>207372</v>
      </c>
      <c r="S68" s="4"/>
      <c r="T68" s="4"/>
      <c r="U68" s="4"/>
      <c r="V68" s="4">
        <f t="shared" si="7"/>
        <v>939372</v>
      </c>
      <c r="W68" s="5">
        <f>M68-V68</f>
        <v>5560628</v>
      </c>
    </row>
    <row r="69" spans="1:23" ht="24.95" customHeight="1" x14ac:dyDescent="0.25">
      <c r="A69" s="63" t="s">
        <v>81</v>
      </c>
      <c r="B69" s="2">
        <v>1</v>
      </c>
      <c r="C69" s="1" t="s">
        <v>82</v>
      </c>
      <c r="D69" s="1" t="s">
        <v>30</v>
      </c>
      <c r="E69" s="4">
        <v>912000</v>
      </c>
      <c r="F69" s="3">
        <v>30</v>
      </c>
      <c r="G69" s="3">
        <f t="shared" si="1"/>
        <v>912000</v>
      </c>
      <c r="H69" s="4">
        <v>88211</v>
      </c>
      <c r="I69" s="4"/>
      <c r="J69" s="4"/>
      <c r="K69" s="4"/>
      <c r="L69" s="4"/>
      <c r="M69" s="4">
        <f t="shared" si="2"/>
        <v>1000211</v>
      </c>
      <c r="N69" s="4">
        <f>+E69*0.04</f>
        <v>36480</v>
      </c>
      <c r="O69" s="4">
        <f>+E69*0.04</f>
        <v>36480</v>
      </c>
      <c r="P69" s="4"/>
      <c r="Q69" s="4"/>
      <c r="R69" s="4"/>
      <c r="S69" s="4"/>
      <c r="T69" s="4"/>
      <c r="U69" s="4"/>
      <c r="V69" s="4">
        <f>SUM(N69:U69)</f>
        <v>72960</v>
      </c>
      <c r="W69" s="5">
        <f>M69-V69</f>
        <v>927251</v>
      </c>
    </row>
    <row r="70" spans="1:23" ht="24.95" customHeight="1" x14ac:dyDescent="0.25">
      <c r="A70" s="63"/>
      <c r="B70" s="2">
        <v>2</v>
      </c>
      <c r="C70" s="1" t="s">
        <v>83</v>
      </c>
      <c r="D70" s="1" t="s">
        <v>30</v>
      </c>
      <c r="E70" s="4">
        <v>3000000</v>
      </c>
      <c r="F70" s="3">
        <v>30</v>
      </c>
      <c r="G70" s="3">
        <f t="shared" si="1"/>
        <v>3000000</v>
      </c>
      <c r="H70" s="4"/>
      <c r="I70" s="4"/>
      <c r="J70" s="4"/>
      <c r="K70" s="4"/>
      <c r="L70" s="4">
        <f>+E70-G70</f>
        <v>0</v>
      </c>
      <c r="M70" s="4">
        <f t="shared" si="2"/>
        <v>3000000</v>
      </c>
      <c r="N70" s="4">
        <f>+E70*0.04</f>
        <v>120000</v>
      </c>
      <c r="O70" s="4">
        <f>+E70*0.04</f>
        <v>120000</v>
      </c>
      <c r="P70" s="4"/>
      <c r="Q70" s="4"/>
      <c r="R70" s="4"/>
      <c r="S70" s="4"/>
      <c r="T70" s="4"/>
      <c r="U70" s="4"/>
      <c r="V70" s="4">
        <f t="shared" ref="V70:V117" si="30">SUM(N70:U70)</f>
        <v>240000</v>
      </c>
      <c r="W70" s="5">
        <f>M70-V70</f>
        <v>2760000</v>
      </c>
    </row>
    <row r="71" spans="1:23" ht="24.95" customHeight="1" x14ac:dyDescent="0.25">
      <c r="A71" s="63"/>
      <c r="B71" s="2">
        <v>3</v>
      </c>
      <c r="C71" s="9" t="s">
        <v>84</v>
      </c>
      <c r="D71" s="1" t="s">
        <v>30</v>
      </c>
      <c r="E71" s="4">
        <v>2500000</v>
      </c>
      <c r="F71" s="3">
        <v>30</v>
      </c>
      <c r="G71" s="3">
        <f t="shared" si="1"/>
        <v>2500000</v>
      </c>
      <c r="H71" s="4"/>
      <c r="I71" s="4"/>
      <c r="J71" s="4">
        <v>0</v>
      </c>
      <c r="K71" s="4"/>
      <c r="L71" s="4"/>
      <c r="M71" s="4">
        <f t="shared" si="2"/>
        <v>2500000</v>
      </c>
      <c r="N71" s="4">
        <f>+E71*4%</f>
        <v>100000</v>
      </c>
      <c r="O71" s="4">
        <f>+E71*4%</f>
        <v>100000</v>
      </c>
      <c r="P71" s="4"/>
      <c r="Q71" s="4"/>
      <c r="R71" s="4"/>
      <c r="S71" s="4"/>
      <c r="T71" s="4"/>
      <c r="U71" s="4"/>
      <c r="V71" s="4">
        <f t="shared" si="30"/>
        <v>200000</v>
      </c>
      <c r="W71" s="5">
        <f>M71-V71</f>
        <v>2300000</v>
      </c>
    </row>
    <row r="72" spans="1:23" ht="24.95" customHeight="1" x14ac:dyDescent="0.25">
      <c r="A72" s="63"/>
      <c r="B72" s="2">
        <v>4</v>
      </c>
      <c r="C72" s="1" t="s">
        <v>85</v>
      </c>
      <c r="D72" s="1" t="s">
        <v>30</v>
      </c>
      <c r="E72" s="4">
        <v>3000000</v>
      </c>
      <c r="F72" s="3">
        <v>30</v>
      </c>
      <c r="G72" s="3">
        <f t="shared" si="1"/>
        <v>3000000</v>
      </c>
      <c r="H72" s="4">
        <v>0</v>
      </c>
      <c r="I72" s="4"/>
      <c r="J72" s="4"/>
      <c r="K72" s="4"/>
      <c r="L72" s="4"/>
      <c r="M72" s="4">
        <f t="shared" si="2"/>
        <v>3000000</v>
      </c>
      <c r="N72" s="4">
        <f>+E72*4%</f>
        <v>120000</v>
      </c>
      <c r="O72" s="4">
        <f>+E72*4%</f>
        <v>120000</v>
      </c>
      <c r="P72" s="4"/>
      <c r="Q72" s="4">
        <v>1380000</v>
      </c>
      <c r="R72" s="7"/>
      <c r="S72" s="4"/>
      <c r="T72" s="4"/>
      <c r="U72" s="4"/>
      <c r="V72" s="4">
        <f t="shared" si="30"/>
        <v>1620000</v>
      </c>
      <c r="W72" s="5">
        <f t="shared" ref="W72:W82" si="31">+M72-V72</f>
        <v>1380000</v>
      </c>
    </row>
    <row r="73" spans="1:23" ht="24.95" customHeight="1" x14ac:dyDescent="0.25">
      <c r="A73" s="63"/>
      <c r="B73" s="2">
        <v>5</v>
      </c>
      <c r="C73" s="1" t="s">
        <v>154</v>
      </c>
      <c r="D73" s="1" t="s">
        <v>30</v>
      </c>
      <c r="E73" s="4">
        <v>781242</v>
      </c>
      <c r="F73" s="3">
        <v>30</v>
      </c>
      <c r="G73" s="3">
        <f t="shared" si="1"/>
        <v>781242</v>
      </c>
      <c r="H73" s="4"/>
      <c r="I73" s="4"/>
      <c r="J73" s="4"/>
      <c r="K73" s="4"/>
      <c r="L73" s="4"/>
      <c r="M73" s="4">
        <f t="shared" si="2"/>
        <v>781242</v>
      </c>
      <c r="N73" s="4">
        <v>0</v>
      </c>
      <c r="O73" s="4">
        <v>0</v>
      </c>
      <c r="P73" s="4"/>
      <c r="Q73" s="4"/>
      <c r="R73" s="7"/>
      <c r="S73" s="4"/>
      <c r="T73" s="4"/>
      <c r="U73" s="4"/>
      <c r="V73" s="4">
        <f t="shared" ref="V73" si="32">SUM(N73:U73)</f>
        <v>0</v>
      </c>
      <c r="W73" s="5">
        <f t="shared" si="31"/>
        <v>781242</v>
      </c>
    </row>
    <row r="74" spans="1:23" ht="24.95" customHeight="1" x14ac:dyDescent="0.25">
      <c r="A74" s="63"/>
      <c r="B74" s="2">
        <v>6</v>
      </c>
      <c r="C74" s="1" t="s">
        <v>87</v>
      </c>
      <c r="D74" s="1" t="s">
        <v>30</v>
      </c>
      <c r="E74" s="4">
        <v>2200000</v>
      </c>
      <c r="F74" s="3">
        <v>30</v>
      </c>
      <c r="G74" s="3">
        <f>+E74-L74</f>
        <v>2200000</v>
      </c>
      <c r="H74" s="4"/>
      <c r="I74" s="4"/>
      <c r="J74" s="4"/>
      <c r="K74" s="4"/>
      <c r="L74" s="4"/>
      <c r="M74" s="4">
        <f t="shared" si="2"/>
        <v>2200000</v>
      </c>
      <c r="N74" s="4">
        <f>+E74*4%</f>
        <v>88000</v>
      </c>
      <c r="O74" s="4">
        <f>+E74*4%</f>
        <v>88000</v>
      </c>
      <c r="P74" s="4">
        <v>10000</v>
      </c>
      <c r="Q74" s="4"/>
      <c r="R74" s="7"/>
      <c r="S74" s="4"/>
      <c r="T74" s="4"/>
      <c r="U74" s="4"/>
      <c r="V74" s="4">
        <f t="shared" si="30"/>
        <v>186000</v>
      </c>
      <c r="W74" s="5">
        <f t="shared" si="31"/>
        <v>2014000</v>
      </c>
    </row>
    <row r="75" spans="1:23" ht="24.95" customHeight="1" x14ac:dyDescent="0.25">
      <c r="A75" s="63"/>
      <c r="B75" s="2">
        <v>7</v>
      </c>
      <c r="C75" s="1" t="s">
        <v>88</v>
      </c>
      <c r="D75" s="1" t="s">
        <v>30</v>
      </c>
      <c r="E75" s="4">
        <v>1800000</v>
      </c>
      <c r="F75" s="3">
        <v>30</v>
      </c>
      <c r="G75" s="3">
        <f>+E75-L75</f>
        <v>1800000</v>
      </c>
      <c r="H75" s="4">
        <v>0</v>
      </c>
      <c r="I75" s="4"/>
      <c r="J75" s="4"/>
      <c r="K75" s="4"/>
      <c r="L75" s="4"/>
      <c r="M75" s="4">
        <f t="shared" si="2"/>
        <v>1800000</v>
      </c>
      <c r="N75" s="4">
        <f>+E75*4%</f>
        <v>72000</v>
      </c>
      <c r="O75" s="4">
        <f>+E75*4%</f>
        <v>72000</v>
      </c>
      <c r="P75" s="4"/>
      <c r="Q75" s="4"/>
      <c r="R75" s="4">
        <v>0</v>
      </c>
      <c r="S75" s="4"/>
      <c r="T75" s="4"/>
      <c r="U75" s="4">
        <v>252510</v>
      </c>
      <c r="V75" s="4">
        <f t="shared" si="30"/>
        <v>396510</v>
      </c>
      <c r="W75" s="5">
        <f t="shared" si="31"/>
        <v>1403490</v>
      </c>
    </row>
    <row r="76" spans="1:23" ht="24.95" customHeight="1" x14ac:dyDescent="0.25">
      <c r="A76" s="63"/>
      <c r="B76" s="2">
        <v>8</v>
      </c>
      <c r="C76" s="1" t="s">
        <v>89</v>
      </c>
      <c r="D76" s="1" t="s">
        <v>30</v>
      </c>
      <c r="E76" s="4">
        <v>781242</v>
      </c>
      <c r="F76" s="3">
        <v>30</v>
      </c>
      <c r="G76" s="3">
        <f t="shared" si="1"/>
        <v>781242</v>
      </c>
      <c r="H76" s="4">
        <v>88211</v>
      </c>
      <c r="I76" s="4"/>
      <c r="J76" s="4"/>
      <c r="K76" s="4"/>
      <c r="L76" s="4"/>
      <c r="M76" s="4">
        <f t="shared" si="2"/>
        <v>869453</v>
      </c>
      <c r="N76" s="4">
        <v>31250</v>
      </c>
      <c r="O76" s="4">
        <v>31250</v>
      </c>
      <c r="P76" s="4"/>
      <c r="Q76" s="4"/>
      <c r="R76" s="7"/>
      <c r="S76" s="4"/>
      <c r="T76" s="4"/>
      <c r="U76" s="4"/>
      <c r="V76" s="4">
        <f t="shared" si="30"/>
        <v>62500</v>
      </c>
      <c r="W76" s="5">
        <f t="shared" si="31"/>
        <v>806953</v>
      </c>
    </row>
    <row r="77" spans="1:23" ht="24.95" customHeight="1" x14ac:dyDescent="0.25">
      <c r="A77" s="63"/>
      <c r="B77" s="2">
        <v>9</v>
      </c>
      <c r="C77" s="1" t="s">
        <v>90</v>
      </c>
      <c r="D77" s="1" t="s">
        <v>30</v>
      </c>
      <c r="E77" s="4">
        <v>3000000</v>
      </c>
      <c r="F77" s="3">
        <v>30</v>
      </c>
      <c r="G77" s="3">
        <f>+E77-L77</f>
        <v>3000000</v>
      </c>
      <c r="H77" s="4"/>
      <c r="I77" s="4"/>
      <c r="J77" s="4"/>
      <c r="K77" s="4"/>
      <c r="L77" s="4"/>
      <c r="M77" s="4">
        <f t="shared" si="2"/>
        <v>3000000</v>
      </c>
      <c r="N77" s="4">
        <f t="shared" ref="N77:N82" si="33">+E77*4%</f>
        <v>120000</v>
      </c>
      <c r="O77" s="4">
        <f>+E77*4%</f>
        <v>120000</v>
      </c>
      <c r="P77" s="4"/>
      <c r="Q77" s="4"/>
      <c r="R77" s="4"/>
      <c r="S77" s="4"/>
      <c r="T77" s="4"/>
      <c r="U77" s="4"/>
      <c r="V77" s="4">
        <f t="shared" si="30"/>
        <v>240000</v>
      </c>
      <c r="W77" s="5">
        <f t="shared" si="31"/>
        <v>2760000</v>
      </c>
    </row>
    <row r="78" spans="1:23" ht="24.95" customHeight="1" x14ac:dyDescent="0.25">
      <c r="A78" s="63"/>
      <c r="B78" s="2">
        <v>10</v>
      </c>
      <c r="C78" s="1" t="s">
        <v>92</v>
      </c>
      <c r="D78" s="1" t="s">
        <v>30</v>
      </c>
      <c r="E78" s="4">
        <v>2500000</v>
      </c>
      <c r="F78" s="3">
        <v>30</v>
      </c>
      <c r="G78" s="3">
        <f>+E78-L78</f>
        <v>1833333</v>
      </c>
      <c r="H78" s="4"/>
      <c r="I78" s="4"/>
      <c r="J78" s="4"/>
      <c r="K78" s="4">
        <v>700000</v>
      </c>
      <c r="L78" s="4">
        <v>666667</v>
      </c>
      <c r="M78" s="4">
        <f t="shared" si="2"/>
        <v>3200000</v>
      </c>
      <c r="N78" s="4">
        <f t="shared" si="33"/>
        <v>100000</v>
      </c>
      <c r="O78" s="4">
        <f>+E78*4%</f>
        <v>100000</v>
      </c>
      <c r="P78" s="4"/>
      <c r="Q78" s="4"/>
      <c r="R78" s="4">
        <v>0</v>
      </c>
      <c r="S78" s="4"/>
      <c r="T78" s="4"/>
      <c r="U78" s="4">
        <f>200210+224445</f>
        <v>424655</v>
      </c>
      <c r="V78" s="4">
        <f t="shared" si="30"/>
        <v>624655</v>
      </c>
      <c r="W78" s="5">
        <f t="shared" si="31"/>
        <v>2575345</v>
      </c>
    </row>
    <row r="79" spans="1:23" ht="24.95" customHeight="1" x14ac:dyDescent="0.25">
      <c r="A79" s="63"/>
      <c r="B79" s="2">
        <v>11</v>
      </c>
      <c r="C79" s="1" t="s">
        <v>93</v>
      </c>
      <c r="D79" s="1" t="s">
        <v>30</v>
      </c>
      <c r="E79" s="4">
        <v>4000000</v>
      </c>
      <c r="F79" s="3">
        <v>30</v>
      </c>
      <c r="G79" s="3">
        <f t="shared" si="1"/>
        <v>4000000.0000000005</v>
      </c>
      <c r="H79" s="4"/>
      <c r="I79" s="4"/>
      <c r="J79" s="4"/>
      <c r="K79" s="4"/>
      <c r="L79" s="4"/>
      <c r="M79" s="4">
        <f t="shared" si="2"/>
        <v>4000000.0000000005</v>
      </c>
      <c r="N79" s="4">
        <f t="shared" si="33"/>
        <v>160000</v>
      </c>
      <c r="O79" s="4">
        <f>+E79*5%</f>
        <v>200000</v>
      </c>
      <c r="P79" s="4">
        <v>0</v>
      </c>
      <c r="Q79" s="4"/>
      <c r="R79" s="4">
        <v>0</v>
      </c>
      <c r="S79" s="4"/>
      <c r="T79" s="4"/>
      <c r="U79" s="4">
        <v>422966</v>
      </c>
      <c r="V79" s="4">
        <f t="shared" si="30"/>
        <v>782966</v>
      </c>
      <c r="W79" s="5">
        <f t="shared" si="31"/>
        <v>3217034.0000000005</v>
      </c>
    </row>
    <row r="80" spans="1:23" ht="24.95" customHeight="1" x14ac:dyDescent="0.25">
      <c r="A80" s="63"/>
      <c r="B80" s="2">
        <v>12</v>
      </c>
      <c r="C80" s="1" t="s">
        <v>94</v>
      </c>
      <c r="D80" s="1" t="s">
        <v>30</v>
      </c>
      <c r="E80" s="4">
        <v>1500000</v>
      </c>
      <c r="F80" s="3">
        <v>30</v>
      </c>
      <c r="G80" s="3">
        <f>+E80-J80</f>
        <v>1500000</v>
      </c>
      <c r="H80" s="4">
        <v>88211</v>
      </c>
      <c r="I80" s="4"/>
      <c r="J80" s="4"/>
      <c r="K80" s="4"/>
      <c r="L80" s="4"/>
      <c r="M80" s="4">
        <f t="shared" si="2"/>
        <v>1588211</v>
      </c>
      <c r="N80" s="4">
        <f>+E80*4%</f>
        <v>60000</v>
      </c>
      <c r="O80" s="4">
        <f>+E80*4%</f>
        <v>60000</v>
      </c>
      <c r="P80" s="4"/>
      <c r="Q80" s="4"/>
      <c r="R80" s="4">
        <v>0</v>
      </c>
      <c r="S80" s="4"/>
      <c r="T80" s="4"/>
      <c r="U80" s="4"/>
      <c r="V80" s="4">
        <f t="shared" si="30"/>
        <v>120000</v>
      </c>
      <c r="W80" s="5">
        <f t="shared" si="31"/>
        <v>1468211</v>
      </c>
    </row>
    <row r="81" spans="1:23" ht="24.95" customHeight="1" x14ac:dyDescent="0.25">
      <c r="A81" s="63"/>
      <c r="B81" s="2">
        <v>13</v>
      </c>
      <c r="C81" s="1" t="s">
        <v>95</v>
      </c>
      <c r="D81" s="1" t="s">
        <v>30</v>
      </c>
      <c r="E81" s="4">
        <v>3000000</v>
      </c>
      <c r="F81" s="3">
        <v>30</v>
      </c>
      <c r="G81" s="3">
        <f t="shared" si="1"/>
        <v>3000000</v>
      </c>
      <c r="H81" s="4"/>
      <c r="I81" s="4"/>
      <c r="J81" s="4"/>
      <c r="K81" s="4">
        <v>200000</v>
      </c>
      <c r="L81" s="4"/>
      <c r="M81" s="4">
        <f t="shared" si="2"/>
        <v>3200000</v>
      </c>
      <c r="N81" s="4">
        <f t="shared" si="33"/>
        <v>120000</v>
      </c>
      <c r="O81" s="4">
        <f>+E81*0.04</f>
        <v>120000</v>
      </c>
      <c r="P81" s="4"/>
      <c r="Q81" s="4"/>
      <c r="R81" s="4">
        <v>0</v>
      </c>
      <c r="S81" s="4"/>
      <c r="T81" s="4"/>
      <c r="U81" s="4"/>
      <c r="V81" s="4">
        <f t="shared" si="30"/>
        <v>240000</v>
      </c>
      <c r="W81" s="5">
        <f t="shared" si="31"/>
        <v>2960000</v>
      </c>
    </row>
    <row r="82" spans="1:23" ht="24.95" customHeight="1" x14ac:dyDescent="0.25">
      <c r="A82" s="63"/>
      <c r="B82" s="2">
        <v>14</v>
      </c>
      <c r="C82" s="1" t="s">
        <v>96</v>
      </c>
      <c r="D82" s="1" t="s">
        <v>30</v>
      </c>
      <c r="E82" s="4">
        <v>2000000</v>
      </c>
      <c r="F82" s="3">
        <v>30</v>
      </c>
      <c r="G82" s="3">
        <f t="shared" si="1"/>
        <v>2000000.0000000002</v>
      </c>
      <c r="H82" s="4"/>
      <c r="I82" s="4"/>
      <c r="J82" s="4"/>
      <c r="K82" s="4"/>
      <c r="L82" s="4"/>
      <c r="M82" s="4">
        <f t="shared" si="2"/>
        <v>2000000.0000000002</v>
      </c>
      <c r="N82" s="4">
        <f t="shared" si="33"/>
        <v>80000</v>
      </c>
      <c r="O82" s="4">
        <f>+E82*4%</f>
        <v>80000</v>
      </c>
      <c r="P82" s="4"/>
      <c r="Q82" s="4"/>
      <c r="R82" s="4">
        <v>0</v>
      </c>
      <c r="S82" s="4"/>
      <c r="T82" s="4"/>
      <c r="U82" s="4"/>
      <c r="V82" s="4">
        <f t="shared" si="30"/>
        <v>160000</v>
      </c>
      <c r="W82" s="5">
        <f t="shared" si="31"/>
        <v>1840000.0000000002</v>
      </c>
    </row>
    <row r="83" spans="1:23" ht="24.95" customHeight="1" x14ac:dyDescent="0.25">
      <c r="A83" s="63"/>
      <c r="B83" s="2">
        <v>15</v>
      </c>
      <c r="C83" s="9" t="s">
        <v>97</v>
      </c>
      <c r="D83" s="1" t="s">
        <v>30</v>
      </c>
      <c r="E83" s="4">
        <v>4500000</v>
      </c>
      <c r="F83" s="3">
        <v>30</v>
      </c>
      <c r="G83" s="3">
        <f t="shared" si="1"/>
        <v>4500000</v>
      </c>
      <c r="H83" s="4"/>
      <c r="I83" s="4">
        <v>1218750</v>
      </c>
      <c r="K83" s="4"/>
      <c r="L83" s="4"/>
      <c r="M83" s="4">
        <f>+G83+H83+I83+K83+L83</f>
        <v>5718750</v>
      </c>
      <c r="N83" s="4">
        <f>+M83*4%</f>
        <v>228750</v>
      </c>
      <c r="O83" s="4">
        <f>+M83*5%</f>
        <v>285937.5</v>
      </c>
      <c r="P83" s="4"/>
      <c r="Q83" s="4"/>
      <c r="R83" s="4">
        <v>0</v>
      </c>
      <c r="S83" s="4"/>
      <c r="T83" s="4"/>
      <c r="U83" s="4"/>
      <c r="V83" s="4">
        <f t="shared" si="30"/>
        <v>514687.5</v>
      </c>
      <c r="W83" s="5">
        <f t="shared" ref="W83:W92" si="34">M83-V83</f>
        <v>5204062.5</v>
      </c>
    </row>
    <row r="84" spans="1:23" ht="24.95" customHeight="1" x14ac:dyDescent="0.25">
      <c r="A84" s="63"/>
      <c r="B84" s="2">
        <v>16</v>
      </c>
      <c r="C84" s="1" t="s">
        <v>99</v>
      </c>
      <c r="D84" s="1" t="s">
        <v>30</v>
      </c>
      <c r="E84" s="4">
        <v>1000000</v>
      </c>
      <c r="F84" s="3">
        <v>30</v>
      </c>
      <c r="G84" s="3">
        <f t="shared" si="1"/>
        <v>1000000.0000000001</v>
      </c>
      <c r="H84" s="4">
        <v>88211</v>
      </c>
      <c r="I84" s="4"/>
      <c r="J84" s="4"/>
      <c r="K84" s="4"/>
      <c r="L84" s="4"/>
      <c r="M84" s="4">
        <f t="shared" si="2"/>
        <v>1088211</v>
      </c>
      <c r="N84" s="4">
        <f>+E84*4%</f>
        <v>40000</v>
      </c>
      <c r="O84" s="4">
        <f>+E84*4%</f>
        <v>40000</v>
      </c>
      <c r="P84" s="4"/>
      <c r="Q84" s="4"/>
      <c r="R84" s="4"/>
      <c r="S84" s="4"/>
      <c r="T84" s="4"/>
      <c r="U84" s="4"/>
      <c r="V84" s="4">
        <f t="shared" si="30"/>
        <v>80000</v>
      </c>
      <c r="W84" s="5">
        <f t="shared" si="34"/>
        <v>1008211</v>
      </c>
    </row>
    <row r="85" spans="1:23" ht="24.95" customHeight="1" x14ac:dyDescent="0.25">
      <c r="A85" s="63"/>
      <c r="B85" s="2">
        <v>17</v>
      </c>
      <c r="C85" s="1" t="s">
        <v>168</v>
      </c>
      <c r="D85" s="1" t="s">
        <v>30</v>
      </c>
      <c r="E85" s="4">
        <v>390621</v>
      </c>
      <c r="F85" s="3">
        <v>30</v>
      </c>
      <c r="G85" s="3">
        <f t="shared" si="1"/>
        <v>390621</v>
      </c>
      <c r="H85" s="4"/>
      <c r="I85" s="4"/>
      <c r="J85" s="4"/>
      <c r="K85" s="4"/>
      <c r="L85" s="4"/>
      <c r="M85" s="4">
        <f t="shared" si="2"/>
        <v>390621</v>
      </c>
      <c r="N85" s="4"/>
      <c r="O85" s="4"/>
      <c r="P85" s="4"/>
      <c r="Q85" s="4"/>
      <c r="R85" s="4"/>
      <c r="S85" s="4"/>
      <c r="T85" s="4"/>
      <c r="U85" s="4"/>
      <c r="V85" s="4"/>
      <c r="W85" s="5">
        <f t="shared" si="34"/>
        <v>390621</v>
      </c>
    </row>
    <row r="86" spans="1:23" ht="24.95" customHeight="1" x14ac:dyDescent="0.25">
      <c r="A86" s="63"/>
      <c r="B86" s="2">
        <v>18</v>
      </c>
      <c r="C86" s="1" t="s">
        <v>101</v>
      </c>
      <c r="D86" s="1" t="s">
        <v>30</v>
      </c>
      <c r="E86" s="4">
        <v>4800000</v>
      </c>
      <c r="F86" s="3">
        <v>30</v>
      </c>
      <c r="G86" s="3">
        <f t="shared" ref="G86:G116" si="35">+E86/30*F86</f>
        <v>4800000</v>
      </c>
      <c r="H86" s="4"/>
      <c r="I86" s="4"/>
      <c r="J86" s="4"/>
      <c r="K86" s="4"/>
      <c r="L86" s="4"/>
      <c r="M86" s="4">
        <f t="shared" ref="M86:M117" si="36">+G86+H86+J86+K86+L86+I86</f>
        <v>4800000</v>
      </c>
      <c r="N86" s="4">
        <f>+E86*0.04</f>
        <v>192000</v>
      </c>
      <c r="O86" s="4">
        <f>+E86*0.05</f>
        <v>240000</v>
      </c>
      <c r="P86" s="4"/>
      <c r="Q86" s="4"/>
      <c r="R86" s="4">
        <v>31000</v>
      </c>
      <c r="S86" s="4"/>
      <c r="T86" s="4"/>
      <c r="U86" s="4"/>
      <c r="V86" s="4">
        <f t="shared" si="30"/>
        <v>463000</v>
      </c>
      <c r="W86" s="5">
        <f t="shared" si="34"/>
        <v>4337000</v>
      </c>
    </row>
    <row r="87" spans="1:23" ht="24.95" customHeight="1" x14ac:dyDescent="0.25">
      <c r="A87" s="63"/>
      <c r="B87" s="2">
        <v>19</v>
      </c>
      <c r="C87" s="1" t="s">
        <v>102</v>
      </c>
      <c r="D87" s="1" t="s">
        <v>30</v>
      </c>
      <c r="E87" s="4">
        <v>2500000</v>
      </c>
      <c r="F87" s="3">
        <v>30</v>
      </c>
      <c r="G87" s="3">
        <f t="shared" si="35"/>
        <v>2500000</v>
      </c>
      <c r="H87" s="4"/>
      <c r="I87" s="4"/>
      <c r="J87" s="4"/>
      <c r="K87" s="4"/>
      <c r="L87" s="4"/>
      <c r="M87" s="4">
        <f t="shared" si="36"/>
        <v>2500000</v>
      </c>
      <c r="N87" s="4">
        <f>+E87*4%</f>
        <v>100000</v>
      </c>
      <c r="O87" s="4">
        <f>+E87*4%</f>
        <v>100000</v>
      </c>
      <c r="P87" s="4"/>
      <c r="Q87" s="4"/>
      <c r="R87" s="4"/>
      <c r="S87" s="4"/>
      <c r="T87" s="4"/>
      <c r="U87" s="4"/>
      <c r="V87" s="4">
        <f t="shared" si="30"/>
        <v>200000</v>
      </c>
      <c r="W87" s="5">
        <f t="shared" si="34"/>
        <v>2300000</v>
      </c>
    </row>
    <row r="88" spans="1:23" ht="24.95" customHeight="1" x14ac:dyDescent="0.25">
      <c r="A88" s="63"/>
      <c r="B88" s="2">
        <v>20</v>
      </c>
      <c r="C88" s="1" t="s">
        <v>103</v>
      </c>
      <c r="D88" s="1" t="s">
        <v>30</v>
      </c>
      <c r="E88" s="4">
        <v>1272000</v>
      </c>
      <c r="F88" s="3">
        <v>30</v>
      </c>
      <c r="G88" s="3">
        <f t="shared" si="35"/>
        <v>1272000</v>
      </c>
      <c r="H88" s="4">
        <v>88211</v>
      </c>
      <c r="I88" s="4"/>
      <c r="J88" s="4"/>
      <c r="K88" s="4"/>
      <c r="L88" s="4"/>
      <c r="M88" s="4">
        <f t="shared" si="36"/>
        <v>1360211</v>
      </c>
      <c r="N88" s="4">
        <f>+E88*4%</f>
        <v>50880</v>
      </c>
      <c r="O88" s="4">
        <f>+E88*4%</f>
        <v>50880</v>
      </c>
      <c r="P88" s="4"/>
      <c r="Q88" s="4"/>
      <c r="R88" s="4"/>
      <c r="S88" s="4"/>
      <c r="T88" s="4"/>
      <c r="U88" s="4"/>
      <c r="V88" s="4">
        <f t="shared" si="30"/>
        <v>101760</v>
      </c>
      <c r="W88" s="5">
        <f t="shared" si="34"/>
        <v>1258451</v>
      </c>
    </row>
    <row r="89" spans="1:23" ht="24.95" customHeight="1" x14ac:dyDescent="0.25">
      <c r="A89" s="63"/>
      <c r="B89" s="2">
        <v>21</v>
      </c>
      <c r="C89" s="1" t="s">
        <v>104</v>
      </c>
      <c r="D89" s="1" t="s">
        <v>30</v>
      </c>
      <c r="E89" s="4">
        <v>2500000</v>
      </c>
      <c r="F89" s="3">
        <v>30</v>
      </c>
      <c r="G89" s="3">
        <f t="shared" si="35"/>
        <v>2500000</v>
      </c>
      <c r="H89" s="4"/>
      <c r="I89" s="4"/>
      <c r="J89" s="4"/>
      <c r="K89" s="4"/>
      <c r="L89" s="4"/>
      <c r="M89" s="4">
        <f t="shared" si="36"/>
        <v>2500000</v>
      </c>
      <c r="N89" s="4">
        <f>+E89*4%</f>
        <v>100000</v>
      </c>
      <c r="O89" s="4">
        <f>+E89*4%</f>
        <v>100000</v>
      </c>
      <c r="P89" s="4"/>
      <c r="Q89" s="4"/>
      <c r="R89" s="4">
        <v>0</v>
      </c>
      <c r="S89" s="4"/>
      <c r="T89" s="4"/>
      <c r="U89" s="4"/>
      <c r="V89" s="4">
        <f t="shared" si="30"/>
        <v>200000</v>
      </c>
      <c r="W89" s="5">
        <f t="shared" si="34"/>
        <v>2300000</v>
      </c>
    </row>
    <row r="90" spans="1:23" ht="24.95" customHeight="1" x14ac:dyDescent="0.25">
      <c r="A90" s="63"/>
      <c r="B90" s="2">
        <v>22</v>
      </c>
      <c r="C90" s="1" t="s">
        <v>105</v>
      </c>
      <c r="D90" s="1" t="s">
        <v>30</v>
      </c>
      <c r="E90" s="4">
        <v>781242</v>
      </c>
      <c r="F90" s="3">
        <v>30</v>
      </c>
      <c r="G90" s="3">
        <f t="shared" si="35"/>
        <v>781242</v>
      </c>
      <c r="H90" s="4"/>
      <c r="I90" s="4"/>
      <c r="J90" s="4"/>
      <c r="K90" s="4"/>
      <c r="L90" s="4"/>
      <c r="M90" s="4">
        <f t="shared" si="36"/>
        <v>781242</v>
      </c>
      <c r="N90" s="4"/>
      <c r="O90" s="4"/>
      <c r="P90" s="4"/>
      <c r="Q90" s="4"/>
      <c r="R90" s="4"/>
      <c r="S90" s="4"/>
      <c r="T90" s="4"/>
      <c r="U90" s="4"/>
      <c r="V90" s="4">
        <f t="shared" si="30"/>
        <v>0</v>
      </c>
      <c r="W90" s="5">
        <f t="shared" si="34"/>
        <v>781242</v>
      </c>
    </row>
    <row r="91" spans="1:23" ht="24.95" customHeight="1" x14ac:dyDescent="0.25">
      <c r="A91" s="63"/>
      <c r="B91" s="2">
        <v>23</v>
      </c>
      <c r="C91" s="9" t="s">
        <v>107</v>
      </c>
      <c r="D91" s="1" t="s">
        <v>30</v>
      </c>
      <c r="E91" s="4">
        <v>1700000</v>
      </c>
      <c r="F91" s="3">
        <v>30</v>
      </c>
      <c r="G91" s="3">
        <f t="shared" si="35"/>
        <v>1700000</v>
      </c>
      <c r="H91" s="4"/>
      <c r="I91" s="4"/>
      <c r="J91" s="4"/>
      <c r="K91" s="4"/>
      <c r="L91" s="4"/>
      <c r="M91" s="4">
        <f t="shared" si="36"/>
        <v>1700000</v>
      </c>
      <c r="N91" s="4">
        <f t="shared" ref="N91:N98" si="37">+E91*4%</f>
        <v>68000</v>
      </c>
      <c r="O91" s="4">
        <f>+E91*4%</f>
        <v>68000</v>
      </c>
      <c r="P91" s="4"/>
      <c r="Q91" s="4"/>
      <c r="R91" s="4"/>
      <c r="S91" s="4"/>
      <c r="T91" s="4"/>
      <c r="U91" s="4"/>
      <c r="V91" s="4">
        <f t="shared" si="30"/>
        <v>136000</v>
      </c>
      <c r="W91" s="5">
        <f t="shared" si="34"/>
        <v>1564000</v>
      </c>
    </row>
    <row r="92" spans="1:23" ht="24.95" customHeight="1" x14ac:dyDescent="0.25">
      <c r="A92" s="63"/>
      <c r="B92" s="2">
        <v>24</v>
      </c>
      <c r="C92" s="9" t="s">
        <v>108</v>
      </c>
      <c r="D92" s="1" t="s">
        <v>30</v>
      </c>
      <c r="E92" s="4">
        <v>2400000</v>
      </c>
      <c r="F92" s="3">
        <v>30</v>
      </c>
      <c r="G92" s="3">
        <f t="shared" si="35"/>
        <v>2400000</v>
      </c>
      <c r="H92" s="4"/>
      <c r="I92" s="4"/>
      <c r="J92" s="4"/>
      <c r="K92" s="4"/>
      <c r="L92" s="4">
        <f>+E92-G92</f>
        <v>0</v>
      </c>
      <c r="M92" s="4">
        <f t="shared" si="36"/>
        <v>2400000</v>
      </c>
      <c r="N92" s="4">
        <f t="shared" si="37"/>
        <v>96000</v>
      </c>
      <c r="O92" s="4">
        <f>+E92*4%</f>
        <v>96000</v>
      </c>
      <c r="P92" s="4"/>
      <c r="Q92" s="4"/>
      <c r="R92" s="4"/>
      <c r="S92" s="4"/>
      <c r="T92" s="4"/>
      <c r="U92" s="4">
        <v>242074</v>
      </c>
      <c r="V92" s="4">
        <f t="shared" si="30"/>
        <v>434074</v>
      </c>
      <c r="W92" s="5">
        <f t="shared" si="34"/>
        <v>1965926</v>
      </c>
    </row>
    <row r="93" spans="1:23" ht="24.95" customHeight="1" x14ac:dyDescent="0.25">
      <c r="A93" s="63"/>
      <c r="B93" s="2">
        <v>25</v>
      </c>
      <c r="C93" s="1" t="s">
        <v>109</v>
      </c>
      <c r="D93" s="1" t="s">
        <v>30</v>
      </c>
      <c r="E93" s="4">
        <v>2200000</v>
      </c>
      <c r="F93" s="3">
        <v>30</v>
      </c>
      <c r="G93" s="3">
        <f t="shared" si="35"/>
        <v>2200000</v>
      </c>
      <c r="H93" s="4"/>
      <c r="I93" s="4"/>
      <c r="J93" s="4"/>
      <c r="K93" s="4"/>
      <c r="L93" s="4"/>
      <c r="M93" s="4">
        <f t="shared" si="36"/>
        <v>2200000</v>
      </c>
      <c r="N93" s="4">
        <f t="shared" si="37"/>
        <v>88000</v>
      </c>
      <c r="O93" s="4">
        <f>+E93*4%</f>
        <v>88000</v>
      </c>
      <c r="P93" s="4"/>
      <c r="Q93" s="4"/>
      <c r="R93" s="4">
        <v>0</v>
      </c>
      <c r="S93" s="4"/>
      <c r="T93" s="4"/>
      <c r="U93" s="4"/>
      <c r="V93" s="4">
        <f t="shared" si="30"/>
        <v>176000</v>
      </c>
      <c r="W93" s="5">
        <f>+M93-V93</f>
        <v>2024000</v>
      </c>
    </row>
    <row r="94" spans="1:23" ht="24.95" customHeight="1" x14ac:dyDescent="0.25">
      <c r="A94" s="63"/>
      <c r="B94" s="2">
        <v>26</v>
      </c>
      <c r="C94" s="1" t="s">
        <v>112</v>
      </c>
      <c r="D94" s="1" t="s">
        <v>30</v>
      </c>
      <c r="E94" s="4">
        <v>5500000</v>
      </c>
      <c r="F94" s="3">
        <v>30</v>
      </c>
      <c r="G94" s="3">
        <f>+E94-L94</f>
        <v>3483333</v>
      </c>
      <c r="H94" s="4"/>
      <c r="I94" s="4"/>
      <c r="J94" s="4"/>
      <c r="K94" s="4">
        <v>500000</v>
      </c>
      <c r="L94" s="4">
        <v>2016667</v>
      </c>
      <c r="M94" s="4">
        <f t="shared" si="36"/>
        <v>6000000</v>
      </c>
      <c r="N94" s="4">
        <f>+E94*4%</f>
        <v>220000</v>
      </c>
      <c r="O94" s="4">
        <f>+E94*5%</f>
        <v>275000</v>
      </c>
      <c r="P94" s="4"/>
      <c r="Q94" s="4">
        <v>490000</v>
      </c>
      <c r="R94" s="7">
        <v>69147</v>
      </c>
      <c r="S94" s="4"/>
      <c r="T94" s="4"/>
      <c r="U94" s="4">
        <v>480989</v>
      </c>
      <c r="V94" s="4">
        <f t="shared" si="30"/>
        <v>1535136</v>
      </c>
      <c r="W94" s="5">
        <f t="shared" ref="W94:W97" si="38">+M94-V94</f>
        <v>4464864</v>
      </c>
    </row>
    <row r="95" spans="1:23" ht="24.95" customHeight="1" x14ac:dyDescent="0.25">
      <c r="A95" s="63"/>
      <c r="B95" s="2">
        <v>27</v>
      </c>
      <c r="C95" s="1" t="s">
        <v>114</v>
      </c>
      <c r="D95" s="1" t="s">
        <v>30</v>
      </c>
      <c r="E95" s="4">
        <v>781242</v>
      </c>
      <c r="F95" s="3">
        <v>30</v>
      </c>
      <c r="G95" s="3">
        <f t="shared" si="35"/>
        <v>781242</v>
      </c>
      <c r="H95" s="4">
        <v>88211</v>
      </c>
      <c r="I95" s="4"/>
      <c r="J95" s="4"/>
      <c r="K95" s="4"/>
      <c r="L95" s="4"/>
      <c r="M95" s="4">
        <f t="shared" si="36"/>
        <v>869453</v>
      </c>
      <c r="N95" s="4">
        <f t="shared" si="37"/>
        <v>31249.68</v>
      </c>
      <c r="O95" s="4">
        <f>+E95*4%</f>
        <v>31249.68</v>
      </c>
      <c r="P95" s="4"/>
      <c r="Q95" s="4"/>
      <c r="R95" s="7"/>
      <c r="S95" s="4"/>
      <c r="T95" s="4"/>
      <c r="U95" s="4"/>
      <c r="V95" s="4">
        <f t="shared" si="30"/>
        <v>62499.360000000001</v>
      </c>
      <c r="W95" s="5">
        <f t="shared" si="38"/>
        <v>806953.64</v>
      </c>
    </row>
    <row r="96" spans="1:23" ht="24.95" customHeight="1" x14ac:dyDescent="0.25">
      <c r="A96" s="63"/>
      <c r="B96" s="2">
        <v>28</v>
      </c>
      <c r="C96" s="1" t="s">
        <v>59</v>
      </c>
      <c r="D96" s="1" t="s">
        <v>30</v>
      </c>
      <c r="E96" s="4">
        <v>3500000</v>
      </c>
      <c r="F96" s="3">
        <v>30</v>
      </c>
      <c r="G96" s="3">
        <f>+E96-L96</f>
        <v>3500000</v>
      </c>
      <c r="H96" s="4"/>
      <c r="I96" s="4"/>
      <c r="J96" s="4"/>
      <c r="K96" s="4"/>
      <c r="L96" s="4"/>
      <c r="M96" s="4">
        <f>+G96+H96+J96+K96+L96+I96</f>
        <v>3500000</v>
      </c>
      <c r="N96" s="4">
        <f t="shared" ref="N96" si="39">E96*4/100</f>
        <v>140000</v>
      </c>
      <c r="O96" s="4">
        <f t="shared" ref="O96" si="40">+E96*0.05</f>
        <v>175000</v>
      </c>
      <c r="P96" s="4"/>
      <c r="Q96" s="4"/>
      <c r="R96" s="7">
        <v>0</v>
      </c>
      <c r="S96" s="4"/>
      <c r="T96" s="4">
        <v>111000</v>
      </c>
      <c r="U96" s="4"/>
      <c r="V96" s="4">
        <f t="shared" si="30"/>
        <v>426000</v>
      </c>
      <c r="W96" s="5">
        <f>M96-V96</f>
        <v>3074000</v>
      </c>
    </row>
    <row r="97" spans="1:23" ht="24.95" customHeight="1" x14ac:dyDescent="0.25">
      <c r="A97" s="63"/>
      <c r="B97" s="2">
        <v>29</v>
      </c>
      <c r="C97" s="1" t="s">
        <v>116</v>
      </c>
      <c r="D97" s="1" t="s">
        <v>30</v>
      </c>
      <c r="E97" s="4">
        <v>2200000</v>
      </c>
      <c r="F97" s="3">
        <v>30</v>
      </c>
      <c r="G97" s="3">
        <f t="shared" si="35"/>
        <v>2200000</v>
      </c>
      <c r="H97" s="4"/>
      <c r="I97" s="4"/>
      <c r="J97" s="4"/>
      <c r="K97" s="4"/>
      <c r="L97" s="4"/>
      <c r="M97" s="4">
        <f t="shared" si="36"/>
        <v>2200000</v>
      </c>
      <c r="N97" s="4">
        <f t="shared" si="37"/>
        <v>88000</v>
      </c>
      <c r="O97" s="4">
        <f>+E97*4%</f>
        <v>88000</v>
      </c>
      <c r="P97" s="4"/>
      <c r="Q97" s="4"/>
      <c r="R97" s="7">
        <v>0</v>
      </c>
      <c r="S97" s="4"/>
      <c r="T97" s="4"/>
      <c r="U97" s="4"/>
      <c r="V97" s="4">
        <f t="shared" si="30"/>
        <v>176000</v>
      </c>
      <c r="W97" s="5">
        <f t="shared" si="38"/>
        <v>2024000</v>
      </c>
    </row>
    <row r="98" spans="1:23" ht="24.95" customHeight="1" x14ac:dyDescent="0.25">
      <c r="A98" s="63"/>
      <c r="B98" s="2">
        <v>30</v>
      </c>
      <c r="C98" s="1" t="s">
        <v>120</v>
      </c>
      <c r="D98" s="1" t="s">
        <v>30</v>
      </c>
      <c r="E98" s="4">
        <v>3500000</v>
      </c>
      <c r="F98" s="3">
        <v>30</v>
      </c>
      <c r="G98" s="3">
        <f t="shared" si="35"/>
        <v>3500000</v>
      </c>
      <c r="H98" s="4"/>
      <c r="I98" s="4"/>
      <c r="J98" s="4"/>
      <c r="K98" s="4"/>
      <c r="L98" s="4"/>
      <c r="M98" s="4">
        <f t="shared" si="36"/>
        <v>3500000</v>
      </c>
      <c r="N98" s="4">
        <f t="shared" si="37"/>
        <v>140000</v>
      </c>
      <c r="O98" s="4">
        <f>+E98*5%</f>
        <v>175000</v>
      </c>
      <c r="P98" s="4">
        <v>0</v>
      </c>
      <c r="Q98" s="4"/>
      <c r="R98" s="4">
        <v>0</v>
      </c>
      <c r="S98" s="4"/>
      <c r="T98" s="4"/>
      <c r="U98" s="4"/>
      <c r="V98" s="4">
        <f t="shared" si="30"/>
        <v>315000</v>
      </c>
      <c r="W98" s="5">
        <f t="shared" ref="W98:W102" si="41">M98-V98</f>
        <v>3185000</v>
      </c>
    </row>
    <row r="99" spans="1:23" ht="24.95" customHeight="1" x14ac:dyDescent="0.25">
      <c r="A99" s="63"/>
      <c r="B99" s="2">
        <v>31</v>
      </c>
      <c r="C99" s="9" t="s">
        <v>122</v>
      </c>
      <c r="D99" s="1" t="s">
        <v>30</v>
      </c>
      <c r="E99" s="4">
        <v>781242</v>
      </c>
      <c r="F99" s="3">
        <v>30</v>
      </c>
      <c r="G99" s="3">
        <f>+E99</f>
        <v>781242</v>
      </c>
      <c r="H99" s="4">
        <v>88211</v>
      </c>
      <c r="I99" s="4">
        <v>83816</v>
      </c>
      <c r="J99" s="4"/>
      <c r="K99" s="4"/>
      <c r="L99" s="4"/>
      <c r="M99" s="4">
        <f>+G99+H99+J99+K99+L99+I99</f>
        <v>953269</v>
      </c>
      <c r="N99" s="4">
        <f>+E99*0.04</f>
        <v>31249.68</v>
      </c>
      <c r="O99" s="4">
        <f>+E99*0.04</f>
        <v>31249.68</v>
      </c>
      <c r="P99" s="4"/>
      <c r="Q99" s="4"/>
      <c r="R99" s="4">
        <v>0</v>
      </c>
      <c r="S99" s="4"/>
      <c r="T99" s="4"/>
      <c r="U99" s="4"/>
      <c r="V99" s="4">
        <f t="shared" si="30"/>
        <v>62499.360000000001</v>
      </c>
      <c r="W99" s="5">
        <f t="shared" si="41"/>
        <v>890769.64</v>
      </c>
    </row>
    <row r="100" spans="1:23" ht="24.95" customHeight="1" x14ac:dyDescent="0.25">
      <c r="A100" s="63"/>
      <c r="B100" s="2">
        <v>32</v>
      </c>
      <c r="C100" s="1" t="s">
        <v>155</v>
      </c>
      <c r="D100" s="1" t="s">
        <v>30</v>
      </c>
      <c r="E100" s="4">
        <v>781242</v>
      </c>
      <c r="F100" s="3">
        <v>30</v>
      </c>
      <c r="G100" s="3">
        <f t="shared" ref="G100" si="42">+E100/30*F100</f>
        <v>781242</v>
      </c>
      <c r="H100" s="4"/>
      <c r="I100" s="4"/>
      <c r="J100" s="4"/>
      <c r="K100" s="4"/>
      <c r="L100" s="4"/>
      <c r="M100" s="4">
        <f t="shared" ref="M100" si="43">+G100+H100+J100+K100+L100+I100</f>
        <v>781242</v>
      </c>
      <c r="N100" s="4">
        <v>0</v>
      </c>
      <c r="O100" s="4">
        <v>0</v>
      </c>
      <c r="P100" s="4">
        <v>0</v>
      </c>
      <c r="Q100" s="4"/>
      <c r="R100" s="4">
        <v>0</v>
      </c>
      <c r="S100" s="4"/>
      <c r="T100" s="4"/>
      <c r="U100" s="4"/>
      <c r="V100" s="4">
        <f t="shared" ref="V100" si="44">SUM(N100:U100)</f>
        <v>0</v>
      </c>
      <c r="W100" s="5">
        <f t="shared" si="41"/>
        <v>781242</v>
      </c>
    </row>
    <row r="101" spans="1:23" ht="24.95" customHeight="1" x14ac:dyDescent="0.25">
      <c r="A101" s="63"/>
      <c r="B101" s="2">
        <v>33</v>
      </c>
      <c r="C101" s="9" t="s">
        <v>123</v>
      </c>
      <c r="D101" s="1" t="s">
        <v>30</v>
      </c>
      <c r="E101" s="4">
        <v>2100000</v>
      </c>
      <c r="F101" s="3">
        <v>30</v>
      </c>
      <c r="G101" s="3">
        <f>+E101-L101</f>
        <v>2100000</v>
      </c>
      <c r="H101" s="4"/>
      <c r="I101" s="4"/>
      <c r="J101" s="4"/>
      <c r="K101" s="4"/>
      <c r="L101" s="4"/>
      <c r="M101" s="4">
        <f t="shared" si="36"/>
        <v>2100000</v>
      </c>
      <c r="N101" s="4">
        <f>+E101*0.04</f>
        <v>84000</v>
      </c>
      <c r="O101" s="4">
        <f>+E101*0.04</f>
        <v>84000</v>
      </c>
      <c r="P101" s="4"/>
      <c r="Q101" s="4"/>
      <c r="R101" s="4">
        <v>0</v>
      </c>
      <c r="S101" s="4"/>
      <c r="T101" s="4"/>
      <c r="U101" s="4"/>
      <c r="V101" s="4">
        <f t="shared" si="30"/>
        <v>168000</v>
      </c>
      <c r="W101" s="5">
        <f t="shared" si="41"/>
        <v>1932000</v>
      </c>
    </row>
    <row r="102" spans="1:23" ht="24.95" customHeight="1" x14ac:dyDescent="0.25">
      <c r="A102" s="63"/>
      <c r="B102" s="2">
        <v>34</v>
      </c>
      <c r="C102" s="9" t="s">
        <v>125</v>
      </c>
      <c r="D102" s="1" t="s">
        <v>30</v>
      </c>
      <c r="E102" s="4">
        <v>781242</v>
      </c>
      <c r="F102" s="3">
        <v>30</v>
      </c>
      <c r="G102" s="3">
        <f t="shared" si="35"/>
        <v>781242</v>
      </c>
      <c r="H102" s="4">
        <v>88211</v>
      </c>
      <c r="I102" s="4"/>
      <c r="J102" s="4"/>
      <c r="K102" s="4"/>
      <c r="L102" s="4"/>
      <c r="M102" s="4">
        <f t="shared" si="36"/>
        <v>869453</v>
      </c>
      <c r="N102" s="4">
        <f>+E102*4%</f>
        <v>31249.68</v>
      </c>
      <c r="O102" s="4">
        <f>+E102*4%</f>
        <v>31249.68</v>
      </c>
      <c r="P102" s="4"/>
      <c r="Q102" s="4"/>
      <c r="R102" s="4"/>
      <c r="S102" s="4"/>
      <c r="T102" s="4"/>
      <c r="U102" s="4"/>
      <c r="V102" s="4">
        <f t="shared" si="30"/>
        <v>62499.360000000001</v>
      </c>
      <c r="W102" s="5">
        <f t="shared" si="41"/>
        <v>806953.64</v>
      </c>
    </row>
    <row r="103" spans="1:23" ht="24.95" customHeight="1" x14ac:dyDescent="0.25">
      <c r="A103" s="63"/>
      <c r="B103" s="2">
        <v>35</v>
      </c>
      <c r="C103" s="1" t="s">
        <v>126</v>
      </c>
      <c r="D103" s="1" t="s">
        <v>30</v>
      </c>
      <c r="E103" s="4">
        <v>15400000</v>
      </c>
      <c r="F103" s="3">
        <v>30</v>
      </c>
      <c r="G103" s="3">
        <f t="shared" si="35"/>
        <v>15400000</v>
      </c>
      <c r="H103" s="4"/>
      <c r="I103" s="4"/>
      <c r="J103" s="4"/>
      <c r="K103" s="4">
        <v>600000</v>
      </c>
      <c r="L103" s="4">
        <f>+E103-G103</f>
        <v>0</v>
      </c>
      <c r="M103" s="4">
        <f t="shared" si="36"/>
        <v>16000000</v>
      </c>
      <c r="N103" s="4">
        <v>616000</v>
      </c>
      <c r="O103" s="4">
        <f>616000+308000</f>
        <v>924000</v>
      </c>
      <c r="P103" s="4">
        <v>112700</v>
      </c>
      <c r="Q103" s="4"/>
      <c r="R103" s="4">
        <v>916000</v>
      </c>
      <c r="S103" s="4">
        <v>5000000</v>
      </c>
      <c r="T103" s="4"/>
      <c r="U103" s="4">
        <v>2314715</v>
      </c>
      <c r="V103" s="4">
        <f t="shared" si="30"/>
        <v>9883415</v>
      </c>
      <c r="W103" s="5">
        <f>+M103-V103</f>
        <v>6116585</v>
      </c>
    </row>
    <row r="104" spans="1:23" ht="24.95" customHeight="1" x14ac:dyDescent="0.25">
      <c r="A104" s="63"/>
      <c r="B104" s="2">
        <v>36</v>
      </c>
      <c r="C104" s="1" t="s">
        <v>127</v>
      </c>
      <c r="D104" s="1" t="s">
        <v>30</v>
      </c>
      <c r="E104" s="4">
        <v>5500000</v>
      </c>
      <c r="F104" s="3">
        <v>30</v>
      </c>
      <c r="G104" s="3">
        <f t="shared" si="35"/>
        <v>5500000</v>
      </c>
      <c r="H104" s="4"/>
      <c r="I104" s="4"/>
      <c r="J104" s="4"/>
      <c r="K104" s="4">
        <v>500000</v>
      </c>
      <c r="L104" s="4">
        <f>+E104-G104</f>
        <v>0</v>
      </c>
      <c r="M104" s="4">
        <f t="shared" si="36"/>
        <v>6000000</v>
      </c>
      <c r="N104" s="4">
        <f>+E104*0.04</f>
        <v>220000</v>
      </c>
      <c r="O104" s="4">
        <f>+E104*0.05</f>
        <v>275000</v>
      </c>
      <c r="P104" s="4"/>
      <c r="Q104" s="4"/>
      <c r="R104" s="4">
        <v>120000</v>
      </c>
      <c r="S104" s="4"/>
      <c r="T104" s="4"/>
      <c r="U104" s="4">
        <f>979498+371043</f>
        <v>1350541</v>
      </c>
      <c r="V104" s="4">
        <f t="shared" si="30"/>
        <v>1965541</v>
      </c>
      <c r="W104" s="5">
        <f>+M104-V104</f>
        <v>4034459</v>
      </c>
    </row>
    <row r="105" spans="1:23" ht="24.95" customHeight="1" x14ac:dyDescent="0.25">
      <c r="A105" s="63"/>
      <c r="B105" s="2">
        <v>37</v>
      </c>
      <c r="C105" s="1" t="s">
        <v>128</v>
      </c>
      <c r="D105" s="1" t="s">
        <v>30</v>
      </c>
      <c r="E105" s="4">
        <v>1800000</v>
      </c>
      <c r="F105" s="3">
        <v>30</v>
      </c>
      <c r="G105" s="3">
        <f t="shared" si="35"/>
        <v>1800000</v>
      </c>
      <c r="H105" s="4"/>
      <c r="I105" s="4"/>
      <c r="J105" s="4"/>
      <c r="K105" s="4">
        <v>200000</v>
      </c>
      <c r="L105" s="4">
        <f>+E105-G105</f>
        <v>0</v>
      </c>
      <c r="M105" s="4">
        <f t="shared" si="36"/>
        <v>2000000</v>
      </c>
      <c r="N105" s="4">
        <f>+E105*4%</f>
        <v>72000</v>
      </c>
      <c r="O105" s="4">
        <f>+E105*4%</f>
        <v>72000</v>
      </c>
      <c r="P105" s="4"/>
      <c r="Q105" s="4"/>
      <c r="R105" s="4"/>
      <c r="S105" s="4"/>
      <c r="T105" s="4"/>
      <c r="U105" s="4"/>
      <c r="V105" s="4">
        <f t="shared" si="30"/>
        <v>144000</v>
      </c>
      <c r="W105" s="5">
        <f>+M105-V105</f>
        <v>1856000</v>
      </c>
    </row>
    <row r="106" spans="1:23" ht="24.95" customHeight="1" x14ac:dyDescent="0.25">
      <c r="A106" s="63"/>
      <c r="B106" s="2">
        <v>38</v>
      </c>
      <c r="C106" s="9" t="s">
        <v>130</v>
      </c>
      <c r="D106" s="1" t="s">
        <v>30</v>
      </c>
      <c r="E106" s="4">
        <v>4000000</v>
      </c>
      <c r="F106" s="3">
        <v>30</v>
      </c>
      <c r="G106" s="3">
        <f t="shared" si="35"/>
        <v>4000000.0000000005</v>
      </c>
      <c r="H106" s="4"/>
      <c r="I106" s="4">
        <v>1229191</v>
      </c>
      <c r="K106" s="4"/>
      <c r="L106" s="4"/>
      <c r="M106" s="4">
        <f>+G106+H106+I106+K106+L106</f>
        <v>5229191</v>
      </c>
      <c r="N106" s="4">
        <f>+M106*0.04</f>
        <v>209167.64</v>
      </c>
      <c r="O106" s="4">
        <f>+M106*0.05</f>
        <v>261459.55000000002</v>
      </c>
      <c r="P106" s="4"/>
      <c r="Q106" s="4"/>
      <c r="R106" s="4">
        <v>0</v>
      </c>
      <c r="S106" s="4"/>
      <c r="T106" s="4"/>
      <c r="U106" s="4">
        <v>514771</v>
      </c>
      <c r="V106" s="4">
        <f t="shared" si="30"/>
        <v>985398.19000000006</v>
      </c>
      <c r="W106" s="5">
        <f>M106-V106</f>
        <v>4243792.8099999996</v>
      </c>
    </row>
    <row r="107" spans="1:23" ht="24.95" customHeight="1" x14ac:dyDescent="0.25">
      <c r="A107" s="63"/>
      <c r="B107" s="2">
        <v>39</v>
      </c>
      <c r="C107" s="1" t="s">
        <v>133</v>
      </c>
      <c r="D107" s="1" t="s">
        <v>30</v>
      </c>
      <c r="E107" s="4">
        <v>3850220</v>
      </c>
      <c r="F107" s="3">
        <v>30</v>
      </c>
      <c r="G107" s="3">
        <f t="shared" si="35"/>
        <v>3850220</v>
      </c>
      <c r="H107" s="4"/>
      <c r="I107" s="4"/>
      <c r="J107" s="4"/>
      <c r="K107" s="4">
        <v>676390</v>
      </c>
      <c r="L107" s="4">
        <v>1925110</v>
      </c>
      <c r="M107" s="4">
        <f t="shared" si="36"/>
        <v>6451720</v>
      </c>
      <c r="N107" s="4">
        <f>+E107*4%+77004</f>
        <v>231012.80000000002</v>
      </c>
      <c r="O107" s="4">
        <f>231013+57753</f>
        <v>288766</v>
      </c>
      <c r="P107" s="4"/>
      <c r="Q107" s="4"/>
      <c r="R107" s="4"/>
      <c r="S107" s="4"/>
      <c r="T107" s="4"/>
      <c r="U107" s="4"/>
      <c r="V107" s="4">
        <f t="shared" si="30"/>
        <v>519778.80000000005</v>
      </c>
      <c r="W107" s="5">
        <f>+M107-V107</f>
        <v>5931941.2000000002</v>
      </c>
    </row>
    <row r="108" spans="1:23" ht="24.95" customHeight="1" x14ac:dyDescent="0.25">
      <c r="A108" s="63"/>
      <c r="B108" s="2">
        <v>40</v>
      </c>
      <c r="C108" s="1" t="s">
        <v>134</v>
      </c>
      <c r="D108" s="1" t="s">
        <v>30</v>
      </c>
      <c r="E108" s="4">
        <v>4500000</v>
      </c>
      <c r="F108" s="3">
        <v>30</v>
      </c>
      <c r="G108" s="3">
        <f t="shared" si="35"/>
        <v>4500000</v>
      </c>
      <c r="H108" s="4"/>
      <c r="I108" s="4"/>
      <c r="J108" s="4"/>
      <c r="K108" s="4" t="s">
        <v>1</v>
      </c>
      <c r="L108" s="4"/>
      <c r="M108" s="4">
        <f>+G108+H108</f>
        <v>4500000</v>
      </c>
      <c r="N108" s="4">
        <f t="shared" ref="N108:N112" si="45">+E108*4%</f>
        <v>180000</v>
      </c>
      <c r="O108" s="4">
        <f>+E108*5%</f>
        <v>225000</v>
      </c>
      <c r="P108" s="4"/>
      <c r="Q108" s="4"/>
      <c r="R108" s="4"/>
      <c r="S108" s="4"/>
      <c r="T108" s="4"/>
      <c r="U108" s="4"/>
      <c r="V108" s="4">
        <f>SUM(N108:U108)</f>
        <v>405000</v>
      </c>
      <c r="W108" s="5">
        <f>+M108-V108</f>
        <v>4095000</v>
      </c>
    </row>
    <row r="109" spans="1:23" ht="24.95" customHeight="1" x14ac:dyDescent="0.25">
      <c r="A109" s="63"/>
      <c r="B109" s="2">
        <v>41</v>
      </c>
      <c r="C109" s="1" t="s">
        <v>162</v>
      </c>
      <c r="D109" s="1" t="s">
        <v>30</v>
      </c>
      <c r="E109" s="4">
        <v>781242</v>
      </c>
      <c r="F109" s="3">
        <v>30</v>
      </c>
      <c r="G109" s="3">
        <f t="shared" si="35"/>
        <v>781242</v>
      </c>
      <c r="H109" s="4"/>
      <c r="I109" s="4"/>
      <c r="J109" s="4"/>
      <c r="K109" s="4"/>
      <c r="L109" s="4"/>
      <c r="M109" s="4">
        <f>+G109+H109+J109+K109+L109+I109</f>
        <v>781242</v>
      </c>
      <c r="N109" s="4"/>
      <c r="O109" s="4"/>
      <c r="P109" s="4"/>
      <c r="Q109" s="4"/>
      <c r="R109" s="7"/>
      <c r="S109" s="4"/>
      <c r="T109" s="4"/>
      <c r="U109" s="4"/>
      <c r="V109" s="4">
        <f t="shared" ref="V109" si="46">SUM(N109:U109)</f>
        <v>0</v>
      </c>
      <c r="W109" s="5">
        <f>+M109-V109</f>
        <v>781242</v>
      </c>
    </row>
    <row r="110" spans="1:23" ht="24.95" customHeight="1" x14ac:dyDescent="0.25">
      <c r="A110" s="63"/>
      <c r="B110" s="2">
        <v>42</v>
      </c>
      <c r="C110" s="9" t="s">
        <v>136</v>
      </c>
      <c r="D110" s="1" t="s">
        <v>30</v>
      </c>
      <c r="E110" s="4">
        <v>1600000</v>
      </c>
      <c r="F110" s="3">
        <v>30</v>
      </c>
      <c r="G110" s="3">
        <f t="shared" si="35"/>
        <v>1600000</v>
      </c>
      <c r="H110" s="4"/>
      <c r="I110" s="4"/>
      <c r="J110" s="4">
        <v>0</v>
      </c>
      <c r="K110" s="4"/>
      <c r="L110" s="4"/>
      <c r="M110" s="4">
        <f t="shared" si="36"/>
        <v>1600000</v>
      </c>
      <c r="N110" s="4">
        <f t="shared" si="45"/>
        <v>64000</v>
      </c>
      <c r="O110" s="4">
        <f>+E110*0.04</f>
        <v>64000</v>
      </c>
      <c r="P110" s="4"/>
      <c r="Q110" s="4">
        <v>132000</v>
      </c>
      <c r="R110" s="4">
        <v>0</v>
      </c>
      <c r="S110" s="4"/>
      <c r="T110" s="4"/>
      <c r="U110" s="4"/>
      <c r="V110" s="4">
        <f t="shared" si="30"/>
        <v>260000</v>
      </c>
      <c r="W110" s="5">
        <f>M110-V110</f>
        <v>1340000</v>
      </c>
    </row>
    <row r="111" spans="1:23" ht="24.95" customHeight="1" x14ac:dyDescent="0.25">
      <c r="A111" s="63"/>
      <c r="B111" s="2">
        <v>43</v>
      </c>
      <c r="C111" s="9" t="s">
        <v>146</v>
      </c>
      <c r="D111" s="1" t="s">
        <v>30</v>
      </c>
      <c r="E111" s="4">
        <v>1500000</v>
      </c>
      <c r="F111" s="3">
        <v>30</v>
      </c>
      <c r="G111" s="3">
        <f t="shared" si="35"/>
        <v>1500000</v>
      </c>
      <c r="H111" s="4">
        <v>88211</v>
      </c>
      <c r="I111" s="4"/>
      <c r="J111" s="4"/>
      <c r="K111" s="4"/>
      <c r="L111" s="4"/>
      <c r="M111" s="4">
        <f t="shared" si="36"/>
        <v>1588211</v>
      </c>
      <c r="N111" s="4">
        <f>+E111*4%</f>
        <v>60000</v>
      </c>
      <c r="O111" s="4">
        <f>+E111*0.04</f>
        <v>60000</v>
      </c>
      <c r="P111" s="4"/>
      <c r="Q111" s="4"/>
      <c r="R111" s="4">
        <v>0</v>
      </c>
      <c r="S111" s="4"/>
      <c r="T111" s="4">
        <v>0</v>
      </c>
      <c r="U111" s="4"/>
      <c r="V111" s="4">
        <f t="shared" si="30"/>
        <v>120000</v>
      </c>
      <c r="W111" s="5">
        <f>M111-V111</f>
        <v>1468211</v>
      </c>
    </row>
    <row r="112" spans="1:23" ht="24.95" customHeight="1" x14ac:dyDescent="0.25">
      <c r="A112" s="63"/>
      <c r="B112" s="2">
        <v>44</v>
      </c>
      <c r="C112" s="1" t="s">
        <v>137</v>
      </c>
      <c r="D112" s="1" t="s">
        <v>30</v>
      </c>
      <c r="E112" s="4">
        <v>2300000</v>
      </c>
      <c r="F112" s="3">
        <v>30</v>
      </c>
      <c r="G112" s="3">
        <f t="shared" si="35"/>
        <v>2300000</v>
      </c>
      <c r="H112" s="4"/>
      <c r="I112" s="4"/>
      <c r="J112" s="4"/>
      <c r="K112" s="4"/>
      <c r="L112" s="4"/>
      <c r="M112" s="4">
        <f t="shared" si="36"/>
        <v>2300000</v>
      </c>
      <c r="N112" s="4">
        <f t="shared" si="45"/>
        <v>92000</v>
      </c>
      <c r="O112" s="4">
        <f>+E112*4%</f>
        <v>92000</v>
      </c>
      <c r="P112" s="4"/>
      <c r="Q112" s="4"/>
      <c r="R112" s="4">
        <v>0</v>
      </c>
      <c r="S112" s="4"/>
      <c r="T112" s="4"/>
      <c r="U112" s="4"/>
      <c r="V112" s="4">
        <f t="shared" si="30"/>
        <v>184000</v>
      </c>
      <c r="W112" s="5">
        <f t="shared" ref="W112:W117" si="47">+M112-V112</f>
        <v>2116000</v>
      </c>
    </row>
    <row r="113" spans="1:25" ht="24.95" customHeight="1" x14ac:dyDescent="0.25">
      <c r="A113" s="63"/>
      <c r="B113" s="2">
        <v>45</v>
      </c>
      <c r="C113" s="1" t="s">
        <v>177</v>
      </c>
      <c r="D113" s="1" t="s">
        <v>30</v>
      </c>
      <c r="E113" s="4">
        <v>781242</v>
      </c>
      <c r="F113" s="3">
        <v>26</v>
      </c>
      <c r="G113" s="3">
        <f t="shared" si="35"/>
        <v>677076.4</v>
      </c>
      <c r="H113" s="4">
        <f>+(88211/30)*F113</f>
        <v>76449.53333333334</v>
      </c>
      <c r="I113" s="4">
        <v>71610</v>
      </c>
      <c r="J113" s="4">
        <v>62794</v>
      </c>
      <c r="K113" s="4"/>
      <c r="L113" s="4"/>
      <c r="M113" s="4">
        <f t="shared" si="36"/>
        <v>887929.93333333335</v>
      </c>
      <c r="N113" s="4">
        <f>+G113*4%</f>
        <v>27083.056</v>
      </c>
      <c r="O113" s="4">
        <f>+G113*4%</f>
        <v>27083.056</v>
      </c>
      <c r="P113" s="4"/>
      <c r="Q113" s="4"/>
      <c r="R113" s="4"/>
      <c r="S113" s="4"/>
      <c r="T113" s="4"/>
      <c r="U113" s="4"/>
      <c r="V113" s="4">
        <f t="shared" ref="V113" si="48">SUM(N113:U113)</f>
        <v>54166.112000000001</v>
      </c>
      <c r="W113" s="5">
        <f t="shared" si="47"/>
        <v>833763.82133333338</v>
      </c>
    </row>
    <row r="114" spans="1:25" ht="24.95" customHeight="1" x14ac:dyDescent="0.25">
      <c r="A114" s="63"/>
      <c r="B114" s="2">
        <v>46</v>
      </c>
      <c r="C114" s="1" t="s">
        <v>138</v>
      </c>
      <c r="D114" s="1" t="s">
        <v>30</v>
      </c>
      <c r="E114" s="4">
        <v>912000</v>
      </c>
      <c r="F114" s="3">
        <v>30</v>
      </c>
      <c r="G114" s="3">
        <f t="shared" si="35"/>
        <v>912000</v>
      </c>
      <c r="H114" s="4">
        <v>88211</v>
      </c>
      <c r="I114" s="4"/>
      <c r="J114" s="4">
        <v>0</v>
      </c>
      <c r="K114" s="4"/>
      <c r="L114" s="4"/>
      <c r="M114" s="4">
        <f t="shared" si="36"/>
        <v>1000211</v>
      </c>
      <c r="N114" s="4">
        <f>+E114*0.04</f>
        <v>36480</v>
      </c>
      <c r="O114" s="4">
        <f>+E114*0.04</f>
        <v>36480</v>
      </c>
      <c r="P114" s="4"/>
      <c r="Q114" s="4"/>
      <c r="R114" s="4"/>
      <c r="S114" s="4"/>
      <c r="T114" s="4"/>
      <c r="U114" s="4"/>
      <c r="V114" s="4">
        <f>SUM(N114:U114)</f>
        <v>72960</v>
      </c>
      <c r="W114" s="5">
        <f>+M114-V114</f>
        <v>927251</v>
      </c>
    </row>
    <row r="115" spans="1:25" ht="24.95" customHeight="1" x14ac:dyDescent="0.25">
      <c r="A115" s="63"/>
      <c r="B115" s="2">
        <v>47</v>
      </c>
      <c r="C115" s="1" t="s">
        <v>139</v>
      </c>
      <c r="D115" s="1" t="s">
        <v>30</v>
      </c>
      <c r="E115" s="4">
        <v>2700000</v>
      </c>
      <c r="F115" s="3">
        <v>30</v>
      </c>
      <c r="G115" s="3">
        <f>+E115-L115</f>
        <v>2250000</v>
      </c>
      <c r="H115" s="4"/>
      <c r="I115" s="4"/>
      <c r="J115" s="4"/>
      <c r="K115" s="4"/>
      <c r="L115" s="4">
        <v>450000</v>
      </c>
      <c r="M115" s="4">
        <f t="shared" si="36"/>
        <v>2700000</v>
      </c>
      <c r="N115" s="4">
        <f>+E115*0.04</f>
        <v>108000</v>
      </c>
      <c r="O115" s="4">
        <f>+E115*0.04</f>
        <v>108000</v>
      </c>
      <c r="P115" s="4"/>
      <c r="Q115" s="4">
        <v>95000</v>
      </c>
      <c r="R115" s="4"/>
      <c r="S115" s="4"/>
      <c r="T115" s="4"/>
      <c r="U115" s="4"/>
      <c r="V115" s="4">
        <f t="shared" si="30"/>
        <v>311000</v>
      </c>
      <c r="W115" s="5">
        <f t="shared" si="47"/>
        <v>2389000</v>
      </c>
    </row>
    <row r="116" spans="1:25" ht="24.95" customHeight="1" x14ac:dyDescent="0.25">
      <c r="A116" s="63"/>
      <c r="B116" s="2">
        <v>48</v>
      </c>
      <c r="C116" s="1" t="s">
        <v>140</v>
      </c>
      <c r="D116" s="1" t="s">
        <v>30</v>
      </c>
      <c r="E116" s="4">
        <v>2000000</v>
      </c>
      <c r="F116" s="3">
        <v>30</v>
      </c>
      <c r="G116" s="3">
        <f t="shared" si="35"/>
        <v>2000000.0000000002</v>
      </c>
      <c r="H116" s="4"/>
      <c r="I116" s="4"/>
      <c r="J116" s="4"/>
      <c r="K116" s="4"/>
      <c r="L116" s="4"/>
      <c r="M116" s="4">
        <f t="shared" si="36"/>
        <v>2000000.0000000002</v>
      </c>
      <c r="N116" s="4">
        <f>+E116*4%</f>
        <v>80000</v>
      </c>
      <c r="O116" s="4">
        <f>+E116*4%</f>
        <v>80000</v>
      </c>
      <c r="P116" s="4"/>
      <c r="Q116" s="4"/>
      <c r="R116" s="4">
        <v>0</v>
      </c>
      <c r="S116" s="4"/>
      <c r="T116" s="4"/>
      <c r="U116" s="4"/>
      <c r="V116" s="4">
        <f t="shared" si="30"/>
        <v>160000</v>
      </c>
      <c r="W116" s="5">
        <f t="shared" si="47"/>
        <v>1840000.0000000002</v>
      </c>
    </row>
    <row r="117" spans="1:25" ht="17.25" customHeight="1" x14ac:dyDescent="0.25">
      <c r="A117" s="63"/>
      <c r="B117" s="2">
        <v>49</v>
      </c>
      <c r="C117" s="1" t="s">
        <v>142</v>
      </c>
      <c r="D117" s="1" t="s">
        <v>30</v>
      </c>
      <c r="E117" s="4">
        <v>1200000</v>
      </c>
      <c r="F117" s="3">
        <v>30</v>
      </c>
      <c r="G117" s="3">
        <f>+E117-J117</f>
        <v>1200000</v>
      </c>
      <c r="H117" s="4">
        <v>88211</v>
      </c>
      <c r="I117" s="4"/>
      <c r="J117" s="4"/>
      <c r="K117" s="4"/>
      <c r="L117" s="4"/>
      <c r="M117" s="4">
        <f t="shared" si="36"/>
        <v>1288211</v>
      </c>
      <c r="N117" s="4">
        <f>+E117*4%</f>
        <v>48000</v>
      </c>
      <c r="O117" s="4">
        <f>+E117*4%</f>
        <v>48000</v>
      </c>
      <c r="P117" s="4"/>
      <c r="Q117" s="4">
        <v>198000</v>
      </c>
      <c r="R117" s="4">
        <v>0</v>
      </c>
      <c r="S117" s="4"/>
      <c r="T117" s="4"/>
      <c r="U117" s="4"/>
      <c r="V117" s="4">
        <f t="shared" si="30"/>
        <v>294000</v>
      </c>
      <c r="W117" s="5">
        <f t="shared" si="47"/>
        <v>994211</v>
      </c>
    </row>
    <row r="118" spans="1:25" x14ac:dyDescent="0.25">
      <c r="B118" s="97"/>
      <c r="C118" s="98"/>
      <c r="D118" s="8"/>
      <c r="E118" s="4">
        <f>SUM(E4:E117)</f>
        <v>466959019</v>
      </c>
      <c r="F118" s="4"/>
      <c r="G118" s="4">
        <f t="shared" ref="G118:W118" si="49">SUM(G4:G117)</f>
        <v>448938186.06666666</v>
      </c>
      <c r="H118" s="4">
        <f t="shared" si="49"/>
        <v>3891463.5333333332</v>
      </c>
      <c r="I118" s="4">
        <f t="shared" si="49"/>
        <v>4003367</v>
      </c>
      <c r="J118" s="4">
        <f t="shared" si="49"/>
        <v>719132</v>
      </c>
      <c r="K118" s="4">
        <f t="shared" si="49"/>
        <v>13673302</v>
      </c>
      <c r="L118" s="4">
        <f t="shared" si="49"/>
        <v>14311819</v>
      </c>
      <c r="M118" s="4">
        <f t="shared" si="49"/>
        <v>485537269.59999996</v>
      </c>
      <c r="N118" s="4">
        <f t="shared" si="49"/>
        <v>18653521.402666669</v>
      </c>
      <c r="O118" s="4">
        <f t="shared" si="49"/>
        <v>22830365.729333337</v>
      </c>
      <c r="P118" s="4">
        <f t="shared" si="49"/>
        <v>2287700</v>
      </c>
      <c r="Q118" s="4">
        <f t="shared" si="49"/>
        <v>2859000</v>
      </c>
      <c r="R118" s="4">
        <f t="shared" si="49"/>
        <v>4890253</v>
      </c>
      <c r="S118" s="4">
        <f t="shared" si="49"/>
        <v>12015000</v>
      </c>
      <c r="T118" s="4">
        <f t="shared" si="49"/>
        <v>344614</v>
      </c>
      <c r="U118" s="4">
        <f t="shared" si="49"/>
        <v>15380050</v>
      </c>
      <c r="V118" s="4">
        <f t="shared" si="49"/>
        <v>79260504.131999999</v>
      </c>
      <c r="W118" s="4">
        <f t="shared" si="49"/>
        <v>406276765.46799994</v>
      </c>
    </row>
    <row r="119" spans="1:25" x14ac:dyDescent="0.25">
      <c r="D119" s="66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64"/>
    </row>
    <row r="120" spans="1:25" x14ac:dyDescent="0.25">
      <c r="D120" s="66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T120" s="12"/>
      <c r="U120" s="12"/>
      <c r="V120" s="12"/>
      <c r="W120" s="64"/>
    </row>
    <row r="121" spans="1:25" x14ac:dyDescent="0.25">
      <c r="C121" s="70"/>
      <c r="D121" s="66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T121" s="12"/>
      <c r="U121" s="12"/>
      <c r="V121" s="12"/>
      <c r="W121" s="66"/>
    </row>
    <row r="122" spans="1:25" x14ac:dyDescent="0.25">
      <c r="C122" s="70"/>
      <c r="D122" s="66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66"/>
      <c r="X122" s="66"/>
      <c r="Y122" s="66"/>
    </row>
    <row r="123" spans="1:25" x14ac:dyDescent="0.25">
      <c r="B123" s="66"/>
      <c r="C123" s="70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12"/>
      <c r="Q123" s="71"/>
      <c r="R123" s="71"/>
      <c r="S123" s="71"/>
      <c r="T123" s="71"/>
      <c r="U123" s="71"/>
      <c r="V123" s="71"/>
      <c r="W123" s="71"/>
      <c r="X123" s="66"/>
      <c r="Y123" s="66"/>
    </row>
    <row r="124" spans="1:25" x14ac:dyDescent="0.25">
      <c r="B124" s="66"/>
      <c r="C124" s="70"/>
      <c r="D124" s="66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66"/>
      <c r="X124" s="66"/>
      <c r="Y124" s="66"/>
    </row>
    <row r="125" spans="1:25" x14ac:dyDescent="0.25">
      <c r="B125" s="66"/>
      <c r="C125" s="70"/>
      <c r="D125" s="66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66"/>
      <c r="X125" s="66"/>
      <c r="Y125" s="66"/>
    </row>
    <row r="126" spans="1:25" x14ac:dyDescent="0.25">
      <c r="B126" s="66"/>
      <c r="C126" s="70"/>
      <c r="D126" s="66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66"/>
      <c r="X126" s="66"/>
      <c r="Y126" s="66"/>
    </row>
    <row r="127" spans="1:25" x14ac:dyDescent="0.25">
      <c r="B127" s="66"/>
      <c r="C127" s="72"/>
      <c r="D127" s="72"/>
      <c r="E127" s="72"/>
      <c r="F127" s="72"/>
      <c r="G127" s="88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66"/>
      <c r="Y127" s="66"/>
    </row>
    <row r="128" spans="1:25" x14ac:dyDescent="0.25">
      <c r="B128" s="75"/>
      <c r="C128" s="89"/>
      <c r="D128" s="73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3"/>
      <c r="X128" s="66"/>
      <c r="Y128" s="66"/>
    </row>
    <row r="129" spans="2:25" x14ac:dyDescent="0.25">
      <c r="B129" s="66"/>
      <c r="C129" s="90"/>
      <c r="D129" s="66"/>
      <c r="E129" s="12"/>
      <c r="F129" s="12"/>
      <c r="G129" s="77"/>
      <c r="H129" s="12"/>
      <c r="I129" s="12"/>
      <c r="J129" s="12"/>
      <c r="K129" s="12"/>
      <c r="L129" s="12"/>
      <c r="M129" s="12"/>
      <c r="N129" s="12"/>
      <c r="O129" s="12"/>
      <c r="P129" s="78"/>
      <c r="Q129" s="78"/>
      <c r="R129" s="78"/>
      <c r="S129" s="78"/>
      <c r="T129" s="78"/>
      <c r="U129" s="12"/>
      <c r="V129" s="12"/>
      <c r="W129" s="66"/>
      <c r="X129" s="66"/>
      <c r="Y129" s="66"/>
    </row>
    <row r="130" spans="2:25" x14ac:dyDescent="0.25">
      <c r="B130" s="66"/>
      <c r="C130" s="79"/>
      <c r="D130" s="73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3"/>
      <c r="X130" s="66"/>
      <c r="Y130" s="66"/>
    </row>
    <row r="131" spans="2:25" x14ac:dyDescent="0.25">
      <c r="B131" s="73"/>
      <c r="C131" s="79"/>
      <c r="D131" s="73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3"/>
      <c r="X131" s="66"/>
      <c r="Y131" s="66"/>
    </row>
    <row r="132" spans="2:25" x14ac:dyDescent="0.25">
      <c r="B132" s="66"/>
      <c r="C132" s="79"/>
      <c r="D132" s="7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64"/>
      <c r="X132" s="66"/>
      <c r="Y132" s="66"/>
    </row>
    <row r="133" spans="2:25" x14ac:dyDescent="0.25">
      <c r="C133" s="79"/>
      <c r="D133" s="7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64"/>
      <c r="X133" s="66"/>
      <c r="Y133" s="66"/>
    </row>
    <row r="134" spans="2:25" x14ac:dyDescent="0.25">
      <c r="C134" s="79"/>
      <c r="D134" s="7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64"/>
      <c r="X134" s="66"/>
      <c r="Y134" s="66"/>
    </row>
    <row r="135" spans="2:25" x14ac:dyDescent="0.25">
      <c r="C135" s="79"/>
      <c r="D135" s="7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64"/>
      <c r="X135" s="66"/>
      <c r="Y135" s="66"/>
    </row>
    <row r="136" spans="2:25" x14ac:dyDescent="0.25">
      <c r="C136" s="79"/>
      <c r="D136" s="7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64"/>
      <c r="X136" s="66"/>
      <c r="Y136" s="66"/>
    </row>
    <row r="137" spans="2:25" x14ac:dyDescent="0.25">
      <c r="C137" s="79"/>
      <c r="D137" s="7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64"/>
      <c r="X137" s="66"/>
      <c r="Y137" s="66"/>
    </row>
    <row r="138" spans="2:25" x14ac:dyDescent="0.25">
      <c r="C138" s="70"/>
      <c r="D138" s="66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64"/>
      <c r="X138" s="66"/>
      <c r="Y138" s="66"/>
    </row>
    <row r="139" spans="2:25" x14ac:dyDescent="0.25">
      <c r="C139" s="79"/>
      <c r="D139" s="66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64"/>
      <c r="X139" s="66"/>
      <c r="Y139" s="66"/>
    </row>
    <row r="140" spans="2:25" x14ac:dyDescent="0.25">
      <c r="C140" s="79"/>
      <c r="D140" s="66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64"/>
      <c r="X140" s="66"/>
      <c r="Y140" s="66"/>
    </row>
    <row r="141" spans="2:25" x14ac:dyDescent="0.25">
      <c r="C141" s="79"/>
      <c r="D141" s="66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64"/>
      <c r="X141" s="66"/>
      <c r="Y141" s="66"/>
    </row>
    <row r="142" spans="2:25" x14ac:dyDescent="0.25">
      <c r="C142" s="79"/>
      <c r="D142" s="66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64"/>
      <c r="X142" s="66"/>
      <c r="Y142" s="66"/>
    </row>
    <row r="143" spans="2:25" x14ac:dyDescent="0.25">
      <c r="C143" s="79"/>
      <c r="D143" s="66"/>
      <c r="E143" s="12"/>
      <c r="F143" s="12"/>
      <c r="G143" s="12"/>
      <c r="H143" s="12"/>
      <c r="I143" s="12"/>
      <c r="J143" s="12"/>
      <c r="K143" s="12"/>
      <c r="L143" s="12"/>
      <c r="M143" s="12">
        <f>737717*4</f>
        <v>2950868</v>
      </c>
      <c r="N143" s="12">
        <f>737717*2</f>
        <v>1475434</v>
      </c>
      <c r="O143" s="12"/>
      <c r="P143" s="12"/>
      <c r="Q143" s="12"/>
      <c r="R143" s="12"/>
      <c r="S143" s="12"/>
      <c r="T143" s="12"/>
      <c r="U143" s="12"/>
      <c r="V143" s="12"/>
      <c r="W143" s="64"/>
      <c r="X143" s="66"/>
      <c r="Y143" s="66"/>
    </row>
    <row r="144" spans="2:25" x14ac:dyDescent="0.25">
      <c r="C144" s="79"/>
      <c r="D144" s="66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64"/>
      <c r="X144" s="66"/>
      <c r="Y144" s="66"/>
    </row>
    <row r="145" spans="2:25" x14ac:dyDescent="0.25">
      <c r="C145" s="79"/>
      <c r="D145" s="66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64"/>
      <c r="X145" s="66"/>
      <c r="Y145" s="66"/>
    </row>
    <row r="146" spans="2:25" x14ac:dyDescent="0.25">
      <c r="C146" s="79"/>
      <c r="D146" s="66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64"/>
      <c r="X146" s="66"/>
      <c r="Y146" s="66"/>
    </row>
    <row r="147" spans="2:25" x14ac:dyDescent="0.25">
      <c r="C147" s="79"/>
      <c r="D147" s="66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64"/>
      <c r="X147" s="66"/>
      <c r="Y147" s="66"/>
    </row>
    <row r="148" spans="2:25" x14ac:dyDescent="0.25">
      <c r="C148" s="79"/>
      <c r="D148" s="66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64"/>
      <c r="X148" s="66"/>
      <c r="Y148" s="66"/>
    </row>
    <row r="149" spans="2:25" x14ac:dyDescent="0.25">
      <c r="C149" s="79"/>
      <c r="D149" s="66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64"/>
      <c r="X149" s="66"/>
      <c r="Y149" s="66"/>
    </row>
    <row r="150" spans="2:25" x14ac:dyDescent="0.25">
      <c r="C150" s="70"/>
      <c r="D150" s="66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66"/>
      <c r="X150" s="66"/>
      <c r="Y150" s="66"/>
    </row>
    <row r="151" spans="2:25" x14ac:dyDescent="0.25">
      <c r="C151" s="70"/>
      <c r="D151" s="66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66"/>
      <c r="U151" s="12"/>
      <c r="V151" s="12"/>
      <c r="W151" s="66"/>
      <c r="X151" s="66"/>
      <c r="Y151" s="66"/>
    </row>
    <row r="152" spans="2:25" x14ac:dyDescent="0.25">
      <c r="B152" s="66"/>
      <c r="C152" s="70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66"/>
      <c r="Y152" s="66"/>
    </row>
    <row r="153" spans="2:25" x14ac:dyDescent="0.25">
      <c r="B153" s="66"/>
      <c r="C153" s="70"/>
      <c r="D153" s="6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3"/>
      <c r="X153" s="66"/>
      <c r="Y153" s="66"/>
    </row>
    <row r="154" spans="2:25" x14ac:dyDescent="0.25">
      <c r="B154" s="66"/>
      <c r="C154" s="79"/>
      <c r="D154" s="73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3"/>
    </row>
    <row r="155" spans="2:25" x14ac:dyDescent="0.25">
      <c r="B155" s="82"/>
      <c r="C155" s="79"/>
      <c r="D155" s="73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3"/>
    </row>
    <row r="156" spans="2:25" x14ac:dyDescent="0.25">
      <c r="C156" s="79"/>
      <c r="D156" s="7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64"/>
    </row>
    <row r="157" spans="2:25" x14ac:dyDescent="0.25">
      <c r="C157" s="79"/>
      <c r="D157" s="7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64"/>
    </row>
    <row r="158" spans="2:25" x14ac:dyDescent="0.25">
      <c r="C158" s="79"/>
      <c r="D158" s="7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64"/>
    </row>
    <row r="159" spans="2:25" x14ac:dyDescent="0.25">
      <c r="C159" s="70"/>
      <c r="D159" s="66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64"/>
    </row>
    <row r="160" spans="2:25" x14ac:dyDescent="0.25">
      <c r="C160" s="79"/>
      <c r="D160" s="66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64"/>
    </row>
    <row r="161" spans="2:23" x14ac:dyDescent="0.25">
      <c r="C161" s="70"/>
      <c r="D161" s="66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66"/>
    </row>
    <row r="162" spans="2:23" x14ac:dyDescent="0.25">
      <c r="C162" s="70"/>
      <c r="D162" s="66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64"/>
    </row>
    <row r="163" spans="2:23" x14ac:dyDescent="0.25">
      <c r="B163" s="66"/>
      <c r="C163" s="70"/>
      <c r="D163" s="66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66"/>
    </row>
    <row r="164" spans="2:23" x14ac:dyDescent="0.25">
      <c r="B164" s="66"/>
      <c r="C164" s="70"/>
      <c r="D164" s="66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66"/>
    </row>
    <row r="165" spans="2:23" x14ac:dyDescent="0.25">
      <c r="B165" s="66"/>
      <c r="C165" s="70"/>
      <c r="D165" s="66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83"/>
    </row>
    <row r="166" spans="2:23" x14ac:dyDescent="0.25">
      <c r="B166" s="66"/>
      <c r="C166" s="70"/>
      <c r="D166" s="66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84"/>
    </row>
    <row r="167" spans="2:23" x14ac:dyDescent="0.25">
      <c r="C167" s="70"/>
      <c r="D167" s="66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66"/>
    </row>
    <row r="168" spans="2:23" x14ac:dyDescent="0.25">
      <c r="C168" s="70"/>
      <c r="D168" s="66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66"/>
    </row>
    <row r="169" spans="2:23" x14ac:dyDescent="0.25">
      <c r="C169" s="70"/>
      <c r="D169" s="66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66"/>
    </row>
    <row r="170" spans="2:23" x14ac:dyDescent="0.25">
      <c r="C170" s="70"/>
      <c r="D170" s="66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66"/>
    </row>
    <row r="171" spans="2:23" x14ac:dyDescent="0.25">
      <c r="C171" s="70"/>
      <c r="D171" s="66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66"/>
    </row>
    <row r="172" spans="2:23" x14ac:dyDescent="0.25">
      <c r="C172" s="70"/>
      <c r="D172" s="66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66"/>
    </row>
    <row r="173" spans="2:23" x14ac:dyDescent="0.25">
      <c r="C173" s="70"/>
      <c r="D173" s="66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66"/>
    </row>
    <row r="174" spans="2:23" x14ac:dyDescent="0.25">
      <c r="C174" s="70"/>
      <c r="D174" s="66"/>
      <c r="E174" s="12"/>
      <c r="F174" s="12"/>
      <c r="G174" s="12"/>
      <c r="H174" s="12"/>
      <c r="I174" s="12"/>
      <c r="J174" s="12"/>
      <c r="K174" s="12"/>
      <c r="L174" s="12"/>
      <c r="M174" s="12"/>
      <c r="N174" s="12">
        <v>3003000</v>
      </c>
      <c r="O174" s="12"/>
      <c r="P174" s="12"/>
      <c r="Q174" s="12"/>
      <c r="R174" s="12"/>
      <c r="S174" s="12"/>
      <c r="T174" s="12"/>
      <c r="U174" s="12"/>
      <c r="V174" s="12"/>
      <c r="W174" s="66"/>
    </row>
    <row r="175" spans="2:23" x14ac:dyDescent="0.25">
      <c r="C175" s="79"/>
      <c r="D175" s="66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66"/>
    </row>
    <row r="176" spans="2:23" x14ac:dyDescent="0.25">
      <c r="C176" s="79"/>
      <c r="D176" s="66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66"/>
    </row>
    <row r="177" spans="3:23" x14ac:dyDescent="0.25">
      <c r="C177" s="79"/>
      <c r="D177" s="66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66"/>
    </row>
    <row r="178" spans="3:23" x14ac:dyDescent="0.25">
      <c r="C178" s="79"/>
      <c r="D178" s="66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66"/>
    </row>
    <row r="179" spans="3:23" x14ac:dyDescent="0.25">
      <c r="C179" s="70">
        <v>42614840</v>
      </c>
      <c r="D179" s="66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>
        <v>412608</v>
      </c>
      <c r="W179" s="66"/>
    </row>
    <row r="180" spans="3:23" x14ac:dyDescent="0.25">
      <c r="C180" s="70">
        <v>9675182</v>
      </c>
      <c r="D180" s="66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>
        <v>1880000</v>
      </c>
      <c r="W180" s="66"/>
    </row>
    <row r="181" spans="3:23" x14ac:dyDescent="0.25">
      <c r="C181" s="70">
        <v>17903600</v>
      </c>
      <c r="D181" s="66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66"/>
    </row>
    <row r="182" spans="3:23" x14ac:dyDescent="0.25">
      <c r="C182" s="70">
        <f>SUM(C179:C181)</f>
        <v>70193622</v>
      </c>
      <c r="D182" s="66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66"/>
    </row>
    <row r="183" spans="3:23" x14ac:dyDescent="0.25">
      <c r="C183" s="70">
        <v>400000</v>
      </c>
      <c r="D183" s="66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66"/>
    </row>
    <row r="184" spans="3:23" x14ac:dyDescent="0.25">
      <c r="C184" s="70">
        <f>+C182+C183</f>
        <v>70593622</v>
      </c>
      <c r="D184" s="66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66"/>
    </row>
    <row r="188" spans="3:23" x14ac:dyDescent="0.25">
      <c r="C188" s="13">
        <v>11000000</v>
      </c>
    </row>
    <row r="189" spans="3:23" x14ac:dyDescent="0.25">
      <c r="C189" s="13">
        <f>+C187+C188</f>
        <v>11000000</v>
      </c>
    </row>
    <row r="194" spans="3:3" x14ac:dyDescent="0.25">
      <c r="C194" s="13">
        <v>3185000</v>
      </c>
    </row>
    <row r="195" spans="3:3" x14ac:dyDescent="0.25">
      <c r="C195" s="13">
        <v>1080000</v>
      </c>
    </row>
    <row r="196" spans="3:3" x14ac:dyDescent="0.25">
      <c r="C196" s="13">
        <v>4850100</v>
      </c>
    </row>
    <row r="197" spans="3:3" x14ac:dyDescent="0.25">
      <c r="C197" s="13">
        <v>5027500</v>
      </c>
    </row>
    <row r="198" spans="3:3" x14ac:dyDescent="0.25">
      <c r="C198" s="13">
        <v>4566000</v>
      </c>
    </row>
    <row r="199" spans="3:3" x14ac:dyDescent="0.25">
      <c r="C199" s="13">
        <v>1050000</v>
      </c>
    </row>
    <row r="200" spans="3:3" x14ac:dyDescent="0.25">
      <c r="C200" s="13">
        <v>3877333</v>
      </c>
    </row>
    <row r="201" spans="3:3" x14ac:dyDescent="0.25">
      <c r="C201" s="13">
        <v>6732440</v>
      </c>
    </row>
    <row r="202" spans="3:3" x14ac:dyDescent="0.25">
      <c r="C202" s="13">
        <v>3460000</v>
      </c>
    </row>
    <row r="203" spans="3:3" x14ac:dyDescent="0.25">
      <c r="C203" s="13">
        <v>588800</v>
      </c>
    </row>
    <row r="204" spans="3:3" x14ac:dyDescent="0.25">
      <c r="C204" s="13">
        <v>1868000</v>
      </c>
    </row>
    <row r="205" spans="3:3" x14ac:dyDescent="0.25">
      <c r="C205" s="13">
        <v>10313000</v>
      </c>
    </row>
    <row r="206" spans="3:3" x14ac:dyDescent="0.25">
      <c r="C206" s="13">
        <v>3443800</v>
      </c>
    </row>
    <row r="207" spans="3:3" x14ac:dyDescent="0.25">
      <c r="C207" s="13">
        <v>8136400</v>
      </c>
    </row>
    <row r="208" spans="3:3" x14ac:dyDescent="0.25">
      <c r="C208" s="13">
        <v>9675183</v>
      </c>
    </row>
    <row r="209" spans="3:3" x14ac:dyDescent="0.25">
      <c r="C209" s="13">
        <f>SUM(C193:C208)</f>
        <v>67853556</v>
      </c>
    </row>
  </sheetData>
  <mergeCells count="8">
    <mergeCell ref="E151:S151"/>
    <mergeCell ref="D152:W152"/>
    <mergeCell ref="A1:W1"/>
    <mergeCell ref="A2:M2"/>
    <mergeCell ref="N2:V2"/>
    <mergeCell ref="A4:A68"/>
    <mergeCell ref="A69:A117"/>
    <mergeCell ref="B118:C118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24B-0921-41C2-BE8A-475C7B0C4D8A}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BA60A-01FF-441E-8C8B-DACDAB223728}">
  <dimension ref="A1"/>
  <sheetViews>
    <sheetView workbookViewId="0">
      <selection activeCell="D21" sqref="D21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23B4-AB14-46B8-A637-32E4B73A8BC4}">
  <dimension ref="A1"/>
  <sheetViews>
    <sheetView workbookViewId="0">
      <selection activeCell="F20" sqref="F20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</vt:lpstr>
      <vt:lpstr>FEBRERO </vt:lpstr>
      <vt:lpstr>MARZO </vt:lpstr>
      <vt:lpstr>ABRIL </vt:lpstr>
      <vt:lpstr>MAYO </vt:lpstr>
      <vt:lpstr>JUNIO</vt:lpstr>
      <vt:lpstr>JULIO </vt:lpstr>
      <vt:lpstr>AGOSTO </vt:lpstr>
      <vt:lpstr>SEPTIEMBRE</vt:lpstr>
      <vt:lpstr>OCTUBRE </vt:lpstr>
      <vt:lpstr>NOVIEMBRE </vt:lpstr>
      <vt:lpstr>DICIEMBRE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2019-05-27T14:49:53Z</dcterms:modified>
</cp:coreProperties>
</file>