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F9B7B745-6954-4AD0-A72A-614A414432A1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ENERO " sheetId="1" r:id="rId1"/>
    <sheet name="FEBRER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0" i="1" l="1"/>
  <c r="C190" i="1"/>
  <c r="C183" i="1"/>
  <c r="C185" i="1" s="1"/>
  <c r="P144" i="1"/>
  <c r="O144" i="1"/>
  <c r="V120" i="1"/>
  <c r="U120" i="1"/>
  <c r="T120" i="1"/>
  <c r="S120" i="1"/>
  <c r="R120" i="1"/>
  <c r="L120" i="1"/>
  <c r="J120" i="1"/>
  <c r="F120" i="1"/>
  <c r="Q119" i="1"/>
  <c r="P119" i="1"/>
  <c r="X119" i="1" s="1"/>
  <c r="Y119" i="1" s="1"/>
  <c r="AA119" i="1" s="1"/>
  <c r="O119" i="1"/>
  <c r="H119" i="1"/>
  <c r="X118" i="1"/>
  <c r="Q118" i="1"/>
  <c r="P118" i="1"/>
  <c r="H118" i="1"/>
  <c r="O118" i="1" s="1"/>
  <c r="Y118" i="1" s="1"/>
  <c r="AA118" i="1" s="1"/>
  <c r="Q117" i="1"/>
  <c r="X117" i="1" s="1"/>
  <c r="P117" i="1"/>
  <c r="H117" i="1"/>
  <c r="O117" i="1" s="1"/>
  <c r="Q116" i="1"/>
  <c r="P116" i="1"/>
  <c r="X116" i="1" s="1"/>
  <c r="H116" i="1"/>
  <c r="O116" i="1" s="1"/>
  <c r="Q115" i="1"/>
  <c r="P115" i="1"/>
  <c r="X115" i="1" s="1"/>
  <c r="Y115" i="1" s="1"/>
  <c r="AA115" i="1" s="1"/>
  <c r="O115" i="1"/>
  <c r="H115" i="1"/>
  <c r="X114" i="1"/>
  <c r="H114" i="1"/>
  <c r="O114" i="1" s="1"/>
  <c r="Y114" i="1" s="1"/>
  <c r="AA114" i="1" s="1"/>
  <c r="Q113" i="1"/>
  <c r="P113" i="1"/>
  <c r="X113" i="1" s="1"/>
  <c r="O113" i="1"/>
  <c r="Y113" i="1" s="1"/>
  <c r="AA113" i="1" s="1"/>
  <c r="H113" i="1"/>
  <c r="X112" i="1"/>
  <c r="P112" i="1"/>
  <c r="M112" i="1"/>
  <c r="O112" i="1" s="1"/>
  <c r="Y112" i="1" s="1"/>
  <c r="AA112" i="1" s="1"/>
  <c r="H112" i="1"/>
  <c r="Q112" i="1" s="1"/>
  <c r="Q111" i="1"/>
  <c r="K111" i="1"/>
  <c r="H111" i="1" s="1"/>
  <c r="O111" i="1" s="1"/>
  <c r="H110" i="1"/>
  <c r="O110" i="1" s="1"/>
  <c r="X109" i="1"/>
  <c r="H109" i="1"/>
  <c r="O109" i="1" s="1"/>
  <c r="Y109" i="1" s="1"/>
  <c r="AA109" i="1" s="1"/>
  <c r="W108" i="1"/>
  <c r="Q108" i="1"/>
  <c r="P108" i="1"/>
  <c r="X108" i="1" s="1"/>
  <c r="H108" i="1"/>
  <c r="O108" i="1" s="1"/>
  <c r="X107" i="1"/>
  <c r="O107" i="1"/>
  <c r="Y107" i="1" s="1"/>
  <c r="AA107" i="1" s="1"/>
  <c r="I107" i="1"/>
  <c r="H107" i="1"/>
  <c r="Q106" i="1"/>
  <c r="P106" i="1"/>
  <c r="X106" i="1" s="1"/>
  <c r="Y106" i="1" s="1"/>
  <c r="AA106" i="1" s="1"/>
  <c r="O106" i="1"/>
  <c r="H106" i="1"/>
  <c r="X105" i="1"/>
  <c r="Q105" i="1"/>
  <c r="P105" i="1"/>
  <c r="H105" i="1"/>
  <c r="O105" i="1" s="1"/>
  <c r="Y105" i="1" s="1"/>
  <c r="AA105" i="1" s="1"/>
  <c r="Q104" i="1"/>
  <c r="X104" i="1" s="1"/>
  <c r="P104" i="1"/>
  <c r="O104" i="1"/>
  <c r="Y104" i="1" s="1"/>
  <c r="AA104" i="1" s="1"/>
  <c r="H104" i="1"/>
  <c r="Q103" i="1"/>
  <c r="P103" i="1"/>
  <c r="X103" i="1" s="1"/>
  <c r="H103" i="1"/>
  <c r="O103" i="1" s="1"/>
  <c r="Y103" i="1" s="1"/>
  <c r="AA103" i="1" s="1"/>
  <c r="Q102" i="1"/>
  <c r="P102" i="1"/>
  <c r="X102" i="1" s="1"/>
  <c r="O102" i="1"/>
  <c r="Y102" i="1" s="1"/>
  <c r="AA102" i="1" s="1"/>
  <c r="H102" i="1"/>
  <c r="X101" i="1"/>
  <c r="Q101" i="1"/>
  <c r="P101" i="1"/>
  <c r="H101" i="1"/>
  <c r="O101" i="1" s="1"/>
  <c r="P100" i="1"/>
  <c r="X100" i="1" s="1"/>
  <c r="H100" i="1"/>
  <c r="O100" i="1" s="1"/>
  <c r="Q99" i="1"/>
  <c r="P99" i="1"/>
  <c r="X99" i="1" s="1"/>
  <c r="Y99" i="1" s="1"/>
  <c r="AA99" i="1" s="1"/>
  <c r="O99" i="1"/>
  <c r="H99" i="1"/>
  <c r="X98" i="1"/>
  <c r="Q98" i="1"/>
  <c r="P98" i="1"/>
  <c r="H98" i="1"/>
  <c r="O98" i="1" s="1"/>
  <c r="Y98" i="1" s="1"/>
  <c r="AA98" i="1" s="1"/>
  <c r="Q97" i="1"/>
  <c r="X97" i="1" s="1"/>
  <c r="P97" i="1"/>
  <c r="O97" i="1"/>
  <c r="Y97" i="1" s="1"/>
  <c r="AA97" i="1" s="1"/>
  <c r="H97" i="1"/>
  <c r="Q96" i="1"/>
  <c r="P96" i="1"/>
  <c r="X96" i="1" s="1"/>
  <c r="H96" i="1"/>
  <c r="O96" i="1" s="1"/>
  <c r="Y96" i="1" s="1"/>
  <c r="AA96" i="1" s="1"/>
  <c r="Q95" i="1"/>
  <c r="P95" i="1"/>
  <c r="X95" i="1" s="1"/>
  <c r="O95" i="1"/>
  <c r="Y95" i="1" s="1"/>
  <c r="AA95" i="1" s="1"/>
  <c r="H95" i="1"/>
  <c r="X94" i="1"/>
  <c r="Q94" i="1"/>
  <c r="P94" i="1"/>
  <c r="H94" i="1"/>
  <c r="O94" i="1" s="1"/>
  <c r="Q93" i="1"/>
  <c r="O93" i="1"/>
  <c r="H93" i="1"/>
  <c r="P93" i="1" s="1"/>
  <c r="Q92" i="1"/>
  <c r="P92" i="1"/>
  <c r="X92" i="1" s="1"/>
  <c r="H92" i="1"/>
  <c r="O92" i="1" s="1"/>
  <c r="Y92" i="1" s="1"/>
  <c r="AA92" i="1" s="1"/>
  <c r="O91" i="1"/>
  <c r="M91" i="1"/>
  <c r="H91" i="1"/>
  <c r="Q91" i="1" s="1"/>
  <c r="Q90" i="1"/>
  <c r="P90" i="1"/>
  <c r="X90" i="1" s="1"/>
  <c r="O90" i="1"/>
  <c r="Y90" i="1" s="1"/>
  <c r="AA90" i="1" s="1"/>
  <c r="H90" i="1"/>
  <c r="X89" i="1"/>
  <c r="Q89" i="1"/>
  <c r="P89" i="1"/>
  <c r="H89" i="1"/>
  <c r="O89" i="1" s="1"/>
  <c r="Q88" i="1"/>
  <c r="O88" i="1"/>
  <c r="P88" i="1" s="1"/>
  <c r="H88" i="1"/>
  <c r="O87" i="1"/>
  <c r="Y87" i="1" s="1"/>
  <c r="AA87" i="1" s="1"/>
  <c r="H87" i="1"/>
  <c r="W86" i="1"/>
  <c r="Q86" i="1"/>
  <c r="X86" i="1" s="1"/>
  <c r="P86" i="1"/>
  <c r="O86" i="1"/>
  <c r="H86" i="1"/>
  <c r="H85" i="1"/>
  <c r="O85" i="1" s="1"/>
  <c r="Q84" i="1"/>
  <c r="P84" i="1"/>
  <c r="X84" i="1" s="1"/>
  <c r="O84" i="1"/>
  <c r="Y84" i="1" s="1"/>
  <c r="AA84" i="1" s="1"/>
  <c r="H84" i="1"/>
  <c r="H83" i="1"/>
  <c r="Q82" i="1"/>
  <c r="X82" i="1" s="1"/>
  <c r="P82" i="1"/>
  <c r="O82" i="1"/>
  <c r="Y82" i="1" s="1"/>
  <c r="AA82" i="1" s="1"/>
  <c r="H82" i="1"/>
  <c r="Q81" i="1"/>
  <c r="P81" i="1"/>
  <c r="X81" i="1" s="1"/>
  <c r="H81" i="1"/>
  <c r="O81" i="1" s="1"/>
  <c r="Q80" i="1"/>
  <c r="P80" i="1"/>
  <c r="X80" i="1" s="1"/>
  <c r="Y80" i="1" s="1"/>
  <c r="AA80" i="1" s="1"/>
  <c r="O80" i="1"/>
  <c r="H80" i="1"/>
  <c r="X79" i="1"/>
  <c r="Q79" i="1"/>
  <c r="P79" i="1"/>
  <c r="H79" i="1"/>
  <c r="O79" i="1" s="1"/>
  <c r="Y79" i="1" s="1"/>
  <c r="AA79" i="1" s="1"/>
  <c r="P78" i="1"/>
  <c r="X78" i="1" s="1"/>
  <c r="H78" i="1"/>
  <c r="O78" i="1" s="1"/>
  <c r="Y78" i="1" s="1"/>
  <c r="AA78" i="1" s="1"/>
  <c r="Q77" i="1"/>
  <c r="P77" i="1"/>
  <c r="X77" i="1" s="1"/>
  <c r="O77" i="1"/>
  <c r="Y77" i="1" s="1"/>
  <c r="AA77" i="1" s="1"/>
  <c r="H77" i="1"/>
  <c r="X76" i="1"/>
  <c r="Q76" i="1"/>
  <c r="P76" i="1"/>
  <c r="H76" i="1"/>
  <c r="O76" i="1" s="1"/>
  <c r="Q75" i="1"/>
  <c r="X75" i="1" s="1"/>
  <c r="P75" i="1"/>
  <c r="O75" i="1"/>
  <c r="Y75" i="1" s="1"/>
  <c r="AA75" i="1" s="1"/>
  <c r="H75" i="1"/>
  <c r="X74" i="1"/>
  <c r="I74" i="1"/>
  <c r="O74" i="1" s="1"/>
  <c r="Y74" i="1" s="1"/>
  <c r="AA74" i="1" s="1"/>
  <c r="H74" i="1"/>
  <c r="X73" i="1"/>
  <c r="Q73" i="1"/>
  <c r="P73" i="1"/>
  <c r="H73" i="1"/>
  <c r="O73" i="1" s="1"/>
  <c r="X72" i="1"/>
  <c r="O72" i="1"/>
  <c r="Y72" i="1" s="1"/>
  <c r="AA72" i="1" s="1"/>
  <c r="H72" i="1"/>
  <c r="X71" i="1"/>
  <c r="H71" i="1"/>
  <c r="O71" i="1" s="1"/>
  <c r="Y71" i="1" s="1"/>
  <c r="AA71" i="1" s="1"/>
  <c r="Q70" i="1"/>
  <c r="P70" i="1"/>
  <c r="X70" i="1" s="1"/>
  <c r="O70" i="1"/>
  <c r="Y70" i="1" s="1"/>
  <c r="AA70" i="1" s="1"/>
  <c r="H70" i="1"/>
  <c r="X69" i="1"/>
  <c r="Q69" i="1"/>
  <c r="P69" i="1"/>
  <c r="H69" i="1"/>
  <c r="O69" i="1" s="1"/>
  <c r="Q68" i="1"/>
  <c r="X68" i="1" s="1"/>
  <c r="P68" i="1"/>
  <c r="O68" i="1"/>
  <c r="H68" i="1"/>
  <c r="Q67" i="1"/>
  <c r="P67" i="1"/>
  <c r="X67" i="1" s="1"/>
  <c r="H67" i="1"/>
  <c r="O67" i="1" s="1"/>
  <c r="O66" i="1"/>
  <c r="H66" i="1"/>
  <c r="H65" i="1"/>
  <c r="O65" i="1" s="1"/>
  <c r="Q64" i="1"/>
  <c r="O64" i="1"/>
  <c r="H64" i="1"/>
  <c r="P64" i="1" s="1"/>
  <c r="X64" i="1" s="1"/>
  <c r="H63" i="1"/>
  <c r="Q62" i="1"/>
  <c r="P62" i="1"/>
  <c r="O62" i="1"/>
  <c r="H62" i="1"/>
  <c r="H61" i="1"/>
  <c r="Q60" i="1"/>
  <c r="X60" i="1" s="1"/>
  <c r="P60" i="1"/>
  <c r="H60" i="1"/>
  <c r="O60" i="1" s="1"/>
  <c r="X59" i="1"/>
  <c r="Q59" i="1"/>
  <c r="P59" i="1"/>
  <c r="H59" i="1"/>
  <c r="O59" i="1" s="1"/>
  <c r="O58" i="1"/>
  <c r="H58" i="1"/>
  <c r="H57" i="1"/>
  <c r="O57" i="1" s="1"/>
  <c r="Y56" i="1"/>
  <c r="AA56" i="1" s="1"/>
  <c r="Q56" i="1"/>
  <c r="X56" i="1" s="1"/>
  <c r="P56" i="1"/>
  <c r="O56" i="1"/>
  <c r="H56" i="1"/>
  <c r="Q55" i="1"/>
  <c r="H55" i="1"/>
  <c r="O55" i="1" s="1"/>
  <c r="Y54" i="1"/>
  <c r="AA54" i="1" s="1"/>
  <c r="Q54" i="1"/>
  <c r="P54" i="1"/>
  <c r="X54" i="1" s="1"/>
  <c r="O54" i="1"/>
  <c r="H54" i="1"/>
  <c r="X53" i="1"/>
  <c r="Q53" i="1"/>
  <c r="P53" i="1"/>
  <c r="H53" i="1"/>
  <c r="O53" i="1" s="1"/>
  <c r="Y53" i="1" s="1"/>
  <c r="AA53" i="1" s="1"/>
  <c r="H52" i="1"/>
  <c r="O52" i="1" s="1"/>
  <c r="Q51" i="1"/>
  <c r="P51" i="1"/>
  <c r="X51" i="1" s="1"/>
  <c r="H51" i="1"/>
  <c r="O51" i="1" s="1"/>
  <c r="Q50" i="1"/>
  <c r="P50" i="1"/>
  <c r="O50" i="1"/>
  <c r="H50" i="1"/>
  <c r="P49" i="1"/>
  <c r="X49" i="1" s="1"/>
  <c r="O49" i="1"/>
  <c r="Y49" i="1" s="1"/>
  <c r="AA49" i="1" s="1"/>
  <c r="H49" i="1"/>
  <c r="Q49" i="1" s="1"/>
  <c r="Q48" i="1"/>
  <c r="X48" i="1" s="1"/>
  <c r="Y48" i="1" s="1"/>
  <c r="AA48" i="1" s="1"/>
  <c r="H48" i="1"/>
  <c r="O48" i="1" s="1"/>
  <c r="Q47" i="1"/>
  <c r="P47" i="1"/>
  <c r="O47" i="1"/>
  <c r="H47" i="1"/>
  <c r="P46" i="1"/>
  <c r="O46" i="1"/>
  <c r="H46" i="1"/>
  <c r="Q45" i="1"/>
  <c r="X45" i="1" s="1"/>
  <c r="P45" i="1"/>
  <c r="H45" i="1"/>
  <c r="O45" i="1" s="1"/>
  <c r="W44" i="1"/>
  <c r="U44" i="1"/>
  <c r="H44" i="1"/>
  <c r="O44" i="1" s="1"/>
  <c r="Y43" i="1"/>
  <c r="AA43" i="1" s="1"/>
  <c r="Q43" i="1"/>
  <c r="P43" i="1"/>
  <c r="X43" i="1" s="1"/>
  <c r="O43" i="1"/>
  <c r="H43" i="1"/>
  <c r="X42" i="1"/>
  <c r="Q42" i="1"/>
  <c r="P42" i="1"/>
  <c r="H42" i="1"/>
  <c r="O42" i="1" s="1"/>
  <c r="Y42" i="1" s="1"/>
  <c r="AA42" i="1" s="1"/>
  <c r="Q41" i="1"/>
  <c r="X41" i="1" s="1"/>
  <c r="P41" i="1"/>
  <c r="H41" i="1"/>
  <c r="O41" i="1" s="1"/>
  <c r="Q40" i="1"/>
  <c r="H40" i="1"/>
  <c r="O40" i="1" s="1"/>
  <c r="Y39" i="1"/>
  <c r="AA39" i="1" s="1"/>
  <c r="Q39" i="1"/>
  <c r="P39" i="1"/>
  <c r="X39" i="1" s="1"/>
  <c r="O39" i="1"/>
  <c r="H39" i="1"/>
  <c r="H38" i="1"/>
  <c r="Q37" i="1"/>
  <c r="X37" i="1" s="1"/>
  <c r="P37" i="1"/>
  <c r="H37" i="1"/>
  <c r="O37" i="1" s="1"/>
  <c r="W36" i="1"/>
  <c r="Q36" i="1"/>
  <c r="X36" i="1" s="1"/>
  <c r="P36" i="1"/>
  <c r="H36" i="1"/>
  <c r="O36" i="1" s="1"/>
  <c r="Q35" i="1"/>
  <c r="P35" i="1"/>
  <c r="X35" i="1" s="1"/>
  <c r="H35" i="1"/>
  <c r="O35" i="1" s="1"/>
  <c r="Y34" i="1"/>
  <c r="AA34" i="1" s="1"/>
  <c r="X34" i="1"/>
  <c r="H34" i="1"/>
  <c r="O34" i="1" s="1"/>
  <c r="Q33" i="1"/>
  <c r="P33" i="1"/>
  <c r="X33" i="1" s="1"/>
  <c r="H33" i="1"/>
  <c r="O33" i="1" s="1"/>
  <c r="Y32" i="1"/>
  <c r="AA32" i="1" s="1"/>
  <c r="Q32" i="1"/>
  <c r="P32" i="1"/>
  <c r="X32" i="1" s="1"/>
  <c r="O32" i="1"/>
  <c r="H32" i="1"/>
  <c r="K31" i="1"/>
  <c r="H31" i="1" s="1"/>
  <c r="O31" i="1" s="1"/>
  <c r="H30" i="1"/>
  <c r="O30" i="1" s="1"/>
  <c r="H29" i="1"/>
  <c r="W28" i="1"/>
  <c r="Q28" i="1"/>
  <c r="P28" i="1"/>
  <c r="K28" i="1"/>
  <c r="H28" i="1"/>
  <c r="O28" i="1" s="1"/>
  <c r="Q27" i="1"/>
  <c r="X27" i="1" s="1"/>
  <c r="P27" i="1"/>
  <c r="H27" i="1"/>
  <c r="O27" i="1" s="1"/>
  <c r="Q26" i="1"/>
  <c r="P26" i="1"/>
  <c r="X26" i="1" s="1"/>
  <c r="H26" i="1"/>
  <c r="O26" i="1" s="1"/>
  <c r="Y26" i="1" s="1"/>
  <c r="AA26" i="1" s="1"/>
  <c r="O25" i="1"/>
  <c r="Q25" i="1" s="1"/>
  <c r="H25" i="1"/>
  <c r="X24" i="1"/>
  <c r="Q24" i="1"/>
  <c r="P24" i="1"/>
  <c r="H24" i="1"/>
  <c r="O24" i="1" s="1"/>
  <c r="Y24" i="1" s="1"/>
  <c r="AA24" i="1" s="1"/>
  <c r="K23" i="1"/>
  <c r="H23" i="1"/>
  <c r="O23" i="1" s="1"/>
  <c r="H22" i="1"/>
  <c r="O22" i="1" s="1"/>
  <c r="Q21" i="1"/>
  <c r="P21" i="1"/>
  <c r="M21" i="1"/>
  <c r="M120" i="1" s="1"/>
  <c r="H21" i="1"/>
  <c r="O21" i="1" s="1"/>
  <c r="AA20" i="1"/>
  <c r="Q20" i="1"/>
  <c r="P20" i="1"/>
  <c r="X20" i="1" s="1"/>
  <c r="H20" i="1"/>
  <c r="O20" i="1" s="1"/>
  <c r="Y20" i="1" s="1"/>
  <c r="Q19" i="1"/>
  <c r="P19" i="1"/>
  <c r="X19" i="1" s="1"/>
  <c r="O19" i="1"/>
  <c r="Y19" i="1" s="1"/>
  <c r="AA19" i="1" s="1"/>
  <c r="H19" i="1"/>
  <c r="X18" i="1"/>
  <c r="Q18" i="1"/>
  <c r="P18" i="1"/>
  <c r="H18" i="1"/>
  <c r="O18" i="1" s="1"/>
  <c r="Y18" i="1" s="1"/>
  <c r="AA18" i="1" s="1"/>
  <c r="X17" i="1"/>
  <c r="Q17" i="1"/>
  <c r="P17" i="1"/>
  <c r="H17" i="1"/>
  <c r="O17" i="1" s="1"/>
  <c r="AA16" i="1"/>
  <c r="Q16" i="1"/>
  <c r="P16" i="1"/>
  <c r="X16" i="1" s="1"/>
  <c r="H16" i="1"/>
  <c r="O16" i="1" s="1"/>
  <c r="Y16" i="1" s="1"/>
  <c r="O15" i="1"/>
  <c r="Q15" i="1" s="1"/>
  <c r="H15" i="1"/>
  <c r="X14" i="1"/>
  <c r="Q14" i="1"/>
  <c r="P14" i="1"/>
  <c r="H14" i="1"/>
  <c r="O14" i="1" s="1"/>
  <c r="Y14" i="1" s="1"/>
  <c r="AA14" i="1" s="1"/>
  <c r="Q13" i="1"/>
  <c r="X13" i="1" s="1"/>
  <c r="P13" i="1"/>
  <c r="K13" i="1"/>
  <c r="H13" i="1"/>
  <c r="O13" i="1" s="1"/>
  <c r="H12" i="1"/>
  <c r="O12" i="1" s="1"/>
  <c r="Q11" i="1"/>
  <c r="P11" i="1"/>
  <c r="H11" i="1"/>
  <c r="O11" i="1" s="1"/>
  <c r="Y10" i="1"/>
  <c r="AA10" i="1" s="1"/>
  <c r="W10" i="1"/>
  <c r="Q10" i="1"/>
  <c r="P10" i="1"/>
  <c r="X10" i="1" s="1"/>
  <c r="K10" i="1"/>
  <c r="H10" i="1"/>
  <c r="O10" i="1" s="1"/>
  <c r="Q9" i="1"/>
  <c r="P9" i="1"/>
  <c r="X9" i="1" s="1"/>
  <c r="H9" i="1"/>
  <c r="O9" i="1" s="1"/>
  <c r="Y8" i="1"/>
  <c r="AA8" i="1" s="1"/>
  <c r="Q8" i="1"/>
  <c r="P8" i="1"/>
  <c r="X8" i="1" s="1"/>
  <c r="O8" i="1"/>
  <c r="H8" i="1"/>
  <c r="I7" i="1"/>
  <c r="O7" i="1" s="1"/>
  <c r="H7" i="1"/>
  <c r="X6" i="1"/>
  <c r="Q6" i="1"/>
  <c r="P6" i="1"/>
  <c r="K6" i="1"/>
  <c r="N5" i="1"/>
  <c r="H5" i="1"/>
  <c r="X4" i="1"/>
  <c r="Q4" i="1"/>
  <c r="P4" i="1"/>
  <c r="O4" i="1"/>
  <c r="Y4" i="1" s="1"/>
  <c r="H4" i="1"/>
  <c r="AA3" i="1"/>
  <c r="AA4" i="1" l="1"/>
  <c r="Q30" i="1"/>
  <c r="P30" i="1"/>
  <c r="X30" i="1" s="1"/>
  <c r="Y30" i="1" s="1"/>
  <c r="AA30" i="1" s="1"/>
  <c r="Q7" i="1"/>
  <c r="P7" i="1"/>
  <c r="X7" i="1" s="1"/>
  <c r="Y7" i="1"/>
  <c r="AA7" i="1" s="1"/>
  <c r="Q31" i="1"/>
  <c r="P31" i="1"/>
  <c r="X31" i="1" s="1"/>
  <c r="Y31" i="1"/>
  <c r="AA31" i="1" s="1"/>
  <c r="Y27" i="1"/>
  <c r="AA27" i="1" s="1"/>
  <c r="Q38" i="1"/>
  <c r="P38" i="1"/>
  <c r="X38" i="1" s="1"/>
  <c r="P58" i="1"/>
  <c r="X58" i="1" s="1"/>
  <c r="Y58" i="1" s="1"/>
  <c r="AA58" i="1" s="1"/>
  <c r="Q58" i="1"/>
  <c r="Y13" i="1"/>
  <c r="AA13" i="1" s="1"/>
  <c r="Y17" i="1"/>
  <c r="AA17" i="1" s="1"/>
  <c r="P23" i="1"/>
  <c r="Q57" i="1"/>
  <c r="P57" i="1"/>
  <c r="X57" i="1" s="1"/>
  <c r="Y57" i="1"/>
  <c r="AA57" i="1" s="1"/>
  <c r="Y45" i="1"/>
  <c r="AA45" i="1" s="1"/>
  <c r="Y60" i="1"/>
  <c r="AA60" i="1" s="1"/>
  <c r="I120" i="1"/>
  <c r="Y28" i="1"/>
  <c r="AA28" i="1" s="1"/>
  <c r="Y37" i="1"/>
  <c r="AA37" i="1" s="1"/>
  <c r="Q65" i="1"/>
  <c r="P65" i="1"/>
  <c r="X65" i="1" s="1"/>
  <c r="Y65" i="1"/>
  <c r="AA65" i="1" s="1"/>
  <c r="P25" i="1"/>
  <c r="X25" i="1" s="1"/>
  <c r="O38" i="1"/>
  <c r="Y38" i="1" s="1"/>
  <c r="AA38" i="1" s="1"/>
  <c r="Q61" i="1"/>
  <c r="P61" i="1"/>
  <c r="O61" i="1"/>
  <c r="N120" i="1"/>
  <c r="Q5" i="1"/>
  <c r="P5" i="1"/>
  <c r="K120" i="1"/>
  <c r="H6" i="1"/>
  <c r="O6" i="1" s="1"/>
  <c r="Y6" i="1" s="1"/>
  <c r="AA6" i="1" s="1"/>
  <c r="Y11" i="1"/>
  <c r="AA11" i="1" s="1"/>
  <c r="P12" i="1"/>
  <c r="P15" i="1"/>
  <c r="X15" i="1" s="1"/>
  <c r="Y15" i="1" s="1"/>
  <c r="AA15" i="1" s="1"/>
  <c r="P22" i="1"/>
  <c r="X22" i="1" s="1"/>
  <c r="Y22" i="1" s="1"/>
  <c r="AA22" i="1" s="1"/>
  <c r="Y25" i="1"/>
  <c r="AA25" i="1" s="1"/>
  <c r="P29" i="1"/>
  <c r="X29" i="1" s="1"/>
  <c r="O29" i="1"/>
  <c r="Y29" i="1" s="1"/>
  <c r="AA29" i="1" s="1"/>
  <c r="Y41" i="1"/>
  <c r="AA41" i="1" s="1"/>
  <c r="H120" i="1"/>
  <c r="O5" i="1"/>
  <c r="O120" i="1" s="1"/>
  <c r="Y9" i="1"/>
  <c r="AA9" i="1" s="1"/>
  <c r="X11" i="1"/>
  <c r="Q12" i="1"/>
  <c r="X21" i="1"/>
  <c r="Y21" i="1" s="1"/>
  <c r="AA21" i="1" s="1"/>
  <c r="Q22" i="1"/>
  <c r="Q23" i="1"/>
  <c r="X28" i="1"/>
  <c r="Q29" i="1"/>
  <c r="Y33" i="1"/>
  <c r="AA33" i="1" s="1"/>
  <c r="Y35" i="1"/>
  <c r="AA35" i="1" s="1"/>
  <c r="Y36" i="1"/>
  <c r="AA36" i="1" s="1"/>
  <c r="P40" i="1"/>
  <c r="X40" i="1" s="1"/>
  <c r="Y40" i="1" s="1"/>
  <c r="AA40" i="1" s="1"/>
  <c r="X44" i="1"/>
  <c r="Y44" i="1" s="1"/>
  <c r="AA44" i="1" s="1"/>
  <c r="Q46" i="1"/>
  <c r="X46" i="1" s="1"/>
  <c r="Y46" i="1" s="1"/>
  <c r="AA46" i="1" s="1"/>
  <c r="P52" i="1"/>
  <c r="Q52" i="1"/>
  <c r="P111" i="1"/>
  <c r="X111" i="1" s="1"/>
  <c r="Y111" i="1" s="1"/>
  <c r="AA111" i="1" s="1"/>
  <c r="Y67" i="1"/>
  <c r="AA67" i="1" s="1"/>
  <c r="Y69" i="1"/>
  <c r="AA69" i="1" s="1"/>
  <c r="Y89" i="1"/>
  <c r="AA89" i="1" s="1"/>
  <c r="Y94" i="1"/>
  <c r="AA94" i="1" s="1"/>
  <c r="Y101" i="1"/>
  <c r="AA101" i="1" s="1"/>
  <c r="Y59" i="1"/>
  <c r="AA59" i="1" s="1"/>
  <c r="W120" i="1"/>
  <c r="O63" i="1"/>
  <c r="Q63" i="1"/>
  <c r="Y64" i="1"/>
  <c r="AA64" i="1" s="1"/>
  <c r="Y68" i="1"/>
  <c r="AA68" i="1" s="1"/>
  <c r="Q85" i="1"/>
  <c r="Y86" i="1"/>
  <c r="AA86" i="1" s="1"/>
  <c r="X93" i="1"/>
  <c r="P110" i="1"/>
  <c r="X110" i="1" s="1"/>
  <c r="Y110" i="1"/>
  <c r="AA110" i="1" s="1"/>
  <c r="X47" i="1"/>
  <c r="Y47" i="1" s="1"/>
  <c r="AA47" i="1" s="1"/>
  <c r="X50" i="1"/>
  <c r="Y50" i="1" s="1"/>
  <c r="AA50" i="1" s="1"/>
  <c r="Y51" i="1"/>
  <c r="AA51" i="1" s="1"/>
  <c r="P55" i="1"/>
  <c r="X55" i="1" s="1"/>
  <c r="Y55" i="1" s="1"/>
  <c r="AA55" i="1" s="1"/>
  <c r="X62" i="1"/>
  <c r="Y62" i="1" s="1"/>
  <c r="AA62" i="1" s="1"/>
  <c r="P63" i="1"/>
  <c r="Q66" i="1"/>
  <c r="P66" i="1"/>
  <c r="X66" i="1" s="1"/>
  <c r="Y66" i="1" s="1"/>
  <c r="AA66" i="1" s="1"/>
  <c r="Y73" i="1"/>
  <c r="AA73" i="1" s="1"/>
  <c r="Y76" i="1"/>
  <c r="AA76" i="1" s="1"/>
  <c r="Y81" i="1"/>
  <c r="AA81" i="1" s="1"/>
  <c r="Q83" i="1"/>
  <c r="P83" i="1"/>
  <c r="O83" i="1"/>
  <c r="P85" i="1"/>
  <c r="X85" i="1" s="1"/>
  <c r="Y85" i="1" s="1"/>
  <c r="AA85" i="1" s="1"/>
  <c r="X88" i="1"/>
  <c r="Y88" i="1" s="1"/>
  <c r="AA88" i="1" s="1"/>
  <c r="Y93" i="1"/>
  <c r="AA93" i="1" s="1"/>
  <c r="Y100" i="1"/>
  <c r="AA100" i="1" s="1"/>
  <c r="Y108" i="1"/>
  <c r="AA108" i="1" s="1"/>
  <c r="Y116" i="1"/>
  <c r="AA116" i="1" s="1"/>
  <c r="Y117" i="1"/>
  <c r="AA117" i="1" s="1"/>
  <c r="P91" i="1"/>
  <c r="X91" i="1" s="1"/>
  <c r="Y91" i="1" s="1"/>
  <c r="AA91" i="1" s="1"/>
  <c r="P120" i="1" l="1"/>
  <c r="Q120" i="1"/>
  <c r="X23" i="1"/>
  <c r="Y23" i="1" s="1"/>
  <c r="AA23" i="1" s="1"/>
  <c r="Y83" i="1"/>
  <c r="AA83" i="1" s="1"/>
  <c r="X63" i="1"/>
  <c r="Y63" i="1"/>
  <c r="AA63" i="1" s="1"/>
  <c r="X52" i="1"/>
  <c r="Y52" i="1" s="1"/>
  <c r="AA52" i="1" s="1"/>
  <c r="Y61" i="1"/>
  <c r="AA61" i="1" s="1"/>
  <c r="X83" i="1"/>
  <c r="Y5" i="1"/>
  <c r="X12" i="1"/>
  <c r="Y12" i="1" s="1"/>
  <c r="AA12" i="1" s="1"/>
  <c r="X5" i="1"/>
  <c r="X61" i="1"/>
  <c r="AA5" i="1" l="1"/>
  <c r="AA120" i="1" s="1"/>
  <c r="Y120" i="1"/>
  <c r="X1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S7" authorId="0" shapeId="0" xr:uid="{300F5FEC-DC2E-4D3A-93FD-8BCB0F8CC9D8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Termina en feb/19</t>
        </r>
      </text>
    </comment>
    <comment ref="X44" authorId="0" shapeId="0" xr:uid="{1D91C9EA-107E-4010-9DE5-553B44BA3B4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 DECONTO LA MITAD EN AFC Y PRESTAMO; SIGUIENTE MES SERIA NORMAL
</t>
        </r>
      </text>
    </comment>
    <comment ref="S45" authorId="0" shapeId="0" xr:uid="{87351550-0B05-411D-A70D-4B3BA4B45A1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termina de pagar en Octubre 18
</t>
        </r>
      </text>
    </comment>
    <comment ref="H56" authorId="0" shapeId="0" xr:uid="{AB651932-3768-4127-97AD-F40BFB818084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5,350000
</t>
        </r>
      </text>
    </comment>
    <comment ref="T56" authorId="0" shapeId="0" xr:uid="{26BE6854-0389-443E-8A4C-321856553236}">
      <text>
        <r>
          <rPr>
            <b/>
            <sz val="9"/>
            <color indexed="81"/>
            <rFont val="Tahoma"/>
            <family val="2"/>
          </rPr>
          <t>Maira Claro:RF 95,000</t>
        </r>
      </text>
    </comment>
    <comment ref="S58" authorId="0" shapeId="0" xr:uid="{E1F51AE0-BBF1-41C9-81A1-F77575E4C968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termina en abril/19</t>
        </r>
      </text>
    </comment>
    <comment ref="S96" authorId="0" shapeId="0" xr:uid="{A91A50FF-E536-4131-AEA3-84E78AF3369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Termina en Octubre y la cuota es por 453,600</t>
        </r>
      </text>
    </comment>
  </commentList>
</comments>
</file>

<file path=xl/sharedStrings.xml><?xml version="1.0" encoding="utf-8"?>
<sst xmlns="http://schemas.openxmlformats.org/spreadsheetml/2006/main" count="366" uniqueCount="151">
  <si>
    <t>NOMINA MES DE ENERO DE 2019</t>
  </si>
  <si>
    <t>DEVENGOS</t>
  </si>
  <si>
    <t>DEDUCCIONES</t>
  </si>
  <si>
    <t>No.</t>
  </si>
  <si>
    <t>Nombre</t>
  </si>
  <si>
    <t>MODALIDAD</t>
  </si>
  <si>
    <t>TIPO DE CONTRATO</t>
  </si>
  <si>
    <t>SUELDO MES</t>
  </si>
  <si>
    <t>No. Dìas</t>
  </si>
  <si>
    <t xml:space="preserve">SUELDO MES </t>
  </si>
  <si>
    <t>INCAPACIDADES</t>
  </si>
  <si>
    <t>Subsidio Transporte</t>
  </si>
  <si>
    <t>Vacaciones</t>
  </si>
  <si>
    <t>Prima</t>
  </si>
  <si>
    <t>Auxilios</t>
  </si>
  <si>
    <t>Bonos Horas</t>
  </si>
  <si>
    <t>Devengos</t>
  </si>
  <si>
    <t>Salud</t>
  </si>
  <si>
    <t>PENSION+ FONDO DE SOLIDARIDAD</t>
  </si>
  <si>
    <t>Cooperativa</t>
  </si>
  <si>
    <t>DESCUENTOS VARIOS</t>
  </si>
  <si>
    <t>RETENCION</t>
  </si>
  <si>
    <t>CUENTA AFC</t>
  </si>
  <si>
    <t>PREPAGADA</t>
  </si>
  <si>
    <t>Descuento por Prestamos</t>
  </si>
  <si>
    <t>Total Deducciones</t>
  </si>
  <si>
    <t>TOTAL A PAGAR</t>
  </si>
  <si>
    <t>Int/ Cesan</t>
  </si>
  <si>
    <t>ACE</t>
  </si>
  <si>
    <t>ADRIANA PILAR SOCHE CHAPARRO</t>
  </si>
  <si>
    <t>NOMINA</t>
  </si>
  <si>
    <t>INDEFINIDO</t>
  </si>
  <si>
    <t>ALBERTO ALBEIRO ALMARIO VALBUENA</t>
  </si>
  <si>
    <t>ALEJANDRO TOVAR ALVARADO</t>
  </si>
  <si>
    <t>ANA LUCIA ARBELAEZ BARBOSA</t>
  </si>
  <si>
    <t>ANA MARIA BARRIOS LEGIZAMON</t>
  </si>
  <si>
    <t>ANDRES HERRERA MALDONADO</t>
  </si>
  <si>
    <t>ANGELA ENITH RODRGUEZ MORENO</t>
  </si>
  <si>
    <t>AURORA VARGAS MORENO</t>
  </si>
  <si>
    <t>CARLOS ARTURO PINZON MENDEZ</t>
  </si>
  <si>
    <t>CARMEN ALEIDA QUINTERO REYES</t>
  </si>
  <si>
    <t>CATHERINE GÓMEZ CESPEDES</t>
  </si>
  <si>
    <t>CRISTHIAN CAMILO JIMENEZ VARON</t>
  </si>
  <si>
    <t>CRYSTIAN JAIR VELANDIA CASTRO</t>
  </si>
  <si>
    <t>DIEGO ALEJANDRO AGUAS RAMIREZ</t>
  </si>
  <si>
    <t>DIEGO ANDRES MONCADA VEGA</t>
  </si>
  <si>
    <t>DIEGO FERNANDO BERNAL BARACALDO</t>
  </si>
  <si>
    <t xml:space="preserve">DIEGO FERNEY CABEZAS MATTA </t>
  </si>
  <si>
    <t>DUILYAN RODRIGUEZ BARRETO</t>
  </si>
  <si>
    <t>EDISON DAVID TORRES RUIZ</t>
  </si>
  <si>
    <t>EDWIN CIFUENTES GUERRERO</t>
  </si>
  <si>
    <t>ERIKA ROCIO GOMEZ NUÑEZ</t>
  </si>
  <si>
    <t>GUILLERMO JUNIOR MENDOZA CANTILLO</t>
  </si>
  <si>
    <t>GUSTAVO ANDRES CAMARGO DUQUE</t>
  </si>
  <si>
    <t>GUSTAVO IGNACIO MAGGI WULFF</t>
  </si>
  <si>
    <t>HECTOR GERMAN CHAPARRO RODRIGUEZ</t>
  </si>
  <si>
    <t>HELVERT GIOVANNY WIESNER GONZALEZ</t>
  </si>
  <si>
    <t>HUMBERTO JOSE ORTIZ LOPEZ</t>
  </si>
  <si>
    <t>JAIME CARLOS SANMARTIN DAZA</t>
  </si>
  <si>
    <t>JAIRO ERNESTO MALAGON GAITAN</t>
  </si>
  <si>
    <t>JENNYFER PAOLA OLARTE CASTILLO</t>
  </si>
  <si>
    <t>JESUS ALBERTO FLOREZ BARRIOS</t>
  </si>
  <si>
    <t>JHON DAVID CARVAJAL RIVERA</t>
  </si>
  <si>
    <t>JIMMY ALEXANDER CIFUENTES</t>
  </si>
  <si>
    <t>JOHANA KARINA PELAEZ PUENTES</t>
  </si>
  <si>
    <t>JOHANNA PATRICIA SALGADO NEIRA</t>
  </si>
  <si>
    <t>JOHN JULIO HERNANDEZ QUITIAN</t>
  </si>
  <si>
    <t>JONATHAN MEZA SANTOS</t>
  </si>
  <si>
    <t>JOSE ANDRES MENESES QUINTERO</t>
  </si>
  <si>
    <t>JUAN CAMILO LARA LEON</t>
  </si>
  <si>
    <t>JUAN CARLOS RAMIREZ CASTRO</t>
  </si>
  <si>
    <t>JUAN RAMON BELTRAN ALFARO</t>
  </si>
  <si>
    <t>JULIAN ANDRES RAMIREZ CELIS</t>
  </si>
  <si>
    <t>KATTYA ALEXANDRA PEÑA NIETO</t>
  </si>
  <si>
    <t>LEONEL SIERRA MARTINEZ</t>
  </si>
  <si>
    <t>LINA PATRICIA RAMIREZ TORO</t>
  </si>
  <si>
    <t>LISSETTE TATIANA MORENO BOGOTA</t>
  </si>
  <si>
    <t>LUIS BERNARDO GOMEZ ESQUIVEL</t>
  </si>
  <si>
    <t xml:space="preserve">LUIS DANIEL HERRERA MALDONADO </t>
  </si>
  <si>
    <t>LUISA FERNANDA GALINDO HIGUERA</t>
  </si>
  <si>
    <t>LUZ ADRIANA MARTINEZ PAREDES</t>
  </si>
  <si>
    <t>MANUEL EDUARDO HERNANDEZ RODRIGUEZ</t>
  </si>
  <si>
    <t>MONICA JULIETH SANCHEZ FUENTES</t>
  </si>
  <si>
    <t xml:space="preserve">NYDIA CASTILBLANCO MARIN </t>
  </si>
  <si>
    <t>OLIMARY GOMEZ CORONEL</t>
  </si>
  <si>
    <t>ORLANDO SUAREZ LABOTON</t>
  </si>
  <si>
    <t>RAMON ANTONIO SUAREZ BUITRAGO</t>
  </si>
  <si>
    <t>ROGER BARRIOS AMOROCHO</t>
  </si>
  <si>
    <t>ROSMERY PERILLA GALINDO</t>
  </si>
  <si>
    <t>SERGIO BAYARDO CORDOBA</t>
  </si>
  <si>
    <t>WALTER ANAIDO PINEDA GARCIA</t>
  </si>
  <si>
    <t>WILLIAM JESUS GINEZ MORENO</t>
  </si>
  <si>
    <t>WILLIAM JOSE VIVAS ESCALANTE</t>
  </si>
  <si>
    <t>YOANA CENED RAMIREZ CAMACHO</t>
  </si>
  <si>
    <t>YOLIMA ROCIO MARTINEZ PULIDO</t>
  </si>
  <si>
    <t>EXSIS</t>
  </si>
  <si>
    <t>ADRIANA CAMILA LOAIZA</t>
  </si>
  <si>
    <t>ALVARO JAVIER BARBOSA</t>
  </si>
  <si>
    <t>ANGEL JULIAN  GONZALEZ PINZON</t>
  </si>
  <si>
    <t xml:space="preserve">ANGIE KATERINE VERGARA </t>
  </si>
  <si>
    <t>APRENDIZAJE</t>
  </si>
  <si>
    <t xml:space="preserve">ANGIE TATIANA POSSO </t>
  </si>
  <si>
    <t>ARIANA VALENTINA JIMENEZ PEDRAZA</t>
  </si>
  <si>
    <t>BRANDON SMITH BRAVO ORTIZ</t>
  </si>
  <si>
    <t xml:space="preserve">NOMINA </t>
  </si>
  <si>
    <t>CLARA ISABEL PEDRAZA RUEDA</t>
  </si>
  <si>
    <t>CRISTHIAN DAVID MARTINEZ MARTINEZ</t>
  </si>
  <si>
    <t>CRISTHIAN FELIPE GUERRERO PINEROS</t>
  </si>
  <si>
    <t>DAIRON ARTURO PERILLA LOPEZ</t>
  </si>
  <si>
    <t>DANIELA ANDREA CORDOBA ACOSTA</t>
  </si>
  <si>
    <t>DAVID ALEXANDER OCAMPO</t>
  </si>
  <si>
    <t>DAVID CELIANO HERRERA  GUTIERREZ</t>
  </si>
  <si>
    <t>DAVID ENRIQUE MAHECHA SARMIENTO</t>
  </si>
  <si>
    <t>DAVID HERNANDEZ VALENCIA</t>
  </si>
  <si>
    <t>DAVID JAVIER AGUILAR RODRIGUEZ</t>
  </si>
  <si>
    <t>DAVID OBREGON SANCHEZ</t>
  </si>
  <si>
    <t>DULIETH SANCHEZ PINTO</t>
  </si>
  <si>
    <t>DYLAN ANDREY HENAO BELLO</t>
  </si>
  <si>
    <t>APRENDIZ</t>
  </si>
  <si>
    <t>EDWAR CAMILO LONDOÑO SANCHEZ</t>
  </si>
  <si>
    <t>ELVER YESID MELO MONROY</t>
  </si>
  <si>
    <t xml:space="preserve">ERVID ALFRED MOLINA BARRIOS </t>
  </si>
  <si>
    <t>FABIAN GERARDO FIGUEREDO PINZON</t>
  </si>
  <si>
    <t xml:space="preserve">GERARDO ENRIQUE MENDEZ </t>
  </si>
  <si>
    <t>GINNA PAOLA CEPEDA LOMBANA</t>
  </si>
  <si>
    <t>JEFFERSON STIVENS RODRIGUEZ RODRI</t>
  </si>
  <si>
    <t>JOSE JAVIER SASTOQUE SANCHEZ</t>
  </si>
  <si>
    <t>JUAN DAVID MONROY</t>
  </si>
  <si>
    <t>JUAN DAVID ROJAS SANCHEZ</t>
  </si>
  <si>
    <t>JUAN MANUEL CUESTAS BELTRAN</t>
  </si>
  <si>
    <t>JUAN PABLO VIVAS REINOSO</t>
  </si>
  <si>
    <t>JULIAN SEBASTIAN PEÑA CASTELLANOS</t>
  </si>
  <si>
    <t>LAURA JULIANA GARCIA PINZON</t>
  </si>
  <si>
    <t>MAIRA ALEJANDRA CLARO ROPERO</t>
  </si>
  <si>
    <t>MARIA LAURA JINETH RAMIREZ MENDEZ</t>
  </si>
  <si>
    <t>MARIA TRANSITO PULIDO PARRA</t>
  </si>
  <si>
    <t>MAYRA ALEJANDRA AREVALO ALVAREZ</t>
  </si>
  <si>
    <t>MERCEDES SALAMANCA CASTAÑEDA</t>
  </si>
  <si>
    <t>MIGUEL ANGEL JIMENEZ NUÑEZ</t>
  </si>
  <si>
    <t>MIGUEL SEBASTIAN JIMENEZ</t>
  </si>
  <si>
    <t>NELSON ENRIQUE HERRERA NOVOA</t>
  </si>
  <si>
    <t>NESTOR FABIAN CASTILLO ROZO</t>
  </si>
  <si>
    <t>PAOLA JINETH ALVIS VALENCIA</t>
  </si>
  <si>
    <t>RICARDO JAVIER ESTRADA SANCHEZ</t>
  </si>
  <si>
    <t>ROBERTO JOSE DUQUE DIASGRANADOS</t>
  </si>
  <si>
    <t>ROSA MARIA LOPEZ URBANO</t>
  </si>
  <si>
    <t>SEHILA SNEIDER LEON MARQUEZ</t>
  </si>
  <si>
    <t>TULIO ESTEBAN JIMENEZ VILLANUEVA</t>
  </si>
  <si>
    <t>YAIR CASTRO RINCON</t>
  </si>
  <si>
    <t>YOLLIANY ESTELA OYOLA PALENCIA</t>
  </si>
  <si>
    <t xml:space="preserve">YULY ANDREA RIOS TAPIERO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</si>
</sst>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[$$-240A]\ * #,##0_ ;_-[$$-240A]\ * \-#,##0\ ;_-[$$-240A]\ * &quot;-&quot;_ ;_-@_ "/>
    <numFmt numFmtId="165" formatCode="_(&quot;€&quot;* #,##0.00_);_(&quot;€&quot;* \(#,##0.00\);_(&quot;€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11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center" vertical="center" wrapText="1"/>
    </xf>
    <xf numFmtId="3" fontId="2" fillId="0" borderId="11" xfId="0" applyNumberFormat="1" applyFont="1" applyFill="1" applyBorder="1" applyAlignment="1">
      <alignment horizontal="center" vertical="center" wrapText="1"/>
    </xf>
    <xf numFmtId="3" fontId="2" fillId="0" borderId="11" xfId="0" applyNumberFormat="1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5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 wrapText="1"/>
    </xf>
    <xf numFmtId="3" fontId="2" fillId="0" borderId="5" xfId="0" applyNumberFormat="1" applyFont="1" applyFill="1" applyBorder="1" applyAlignment="1">
      <alignment horizontal="center" vertical="center" wrapText="1"/>
    </xf>
    <xf numFmtId="3" fontId="2" fillId="0" borderId="5" xfId="1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164" fontId="2" fillId="0" borderId="11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3" fontId="2" fillId="0" borderId="8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3" fontId="2" fillId="0" borderId="0" xfId="0" applyNumberFormat="1" applyFont="1" applyFill="1" applyAlignment="1">
      <alignment vertical="center" wrapText="1"/>
    </xf>
    <xf numFmtId="165" fontId="2" fillId="0" borderId="0" xfId="1" applyNumberFormat="1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 wrapText="1"/>
    </xf>
    <xf numFmtId="3" fontId="2" fillId="0" borderId="0" xfId="0" applyNumberFormat="1" applyFont="1" applyFill="1" applyAlignment="1">
      <alignment horizontal="center" vertical="center" wrapText="1"/>
    </xf>
    <xf numFmtId="43" fontId="2" fillId="0" borderId="0" xfId="1" applyFont="1" applyFill="1" applyAlignment="1">
      <alignment horizontal="left" vertical="center"/>
    </xf>
    <xf numFmtId="3" fontId="2" fillId="0" borderId="0" xfId="2" applyNumberFormat="1" applyFont="1" applyFill="1" applyAlignment="1">
      <alignment horizontal="center" vertical="center"/>
    </xf>
    <xf numFmtId="3" fontId="2" fillId="0" borderId="0" xfId="1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2" fontId="2" fillId="0" borderId="0" xfId="0" applyNumberFormat="1" applyFont="1" applyFill="1" applyAlignment="1">
      <alignment horizontal="center" vertic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0"/>
  <sheetViews>
    <sheetView tabSelected="1" topLeftCell="B16" workbookViewId="0">
      <selection activeCell="E9" sqref="E9"/>
    </sheetView>
  </sheetViews>
  <sheetFormatPr baseColWidth="10" defaultRowHeight="12" x14ac:dyDescent="0.25"/>
  <cols>
    <col min="1" max="1" width="6.7109375" style="15" hidden="1" customWidth="1"/>
    <col min="2" max="2" width="4.85546875" style="15" customWidth="1"/>
    <col min="3" max="3" width="32.28515625" style="6" customWidth="1"/>
    <col min="4" max="4" width="8.5703125" style="15" customWidth="1"/>
    <col min="5" max="5" width="11" style="15" customWidth="1"/>
    <col min="6" max="6" width="15" style="31" customWidth="1"/>
    <col min="7" max="7" width="4.42578125" style="31" customWidth="1"/>
    <col min="8" max="9" width="15.5703125" style="31" customWidth="1"/>
    <col min="10" max="10" width="11.28515625" style="31" customWidth="1"/>
    <col min="11" max="11" width="13" style="31" bestFit="1" customWidth="1"/>
    <col min="12" max="12" width="11.140625" style="31" customWidth="1"/>
    <col min="13" max="13" width="12.28515625" style="31" customWidth="1"/>
    <col min="14" max="14" width="12.5703125" style="31" customWidth="1"/>
    <col min="15" max="15" width="16" style="31" customWidth="1"/>
    <col min="16" max="16" width="13" style="31" customWidth="1"/>
    <col min="17" max="17" width="14.140625" style="31" customWidth="1"/>
    <col min="18" max="19" width="11.28515625" style="31" customWidth="1"/>
    <col min="20" max="20" width="14.140625" style="31" customWidth="1"/>
    <col min="21" max="21" width="12.28515625" style="31" customWidth="1"/>
    <col min="22" max="22" width="11.28515625" style="31" customWidth="1"/>
    <col min="23" max="23" width="15.7109375" style="31" customWidth="1"/>
    <col min="24" max="24" width="12.42578125" style="31" customWidth="1"/>
    <col min="25" max="25" width="18" style="15" bestFit="1" customWidth="1"/>
    <col min="26" max="26" width="11.42578125" style="15"/>
    <col min="27" max="27" width="17.28515625" style="15" customWidth="1"/>
    <col min="28" max="230" width="11.42578125" style="15"/>
    <col min="231" max="231" width="10.5703125" style="15" customWidth="1"/>
    <col min="232" max="232" width="4.85546875" style="15" customWidth="1"/>
    <col min="233" max="233" width="32.42578125" style="15" customWidth="1"/>
    <col min="234" max="234" width="9.85546875" style="15" customWidth="1"/>
    <col min="235" max="235" width="10.140625" style="15" customWidth="1"/>
    <col min="236" max="236" width="12.28515625" style="15" customWidth="1"/>
    <col min="237" max="237" width="15.42578125" style="15" customWidth="1"/>
    <col min="238" max="238" width="11.85546875" style="15" customWidth="1"/>
    <col min="239" max="239" width="13.28515625" style="15" customWidth="1"/>
    <col min="240" max="240" width="15.28515625" style="15" customWidth="1"/>
    <col min="241" max="241" width="11.85546875" style="15" customWidth="1"/>
    <col min="242" max="242" width="6.140625" style="15" customWidth="1"/>
    <col min="243" max="243" width="11.85546875" style="15" customWidth="1"/>
    <col min="244" max="244" width="9.42578125" style="15" customWidth="1"/>
    <col min="245" max="245" width="14.7109375" style="15" customWidth="1"/>
    <col min="246" max="246" width="11.5703125" style="15" customWidth="1"/>
    <col min="247" max="247" width="0.42578125" style="15" customWidth="1"/>
    <col min="248" max="248" width="10.5703125" style="15" bestFit="1" customWidth="1"/>
    <col min="249" max="249" width="12.28515625" style="15" customWidth="1"/>
    <col min="250" max="250" width="12.5703125" style="15" customWidth="1"/>
    <col min="251" max="251" width="10.5703125" style="15" customWidth="1"/>
    <col min="252" max="252" width="10.140625" style="15" customWidth="1"/>
    <col min="253" max="253" width="8.42578125" style="15" customWidth="1"/>
    <col min="254" max="254" width="18.85546875" style="15" customWidth="1"/>
    <col min="255" max="255" width="10.28515625" style="15" customWidth="1"/>
    <col min="256" max="256" width="11.42578125" style="15"/>
    <col min="257" max="257" width="12.140625" style="15" customWidth="1"/>
    <col min="258" max="258" width="10.5703125" style="15" customWidth="1"/>
    <col min="259" max="259" width="12.42578125" style="15" customWidth="1"/>
    <col min="260" max="260" width="15.140625" style="15" customWidth="1"/>
    <col min="261" max="261" width="13.5703125" style="15" customWidth="1"/>
    <col min="262" max="262" width="13.140625" style="15" customWidth="1"/>
    <col min="263" max="263" width="15.7109375" style="15" customWidth="1"/>
    <col min="264" max="264" width="37.5703125" style="15" customWidth="1"/>
    <col min="265" max="486" width="11.42578125" style="15"/>
    <col min="487" max="487" width="10.5703125" style="15" customWidth="1"/>
    <col min="488" max="488" width="4.85546875" style="15" customWidth="1"/>
    <col min="489" max="489" width="32.42578125" style="15" customWidth="1"/>
    <col min="490" max="490" width="9.85546875" style="15" customWidth="1"/>
    <col min="491" max="491" width="10.140625" style="15" customWidth="1"/>
    <col min="492" max="492" width="12.28515625" style="15" customWidth="1"/>
    <col min="493" max="493" width="15.42578125" style="15" customWidth="1"/>
    <col min="494" max="494" width="11.85546875" style="15" customWidth="1"/>
    <col min="495" max="495" width="13.28515625" style="15" customWidth="1"/>
    <col min="496" max="496" width="15.28515625" style="15" customWidth="1"/>
    <col min="497" max="497" width="11.85546875" style="15" customWidth="1"/>
    <col min="498" max="498" width="6.140625" style="15" customWidth="1"/>
    <col min="499" max="499" width="11.85546875" style="15" customWidth="1"/>
    <col min="500" max="500" width="9.42578125" style="15" customWidth="1"/>
    <col min="501" max="501" width="14.7109375" style="15" customWidth="1"/>
    <col min="502" max="502" width="11.5703125" style="15" customWidth="1"/>
    <col min="503" max="503" width="0.42578125" style="15" customWidth="1"/>
    <col min="504" max="504" width="10.5703125" style="15" bestFit="1" customWidth="1"/>
    <col min="505" max="505" width="12.28515625" style="15" customWidth="1"/>
    <col min="506" max="506" width="12.5703125" style="15" customWidth="1"/>
    <col min="507" max="507" width="10.5703125" style="15" customWidth="1"/>
    <col min="508" max="508" width="10.140625" style="15" customWidth="1"/>
    <col min="509" max="509" width="8.42578125" style="15" customWidth="1"/>
    <col min="510" max="510" width="18.85546875" style="15" customWidth="1"/>
    <col min="511" max="511" width="10.28515625" style="15" customWidth="1"/>
    <col min="512" max="512" width="11.42578125" style="15"/>
    <col min="513" max="513" width="12.140625" style="15" customWidth="1"/>
    <col min="514" max="514" width="10.5703125" style="15" customWidth="1"/>
    <col min="515" max="515" width="12.42578125" style="15" customWidth="1"/>
    <col min="516" max="516" width="15.140625" style="15" customWidth="1"/>
    <col min="517" max="517" width="13.5703125" style="15" customWidth="1"/>
    <col min="518" max="518" width="13.140625" style="15" customWidth="1"/>
    <col min="519" max="519" width="15.7109375" style="15" customWidth="1"/>
    <col min="520" max="520" width="37.5703125" style="15" customWidth="1"/>
    <col min="521" max="742" width="11.42578125" style="15"/>
    <col min="743" max="743" width="10.5703125" style="15" customWidth="1"/>
    <col min="744" max="744" width="4.85546875" style="15" customWidth="1"/>
    <col min="745" max="745" width="32.42578125" style="15" customWidth="1"/>
    <col min="746" max="746" width="9.85546875" style="15" customWidth="1"/>
    <col min="747" max="747" width="10.140625" style="15" customWidth="1"/>
    <col min="748" max="748" width="12.28515625" style="15" customWidth="1"/>
    <col min="749" max="749" width="15.42578125" style="15" customWidth="1"/>
    <col min="750" max="750" width="11.85546875" style="15" customWidth="1"/>
    <col min="751" max="751" width="13.28515625" style="15" customWidth="1"/>
    <col min="752" max="752" width="15.28515625" style="15" customWidth="1"/>
    <col min="753" max="753" width="11.85546875" style="15" customWidth="1"/>
    <col min="754" max="754" width="6.140625" style="15" customWidth="1"/>
    <col min="755" max="755" width="11.85546875" style="15" customWidth="1"/>
    <col min="756" max="756" width="9.42578125" style="15" customWidth="1"/>
    <col min="757" max="757" width="14.7109375" style="15" customWidth="1"/>
    <col min="758" max="758" width="11.5703125" style="15" customWidth="1"/>
    <col min="759" max="759" width="0.42578125" style="15" customWidth="1"/>
    <col min="760" max="760" width="10.5703125" style="15" bestFit="1" customWidth="1"/>
    <col min="761" max="761" width="12.28515625" style="15" customWidth="1"/>
    <col min="762" max="762" width="12.5703125" style="15" customWidth="1"/>
    <col min="763" max="763" width="10.5703125" style="15" customWidth="1"/>
    <col min="764" max="764" width="10.140625" style="15" customWidth="1"/>
    <col min="765" max="765" width="8.42578125" style="15" customWidth="1"/>
    <col min="766" max="766" width="18.85546875" style="15" customWidth="1"/>
    <col min="767" max="767" width="10.28515625" style="15" customWidth="1"/>
    <col min="768" max="768" width="11.42578125" style="15"/>
    <col min="769" max="769" width="12.140625" style="15" customWidth="1"/>
    <col min="770" max="770" width="10.5703125" style="15" customWidth="1"/>
    <col min="771" max="771" width="12.42578125" style="15" customWidth="1"/>
    <col min="772" max="772" width="15.140625" style="15" customWidth="1"/>
    <col min="773" max="773" width="13.5703125" style="15" customWidth="1"/>
    <col min="774" max="774" width="13.140625" style="15" customWidth="1"/>
    <col min="775" max="775" width="15.7109375" style="15" customWidth="1"/>
    <col min="776" max="776" width="37.5703125" style="15" customWidth="1"/>
    <col min="777" max="998" width="11.42578125" style="15"/>
    <col min="999" max="999" width="10.5703125" style="15" customWidth="1"/>
    <col min="1000" max="1000" width="4.85546875" style="15" customWidth="1"/>
    <col min="1001" max="1001" width="32.42578125" style="15" customWidth="1"/>
    <col min="1002" max="1002" width="9.85546875" style="15" customWidth="1"/>
    <col min="1003" max="1003" width="10.140625" style="15" customWidth="1"/>
    <col min="1004" max="1004" width="12.28515625" style="15" customWidth="1"/>
    <col min="1005" max="1005" width="15.42578125" style="15" customWidth="1"/>
    <col min="1006" max="1006" width="11.85546875" style="15" customWidth="1"/>
    <col min="1007" max="1007" width="13.28515625" style="15" customWidth="1"/>
    <col min="1008" max="1008" width="15.28515625" style="15" customWidth="1"/>
    <col min="1009" max="1009" width="11.85546875" style="15" customWidth="1"/>
    <col min="1010" max="1010" width="6.140625" style="15" customWidth="1"/>
    <col min="1011" max="1011" width="11.85546875" style="15" customWidth="1"/>
    <col min="1012" max="1012" width="9.42578125" style="15" customWidth="1"/>
    <col min="1013" max="1013" width="14.7109375" style="15" customWidth="1"/>
    <col min="1014" max="1014" width="11.5703125" style="15" customWidth="1"/>
    <col min="1015" max="1015" width="0.42578125" style="15" customWidth="1"/>
    <col min="1016" max="1016" width="10.5703125" style="15" bestFit="1" customWidth="1"/>
    <col min="1017" max="1017" width="12.28515625" style="15" customWidth="1"/>
    <col min="1018" max="1018" width="12.5703125" style="15" customWidth="1"/>
    <col min="1019" max="1019" width="10.5703125" style="15" customWidth="1"/>
    <col min="1020" max="1020" width="10.140625" style="15" customWidth="1"/>
    <col min="1021" max="1021" width="8.42578125" style="15" customWidth="1"/>
    <col min="1022" max="1022" width="18.85546875" style="15" customWidth="1"/>
    <col min="1023" max="1023" width="10.28515625" style="15" customWidth="1"/>
    <col min="1024" max="1024" width="11.42578125" style="15"/>
    <col min="1025" max="1025" width="12.140625" style="15" customWidth="1"/>
    <col min="1026" max="1026" width="10.5703125" style="15" customWidth="1"/>
    <col min="1027" max="1027" width="12.42578125" style="15" customWidth="1"/>
    <col min="1028" max="1028" width="15.140625" style="15" customWidth="1"/>
    <col min="1029" max="1029" width="13.5703125" style="15" customWidth="1"/>
    <col min="1030" max="1030" width="13.140625" style="15" customWidth="1"/>
    <col min="1031" max="1031" width="15.7109375" style="15" customWidth="1"/>
    <col min="1032" max="1032" width="37.5703125" style="15" customWidth="1"/>
    <col min="1033" max="1254" width="11.42578125" style="15"/>
    <col min="1255" max="1255" width="10.5703125" style="15" customWidth="1"/>
    <col min="1256" max="1256" width="4.85546875" style="15" customWidth="1"/>
    <col min="1257" max="1257" width="32.42578125" style="15" customWidth="1"/>
    <col min="1258" max="1258" width="9.85546875" style="15" customWidth="1"/>
    <col min="1259" max="1259" width="10.140625" style="15" customWidth="1"/>
    <col min="1260" max="1260" width="12.28515625" style="15" customWidth="1"/>
    <col min="1261" max="1261" width="15.42578125" style="15" customWidth="1"/>
    <col min="1262" max="1262" width="11.85546875" style="15" customWidth="1"/>
    <col min="1263" max="1263" width="13.28515625" style="15" customWidth="1"/>
    <col min="1264" max="1264" width="15.28515625" style="15" customWidth="1"/>
    <col min="1265" max="1265" width="11.85546875" style="15" customWidth="1"/>
    <col min="1266" max="1266" width="6.140625" style="15" customWidth="1"/>
    <col min="1267" max="1267" width="11.85546875" style="15" customWidth="1"/>
    <col min="1268" max="1268" width="9.42578125" style="15" customWidth="1"/>
    <col min="1269" max="1269" width="14.7109375" style="15" customWidth="1"/>
    <col min="1270" max="1270" width="11.5703125" style="15" customWidth="1"/>
    <col min="1271" max="1271" width="0.42578125" style="15" customWidth="1"/>
    <col min="1272" max="1272" width="10.5703125" style="15" bestFit="1" customWidth="1"/>
    <col min="1273" max="1273" width="12.28515625" style="15" customWidth="1"/>
    <col min="1274" max="1274" width="12.5703125" style="15" customWidth="1"/>
    <col min="1275" max="1275" width="10.5703125" style="15" customWidth="1"/>
    <col min="1276" max="1276" width="10.140625" style="15" customWidth="1"/>
    <col min="1277" max="1277" width="8.42578125" style="15" customWidth="1"/>
    <col min="1278" max="1278" width="18.85546875" style="15" customWidth="1"/>
    <col min="1279" max="1279" width="10.28515625" style="15" customWidth="1"/>
    <col min="1280" max="1280" width="11.42578125" style="15"/>
    <col min="1281" max="1281" width="12.140625" style="15" customWidth="1"/>
    <col min="1282" max="1282" width="10.5703125" style="15" customWidth="1"/>
    <col min="1283" max="1283" width="12.42578125" style="15" customWidth="1"/>
    <col min="1284" max="1284" width="15.140625" style="15" customWidth="1"/>
    <col min="1285" max="1285" width="13.5703125" style="15" customWidth="1"/>
    <col min="1286" max="1286" width="13.140625" style="15" customWidth="1"/>
    <col min="1287" max="1287" width="15.7109375" style="15" customWidth="1"/>
    <col min="1288" max="1288" width="37.5703125" style="15" customWidth="1"/>
    <col min="1289" max="1510" width="11.42578125" style="15"/>
    <col min="1511" max="1511" width="10.5703125" style="15" customWidth="1"/>
    <col min="1512" max="1512" width="4.85546875" style="15" customWidth="1"/>
    <col min="1513" max="1513" width="32.42578125" style="15" customWidth="1"/>
    <col min="1514" max="1514" width="9.85546875" style="15" customWidth="1"/>
    <col min="1515" max="1515" width="10.140625" style="15" customWidth="1"/>
    <col min="1516" max="1516" width="12.28515625" style="15" customWidth="1"/>
    <col min="1517" max="1517" width="15.42578125" style="15" customWidth="1"/>
    <col min="1518" max="1518" width="11.85546875" style="15" customWidth="1"/>
    <col min="1519" max="1519" width="13.28515625" style="15" customWidth="1"/>
    <col min="1520" max="1520" width="15.28515625" style="15" customWidth="1"/>
    <col min="1521" max="1521" width="11.85546875" style="15" customWidth="1"/>
    <col min="1522" max="1522" width="6.140625" style="15" customWidth="1"/>
    <col min="1523" max="1523" width="11.85546875" style="15" customWidth="1"/>
    <col min="1524" max="1524" width="9.42578125" style="15" customWidth="1"/>
    <col min="1525" max="1525" width="14.7109375" style="15" customWidth="1"/>
    <col min="1526" max="1526" width="11.5703125" style="15" customWidth="1"/>
    <col min="1527" max="1527" width="0.42578125" style="15" customWidth="1"/>
    <col min="1528" max="1528" width="10.5703125" style="15" bestFit="1" customWidth="1"/>
    <col min="1529" max="1529" width="12.28515625" style="15" customWidth="1"/>
    <col min="1530" max="1530" width="12.5703125" style="15" customWidth="1"/>
    <col min="1531" max="1531" width="10.5703125" style="15" customWidth="1"/>
    <col min="1532" max="1532" width="10.140625" style="15" customWidth="1"/>
    <col min="1533" max="1533" width="8.42578125" style="15" customWidth="1"/>
    <col min="1534" max="1534" width="18.85546875" style="15" customWidth="1"/>
    <col min="1535" max="1535" width="10.28515625" style="15" customWidth="1"/>
    <col min="1536" max="1536" width="11.42578125" style="15"/>
    <col min="1537" max="1537" width="12.140625" style="15" customWidth="1"/>
    <col min="1538" max="1538" width="10.5703125" style="15" customWidth="1"/>
    <col min="1539" max="1539" width="12.42578125" style="15" customWidth="1"/>
    <col min="1540" max="1540" width="15.140625" style="15" customWidth="1"/>
    <col min="1541" max="1541" width="13.5703125" style="15" customWidth="1"/>
    <col min="1542" max="1542" width="13.140625" style="15" customWidth="1"/>
    <col min="1543" max="1543" width="15.7109375" style="15" customWidth="1"/>
    <col min="1544" max="1544" width="37.5703125" style="15" customWidth="1"/>
    <col min="1545" max="1766" width="11.42578125" style="15"/>
    <col min="1767" max="1767" width="10.5703125" style="15" customWidth="1"/>
    <col min="1768" max="1768" width="4.85546875" style="15" customWidth="1"/>
    <col min="1769" max="1769" width="32.42578125" style="15" customWidth="1"/>
    <col min="1770" max="1770" width="9.85546875" style="15" customWidth="1"/>
    <col min="1771" max="1771" width="10.140625" style="15" customWidth="1"/>
    <col min="1772" max="1772" width="12.28515625" style="15" customWidth="1"/>
    <col min="1773" max="1773" width="15.42578125" style="15" customWidth="1"/>
    <col min="1774" max="1774" width="11.85546875" style="15" customWidth="1"/>
    <col min="1775" max="1775" width="13.28515625" style="15" customWidth="1"/>
    <col min="1776" max="1776" width="15.28515625" style="15" customWidth="1"/>
    <col min="1777" max="1777" width="11.85546875" style="15" customWidth="1"/>
    <col min="1778" max="1778" width="6.140625" style="15" customWidth="1"/>
    <col min="1779" max="1779" width="11.85546875" style="15" customWidth="1"/>
    <col min="1780" max="1780" width="9.42578125" style="15" customWidth="1"/>
    <col min="1781" max="1781" width="14.7109375" style="15" customWidth="1"/>
    <col min="1782" max="1782" width="11.5703125" style="15" customWidth="1"/>
    <col min="1783" max="1783" width="0.42578125" style="15" customWidth="1"/>
    <col min="1784" max="1784" width="10.5703125" style="15" bestFit="1" customWidth="1"/>
    <col min="1785" max="1785" width="12.28515625" style="15" customWidth="1"/>
    <col min="1786" max="1786" width="12.5703125" style="15" customWidth="1"/>
    <col min="1787" max="1787" width="10.5703125" style="15" customWidth="1"/>
    <col min="1788" max="1788" width="10.140625" style="15" customWidth="1"/>
    <col min="1789" max="1789" width="8.42578125" style="15" customWidth="1"/>
    <col min="1790" max="1790" width="18.85546875" style="15" customWidth="1"/>
    <col min="1791" max="1791" width="10.28515625" style="15" customWidth="1"/>
    <col min="1792" max="1792" width="11.42578125" style="15"/>
    <col min="1793" max="1793" width="12.140625" style="15" customWidth="1"/>
    <col min="1794" max="1794" width="10.5703125" style="15" customWidth="1"/>
    <col min="1795" max="1795" width="12.42578125" style="15" customWidth="1"/>
    <col min="1796" max="1796" width="15.140625" style="15" customWidth="1"/>
    <col min="1797" max="1797" width="13.5703125" style="15" customWidth="1"/>
    <col min="1798" max="1798" width="13.140625" style="15" customWidth="1"/>
    <col min="1799" max="1799" width="15.7109375" style="15" customWidth="1"/>
    <col min="1800" max="1800" width="37.5703125" style="15" customWidth="1"/>
    <col min="1801" max="2022" width="11.42578125" style="15"/>
    <col min="2023" max="2023" width="10.5703125" style="15" customWidth="1"/>
    <col min="2024" max="2024" width="4.85546875" style="15" customWidth="1"/>
    <col min="2025" max="2025" width="32.42578125" style="15" customWidth="1"/>
    <col min="2026" max="2026" width="9.85546875" style="15" customWidth="1"/>
    <col min="2027" max="2027" width="10.140625" style="15" customWidth="1"/>
    <col min="2028" max="2028" width="12.28515625" style="15" customWidth="1"/>
    <col min="2029" max="2029" width="15.42578125" style="15" customWidth="1"/>
    <col min="2030" max="2030" width="11.85546875" style="15" customWidth="1"/>
    <col min="2031" max="2031" width="13.28515625" style="15" customWidth="1"/>
    <col min="2032" max="2032" width="15.28515625" style="15" customWidth="1"/>
    <col min="2033" max="2033" width="11.85546875" style="15" customWidth="1"/>
    <col min="2034" max="2034" width="6.140625" style="15" customWidth="1"/>
    <col min="2035" max="2035" width="11.85546875" style="15" customWidth="1"/>
    <col min="2036" max="2036" width="9.42578125" style="15" customWidth="1"/>
    <col min="2037" max="2037" width="14.7109375" style="15" customWidth="1"/>
    <col min="2038" max="2038" width="11.5703125" style="15" customWidth="1"/>
    <col min="2039" max="2039" width="0.42578125" style="15" customWidth="1"/>
    <col min="2040" max="2040" width="10.5703125" style="15" bestFit="1" customWidth="1"/>
    <col min="2041" max="2041" width="12.28515625" style="15" customWidth="1"/>
    <col min="2042" max="2042" width="12.5703125" style="15" customWidth="1"/>
    <col min="2043" max="2043" width="10.5703125" style="15" customWidth="1"/>
    <col min="2044" max="2044" width="10.140625" style="15" customWidth="1"/>
    <col min="2045" max="2045" width="8.42578125" style="15" customWidth="1"/>
    <col min="2046" max="2046" width="18.85546875" style="15" customWidth="1"/>
    <col min="2047" max="2047" width="10.28515625" style="15" customWidth="1"/>
    <col min="2048" max="2048" width="11.42578125" style="15"/>
    <col min="2049" max="2049" width="12.140625" style="15" customWidth="1"/>
    <col min="2050" max="2050" width="10.5703125" style="15" customWidth="1"/>
    <col min="2051" max="2051" width="12.42578125" style="15" customWidth="1"/>
    <col min="2052" max="2052" width="15.140625" style="15" customWidth="1"/>
    <col min="2053" max="2053" width="13.5703125" style="15" customWidth="1"/>
    <col min="2054" max="2054" width="13.140625" style="15" customWidth="1"/>
    <col min="2055" max="2055" width="15.7109375" style="15" customWidth="1"/>
    <col min="2056" max="2056" width="37.5703125" style="15" customWidth="1"/>
    <col min="2057" max="2278" width="11.42578125" style="15"/>
    <col min="2279" max="2279" width="10.5703125" style="15" customWidth="1"/>
    <col min="2280" max="2280" width="4.85546875" style="15" customWidth="1"/>
    <col min="2281" max="2281" width="32.42578125" style="15" customWidth="1"/>
    <col min="2282" max="2282" width="9.85546875" style="15" customWidth="1"/>
    <col min="2283" max="2283" width="10.140625" style="15" customWidth="1"/>
    <col min="2284" max="2284" width="12.28515625" style="15" customWidth="1"/>
    <col min="2285" max="2285" width="15.42578125" style="15" customWidth="1"/>
    <col min="2286" max="2286" width="11.85546875" style="15" customWidth="1"/>
    <col min="2287" max="2287" width="13.28515625" style="15" customWidth="1"/>
    <col min="2288" max="2288" width="15.28515625" style="15" customWidth="1"/>
    <col min="2289" max="2289" width="11.85546875" style="15" customWidth="1"/>
    <col min="2290" max="2290" width="6.140625" style="15" customWidth="1"/>
    <col min="2291" max="2291" width="11.85546875" style="15" customWidth="1"/>
    <col min="2292" max="2292" width="9.42578125" style="15" customWidth="1"/>
    <col min="2293" max="2293" width="14.7109375" style="15" customWidth="1"/>
    <col min="2294" max="2294" width="11.5703125" style="15" customWidth="1"/>
    <col min="2295" max="2295" width="0.42578125" style="15" customWidth="1"/>
    <col min="2296" max="2296" width="10.5703125" style="15" bestFit="1" customWidth="1"/>
    <col min="2297" max="2297" width="12.28515625" style="15" customWidth="1"/>
    <col min="2298" max="2298" width="12.5703125" style="15" customWidth="1"/>
    <col min="2299" max="2299" width="10.5703125" style="15" customWidth="1"/>
    <col min="2300" max="2300" width="10.140625" style="15" customWidth="1"/>
    <col min="2301" max="2301" width="8.42578125" style="15" customWidth="1"/>
    <col min="2302" max="2302" width="18.85546875" style="15" customWidth="1"/>
    <col min="2303" max="2303" width="10.28515625" style="15" customWidth="1"/>
    <col min="2304" max="2304" width="11.42578125" style="15"/>
    <col min="2305" max="2305" width="12.140625" style="15" customWidth="1"/>
    <col min="2306" max="2306" width="10.5703125" style="15" customWidth="1"/>
    <col min="2307" max="2307" width="12.42578125" style="15" customWidth="1"/>
    <col min="2308" max="2308" width="15.140625" style="15" customWidth="1"/>
    <col min="2309" max="2309" width="13.5703125" style="15" customWidth="1"/>
    <col min="2310" max="2310" width="13.140625" style="15" customWidth="1"/>
    <col min="2311" max="2311" width="15.7109375" style="15" customWidth="1"/>
    <col min="2312" max="2312" width="37.5703125" style="15" customWidth="1"/>
    <col min="2313" max="2534" width="11.42578125" style="15"/>
    <col min="2535" max="2535" width="10.5703125" style="15" customWidth="1"/>
    <col min="2536" max="2536" width="4.85546875" style="15" customWidth="1"/>
    <col min="2537" max="2537" width="32.42578125" style="15" customWidth="1"/>
    <col min="2538" max="2538" width="9.85546875" style="15" customWidth="1"/>
    <col min="2539" max="2539" width="10.140625" style="15" customWidth="1"/>
    <col min="2540" max="2540" width="12.28515625" style="15" customWidth="1"/>
    <col min="2541" max="2541" width="15.42578125" style="15" customWidth="1"/>
    <col min="2542" max="2542" width="11.85546875" style="15" customWidth="1"/>
    <col min="2543" max="2543" width="13.28515625" style="15" customWidth="1"/>
    <col min="2544" max="2544" width="15.28515625" style="15" customWidth="1"/>
    <col min="2545" max="2545" width="11.85546875" style="15" customWidth="1"/>
    <col min="2546" max="2546" width="6.140625" style="15" customWidth="1"/>
    <col min="2547" max="2547" width="11.85546875" style="15" customWidth="1"/>
    <col min="2548" max="2548" width="9.42578125" style="15" customWidth="1"/>
    <col min="2549" max="2549" width="14.7109375" style="15" customWidth="1"/>
    <col min="2550" max="2550" width="11.5703125" style="15" customWidth="1"/>
    <col min="2551" max="2551" width="0.42578125" style="15" customWidth="1"/>
    <col min="2552" max="2552" width="10.5703125" style="15" bestFit="1" customWidth="1"/>
    <col min="2553" max="2553" width="12.28515625" style="15" customWidth="1"/>
    <col min="2554" max="2554" width="12.5703125" style="15" customWidth="1"/>
    <col min="2555" max="2555" width="10.5703125" style="15" customWidth="1"/>
    <col min="2556" max="2556" width="10.140625" style="15" customWidth="1"/>
    <col min="2557" max="2557" width="8.42578125" style="15" customWidth="1"/>
    <col min="2558" max="2558" width="18.85546875" style="15" customWidth="1"/>
    <col min="2559" max="2559" width="10.28515625" style="15" customWidth="1"/>
    <col min="2560" max="2560" width="11.42578125" style="15"/>
    <col min="2561" max="2561" width="12.140625" style="15" customWidth="1"/>
    <col min="2562" max="2562" width="10.5703125" style="15" customWidth="1"/>
    <col min="2563" max="2563" width="12.42578125" style="15" customWidth="1"/>
    <col min="2564" max="2564" width="15.140625" style="15" customWidth="1"/>
    <col min="2565" max="2565" width="13.5703125" style="15" customWidth="1"/>
    <col min="2566" max="2566" width="13.140625" style="15" customWidth="1"/>
    <col min="2567" max="2567" width="15.7109375" style="15" customWidth="1"/>
    <col min="2568" max="2568" width="37.5703125" style="15" customWidth="1"/>
    <col min="2569" max="2790" width="11.42578125" style="15"/>
    <col min="2791" max="2791" width="10.5703125" style="15" customWidth="1"/>
    <col min="2792" max="2792" width="4.85546875" style="15" customWidth="1"/>
    <col min="2793" max="2793" width="32.42578125" style="15" customWidth="1"/>
    <col min="2794" max="2794" width="9.85546875" style="15" customWidth="1"/>
    <col min="2795" max="2795" width="10.140625" style="15" customWidth="1"/>
    <col min="2796" max="2796" width="12.28515625" style="15" customWidth="1"/>
    <col min="2797" max="2797" width="15.42578125" style="15" customWidth="1"/>
    <col min="2798" max="2798" width="11.85546875" style="15" customWidth="1"/>
    <col min="2799" max="2799" width="13.28515625" style="15" customWidth="1"/>
    <col min="2800" max="2800" width="15.28515625" style="15" customWidth="1"/>
    <col min="2801" max="2801" width="11.85546875" style="15" customWidth="1"/>
    <col min="2802" max="2802" width="6.140625" style="15" customWidth="1"/>
    <col min="2803" max="2803" width="11.85546875" style="15" customWidth="1"/>
    <col min="2804" max="2804" width="9.42578125" style="15" customWidth="1"/>
    <col min="2805" max="2805" width="14.7109375" style="15" customWidth="1"/>
    <col min="2806" max="2806" width="11.5703125" style="15" customWidth="1"/>
    <col min="2807" max="2807" width="0.42578125" style="15" customWidth="1"/>
    <col min="2808" max="2808" width="10.5703125" style="15" bestFit="1" customWidth="1"/>
    <col min="2809" max="2809" width="12.28515625" style="15" customWidth="1"/>
    <col min="2810" max="2810" width="12.5703125" style="15" customWidth="1"/>
    <col min="2811" max="2811" width="10.5703125" style="15" customWidth="1"/>
    <col min="2812" max="2812" width="10.140625" style="15" customWidth="1"/>
    <col min="2813" max="2813" width="8.42578125" style="15" customWidth="1"/>
    <col min="2814" max="2814" width="18.85546875" style="15" customWidth="1"/>
    <col min="2815" max="2815" width="10.28515625" style="15" customWidth="1"/>
    <col min="2816" max="2816" width="11.42578125" style="15"/>
    <col min="2817" max="2817" width="12.140625" style="15" customWidth="1"/>
    <col min="2818" max="2818" width="10.5703125" style="15" customWidth="1"/>
    <col min="2819" max="2819" width="12.42578125" style="15" customWidth="1"/>
    <col min="2820" max="2820" width="15.140625" style="15" customWidth="1"/>
    <col min="2821" max="2821" width="13.5703125" style="15" customWidth="1"/>
    <col min="2822" max="2822" width="13.140625" style="15" customWidth="1"/>
    <col min="2823" max="2823" width="15.7109375" style="15" customWidth="1"/>
    <col min="2824" max="2824" width="37.5703125" style="15" customWidth="1"/>
    <col min="2825" max="3046" width="11.42578125" style="15"/>
    <col min="3047" max="3047" width="10.5703125" style="15" customWidth="1"/>
    <col min="3048" max="3048" width="4.85546875" style="15" customWidth="1"/>
    <col min="3049" max="3049" width="32.42578125" style="15" customWidth="1"/>
    <col min="3050" max="3050" width="9.85546875" style="15" customWidth="1"/>
    <col min="3051" max="3051" width="10.140625" style="15" customWidth="1"/>
    <col min="3052" max="3052" width="12.28515625" style="15" customWidth="1"/>
    <col min="3053" max="3053" width="15.42578125" style="15" customWidth="1"/>
    <col min="3054" max="3054" width="11.85546875" style="15" customWidth="1"/>
    <col min="3055" max="3055" width="13.28515625" style="15" customWidth="1"/>
    <col min="3056" max="3056" width="15.28515625" style="15" customWidth="1"/>
    <col min="3057" max="3057" width="11.85546875" style="15" customWidth="1"/>
    <col min="3058" max="3058" width="6.140625" style="15" customWidth="1"/>
    <col min="3059" max="3059" width="11.85546875" style="15" customWidth="1"/>
    <col min="3060" max="3060" width="9.42578125" style="15" customWidth="1"/>
    <col min="3061" max="3061" width="14.7109375" style="15" customWidth="1"/>
    <col min="3062" max="3062" width="11.5703125" style="15" customWidth="1"/>
    <col min="3063" max="3063" width="0.42578125" style="15" customWidth="1"/>
    <col min="3064" max="3064" width="10.5703125" style="15" bestFit="1" customWidth="1"/>
    <col min="3065" max="3065" width="12.28515625" style="15" customWidth="1"/>
    <col min="3066" max="3066" width="12.5703125" style="15" customWidth="1"/>
    <col min="3067" max="3067" width="10.5703125" style="15" customWidth="1"/>
    <col min="3068" max="3068" width="10.140625" style="15" customWidth="1"/>
    <col min="3069" max="3069" width="8.42578125" style="15" customWidth="1"/>
    <col min="3070" max="3070" width="18.85546875" style="15" customWidth="1"/>
    <col min="3071" max="3071" width="10.28515625" style="15" customWidth="1"/>
    <col min="3072" max="3072" width="11.42578125" style="15"/>
    <col min="3073" max="3073" width="12.140625" style="15" customWidth="1"/>
    <col min="3074" max="3074" width="10.5703125" style="15" customWidth="1"/>
    <col min="3075" max="3075" width="12.42578125" style="15" customWidth="1"/>
    <col min="3076" max="3076" width="15.140625" style="15" customWidth="1"/>
    <col min="3077" max="3077" width="13.5703125" style="15" customWidth="1"/>
    <col min="3078" max="3078" width="13.140625" style="15" customWidth="1"/>
    <col min="3079" max="3079" width="15.7109375" style="15" customWidth="1"/>
    <col min="3080" max="3080" width="37.5703125" style="15" customWidth="1"/>
    <col min="3081" max="3302" width="11.42578125" style="15"/>
    <col min="3303" max="3303" width="10.5703125" style="15" customWidth="1"/>
    <col min="3304" max="3304" width="4.85546875" style="15" customWidth="1"/>
    <col min="3305" max="3305" width="32.42578125" style="15" customWidth="1"/>
    <col min="3306" max="3306" width="9.85546875" style="15" customWidth="1"/>
    <col min="3307" max="3307" width="10.140625" style="15" customWidth="1"/>
    <col min="3308" max="3308" width="12.28515625" style="15" customWidth="1"/>
    <col min="3309" max="3309" width="15.42578125" style="15" customWidth="1"/>
    <col min="3310" max="3310" width="11.85546875" style="15" customWidth="1"/>
    <col min="3311" max="3311" width="13.28515625" style="15" customWidth="1"/>
    <col min="3312" max="3312" width="15.28515625" style="15" customWidth="1"/>
    <col min="3313" max="3313" width="11.85546875" style="15" customWidth="1"/>
    <col min="3314" max="3314" width="6.140625" style="15" customWidth="1"/>
    <col min="3315" max="3315" width="11.85546875" style="15" customWidth="1"/>
    <col min="3316" max="3316" width="9.42578125" style="15" customWidth="1"/>
    <col min="3317" max="3317" width="14.7109375" style="15" customWidth="1"/>
    <col min="3318" max="3318" width="11.5703125" style="15" customWidth="1"/>
    <col min="3319" max="3319" width="0.42578125" style="15" customWidth="1"/>
    <col min="3320" max="3320" width="10.5703125" style="15" bestFit="1" customWidth="1"/>
    <col min="3321" max="3321" width="12.28515625" style="15" customWidth="1"/>
    <col min="3322" max="3322" width="12.5703125" style="15" customWidth="1"/>
    <col min="3323" max="3323" width="10.5703125" style="15" customWidth="1"/>
    <col min="3324" max="3324" width="10.140625" style="15" customWidth="1"/>
    <col min="3325" max="3325" width="8.42578125" style="15" customWidth="1"/>
    <col min="3326" max="3326" width="18.85546875" style="15" customWidth="1"/>
    <col min="3327" max="3327" width="10.28515625" style="15" customWidth="1"/>
    <col min="3328" max="3328" width="11.42578125" style="15"/>
    <col min="3329" max="3329" width="12.140625" style="15" customWidth="1"/>
    <col min="3330" max="3330" width="10.5703125" style="15" customWidth="1"/>
    <col min="3331" max="3331" width="12.42578125" style="15" customWidth="1"/>
    <col min="3332" max="3332" width="15.140625" style="15" customWidth="1"/>
    <col min="3333" max="3333" width="13.5703125" style="15" customWidth="1"/>
    <col min="3334" max="3334" width="13.140625" style="15" customWidth="1"/>
    <col min="3335" max="3335" width="15.7109375" style="15" customWidth="1"/>
    <col min="3336" max="3336" width="37.5703125" style="15" customWidth="1"/>
    <col min="3337" max="3558" width="11.42578125" style="15"/>
    <col min="3559" max="3559" width="10.5703125" style="15" customWidth="1"/>
    <col min="3560" max="3560" width="4.85546875" style="15" customWidth="1"/>
    <col min="3561" max="3561" width="32.42578125" style="15" customWidth="1"/>
    <col min="3562" max="3562" width="9.85546875" style="15" customWidth="1"/>
    <col min="3563" max="3563" width="10.140625" style="15" customWidth="1"/>
    <col min="3564" max="3564" width="12.28515625" style="15" customWidth="1"/>
    <col min="3565" max="3565" width="15.42578125" style="15" customWidth="1"/>
    <col min="3566" max="3566" width="11.85546875" style="15" customWidth="1"/>
    <col min="3567" max="3567" width="13.28515625" style="15" customWidth="1"/>
    <col min="3568" max="3568" width="15.28515625" style="15" customWidth="1"/>
    <col min="3569" max="3569" width="11.85546875" style="15" customWidth="1"/>
    <col min="3570" max="3570" width="6.140625" style="15" customWidth="1"/>
    <col min="3571" max="3571" width="11.85546875" style="15" customWidth="1"/>
    <col min="3572" max="3572" width="9.42578125" style="15" customWidth="1"/>
    <col min="3573" max="3573" width="14.7109375" style="15" customWidth="1"/>
    <col min="3574" max="3574" width="11.5703125" style="15" customWidth="1"/>
    <col min="3575" max="3575" width="0.42578125" style="15" customWidth="1"/>
    <col min="3576" max="3576" width="10.5703125" style="15" bestFit="1" customWidth="1"/>
    <col min="3577" max="3577" width="12.28515625" style="15" customWidth="1"/>
    <col min="3578" max="3578" width="12.5703125" style="15" customWidth="1"/>
    <col min="3579" max="3579" width="10.5703125" style="15" customWidth="1"/>
    <col min="3580" max="3580" width="10.140625" style="15" customWidth="1"/>
    <col min="3581" max="3581" width="8.42578125" style="15" customWidth="1"/>
    <col min="3582" max="3582" width="18.85546875" style="15" customWidth="1"/>
    <col min="3583" max="3583" width="10.28515625" style="15" customWidth="1"/>
    <col min="3584" max="3584" width="11.42578125" style="15"/>
    <col min="3585" max="3585" width="12.140625" style="15" customWidth="1"/>
    <col min="3586" max="3586" width="10.5703125" style="15" customWidth="1"/>
    <col min="3587" max="3587" width="12.42578125" style="15" customWidth="1"/>
    <col min="3588" max="3588" width="15.140625" style="15" customWidth="1"/>
    <col min="3589" max="3589" width="13.5703125" style="15" customWidth="1"/>
    <col min="3590" max="3590" width="13.140625" style="15" customWidth="1"/>
    <col min="3591" max="3591" width="15.7109375" style="15" customWidth="1"/>
    <col min="3592" max="3592" width="37.5703125" style="15" customWidth="1"/>
    <col min="3593" max="3814" width="11.42578125" style="15"/>
    <col min="3815" max="3815" width="10.5703125" style="15" customWidth="1"/>
    <col min="3816" max="3816" width="4.85546875" style="15" customWidth="1"/>
    <col min="3817" max="3817" width="32.42578125" style="15" customWidth="1"/>
    <col min="3818" max="3818" width="9.85546875" style="15" customWidth="1"/>
    <col min="3819" max="3819" width="10.140625" style="15" customWidth="1"/>
    <col min="3820" max="3820" width="12.28515625" style="15" customWidth="1"/>
    <col min="3821" max="3821" width="15.42578125" style="15" customWidth="1"/>
    <col min="3822" max="3822" width="11.85546875" style="15" customWidth="1"/>
    <col min="3823" max="3823" width="13.28515625" style="15" customWidth="1"/>
    <col min="3824" max="3824" width="15.28515625" style="15" customWidth="1"/>
    <col min="3825" max="3825" width="11.85546875" style="15" customWidth="1"/>
    <col min="3826" max="3826" width="6.140625" style="15" customWidth="1"/>
    <col min="3827" max="3827" width="11.85546875" style="15" customWidth="1"/>
    <col min="3828" max="3828" width="9.42578125" style="15" customWidth="1"/>
    <col min="3829" max="3829" width="14.7109375" style="15" customWidth="1"/>
    <col min="3830" max="3830" width="11.5703125" style="15" customWidth="1"/>
    <col min="3831" max="3831" width="0.42578125" style="15" customWidth="1"/>
    <col min="3832" max="3832" width="10.5703125" style="15" bestFit="1" customWidth="1"/>
    <col min="3833" max="3833" width="12.28515625" style="15" customWidth="1"/>
    <col min="3834" max="3834" width="12.5703125" style="15" customWidth="1"/>
    <col min="3835" max="3835" width="10.5703125" style="15" customWidth="1"/>
    <col min="3836" max="3836" width="10.140625" style="15" customWidth="1"/>
    <col min="3837" max="3837" width="8.42578125" style="15" customWidth="1"/>
    <col min="3838" max="3838" width="18.85546875" style="15" customWidth="1"/>
    <col min="3839" max="3839" width="10.28515625" style="15" customWidth="1"/>
    <col min="3840" max="3840" width="11.42578125" style="15"/>
    <col min="3841" max="3841" width="12.140625" style="15" customWidth="1"/>
    <col min="3842" max="3842" width="10.5703125" style="15" customWidth="1"/>
    <col min="3843" max="3843" width="12.42578125" style="15" customWidth="1"/>
    <col min="3844" max="3844" width="15.140625" style="15" customWidth="1"/>
    <col min="3845" max="3845" width="13.5703125" style="15" customWidth="1"/>
    <col min="3846" max="3846" width="13.140625" style="15" customWidth="1"/>
    <col min="3847" max="3847" width="15.7109375" style="15" customWidth="1"/>
    <col min="3848" max="3848" width="37.5703125" style="15" customWidth="1"/>
    <col min="3849" max="4070" width="11.42578125" style="15"/>
    <col min="4071" max="4071" width="10.5703125" style="15" customWidth="1"/>
    <col min="4072" max="4072" width="4.85546875" style="15" customWidth="1"/>
    <col min="4073" max="4073" width="32.42578125" style="15" customWidth="1"/>
    <col min="4074" max="4074" width="9.85546875" style="15" customWidth="1"/>
    <col min="4075" max="4075" width="10.140625" style="15" customWidth="1"/>
    <col min="4076" max="4076" width="12.28515625" style="15" customWidth="1"/>
    <col min="4077" max="4077" width="15.42578125" style="15" customWidth="1"/>
    <col min="4078" max="4078" width="11.85546875" style="15" customWidth="1"/>
    <col min="4079" max="4079" width="13.28515625" style="15" customWidth="1"/>
    <col min="4080" max="4080" width="15.28515625" style="15" customWidth="1"/>
    <col min="4081" max="4081" width="11.85546875" style="15" customWidth="1"/>
    <col min="4082" max="4082" width="6.140625" style="15" customWidth="1"/>
    <col min="4083" max="4083" width="11.85546875" style="15" customWidth="1"/>
    <col min="4084" max="4084" width="9.42578125" style="15" customWidth="1"/>
    <col min="4085" max="4085" width="14.7109375" style="15" customWidth="1"/>
    <col min="4086" max="4086" width="11.5703125" style="15" customWidth="1"/>
    <col min="4087" max="4087" width="0.42578125" style="15" customWidth="1"/>
    <col min="4088" max="4088" width="10.5703125" style="15" bestFit="1" customWidth="1"/>
    <col min="4089" max="4089" width="12.28515625" style="15" customWidth="1"/>
    <col min="4090" max="4090" width="12.5703125" style="15" customWidth="1"/>
    <col min="4091" max="4091" width="10.5703125" style="15" customWidth="1"/>
    <col min="4092" max="4092" width="10.140625" style="15" customWidth="1"/>
    <col min="4093" max="4093" width="8.42578125" style="15" customWidth="1"/>
    <col min="4094" max="4094" width="18.85546875" style="15" customWidth="1"/>
    <col min="4095" max="4095" width="10.28515625" style="15" customWidth="1"/>
    <col min="4096" max="4096" width="11.42578125" style="15"/>
    <col min="4097" max="4097" width="12.140625" style="15" customWidth="1"/>
    <col min="4098" max="4098" width="10.5703125" style="15" customWidth="1"/>
    <col min="4099" max="4099" width="12.42578125" style="15" customWidth="1"/>
    <col min="4100" max="4100" width="15.140625" style="15" customWidth="1"/>
    <col min="4101" max="4101" width="13.5703125" style="15" customWidth="1"/>
    <col min="4102" max="4102" width="13.140625" style="15" customWidth="1"/>
    <col min="4103" max="4103" width="15.7109375" style="15" customWidth="1"/>
    <col min="4104" max="4104" width="37.5703125" style="15" customWidth="1"/>
    <col min="4105" max="4326" width="11.42578125" style="15"/>
    <col min="4327" max="4327" width="10.5703125" style="15" customWidth="1"/>
    <col min="4328" max="4328" width="4.85546875" style="15" customWidth="1"/>
    <col min="4329" max="4329" width="32.42578125" style="15" customWidth="1"/>
    <col min="4330" max="4330" width="9.85546875" style="15" customWidth="1"/>
    <col min="4331" max="4331" width="10.140625" style="15" customWidth="1"/>
    <col min="4332" max="4332" width="12.28515625" style="15" customWidth="1"/>
    <col min="4333" max="4333" width="15.42578125" style="15" customWidth="1"/>
    <col min="4334" max="4334" width="11.85546875" style="15" customWidth="1"/>
    <col min="4335" max="4335" width="13.28515625" style="15" customWidth="1"/>
    <col min="4336" max="4336" width="15.28515625" style="15" customWidth="1"/>
    <col min="4337" max="4337" width="11.85546875" style="15" customWidth="1"/>
    <col min="4338" max="4338" width="6.140625" style="15" customWidth="1"/>
    <col min="4339" max="4339" width="11.85546875" style="15" customWidth="1"/>
    <col min="4340" max="4340" width="9.42578125" style="15" customWidth="1"/>
    <col min="4341" max="4341" width="14.7109375" style="15" customWidth="1"/>
    <col min="4342" max="4342" width="11.5703125" style="15" customWidth="1"/>
    <col min="4343" max="4343" width="0.42578125" style="15" customWidth="1"/>
    <col min="4344" max="4344" width="10.5703125" style="15" bestFit="1" customWidth="1"/>
    <col min="4345" max="4345" width="12.28515625" style="15" customWidth="1"/>
    <col min="4346" max="4346" width="12.5703125" style="15" customWidth="1"/>
    <col min="4347" max="4347" width="10.5703125" style="15" customWidth="1"/>
    <col min="4348" max="4348" width="10.140625" style="15" customWidth="1"/>
    <col min="4349" max="4349" width="8.42578125" style="15" customWidth="1"/>
    <col min="4350" max="4350" width="18.85546875" style="15" customWidth="1"/>
    <col min="4351" max="4351" width="10.28515625" style="15" customWidth="1"/>
    <col min="4352" max="4352" width="11.42578125" style="15"/>
    <col min="4353" max="4353" width="12.140625" style="15" customWidth="1"/>
    <col min="4354" max="4354" width="10.5703125" style="15" customWidth="1"/>
    <col min="4355" max="4355" width="12.42578125" style="15" customWidth="1"/>
    <col min="4356" max="4356" width="15.140625" style="15" customWidth="1"/>
    <col min="4357" max="4357" width="13.5703125" style="15" customWidth="1"/>
    <col min="4358" max="4358" width="13.140625" style="15" customWidth="1"/>
    <col min="4359" max="4359" width="15.7109375" style="15" customWidth="1"/>
    <col min="4360" max="4360" width="37.5703125" style="15" customWidth="1"/>
    <col min="4361" max="4582" width="11.42578125" style="15"/>
    <col min="4583" max="4583" width="10.5703125" style="15" customWidth="1"/>
    <col min="4584" max="4584" width="4.85546875" style="15" customWidth="1"/>
    <col min="4585" max="4585" width="32.42578125" style="15" customWidth="1"/>
    <col min="4586" max="4586" width="9.85546875" style="15" customWidth="1"/>
    <col min="4587" max="4587" width="10.140625" style="15" customWidth="1"/>
    <col min="4588" max="4588" width="12.28515625" style="15" customWidth="1"/>
    <col min="4589" max="4589" width="15.42578125" style="15" customWidth="1"/>
    <col min="4590" max="4590" width="11.85546875" style="15" customWidth="1"/>
    <col min="4591" max="4591" width="13.28515625" style="15" customWidth="1"/>
    <col min="4592" max="4592" width="15.28515625" style="15" customWidth="1"/>
    <col min="4593" max="4593" width="11.85546875" style="15" customWidth="1"/>
    <col min="4594" max="4594" width="6.140625" style="15" customWidth="1"/>
    <col min="4595" max="4595" width="11.85546875" style="15" customWidth="1"/>
    <col min="4596" max="4596" width="9.42578125" style="15" customWidth="1"/>
    <col min="4597" max="4597" width="14.7109375" style="15" customWidth="1"/>
    <col min="4598" max="4598" width="11.5703125" style="15" customWidth="1"/>
    <col min="4599" max="4599" width="0.42578125" style="15" customWidth="1"/>
    <col min="4600" max="4600" width="10.5703125" style="15" bestFit="1" customWidth="1"/>
    <col min="4601" max="4601" width="12.28515625" style="15" customWidth="1"/>
    <col min="4602" max="4602" width="12.5703125" style="15" customWidth="1"/>
    <col min="4603" max="4603" width="10.5703125" style="15" customWidth="1"/>
    <col min="4604" max="4604" width="10.140625" style="15" customWidth="1"/>
    <col min="4605" max="4605" width="8.42578125" style="15" customWidth="1"/>
    <col min="4606" max="4606" width="18.85546875" style="15" customWidth="1"/>
    <col min="4607" max="4607" width="10.28515625" style="15" customWidth="1"/>
    <col min="4608" max="4608" width="11.42578125" style="15"/>
    <col min="4609" max="4609" width="12.140625" style="15" customWidth="1"/>
    <col min="4610" max="4610" width="10.5703125" style="15" customWidth="1"/>
    <col min="4611" max="4611" width="12.42578125" style="15" customWidth="1"/>
    <col min="4612" max="4612" width="15.140625" style="15" customWidth="1"/>
    <col min="4613" max="4613" width="13.5703125" style="15" customWidth="1"/>
    <col min="4614" max="4614" width="13.140625" style="15" customWidth="1"/>
    <col min="4615" max="4615" width="15.7109375" style="15" customWidth="1"/>
    <col min="4616" max="4616" width="37.5703125" style="15" customWidth="1"/>
    <col min="4617" max="4838" width="11.42578125" style="15"/>
    <col min="4839" max="4839" width="10.5703125" style="15" customWidth="1"/>
    <col min="4840" max="4840" width="4.85546875" style="15" customWidth="1"/>
    <col min="4841" max="4841" width="32.42578125" style="15" customWidth="1"/>
    <col min="4842" max="4842" width="9.85546875" style="15" customWidth="1"/>
    <col min="4843" max="4843" width="10.140625" style="15" customWidth="1"/>
    <col min="4844" max="4844" width="12.28515625" style="15" customWidth="1"/>
    <col min="4845" max="4845" width="15.42578125" style="15" customWidth="1"/>
    <col min="4846" max="4846" width="11.85546875" style="15" customWidth="1"/>
    <col min="4847" max="4847" width="13.28515625" style="15" customWidth="1"/>
    <col min="4848" max="4848" width="15.28515625" style="15" customWidth="1"/>
    <col min="4849" max="4849" width="11.85546875" style="15" customWidth="1"/>
    <col min="4850" max="4850" width="6.140625" style="15" customWidth="1"/>
    <col min="4851" max="4851" width="11.85546875" style="15" customWidth="1"/>
    <col min="4852" max="4852" width="9.42578125" style="15" customWidth="1"/>
    <col min="4853" max="4853" width="14.7109375" style="15" customWidth="1"/>
    <col min="4854" max="4854" width="11.5703125" style="15" customWidth="1"/>
    <col min="4855" max="4855" width="0.42578125" style="15" customWidth="1"/>
    <col min="4856" max="4856" width="10.5703125" style="15" bestFit="1" customWidth="1"/>
    <col min="4857" max="4857" width="12.28515625" style="15" customWidth="1"/>
    <col min="4858" max="4858" width="12.5703125" style="15" customWidth="1"/>
    <col min="4859" max="4859" width="10.5703125" style="15" customWidth="1"/>
    <col min="4860" max="4860" width="10.140625" style="15" customWidth="1"/>
    <col min="4861" max="4861" width="8.42578125" style="15" customWidth="1"/>
    <col min="4862" max="4862" width="18.85546875" style="15" customWidth="1"/>
    <col min="4863" max="4863" width="10.28515625" style="15" customWidth="1"/>
    <col min="4864" max="4864" width="11.42578125" style="15"/>
    <col min="4865" max="4865" width="12.140625" style="15" customWidth="1"/>
    <col min="4866" max="4866" width="10.5703125" style="15" customWidth="1"/>
    <col min="4867" max="4867" width="12.42578125" style="15" customWidth="1"/>
    <col min="4868" max="4868" width="15.140625" style="15" customWidth="1"/>
    <col min="4869" max="4869" width="13.5703125" style="15" customWidth="1"/>
    <col min="4870" max="4870" width="13.140625" style="15" customWidth="1"/>
    <col min="4871" max="4871" width="15.7109375" style="15" customWidth="1"/>
    <col min="4872" max="4872" width="37.5703125" style="15" customWidth="1"/>
    <col min="4873" max="5094" width="11.42578125" style="15"/>
    <col min="5095" max="5095" width="10.5703125" style="15" customWidth="1"/>
    <col min="5096" max="5096" width="4.85546875" style="15" customWidth="1"/>
    <col min="5097" max="5097" width="32.42578125" style="15" customWidth="1"/>
    <col min="5098" max="5098" width="9.85546875" style="15" customWidth="1"/>
    <col min="5099" max="5099" width="10.140625" style="15" customWidth="1"/>
    <col min="5100" max="5100" width="12.28515625" style="15" customWidth="1"/>
    <col min="5101" max="5101" width="15.42578125" style="15" customWidth="1"/>
    <col min="5102" max="5102" width="11.85546875" style="15" customWidth="1"/>
    <col min="5103" max="5103" width="13.28515625" style="15" customWidth="1"/>
    <col min="5104" max="5104" width="15.28515625" style="15" customWidth="1"/>
    <col min="5105" max="5105" width="11.85546875" style="15" customWidth="1"/>
    <col min="5106" max="5106" width="6.140625" style="15" customWidth="1"/>
    <col min="5107" max="5107" width="11.85546875" style="15" customWidth="1"/>
    <col min="5108" max="5108" width="9.42578125" style="15" customWidth="1"/>
    <col min="5109" max="5109" width="14.7109375" style="15" customWidth="1"/>
    <col min="5110" max="5110" width="11.5703125" style="15" customWidth="1"/>
    <col min="5111" max="5111" width="0.42578125" style="15" customWidth="1"/>
    <col min="5112" max="5112" width="10.5703125" style="15" bestFit="1" customWidth="1"/>
    <col min="5113" max="5113" width="12.28515625" style="15" customWidth="1"/>
    <col min="5114" max="5114" width="12.5703125" style="15" customWidth="1"/>
    <col min="5115" max="5115" width="10.5703125" style="15" customWidth="1"/>
    <col min="5116" max="5116" width="10.140625" style="15" customWidth="1"/>
    <col min="5117" max="5117" width="8.42578125" style="15" customWidth="1"/>
    <col min="5118" max="5118" width="18.85546875" style="15" customWidth="1"/>
    <col min="5119" max="5119" width="10.28515625" style="15" customWidth="1"/>
    <col min="5120" max="5120" width="11.42578125" style="15"/>
    <col min="5121" max="5121" width="12.140625" style="15" customWidth="1"/>
    <col min="5122" max="5122" width="10.5703125" style="15" customWidth="1"/>
    <col min="5123" max="5123" width="12.42578125" style="15" customWidth="1"/>
    <col min="5124" max="5124" width="15.140625" style="15" customWidth="1"/>
    <col min="5125" max="5125" width="13.5703125" style="15" customWidth="1"/>
    <col min="5126" max="5126" width="13.140625" style="15" customWidth="1"/>
    <col min="5127" max="5127" width="15.7109375" style="15" customWidth="1"/>
    <col min="5128" max="5128" width="37.5703125" style="15" customWidth="1"/>
    <col min="5129" max="5350" width="11.42578125" style="15"/>
    <col min="5351" max="5351" width="10.5703125" style="15" customWidth="1"/>
    <col min="5352" max="5352" width="4.85546875" style="15" customWidth="1"/>
    <col min="5353" max="5353" width="32.42578125" style="15" customWidth="1"/>
    <col min="5354" max="5354" width="9.85546875" style="15" customWidth="1"/>
    <col min="5355" max="5355" width="10.140625" style="15" customWidth="1"/>
    <col min="5356" max="5356" width="12.28515625" style="15" customWidth="1"/>
    <col min="5357" max="5357" width="15.42578125" style="15" customWidth="1"/>
    <col min="5358" max="5358" width="11.85546875" style="15" customWidth="1"/>
    <col min="5359" max="5359" width="13.28515625" style="15" customWidth="1"/>
    <col min="5360" max="5360" width="15.28515625" style="15" customWidth="1"/>
    <col min="5361" max="5361" width="11.85546875" style="15" customWidth="1"/>
    <col min="5362" max="5362" width="6.140625" style="15" customWidth="1"/>
    <col min="5363" max="5363" width="11.85546875" style="15" customWidth="1"/>
    <col min="5364" max="5364" width="9.42578125" style="15" customWidth="1"/>
    <col min="5365" max="5365" width="14.7109375" style="15" customWidth="1"/>
    <col min="5366" max="5366" width="11.5703125" style="15" customWidth="1"/>
    <col min="5367" max="5367" width="0.42578125" style="15" customWidth="1"/>
    <col min="5368" max="5368" width="10.5703125" style="15" bestFit="1" customWidth="1"/>
    <col min="5369" max="5369" width="12.28515625" style="15" customWidth="1"/>
    <col min="5370" max="5370" width="12.5703125" style="15" customWidth="1"/>
    <col min="5371" max="5371" width="10.5703125" style="15" customWidth="1"/>
    <col min="5372" max="5372" width="10.140625" style="15" customWidth="1"/>
    <col min="5373" max="5373" width="8.42578125" style="15" customWidth="1"/>
    <col min="5374" max="5374" width="18.85546875" style="15" customWidth="1"/>
    <col min="5375" max="5375" width="10.28515625" style="15" customWidth="1"/>
    <col min="5376" max="5376" width="11.42578125" style="15"/>
    <col min="5377" max="5377" width="12.140625" style="15" customWidth="1"/>
    <col min="5378" max="5378" width="10.5703125" style="15" customWidth="1"/>
    <col min="5379" max="5379" width="12.42578125" style="15" customWidth="1"/>
    <col min="5380" max="5380" width="15.140625" style="15" customWidth="1"/>
    <col min="5381" max="5381" width="13.5703125" style="15" customWidth="1"/>
    <col min="5382" max="5382" width="13.140625" style="15" customWidth="1"/>
    <col min="5383" max="5383" width="15.7109375" style="15" customWidth="1"/>
    <col min="5384" max="5384" width="37.5703125" style="15" customWidth="1"/>
    <col min="5385" max="5606" width="11.42578125" style="15"/>
    <col min="5607" max="5607" width="10.5703125" style="15" customWidth="1"/>
    <col min="5608" max="5608" width="4.85546875" style="15" customWidth="1"/>
    <col min="5609" max="5609" width="32.42578125" style="15" customWidth="1"/>
    <col min="5610" max="5610" width="9.85546875" style="15" customWidth="1"/>
    <col min="5611" max="5611" width="10.140625" style="15" customWidth="1"/>
    <col min="5612" max="5612" width="12.28515625" style="15" customWidth="1"/>
    <col min="5613" max="5613" width="15.42578125" style="15" customWidth="1"/>
    <col min="5614" max="5614" width="11.85546875" style="15" customWidth="1"/>
    <col min="5615" max="5615" width="13.28515625" style="15" customWidth="1"/>
    <col min="5616" max="5616" width="15.28515625" style="15" customWidth="1"/>
    <col min="5617" max="5617" width="11.85546875" style="15" customWidth="1"/>
    <col min="5618" max="5618" width="6.140625" style="15" customWidth="1"/>
    <col min="5619" max="5619" width="11.85546875" style="15" customWidth="1"/>
    <col min="5620" max="5620" width="9.42578125" style="15" customWidth="1"/>
    <col min="5621" max="5621" width="14.7109375" style="15" customWidth="1"/>
    <col min="5622" max="5622" width="11.5703125" style="15" customWidth="1"/>
    <col min="5623" max="5623" width="0.42578125" style="15" customWidth="1"/>
    <col min="5624" max="5624" width="10.5703125" style="15" bestFit="1" customWidth="1"/>
    <col min="5625" max="5625" width="12.28515625" style="15" customWidth="1"/>
    <col min="5626" max="5626" width="12.5703125" style="15" customWidth="1"/>
    <col min="5627" max="5627" width="10.5703125" style="15" customWidth="1"/>
    <col min="5628" max="5628" width="10.140625" style="15" customWidth="1"/>
    <col min="5629" max="5629" width="8.42578125" style="15" customWidth="1"/>
    <col min="5630" max="5630" width="18.85546875" style="15" customWidth="1"/>
    <col min="5631" max="5631" width="10.28515625" style="15" customWidth="1"/>
    <col min="5632" max="5632" width="11.42578125" style="15"/>
    <col min="5633" max="5633" width="12.140625" style="15" customWidth="1"/>
    <col min="5634" max="5634" width="10.5703125" style="15" customWidth="1"/>
    <col min="5635" max="5635" width="12.42578125" style="15" customWidth="1"/>
    <col min="5636" max="5636" width="15.140625" style="15" customWidth="1"/>
    <col min="5637" max="5637" width="13.5703125" style="15" customWidth="1"/>
    <col min="5638" max="5638" width="13.140625" style="15" customWidth="1"/>
    <col min="5639" max="5639" width="15.7109375" style="15" customWidth="1"/>
    <col min="5640" max="5640" width="37.5703125" style="15" customWidth="1"/>
    <col min="5641" max="5862" width="11.42578125" style="15"/>
    <col min="5863" max="5863" width="10.5703125" style="15" customWidth="1"/>
    <col min="5864" max="5864" width="4.85546875" style="15" customWidth="1"/>
    <col min="5865" max="5865" width="32.42578125" style="15" customWidth="1"/>
    <col min="5866" max="5866" width="9.85546875" style="15" customWidth="1"/>
    <col min="5867" max="5867" width="10.140625" style="15" customWidth="1"/>
    <col min="5868" max="5868" width="12.28515625" style="15" customWidth="1"/>
    <col min="5869" max="5869" width="15.42578125" style="15" customWidth="1"/>
    <col min="5870" max="5870" width="11.85546875" style="15" customWidth="1"/>
    <col min="5871" max="5871" width="13.28515625" style="15" customWidth="1"/>
    <col min="5872" max="5872" width="15.28515625" style="15" customWidth="1"/>
    <col min="5873" max="5873" width="11.85546875" style="15" customWidth="1"/>
    <col min="5874" max="5874" width="6.140625" style="15" customWidth="1"/>
    <col min="5875" max="5875" width="11.85546875" style="15" customWidth="1"/>
    <col min="5876" max="5876" width="9.42578125" style="15" customWidth="1"/>
    <col min="5877" max="5877" width="14.7109375" style="15" customWidth="1"/>
    <col min="5878" max="5878" width="11.5703125" style="15" customWidth="1"/>
    <col min="5879" max="5879" width="0.42578125" style="15" customWidth="1"/>
    <col min="5880" max="5880" width="10.5703125" style="15" bestFit="1" customWidth="1"/>
    <col min="5881" max="5881" width="12.28515625" style="15" customWidth="1"/>
    <col min="5882" max="5882" width="12.5703125" style="15" customWidth="1"/>
    <col min="5883" max="5883" width="10.5703125" style="15" customWidth="1"/>
    <col min="5884" max="5884" width="10.140625" style="15" customWidth="1"/>
    <col min="5885" max="5885" width="8.42578125" style="15" customWidth="1"/>
    <col min="5886" max="5886" width="18.85546875" style="15" customWidth="1"/>
    <col min="5887" max="5887" width="10.28515625" style="15" customWidth="1"/>
    <col min="5888" max="5888" width="11.42578125" style="15"/>
    <col min="5889" max="5889" width="12.140625" style="15" customWidth="1"/>
    <col min="5890" max="5890" width="10.5703125" style="15" customWidth="1"/>
    <col min="5891" max="5891" width="12.42578125" style="15" customWidth="1"/>
    <col min="5892" max="5892" width="15.140625" style="15" customWidth="1"/>
    <col min="5893" max="5893" width="13.5703125" style="15" customWidth="1"/>
    <col min="5894" max="5894" width="13.140625" style="15" customWidth="1"/>
    <col min="5895" max="5895" width="15.7109375" style="15" customWidth="1"/>
    <col min="5896" max="5896" width="37.5703125" style="15" customWidth="1"/>
    <col min="5897" max="6118" width="11.42578125" style="15"/>
    <col min="6119" max="6119" width="10.5703125" style="15" customWidth="1"/>
    <col min="6120" max="6120" width="4.85546875" style="15" customWidth="1"/>
    <col min="6121" max="6121" width="32.42578125" style="15" customWidth="1"/>
    <col min="6122" max="6122" width="9.85546875" style="15" customWidth="1"/>
    <col min="6123" max="6123" width="10.140625" style="15" customWidth="1"/>
    <col min="6124" max="6124" width="12.28515625" style="15" customWidth="1"/>
    <col min="6125" max="6125" width="15.42578125" style="15" customWidth="1"/>
    <col min="6126" max="6126" width="11.85546875" style="15" customWidth="1"/>
    <col min="6127" max="6127" width="13.28515625" style="15" customWidth="1"/>
    <col min="6128" max="6128" width="15.28515625" style="15" customWidth="1"/>
    <col min="6129" max="6129" width="11.85546875" style="15" customWidth="1"/>
    <col min="6130" max="6130" width="6.140625" style="15" customWidth="1"/>
    <col min="6131" max="6131" width="11.85546875" style="15" customWidth="1"/>
    <col min="6132" max="6132" width="9.42578125" style="15" customWidth="1"/>
    <col min="6133" max="6133" width="14.7109375" style="15" customWidth="1"/>
    <col min="6134" max="6134" width="11.5703125" style="15" customWidth="1"/>
    <col min="6135" max="6135" width="0.42578125" style="15" customWidth="1"/>
    <col min="6136" max="6136" width="10.5703125" style="15" bestFit="1" customWidth="1"/>
    <col min="6137" max="6137" width="12.28515625" style="15" customWidth="1"/>
    <col min="6138" max="6138" width="12.5703125" style="15" customWidth="1"/>
    <col min="6139" max="6139" width="10.5703125" style="15" customWidth="1"/>
    <col min="6140" max="6140" width="10.140625" style="15" customWidth="1"/>
    <col min="6141" max="6141" width="8.42578125" style="15" customWidth="1"/>
    <col min="6142" max="6142" width="18.85546875" style="15" customWidth="1"/>
    <col min="6143" max="6143" width="10.28515625" style="15" customWidth="1"/>
    <col min="6144" max="6144" width="11.42578125" style="15"/>
    <col min="6145" max="6145" width="12.140625" style="15" customWidth="1"/>
    <col min="6146" max="6146" width="10.5703125" style="15" customWidth="1"/>
    <col min="6147" max="6147" width="12.42578125" style="15" customWidth="1"/>
    <col min="6148" max="6148" width="15.140625" style="15" customWidth="1"/>
    <col min="6149" max="6149" width="13.5703125" style="15" customWidth="1"/>
    <col min="6150" max="6150" width="13.140625" style="15" customWidth="1"/>
    <col min="6151" max="6151" width="15.7109375" style="15" customWidth="1"/>
    <col min="6152" max="6152" width="37.5703125" style="15" customWidth="1"/>
    <col min="6153" max="6374" width="11.42578125" style="15"/>
    <col min="6375" max="6375" width="10.5703125" style="15" customWidth="1"/>
    <col min="6376" max="6376" width="4.85546875" style="15" customWidth="1"/>
    <col min="6377" max="6377" width="32.42578125" style="15" customWidth="1"/>
    <col min="6378" max="6378" width="9.85546875" style="15" customWidth="1"/>
    <col min="6379" max="6379" width="10.140625" style="15" customWidth="1"/>
    <col min="6380" max="6380" width="12.28515625" style="15" customWidth="1"/>
    <col min="6381" max="6381" width="15.42578125" style="15" customWidth="1"/>
    <col min="6382" max="6382" width="11.85546875" style="15" customWidth="1"/>
    <col min="6383" max="6383" width="13.28515625" style="15" customWidth="1"/>
    <col min="6384" max="6384" width="15.28515625" style="15" customWidth="1"/>
    <col min="6385" max="6385" width="11.85546875" style="15" customWidth="1"/>
    <col min="6386" max="6386" width="6.140625" style="15" customWidth="1"/>
    <col min="6387" max="6387" width="11.85546875" style="15" customWidth="1"/>
    <col min="6388" max="6388" width="9.42578125" style="15" customWidth="1"/>
    <col min="6389" max="6389" width="14.7109375" style="15" customWidth="1"/>
    <col min="6390" max="6390" width="11.5703125" style="15" customWidth="1"/>
    <col min="6391" max="6391" width="0.42578125" style="15" customWidth="1"/>
    <col min="6392" max="6392" width="10.5703125" style="15" bestFit="1" customWidth="1"/>
    <col min="6393" max="6393" width="12.28515625" style="15" customWidth="1"/>
    <col min="6394" max="6394" width="12.5703125" style="15" customWidth="1"/>
    <col min="6395" max="6395" width="10.5703125" style="15" customWidth="1"/>
    <col min="6396" max="6396" width="10.140625" style="15" customWidth="1"/>
    <col min="6397" max="6397" width="8.42578125" style="15" customWidth="1"/>
    <col min="6398" max="6398" width="18.85546875" style="15" customWidth="1"/>
    <col min="6399" max="6399" width="10.28515625" style="15" customWidth="1"/>
    <col min="6400" max="6400" width="11.42578125" style="15"/>
    <col min="6401" max="6401" width="12.140625" style="15" customWidth="1"/>
    <col min="6402" max="6402" width="10.5703125" style="15" customWidth="1"/>
    <col min="6403" max="6403" width="12.42578125" style="15" customWidth="1"/>
    <col min="6404" max="6404" width="15.140625" style="15" customWidth="1"/>
    <col min="6405" max="6405" width="13.5703125" style="15" customWidth="1"/>
    <col min="6406" max="6406" width="13.140625" style="15" customWidth="1"/>
    <col min="6407" max="6407" width="15.7109375" style="15" customWidth="1"/>
    <col min="6408" max="6408" width="37.5703125" style="15" customWidth="1"/>
    <col min="6409" max="6630" width="11.42578125" style="15"/>
    <col min="6631" max="6631" width="10.5703125" style="15" customWidth="1"/>
    <col min="6632" max="6632" width="4.85546875" style="15" customWidth="1"/>
    <col min="6633" max="6633" width="32.42578125" style="15" customWidth="1"/>
    <col min="6634" max="6634" width="9.85546875" style="15" customWidth="1"/>
    <col min="6635" max="6635" width="10.140625" style="15" customWidth="1"/>
    <col min="6636" max="6636" width="12.28515625" style="15" customWidth="1"/>
    <col min="6637" max="6637" width="15.42578125" style="15" customWidth="1"/>
    <col min="6638" max="6638" width="11.85546875" style="15" customWidth="1"/>
    <col min="6639" max="6639" width="13.28515625" style="15" customWidth="1"/>
    <col min="6640" max="6640" width="15.28515625" style="15" customWidth="1"/>
    <col min="6641" max="6641" width="11.85546875" style="15" customWidth="1"/>
    <col min="6642" max="6642" width="6.140625" style="15" customWidth="1"/>
    <col min="6643" max="6643" width="11.85546875" style="15" customWidth="1"/>
    <col min="6644" max="6644" width="9.42578125" style="15" customWidth="1"/>
    <col min="6645" max="6645" width="14.7109375" style="15" customWidth="1"/>
    <col min="6646" max="6646" width="11.5703125" style="15" customWidth="1"/>
    <col min="6647" max="6647" width="0.42578125" style="15" customWidth="1"/>
    <col min="6648" max="6648" width="10.5703125" style="15" bestFit="1" customWidth="1"/>
    <col min="6649" max="6649" width="12.28515625" style="15" customWidth="1"/>
    <col min="6650" max="6650" width="12.5703125" style="15" customWidth="1"/>
    <col min="6651" max="6651" width="10.5703125" style="15" customWidth="1"/>
    <col min="6652" max="6652" width="10.140625" style="15" customWidth="1"/>
    <col min="6653" max="6653" width="8.42578125" style="15" customWidth="1"/>
    <col min="6654" max="6654" width="18.85546875" style="15" customWidth="1"/>
    <col min="6655" max="6655" width="10.28515625" style="15" customWidth="1"/>
    <col min="6656" max="6656" width="11.42578125" style="15"/>
    <col min="6657" max="6657" width="12.140625" style="15" customWidth="1"/>
    <col min="6658" max="6658" width="10.5703125" style="15" customWidth="1"/>
    <col min="6659" max="6659" width="12.42578125" style="15" customWidth="1"/>
    <col min="6660" max="6660" width="15.140625" style="15" customWidth="1"/>
    <col min="6661" max="6661" width="13.5703125" style="15" customWidth="1"/>
    <col min="6662" max="6662" width="13.140625" style="15" customWidth="1"/>
    <col min="6663" max="6663" width="15.7109375" style="15" customWidth="1"/>
    <col min="6664" max="6664" width="37.5703125" style="15" customWidth="1"/>
    <col min="6665" max="6886" width="11.42578125" style="15"/>
    <col min="6887" max="6887" width="10.5703125" style="15" customWidth="1"/>
    <col min="6888" max="6888" width="4.85546875" style="15" customWidth="1"/>
    <col min="6889" max="6889" width="32.42578125" style="15" customWidth="1"/>
    <col min="6890" max="6890" width="9.85546875" style="15" customWidth="1"/>
    <col min="6891" max="6891" width="10.140625" style="15" customWidth="1"/>
    <col min="6892" max="6892" width="12.28515625" style="15" customWidth="1"/>
    <col min="6893" max="6893" width="15.42578125" style="15" customWidth="1"/>
    <col min="6894" max="6894" width="11.85546875" style="15" customWidth="1"/>
    <col min="6895" max="6895" width="13.28515625" style="15" customWidth="1"/>
    <col min="6896" max="6896" width="15.28515625" style="15" customWidth="1"/>
    <col min="6897" max="6897" width="11.85546875" style="15" customWidth="1"/>
    <col min="6898" max="6898" width="6.140625" style="15" customWidth="1"/>
    <col min="6899" max="6899" width="11.85546875" style="15" customWidth="1"/>
    <col min="6900" max="6900" width="9.42578125" style="15" customWidth="1"/>
    <col min="6901" max="6901" width="14.7109375" style="15" customWidth="1"/>
    <col min="6902" max="6902" width="11.5703125" style="15" customWidth="1"/>
    <col min="6903" max="6903" width="0.42578125" style="15" customWidth="1"/>
    <col min="6904" max="6904" width="10.5703125" style="15" bestFit="1" customWidth="1"/>
    <col min="6905" max="6905" width="12.28515625" style="15" customWidth="1"/>
    <col min="6906" max="6906" width="12.5703125" style="15" customWidth="1"/>
    <col min="6907" max="6907" width="10.5703125" style="15" customWidth="1"/>
    <col min="6908" max="6908" width="10.140625" style="15" customWidth="1"/>
    <col min="6909" max="6909" width="8.42578125" style="15" customWidth="1"/>
    <col min="6910" max="6910" width="18.85546875" style="15" customWidth="1"/>
    <col min="6911" max="6911" width="10.28515625" style="15" customWidth="1"/>
    <col min="6912" max="6912" width="11.42578125" style="15"/>
    <col min="6913" max="6913" width="12.140625" style="15" customWidth="1"/>
    <col min="6914" max="6914" width="10.5703125" style="15" customWidth="1"/>
    <col min="6915" max="6915" width="12.42578125" style="15" customWidth="1"/>
    <col min="6916" max="6916" width="15.140625" style="15" customWidth="1"/>
    <col min="6917" max="6917" width="13.5703125" style="15" customWidth="1"/>
    <col min="6918" max="6918" width="13.140625" style="15" customWidth="1"/>
    <col min="6919" max="6919" width="15.7109375" style="15" customWidth="1"/>
    <col min="6920" max="6920" width="37.5703125" style="15" customWidth="1"/>
    <col min="6921" max="7142" width="11.42578125" style="15"/>
    <col min="7143" max="7143" width="10.5703125" style="15" customWidth="1"/>
    <col min="7144" max="7144" width="4.85546875" style="15" customWidth="1"/>
    <col min="7145" max="7145" width="32.42578125" style="15" customWidth="1"/>
    <col min="7146" max="7146" width="9.85546875" style="15" customWidth="1"/>
    <col min="7147" max="7147" width="10.140625" style="15" customWidth="1"/>
    <col min="7148" max="7148" width="12.28515625" style="15" customWidth="1"/>
    <col min="7149" max="7149" width="15.42578125" style="15" customWidth="1"/>
    <col min="7150" max="7150" width="11.85546875" style="15" customWidth="1"/>
    <col min="7151" max="7151" width="13.28515625" style="15" customWidth="1"/>
    <col min="7152" max="7152" width="15.28515625" style="15" customWidth="1"/>
    <col min="7153" max="7153" width="11.85546875" style="15" customWidth="1"/>
    <col min="7154" max="7154" width="6.140625" style="15" customWidth="1"/>
    <col min="7155" max="7155" width="11.85546875" style="15" customWidth="1"/>
    <col min="7156" max="7156" width="9.42578125" style="15" customWidth="1"/>
    <col min="7157" max="7157" width="14.7109375" style="15" customWidth="1"/>
    <col min="7158" max="7158" width="11.5703125" style="15" customWidth="1"/>
    <col min="7159" max="7159" width="0.42578125" style="15" customWidth="1"/>
    <col min="7160" max="7160" width="10.5703125" style="15" bestFit="1" customWidth="1"/>
    <col min="7161" max="7161" width="12.28515625" style="15" customWidth="1"/>
    <col min="7162" max="7162" width="12.5703125" style="15" customWidth="1"/>
    <col min="7163" max="7163" width="10.5703125" style="15" customWidth="1"/>
    <col min="7164" max="7164" width="10.140625" style="15" customWidth="1"/>
    <col min="7165" max="7165" width="8.42578125" style="15" customWidth="1"/>
    <col min="7166" max="7166" width="18.85546875" style="15" customWidth="1"/>
    <col min="7167" max="7167" width="10.28515625" style="15" customWidth="1"/>
    <col min="7168" max="7168" width="11.42578125" style="15"/>
    <col min="7169" max="7169" width="12.140625" style="15" customWidth="1"/>
    <col min="7170" max="7170" width="10.5703125" style="15" customWidth="1"/>
    <col min="7171" max="7171" width="12.42578125" style="15" customWidth="1"/>
    <col min="7172" max="7172" width="15.140625" style="15" customWidth="1"/>
    <col min="7173" max="7173" width="13.5703125" style="15" customWidth="1"/>
    <col min="7174" max="7174" width="13.140625" style="15" customWidth="1"/>
    <col min="7175" max="7175" width="15.7109375" style="15" customWidth="1"/>
    <col min="7176" max="7176" width="37.5703125" style="15" customWidth="1"/>
    <col min="7177" max="7398" width="11.42578125" style="15"/>
    <col min="7399" max="7399" width="10.5703125" style="15" customWidth="1"/>
    <col min="7400" max="7400" width="4.85546875" style="15" customWidth="1"/>
    <col min="7401" max="7401" width="32.42578125" style="15" customWidth="1"/>
    <col min="7402" max="7402" width="9.85546875" style="15" customWidth="1"/>
    <col min="7403" max="7403" width="10.140625" style="15" customWidth="1"/>
    <col min="7404" max="7404" width="12.28515625" style="15" customWidth="1"/>
    <col min="7405" max="7405" width="15.42578125" style="15" customWidth="1"/>
    <col min="7406" max="7406" width="11.85546875" style="15" customWidth="1"/>
    <col min="7407" max="7407" width="13.28515625" style="15" customWidth="1"/>
    <col min="7408" max="7408" width="15.28515625" style="15" customWidth="1"/>
    <col min="7409" max="7409" width="11.85546875" style="15" customWidth="1"/>
    <col min="7410" max="7410" width="6.140625" style="15" customWidth="1"/>
    <col min="7411" max="7411" width="11.85546875" style="15" customWidth="1"/>
    <col min="7412" max="7412" width="9.42578125" style="15" customWidth="1"/>
    <col min="7413" max="7413" width="14.7109375" style="15" customWidth="1"/>
    <col min="7414" max="7414" width="11.5703125" style="15" customWidth="1"/>
    <col min="7415" max="7415" width="0.42578125" style="15" customWidth="1"/>
    <col min="7416" max="7416" width="10.5703125" style="15" bestFit="1" customWidth="1"/>
    <col min="7417" max="7417" width="12.28515625" style="15" customWidth="1"/>
    <col min="7418" max="7418" width="12.5703125" style="15" customWidth="1"/>
    <col min="7419" max="7419" width="10.5703125" style="15" customWidth="1"/>
    <col min="7420" max="7420" width="10.140625" style="15" customWidth="1"/>
    <col min="7421" max="7421" width="8.42578125" style="15" customWidth="1"/>
    <col min="7422" max="7422" width="18.85546875" style="15" customWidth="1"/>
    <col min="7423" max="7423" width="10.28515625" style="15" customWidth="1"/>
    <col min="7424" max="7424" width="11.42578125" style="15"/>
    <col min="7425" max="7425" width="12.140625" style="15" customWidth="1"/>
    <col min="7426" max="7426" width="10.5703125" style="15" customWidth="1"/>
    <col min="7427" max="7427" width="12.42578125" style="15" customWidth="1"/>
    <col min="7428" max="7428" width="15.140625" style="15" customWidth="1"/>
    <col min="7429" max="7429" width="13.5703125" style="15" customWidth="1"/>
    <col min="7430" max="7430" width="13.140625" style="15" customWidth="1"/>
    <col min="7431" max="7431" width="15.7109375" style="15" customWidth="1"/>
    <col min="7432" max="7432" width="37.5703125" style="15" customWidth="1"/>
    <col min="7433" max="7654" width="11.42578125" style="15"/>
    <col min="7655" max="7655" width="10.5703125" style="15" customWidth="1"/>
    <col min="7656" max="7656" width="4.85546875" style="15" customWidth="1"/>
    <col min="7657" max="7657" width="32.42578125" style="15" customWidth="1"/>
    <col min="7658" max="7658" width="9.85546875" style="15" customWidth="1"/>
    <col min="7659" max="7659" width="10.140625" style="15" customWidth="1"/>
    <col min="7660" max="7660" width="12.28515625" style="15" customWidth="1"/>
    <col min="7661" max="7661" width="15.42578125" style="15" customWidth="1"/>
    <col min="7662" max="7662" width="11.85546875" style="15" customWidth="1"/>
    <col min="7663" max="7663" width="13.28515625" style="15" customWidth="1"/>
    <col min="7664" max="7664" width="15.28515625" style="15" customWidth="1"/>
    <col min="7665" max="7665" width="11.85546875" style="15" customWidth="1"/>
    <col min="7666" max="7666" width="6.140625" style="15" customWidth="1"/>
    <col min="7667" max="7667" width="11.85546875" style="15" customWidth="1"/>
    <col min="7668" max="7668" width="9.42578125" style="15" customWidth="1"/>
    <col min="7669" max="7669" width="14.7109375" style="15" customWidth="1"/>
    <col min="7670" max="7670" width="11.5703125" style="15" customWidth="1"/>
    <col min="7671" max="7671" width="0.42578125" style="15" customWidth="1"/>
    <col min="7672" max="7672" width="10.5703125" style="15" bestFit="1" customWidth="1"/>
    <col min="7673" max="7673" width="12.28515625" style="15" customWidth="1"/>
    <col min="7674" max="7674" width="12.5703125" style="15" customWidth="1"/>
    <col min="7675" max="7675" width="10.5703125" style="15" customWidth="1"/>
    <col min="7676" max="7676" width="10.140625" style="15" customWidth="1"/>
    <col min="7677" max="7677" width="8.42578125" style="15" customWidth="1"/>
    <col min="7678" max="7678" width="18.85546875" style="15" customWidth="1"/>
    <col min="7679" max="7679" width="10.28515625" style="15" customWidth="1"/>
    <col min="7680" max="7680" width="11.42578125" style="15"/>
    <col min="7681" max="7681" width="12.140625" style="15" customWidth="1"/>
    <col min="7682" max="7682" width="10.5703125" style="15" customWidth="1"/>
    <col min="7683" max="7683" width="12.42578125" style="15" customWidth="1"/>
    <col min="7684" max="7684" width="15.140625" style="15" customWidth="1"/>
    <col min="7685" max="7685" width="13.5703125" style="15" customWidth="1"/>
    <col min="7686" max="7686" width="13.140625" style="15" customWidth="1"/>
    <col min="7687" max="7687" width="15.7109375" style="15" customWidth="1"/>
    <col min="7688" max="7688" width="37.5703125" style="15" customWidth="1"/>
    <col min="7689" max="7910" width="11.42578125" style="15"/>
    <col min="7911" max="7911" width="10.5703125" style="15" customWidth="1"/>
    <col min="7912" max="7912" width="4.85546875" style="15" customWidth="1"/>
    <col min="7913" max="7913" width="32.42578125" style="15" customWidth="1"/>
    <col min="7914" max="7914" width="9.85546875" style="15" customWidth="1"/>
    <col min="7915" max="7915" width="10.140625" style="15" customWidth="1"/>
    <col min="7916" max="7916" width="12.28515625" style="15" customWidth="1"/>
    <col min="7917" max="7917" width="15.42578125" style="15" customWidth="1"/>
    <col min="7918" max="7918" width="11.85546875" style="15" customWidth="1"/>
    <col min="7919" max="7919" width="13.28515625" style="15" customWidth="1"/>
    <col min="7920" max="7920" width="15.28515625" style="15" customWidth="1"/>
    <col min="7921" max="7921" width="11.85546875" style="15" customWidth="1"/>
    <col min="7922" max="7922" width="6.140625" style="15" customWidth="1"/>
    <col min="7923" max="7923" width="11.85546875" style="15" customWidth="1"/>
    <col min="7924" max="7924" width="9.42578125" style="15" customWidth="1"/>
    <col min="7925" max="7925" width="14.7109375" style="15" customWidth="1"/>
    <col min="7926" max="7926" width="11.5703125" style="15" customWidth="1"/>
    <col min="7927" max="7927" width="0.42578125" style="15" customWidth="1"/>
    <col min="7928" max="7928" width="10.5703125" style="15" bestFit="1" customWidth="1"/>
    <col min="7929" max="7929" width="12.28515625" style="15" customWidth="1"/>
    <col min="7930" max="7930" width="12.5703125" style="15" customWidth="1"/>
    <col min="7931" max="7931" width="10.5703125" style="15" customWidth="1"/>
    <col min="7932" max="7932" width="10.140625" style="15" customWidth="1"/>
    <col min="7933" max="7933" width="8.42578125" style="15" customWidth="1"/>
    <col min="7934" max="7934" width="18.85546875" style="15" customWidth="1"/>
    <col min="7935" max="7935" width="10.28515625" style="15" customWidth="1"/>
    <col min="7936" max="7936" width="11.42578125" style="15"/>
    <col min="7937" max="7937" width="12.140625" style="15" customWidth="1"/>
    <col min="7938" max="7938" width="10.5703125" style="15" customWidth="1"/>
    <col min="7939" max="7939" width="12.42578125" style="15" customWidth="1"/>
    <col min="7940" max="7940" width="15.140625" style="15" customWidth="1"/>
    <col min="7941" max="7941" width="13.5703125" style="15" customWidth="1"/>
    <col min="7942" max="7942" width="13.140625" style="15" customWidth="1"/>
    <col min="7943" max="7943" width="15.7109375" style="15" customWidth="1"/>
    <col min="7944" max="7944" width="37.5703125" style="15" customWidth="1"/>
    <col min="7945" max="8166" width="11.42578125" style="15"/>
    <col min="8167" max="8167" width="10.5703125" style="15" customWidth="1"/>
    <col min="8168" max="8168" width="4.85546875" style="15" customWidth="1"/>
    <col min="8169" max="8169" width="32.42578125" style="15" customWidth="1"/>
    <col min="8170" max="8170" width="9.85546875" style="15" customWidth="1"/>
    <col min="8171" max="8171" width="10.140625" style="15" customWidth="1"/>
    <col min="8172" max="8172" width="12.28515625" style="15" customWidth="1"/>
    <col min="8173" max="8173" width="15.42578125" style="15" customWidth="1"/>
    <col min="8174" max="8174" width="11.85546875" style="15" customWidth="1"/>
    <col min="8175" max="8175" width="13.28515625" style="15" customWidth="1"/>
    <col min="8176" max="8176" width="15.28515625" style="15" customWidth="1"/>
    <col min="8177" max="8177" width="11.85546875" style="15" customWidth="1"/>
    <col min="8178" max="8178" width="6.140625" style="15" customWidth="1"/>
    <col min="8179" max="8179" width="11.85546875" style="15" customWidth="1"/>
    <col min="8180" max="8180" width="9.42578125" style="15" customWidth="1"/>
    <col min="8181" max="8181" width="14.7109375" style="15" customWidth="1"/>
    <col min="8182" max="8182" width="11.5703125" style="15" customWidth="1"/>
    <col min="8183" max="8183" width="0.42578125" style="15" customWidth="1"/>
    <col min="8184" max="8184" width="10.5703125" style="15" bestFit="1" customWidth="1"/>
    <col min="8185" max="8185" width="12.28515625" style="15" customWidth="1"/>
    <col min="8186" max="8186" width="12.5703125" style="15" customWidth="1"/>
    <col min="8187" max="8187" width="10.5703125" style="15" customWidth="1"/>
    <col min="8188" max="8188" width="10.140625" style="15" customWidth="1"/>
    <col min="8189" max="8189" width="8.42578125" style="15" customWidth="1"/>
    <col min="8190" max="8190" width="18.85546875" style="15" customWidth="1"/>
    <col min="8191" max="8191" width="10.28515625" style="15" customWidth="1"/>
    <col min="8192" max="8192" width="11.42578125" style="15"/>
    <col min="8193" max="8193" width="12.140625" style="15" customWidth="1"/>
    <col min="8194" max="8194" width="10.5703125" style="15" customWidth="1"/>
    <col min="8195" max="8195" width="12.42578125" style="15" customWidth="1"/>
    <col min="8196" max="8196" width="15.140625" style="15" customWidth="1"/>
    <col min="8197" max="8197" width="13.5703125" style="15" customWidth="1"/>
    <col min="8198" max="8198" width="13.140625" style="15" customWidth="1"/>
    <col min="8199" max="8199" width="15.7109375" style="15" customWidth="1"/>
    <col min="8200" max="8200" width="37.5703125" style="15" customWidth="1"/>
    <col min="8201" max="8422" width="11.42578125" style="15"/>
    <col min="8423" max="8423" width="10.5703125" style="15" customWidth="1"/>
    <col min="8424" max="8424" width="4.85546875" style="15" customWidth="1"/>
    <col min="8425" max="8425" width="32.42578125" style="15" customWidth="1"/>
    <col min="8426" max="8426" width="9.85546875" style="15" customWidth="1"/>
    <col min="8427" max="8427" width="10.140625" style="15" customWidth="1"/>
    <col min="8428" max="8428" width="12.28515625" style="15" customWidth="1"/>
    <col min="8429" max="8429" width="15.42578125" style="15" customWidth="1"/>
    <col min="8430" max="8430" width="11.85546875" style="15" customWidth="1"/>
    <col min="8431" max="8431" width="13.28515625" style="15" customWidth="1"/>
    <col min="8432" max="8432" width="15.28515625" style="15" customWidth="1"/>
    <col min="8433" max="8433" width="11.85546875" style="15" customWidth="1"/>
    <col min="8434" max="8434" width="6.140625" style="15" customWidth="1"/>
    <col min="8435" max="8435" width="11.85546875" style="15" customWidth="1"/>
    <col min="8436" max="8436" width="9.42578125" style="15" customWidth="1"/>
    <col min="8437" max="8437" width="14.7109375" style="15" customWidth="1"/>
    <col min="8438" max="8438" width="11.5703125" style="15" customWidth="1"/>
    <col min="8439" max="8439" width="0.42578125" style="15" customWidth="1"/>
    <col min="8440" max="8440" width="10.5703125" style="15" bestFit="1" customWidth="1"/>
    <col min="8441" max="8441" width="12.28515625" style="15" customWidth="1"/>
    <col min="8442" max="8442" width="12.5703125" style="15" customWidth="1"/>
    <col min="8443" max="8443" width="10.5703125" style="15" customWidth="1"/>
    <col min="8444" max="8444" width="10.140625" style="15" customWidth="1"/>
    <col min="8445" max="8445" width="8.42578125" style="15" customWidth="1"/>
    <col min="8446" max="8446" width="18.85546875" style="15" customWidth="1"/>
    <col min="8447" max="8447" width="10.28515625" style="15" customWidth="1"/>
    <col min="8448" max="8448" width="11.42578125" style="15"/>
    <col min="8449" max="8449" width="12.140625" style="15" customWidth="1"/>
    <col min="8450" max="8450" width="10.5703125" style="15" customWidth="1"/>
    <col min="8451" max="8451" width="12.42578125" style="15" customWidth="1"/>
    <col min="8452" max="8452" width="15.140625" style="15" customWidth="1"/>
    <col min="8453" max="8453" width="13.5703125" style="15" customWidth="1"/>
    <col min="8454" max="8454" width="13.140625" style="15" customWidth="1"/>
    <col min="8455" max="8455" width="15.7109375" style="15" customWidth="1"/>
    <col min="8456" max="8456" width="37.5703125" style="15" customWidth="1"/>
    <col min="8457" max="8678" width="11.42578125" style="15"/>
    <col min="8679" max="8679" width="10.5703125" style="15" customWidth="1"/>
    <col min="8680" max="8680" width="4.85546875" style="15" customWidth="1"/>
    <col min="8681" max="8681" width="32.42578125" style="15" customWidth="1"/>
    <col min="8682" max="8682" width="9.85546875" style="15" customWidth="1"/>
    <col min="8683" max="8683" width="10.140625" style="15" customWidth="1"/>
    <col min="8684" max="8684" width="12.28515625" style="15" customWidth="1"/>
    <col min="8685" max="8685" width="15.42578125" style="15" customWidth="1"/>
    <col min="8686" max="8686" width="11.85546875" style="15" customWidth="1"/>
    <col min="8687" max="8687" width="13.28515625" style="15" customWidth="1"/>
    <col min="8688" max="8688" width="15.28515625" style="15" customWidth="1"/>
    <col min="8689" max="8689" width="11.85546875" style="15" customWidth="1"/>
    <col min="8690" max="8690" width="6.140625" style="15" customWidth="1"/>
    <col min="8691" max="8691" width="11.85546875" style="15" customWidth="1"/>
    <col min="8692" max="8692" width="9.42578125" style="15" customWidth="1"/>
    <col min="8693" max="8693" width="14.7109375" style="15" customWidth="1"/>
    <col min="8694" max="8694" width="11.5703125" style="15" customWidth="1"/>
    <col min="8695" max="8695" width="0.42578125" style="15" customWidth="1"/>
    <col min="8696" max="8696" width="10.5703125" style="15" bestFit="1" customWidth="1"/>
    <col min="8697" max="8697" width="12.28515625" style="15" customWidth="1"/>
    <col min="8698" max="8698" width="12.5703125" style="15" customWidth="1"/>
    <col min="8699" max="8699" width="10.5703125" style="15" customWidth="1"/>
    <col min="8700" max="8700" width="10.140625" style="15" customWidth="1"/>
    <col min="8701" max="8701" width="8.42578125" style="15" customWidth="1"/>
    <col min="8702" max="8702" width="18.85546875" style="15" customWidth="1"/>
    <col min="8703" max="8703" width="10.28515625" style="15" customWidth="1"/>
    <col min="8704" max="8704" width="11.42578125" style="15"/>
    <col min="8705" max="8705" width="12.140625" style="15" customWidth="1"/>
    <col min="8706" max="8706" width="10.5703125" style="15" customWidth="1"/>
    <col min="8707" max="8707" width="12.42578125" style="15" customWidth="1"/>
    <col min="8708" max="8708" width="15.140625" style="15" customWidth="1"/>
    <col min="8709" max="8709" width="13.5703125" style="15" customWidth="1"/>
    <col min="8710" max="8710" width="13.140625" style="15" customWidth="1"/>
    <col min="8711" max="8711" width="15.7109375" style="15" customWidth="1"/>
    <col min="8712" max="8712" width="37.5703125" style="15" customWidth="1"/>
    <col min="8713" max="8934" width="11.42578125" style="15"/>
    <col min="8935" max="8935" width="10.5703125" style="15" customWidth="1"/>
    <col min="8936" max="8936" width="4.85546875" style="15" customWidth="1"/>
    <col min="8937" max="8937" width="32.42578125" style="15" customWidth="1"/>
    <col min="8938" max="8938" width="9.85546875" style="15" customWidth="1"/>
    <col min="8939" max="8939" width="10.140625" style="15" customWidth="1"/>
    <col min="8940" max="8940" width="12.28515625" style="15" customWidth="1"/>
    <col min="8941" max="8941" width="15.42578125" style="15" customWidth="1"/>
    <col min="8942" max="8942" width="11.85546875" style="15" customWidth="1"/>
    <col min="8943" max="8943" width="13.28515625" style="15" customWidth="1"/>
    <col min="8944" max="8944" width="15.28515625" style="15" customWidth="1"/>
    <col min="8945" max="8945" width="11.85546875" style="15" customWidth="1"/>
    <col min="8946" max="8946" width="6.140625" style="15" customWidth="1"/>
    <col min="8947" max="8947" width="11.85546875" style="15" customWidth="1"/>
    <col min="8948" max="8948" width="9.42578125" style="15" customWidth="1"/>
    <col min="8949" max="8949" width="14.7109375" style="15" customWidth="1"/>
    <col min="8950" max="8950" width="11.5703125" style="15" customWidth="1"/>
    <col min="8951" max="8951" width="0.42578125" style="15" customWidth="1"/>
    <col min="8952" max="8952" width="10.5703125" style="15" bestFit="1" customWidth="1"/>
    <col min="8953" max="8953" width="12.28515625" style="15" customWidth="1"/>
    <col min="8954" max="8954" width="12.5703125" style="15" customWidth="1"/>
    <col min="8955" max="8955" width="10.5703125" style="15" customWidth="1"/>
    <col min="8956" max="8956" width="10.140625" style="15" customWidth="1"/>
    <col min="8957" max="8957" width="8.42578125" style="15" customWidth="1"/>
    <col min="8958" max="8958" width="18.85546875" style="15" customWidth="1"/>
    <col min="8959" max="8959" width="10.28515625" style="15" customWidth="1"/>
    <col min="8960" max="8960" width="11.42578125" style="15"/>
    <col min="8961" max="8961" width="12.140625" style="15" customWidth="1"/>
    <col min="8962" max="8962" width="10.5703125" style="15" customWidth="1"/>
    <col min="8963" max="8963" width="12.42578125" style="15" customWidth="1"/>
    <col min="8964" max="8964" width="15.140625" style="15" customWidth="1"/>
    <col min="8965" max="8965" width="13.5703125" style="15" customWidth="1"/>
    <col min="8966" max="8966" width="13.140625" style="15" customWidth="1"/>
    <col min="8967" max="8967" width="15.7109375" style="15" customWidth="1"/>
    <col min="8968" max="8968" width="37.5703125" style="15" customWidth="1"/>
    <col min="8969" max="9190" width="11.42578125" style="15"/>
    <col min="9191" max="9191" width="10.5703125" style="15" customWidth="1"/>
    <col min="9192" max="9192" width="4.85546875" style="15" customWidth="1"/>
    <col min="9193" max="9193" width="32.42578125" style="15" customWidth="1"/>
    <col min="9194" max="9194" width="9.85546875" style="15" customWidth="1"/>
    <col min="9195" max="9195" width="10.140625" style="15" customWidth="1"/>
    <col min="9196" max="9196" width="12.28515625" style="15" customWidth="1"/>
    <col min="9197" max="9197" width="15.42578125" style="15" customWidth="1"/>
    <col min="9198" max="9198" width="11.85546875" style="15" customWidth="1"/>
    <col min="9199" max="9199" width="13.28515625" style="15" customWidth="1"/>
    <col min="9200" max="9200" width="15.28515625" style="15" customWidth="1"/>
    <col min="9201" max="9201" width="11.85546875" style="15" customWidth="1"/>
    <col min="9202" max="9202" width="6.140625" style="15" customWidth="1"/>
    <col min="9203" max="9203" width="11.85546875" style="15" customWidth="1"/>
    <col min="9204" max="9204" width="9.42578125" style="15" customWidth="1"/>
    <col min="9205" max="9205" width="14.7109375" style="15" customWidth="1"/>
    <col min="9206" max="9206" width="11.5703125" style="15" customWidth="1"/>
    <col min="9207" max="9207" width="0.42578125" style="15" customWidth="1"/>
    <col min="9208" max="9208" width="10.5703125" style="15" bestFit="1" customWidth="1"/>
    <col min="9209" max="9209" width="12.28515625" style="15" customWidth="1"/>
    <col min="9210" max="9210" width="12.5703125" style="15" customWidth="1"/>
    <col min="9211" max="9211" width="10.5703125" style="15" customWidth="1"/>
    <col min="9212" max="9212" width="10.140625" style="15" customWidth="1"/>
    <col min="9213" max="9213" width="8.42578125" style="15" customWidth="1"/>
    <col min="9214" max="9214" width="18.85546875" style="15" customWidth="1"/>
    <col min="9215" max="9215" width="10.28515625" style="15" customWidth="1"/>
    <col min="9216" max="9216" width="11.42578125" style="15"/>
    <col min="9217" max="9217" width="12.140625" style="15" customWidth="1"/>
    <col min="9218" max="9218" width="10.5703125" style="15" customWidth="1"/>
    <col min="9219" max="9219" width="12.42578125" style="15" customWidth="1"/>
    <col min="9220" max="9220" width="15.140625" style="15" customWidth="1"/>
    <col min="9221" max="9221" width="13.5703125" style="15" customWidth="1"/>
    <col min="9222" max="9222" width="13.140625" style="15" customWidth="1"/>
    <col min="9223" max="9223" width="15.7109375" style="15" customWidth="1"/>
    <col min="9224" max="9224" width="37.5703125" style="15" customWidth="1"/>
    <col min="9225" max="9446" width="11.42578125" style="15"/>
    <col min="9447" max="9447" width="10.5703125" style="15" customWidth="1"/>
    <col min="9448" max="9448" width="4.85546875" style="15" customWidth="1"/>
    <col min="9449" max="9449" width="32.42578125" style="15" customWidth="1"/>
    <col min="9450" max="9450" width="9.85546875" style="15" customWidth="1"/>
    <col min="9451" max="9451" width="10.140625" style="15" customWidth="1"/>
    <col min="9452" max="9452" width="12.28515625" style="15" customWidth="1"/>
    <col min="9453" max="9453" width="15.42578125" style="15" customWidth="1"/>
    <col min="9454" max="9454" width="11.85546875" style="15" customWidth="1"/>
    <col min="9455" max="9455" width="13.28515625" style="15" customWidth="1"/>
    <col min="9456" max="9456" width="15.28515625" style="15" customWidth="1"/>
    <col min="9457" max="9457" width="11.85546875" style="15" customWidth="1"/>
    <col min="9458" max="9458" width="6.140625" style="15" customWidth="1"/>
    <col min="9459" max="9459" width="11.85546875" style="15" customWidth="1"/>
    <col min="9460" max="9460" width="9.42578125" style="15" customWidth="1"/>
    <col min="9461" max="9461" width="14.7109375" style="15" customWidth="1"/>
    <col min="9462" max="9462" width="11.5703125" style="15" customWidth="1"/>
    <col min="9463" max="9463" width="0.42578125" style="15" customWidth="1"/>
    <col min="9464" max="9464" width="10.5703125" style="15" bestFit="1" customWidth="1"/>
    <col min="9465" max="9465" width="12.28515625" style="15" customWidth="1"/>
    <col min="9466" max="9466" width="12.5703125" style="15" customWidth="1"/>
    <col min="9467" max="9467" width="10.5703125" style="15" customWidth="1"/>
    <col min="9468" max="9468" width="10.140625" style="15" customWidth="1"/>
    <col min="9469" max="9469" width="8.42578125" style="15" customWidth="1"/>
    <col min="9470" max="9470" width="18.85546875" style="15" customWidth="1"/>
    <col min="9471" max="9471" width="10.28515625" style="15" customWidth="1"/>
    <col min="9472" max="9472" width="11.42578125" style="15"/>
    <col min="9473" max="9473" width="12.140625" style="15" customWidth="1"/>
    <col min="9474" max="9474" width="10.5703125" style="15" customWidth="1"/>
    <col min="9475" max="9475" width="12.42578125" style="15" customWidth="1"/>
    <col min="9476" max="9476" width="15.140625" style="15" customWidth="1"/>
    <col min="9477" max="9477" width="13.5703125" style="15" customWidth="1"/>
    <col min="9478" max="9478" width="13.140625" style="15" customWidth="1"/>
    <col min="9479" max="9479" width="15.7109375" style="15" customWidth="1"/>
    <col min="9480" max="9480" width="37.5703125" style="15" customWidth="1"/>
    <col min="9481" max="9702" width="11.42578125" style="15"/>
    <col min="9703" max="9703" width="10.5703125" style="15" customWidth="1"/>
    <col min="9704" max="9704" width="4.85546875" style="15" customWidth="1"/>
    <col min="9705" max="9705" width="32.42578125" style="15" customWidth="1"/>
    <col min="9706" max="9706" width="9.85546875" style="15" customWidth="1"/>
    <col min="9707" max="9707" width="10.140625" style="15" customWidth="1"/>
    <col min="9708" max="9708" width="12.28515625" style="15" customWidth="1"/>
    <col min="9709" max="9709" width="15.42578125" style="15" customWidth="1"/>
    <col min="9710" max="9710" width="11.85546875" style="15" customWidth="1"/>
    <col min="9711" max="9711" width="13.28515625" style="15" customWidth="1"/>
    <col min="9712" max="9712" width="15.28515625" style="15" customWidth="1"/>
    <col min="9713" max="9713" width="11.85546875" style="15" customWidth="1"/>
    <col min="9714" max="9714" width="6.140625" style="15" customWidth="1"/>
    <col min="9715" max="9715" width="11.85546875" style="15" customWidth="1"/>
    <col min="9716" max="9716" width="9.42578125" style="15" customWidth="1"/>
    <col min="9717" max="9717" width="14.7109375" style="15" customWidth="1"/>
    <col min="9718" max="9718" width="11.5703125" style="15" customWidth="1"/>
    <col min="9719" max="9719" width="0.42578125" style="15" customWidth="1"/>
    <col min="9720" max="9720" width="10.5703125" style="15" bestFit="1" customWidth="1"/>
    <col min="9721" max="9721" width="12.28515625" style="15" customWidth="1"/>
    <col min="9722" max="9722" width="12.5703125" style="15" customWidth="1"/>
    <col min="9723" max="9723" width="10.5703125" style="15" customWidth="1"/>
    <col min="9724" max="9724" width="10.140625" style="15" customWidth="1"/>
    <col min="9725" max="9725" width="8.42578125" style="15" customWidth="1"/>
    <col min="9726" max="9726" width="18.85546875" style="15" customWidth="1"/>
    <col min="9727" max="9727" width="10.28515625" style="15" customWidth="1"/>
    <col min="9728" max="9728" width="11.42578125" style="15"/>
    <col min="9729" max="9729" width="12.140625" style="15" customWidth="1"/>
    <col min="9730" max="9730" width="10.5703125" style="15" customWidth="1"/>
    <col min="9731" max="9731" width="12.42578125" style="15" customWidth="1"/>
    <col min="9732" max="9732" width="15.140625" style="15" customWidth="1"/>
    <col min="9733" max="9733" width="13.5703125" style="15" customWidth="1"/>
    <col min="9734" max="9734" width="13.140625" style="15" customWidth="1"/>
    <col min="9735" max="9735" width="15.7109375" style="15" customWidth="1"/>
    <col min="9736" max="9736" width="37.5703125" style="15" customWidth="1"/>
    <col min="9737" max="9958" width="11.42578125" style="15"/>
    <col min="9959" max="9959" width="10.5703125" style="15" customWidth="1"/>
    <col min="9960" max="9960" width="4.85546875" style="15" customWidth="1"/>
    <col min="9961" max="9961" width="32.42578125" style="15" customWidth="1"/>
    <col min="9962" max="9962" width="9.85546875" style="15" customWidth="1"/>
    <col min="9963" max="9963" width="10.140625" style="15" customWidth="1"/>
    <col min="9964" max="9964" width="12.28515625" style="15" customWidth="1"/>
    <col min="9965" max="9965" width="15.42578125" style="15" customWidth="1"/>
    <col min="9966" max="9966" width="11.85546875" style="15" customWidth="1"/>
    <col min="9967" max="9967" width="13.28515625" style="15" customWidth="1"/>
    <col min="9968" max="9968" width="15.28515625" style="15" customWidth="1"/>
    <col min="9969" max="9969" width="11.85546875" style="15" customWidth="1"/>
    <col min="9970" max="9970" width="6.140625" style="15" customWidth="1"/>
    <col min="9971" max="9971" width="11.85546875" style="15" customWidth="1"/>
    <col min="9972" max="9972" width="9.42578125" style="15" customWidth="1"/>
    <col min="9973" max="9973" width="14.7109375" style="15" customWidth="1"/>
    <col min="9974" max="9974" width="11.5703125" style="15" customWidth="1"/>
    <col min="9975" max="9975" width="0.42578125" style="15" customWidth="1"/>
    <col min="9976" max="9976" width="10.5703125" style="15" bestFit="1" customWidth="1"/>
    <col min="9977" max="9977" width="12.28515625" style="15" customWidth="1"/>
    <col min="9978" max="9978" width="12.5703125" style="15" customWidth="1"/>
    <col min="9979" max="9979" width="10.5703125" style="15" customWidth="1"/>
    <col min="9980" max="9980" width="10.140625" style="15" customWidth="1"/>
    <col min="9981" max="9981" width="8.42578125" style="15" customWidth="1"/>
    <col min="9982" max="9982" width="18.85546875" style="15" customWidth="1"/>
    <col min="9983" max="9983" width="10.28515625" style="15" customWidth="1"/>
    <col min="9984" max="9984" width="11.42578125" style="15"/>
    <col min="9985" max="9985" width="12.140625" style="15" customWidth="1"/>
    <col min="9986" max="9986" width="10.5703125" style="15" customWidth="1"/>
    <col min="9987" max="9987" width="12.42578125" style="15" customWidth="1"/>
    <col min="9988" max="9988" width="15.140625" style="15" customWidth="1"/>
    <col min="9989" max="9989" width="13.5703125" style="15" customWidth="1"/>
    <col min="9990" max="9990" width="13.140625" style="15" customWidth="1"/>
    <col min="9991" max="9991" width="15.7109375" style="15" customWidth="1"/>
    <col min="9992" max="9992" width="37.5703125" style="15" customWidth="1"/>
    <col min="9993" max="10214" width="11.42578125" style="15"/>
    <col min="10215" max="10215" width="10.5703125" style="15" customWidth="1"/>
    <col min="10216" max="10216" width="4.85546875" style="15" customWidth="1"/>
    <col min="10217" max="10217" width="32.42578125" style="15" customWidth="1"/>
    <col min="10218" max="10218" width="9.85546875" style="15" customWidth="1"/>
    <col min="10219" max="10219" width="10.140625" style="15" customWidth="1"/>
    <col min="10220" max="10220" width="12.28515625" style="15" customWidth="1"/>
    <col min="10221" max="10221" width="15.42578125" style="15" customWidth="1"/>
    <col min="10222" max="10222" width="11.85546875" style="15" customWidth="1"/>
    <col min="10223" max="10223" width="13.28515625" style="15" customWidth="1"/>
    <col min="10224" max="10224" width="15.28515625" style="15" customWidth="1"/>
    <col min="10225" max="10225" width="11.85546875" style="15" customWidth="1"/>
    <col min="10226" max="10226" width="6.140625" style="15" customWidth="1"/>
    <col min="10227" max="10227" width="11.85546875" style="15" customWidth="1"/>
    <col min="10228" max="10228" width="9.42578125" style="15" customWidth="1"/>
    <col min="10229" max="10229" width="14.7109375" style="15" customWidth="1"/>
    <col min="10230" max="10230" width="11.5703125" style="15" customWidth="1"/>
    <col min="10231" max="10231" width="0.42578125" style="15" customWidth="1"/>
    <col min="10232" max="10232" width="10.5703125" style="15" bestFit="1" customWidth="1"/>
    <col min="10233" max="10233" width="12.28515625" style="15" customWidth="1"/>
    <col min="10234" max="10234" width="12.5703125" style="15" customWidth="1"/>
    <col min="10235" max="10235" width="10.5703125" style="15" customWidth="1"/>
    <col min="10236" max="10236" width="10.140625" style="15" customWidth="1"/>
    <col min="10237" max="10237" width="8.42578125" style="15" customWidth="1"/>
    <col min="10238" max="10238" width="18.85546875" style="15" customWidth="1"/>
    <col min="10239" max="10239" width="10.28515625" style="15" customWidth="1"/>
    <col min="10240" max="10240" width="11.42578125" style="15"/>
    <col min="10241" max="10241" width="12.140625" style="15" customWidth="1"/>
    <col min="10242" max="10242" width="10.5703125" style="15" customWidth="1"/>
    <col min="10243" max="10243" width="12.42578125" style="15" customWidth="1"/>
    <col min="10244" max="10244" width="15.140625" style="15" customWidth="1"/>
    <col min="10245" max="10245" width="13.5703125" style="15" customWidth="1"/>
    <col min="10246" max="10246" width="13.140625" style="15" customWidth="1"/>
    <col min="10247" max="10247" width="15.7109375" style="15" customWidth="1"/>
    <col min="10248" max="10248" width="37.5703125" style="15" customWidth="1"/>
    <col min="10249" max="10470" width="11.42578125" style="15"/>
    <col min="10471" max="10471" width="10.5703125" style="15" customWidth="1"/>
    <col min="10472" max="10472" width="4.85546875" style="15" customWidth="1"/>
    <col min="10473" max="10473" width="32.42578125" style="15" customWidth="1"/>
    <col min="10474" max="10474" width="9.85546875" style="15" customWidth="1"/>
    <col min="10475" max="10475" width="10.140625" style="15" customWidth="1"/>
    <col min="10476" max="10476" width="12.28515625" style="15" customWidth="1"/>
    <col min="10477" max="10477" width="15.42578125" style="15" customWidth="1"/>
    <col min="10478" max="10478" width="11.85546875" style="15" customWidth="1"/>
    <col min="10479" max="10479" width="13.28515625" style="15" customWidth="1"/>
    <col min="10480" max="10480" width="15.28515625" style="15" customWidth="1"/>
    <col min="10481" max="10481" width="11.85546875" style="15" customWidth="1"/>
    <col min="10482" max="10482" width="6.140625" style="15" customWidth="1"/>
    <col min="10483" max="10483" width="11.85546875" style="15" customWidth="1"/>
    <col min="10484" max="10484" width="9.42578125" style="15" customWidth="1"/>
    <col min="10485" max="10485" width="14.7109375" style="15" customWidth="1"/>
    <col min="10486" max="10486" width="11.5703125" style="15" customWidth="1"/>
    <col min="10487" max="10487" width="0.42578125" style="15" customWidth="1"/>
    <col min="10488" max="10488" width="10.5703125" style="15" bestFit="1" customWidth="1"/>
    <col min="10489" max="10489" width="12.28515625" style="15" customWidth="1"/>
    <col min="10490" max="10490" width="12.5703125" style="15" customWidth="1"/>
    <col min="10491" max="10491" width="10.5703125" style="15" customWidth="1"/>
    <col min="10492" max="10492" width="10.140625" style="15" customWidth="1"/>
    <col min="10493" max="10493" width="8.42578125" style="15" customWidth="1"/>
    <col min="10494" max="10494" width="18.85546875" style="15" customWidth="1"/>
    <col min="10495" max="10495" width="10.28515625" style="15" customWidth="1"/>
    <col min="10496" max="10496" width="11.42578125" style="15"/>
    <col min="10497" max="10497" width="12.140625" style="15" customWidth="1"/>
    <col min="10498" max="10498" width="10.5703125" style="15" customWidth="1"/>
    <col min="10499" max="10499" width="12.42578125" style="15" customWidth="1"/>
    <col min="10500" max="10500" width="15.140625" style="15" customWidth="1"/>
    <col min="10501" max="10501" width="13.5703125" style="15" customWidth="1"/>
    <col min="10502" max="10502" width="13.140625" style="15" customWidth="1"/>
    <col min="10503" max="10503" width="15.7109375" style="15" customWidth="1"/>
    <col min="10504" max="10504" width="37.5703125" style="15" customWidth="1"/>
    <col min="10505" max="10726" width="11.42578125" style="15"/>
    <col min="10727" max="10727" width="10.5703125" style="15" customWidth="1"/>
    <col min="10728" max="10728" width="4.85546875" style="15" customWidth="1"/>
    <col min="10729" max="10729" width="32.42578125" style="15" customWidth="1"/>
    <col min="10730" max="10730" width="9.85546875" style="15" customWidth="1"/>
    <col min="10731" max="10731" width="10.140625" style="15" customWidth="1"/>
    <col min="10732" max="10732" width="12.28515625" style="15" customWidth="1"/>
    <col min="10733" max="10733" width="15.42578125" style="15" customWidth="1"/>
    <col min="10734" max="10734" width="11.85546875" style="15" customWidth="1"/>
    <col min="10735" max="10735" width="13.28515625" style="15" customWidth="1"/>
    <col min="10736" max="10736" width="15.28515625" style="15" customWidth="1"/>
    <col min="10737" max="10737" width="11.85546875" style="15" customWidth="1"/>
    <col min="10738" max="10738" width="6.140625" style="15" customWidth="1"/>
    <col min="10739" max="10739" width="11.85546875" style="15" customWidth="1"/>
    <col min="10740" max="10740" width="9.42578125" style="15" customWidth="1"/>
    <col min="10741" max="10741" width="14.7109375" style="15" customWidth="1"/>
    <col min="10742" max="10742" width="11.5703125" style="15" customWidth="1"/>
    <col min="10743" max="10743" width="0.42578125" style="15" customWidth="1"/>
    <col min="10744" max="10744" width="10.5703125" style="15" bestFit="1" customWidth="1"/>
    <col min="10745" max="10745" width="12.28515625" style="15" customWidth="1"/>
    <col min="10746" max="10746" width="12.5703125" style="15" customWidth="1"/>
    <col min="10747" max="10747" width="10.5703125" style="15" customWidth="1"/>
    <col min="10748" max="10748" width="10.140625" style="15" customWidth="1"/>
    <col min="10749" max="10749" width="8.42578125" style="15" customWidth="1"/>
    <col min="10750" max="10750" width="18.85546875" style="15" customWidth="1"/>
    <col min="10751" max="10751" width="10.28515625" style="15" customWidth="1"/>
    <col min="10752" max="10752" width="11.42578125" style="15"/>
    <col min="10753" max="10753" width="12.140625" style="15" customWidth="1"/>
    <col min="10754" max="10754" width="10.5703125" style="15" customWidth="1"/>
    <col min="10755" max="10755" width="12.42578125" style="15" customWidth="1"/>
    <col min="10756" max="10756" width="15.140625" style="15" customWidth="1"/>
    <col min="10757" max="10757" width="13.5703125" style="15" customWidth="1"/>
    <col min="10758" max="10758" width="13.140625" style="15" customWidth="1"/>
    <col min="10759" max="10759" width="15.7109375" style="15" customWidth="1"/>
    <col min="10760" max="10760" width="37.5703125" style="15" customWidth="1"/>
    <col min="10761" max="10982" width="11.42578125" style="15"/>
    <col min="10983" max="10983" width="10.5703125" style="15" customWidth="1"/>
    <col min="10984" max="10984" width="4.85546875" style="15" customWidth="1"/>
    <col min="10985" max="10985" width="32.42578125" style="15" customWidth="1"/>
    <col min="10986" max="10986" width="9.85546875" style="15" customWidth="1"/>
    <col min="10987" max="10987" width="10.140625" style="15" customWidth="1"/>
    <col min="10988" max="10988" width="12.28515625" style="15" customWidth="1"/>
    <col min="10989" max="10989" width="15.42578125" style="15" customWidth="1"/>
    <col min="10990" max="10990" width="11.85546875" style="15" customWidth="1"/>
    <col min="10991" max="10991" width="13.28515625" style="15" customWidth="1"/>
    <col min="10992" max="10992" width="15.28515625" style="15" customWidth="1"/>
    <col min="10993" max="10993" width="11.85546875" style="15" customWidth="1"/>
    <col min="10994" max="10994" width="6.140625" style="15" customWidth="1"/>
    <col min="10995" max="10995" width="11.85546875" style="15" customWidth="1"/>
    <col min="10996" max="10996" width="9.42578125" style="15" customWidth="1"/>
    <col min="10997" max="10997" width="14.7109375" style="15" customWidth="1"/>
    <col min="10998" max="10998" width="11.5703125" style="15" customWidth="1"/>
    <col min="10999" max="10999" width="0.42578125" style="15" customWidth="1"/>
    <col min="11000" max="11000" width="10.5703125" style="15" bestFit="1" customWidth="1"/>
    <col min="11001" max="11001" width="12.28515625" style="15" customWidth="1"/>
    <col min="11002" max="11002" width="12.5703125" style="15" customWidth="1"/>
    <col min="11003" max="11003" width="10.5703125" style="15" customWidth="1"/>
    <col min="11004" max="11004" width="10.140625" style="15" customWidth="1"/>
    <col min="11005" max="11005" width="8.42578125" style="15" customWidth="1"/>
    <col min="11006" max="11006" width="18.85546875" style="15" customWidth="1"/>
    <col min="11007" max="11007" width="10.28515625" style="15" customWidth="1"/>
    <col min="11008" max="11008" width="11.42578125" style="15"/>
    <col min="11009" max="11009" width="12.140625" style="15" customWidth="1"/>
    <col min="11010" max="11010" width="10.5703125" style="15" customWidth="1"/>
    <col min="11011" max="11011" width="12.42578125" style="15" customWidth="1"/>
    <col min="11012" max="11012" width="15.140625" style="15" customWidth="1"/>
    <col min="11013" max="11013" width="13.5703125" style="15" customWidth="1"/>
    <col min="11014" max="11014" width="13.140625" style="15" customWidth="1"/>
    <col min="11015" max="11015" width="15.7109375" style="15" customWidth="1"/>
    <col min="11016" max="11016" width="37.5703125" style="15" customWidth="1"/>
    <col min="11017" max="11238" width="11.42578125" style="15"/>
    <col min="11239" max="11239" width="10.5703125" style="15" customWidth="1"/>
    <col min="11240" max="11240" width="4.85546875" style="15" customWidth="1"/>
    <col min="11241" max="11241" width="32.42578125" style="15" customWidth="1"/>
    <col min="11242" max="11242" width="9.85546875" style="15" customWidth="1"/>
    <col min="11243" max="11243" width="10.140625" style="15" customWidth="1"/>
    <col min="11244" max="11244" width="12.28515625" style="15" customWidth="1"/>
    <col min="11245" max="11245" width="15.42578125" style="15" customWidth="1"/>
    <col min="11246" max="11246" width="11.85546875" style="15" customWidth="1"/>
    <col min="11247" max="11247" width="13.28515625" style="15" customWidth="1"/>
    <col min="11248" max="11248" width="15.28515625" style="15" customWidth="1"/>
    <col min="11249" max="11249" width="11.85546875" style="15" customWidth="1"/>
    <col min="11250" max="11250" width="6.140625" style="15" customWidth="1"/>
    <col min="11251" max="11251" width="11.85546875" style="15" customWidth="1"/>
    <col min="11252" max="11252" width="9.42578125" style="15" customWidth="1"/>
    <col min="11253" max="11253" width="14.7109375" style="15" customWidth="1"/>
    <col min="11254" max="11254" width="11.5703125" style="15" customWidth="1"/>
    <col min="11255" max="11255" width="0.42578125" style="15" customWidth="1"/>
    <col min="11256" max="11256" width="10.5703125" style="15" bestFit="1" customWidth="1"/>
    <col min="11257" max="11257" width="12.28515625" style="15" customWidth="1"/>
    <col min="11258" max="11258" width="12.5703125" style="15" customWidth="1"/>
    <col min="11259" max="11259" width="10.5703125" style="15" customWidth="1"/>
    <col min="11260" max="11260" width="10.140625" style="15" customWidth="1"/>
    <col min="11261" max="11261" width="8.42578125" style="15" customWidth="1"/>
    <col min="11262" max="11262" width="18.85546875" style="15" customWidth="1"/>
    <col min="11263" max="11263" width="10.28515625" style="15" customWidth="1"/>
    <col min="11264" max="11264" width="11.42578125" style="15"/>
    <col min="11265" max="11265" width="12.140625" style="15" customWidth="1"/>
    <col min="11266" max="11266" width="10.5703125" style="15" customWidth="1"/>
    <col min="11267" max="11267" width="12.42578125" style="15" customWidth="1"/>
    <col min="11268" max="11268" width="15.140625" style="15" customWidth="1"/>
    <col min="11269" max="11269" width="13.5703125" style="15" customWidth="1"/>
    <col min="11270" max="11270" width="13.140625" style="15" customWidth="1"/>
    <col min="11271" max="11271" width="15.7109375" style="15" customWidth="1"/>
    <col min="11272" max="11272" width="37.5703125" style="15" customWidth="1"/>
    <col min="11273" max="11494" width="11.42578125" style="15"/>
    <col min="11495" max="11495" width="10.5703125" style="15" customWidth="1"/>
    <col min="11496" max="11496" width="4.85546875" style="15" customWidth="1"/>
    <col min="11497" max="11497" width="32.42578125" style="15" customWidth="1"/>
    <col min="11498" max="11498" width="9.85546875" style="15" customWidth="1"/>
    <col min="11499" max="11499" width="10.140625" style="15" customWidth="1"/>
    <col min="11500" max="11500" width="12.28515625" style="15" customWidth="1"/>
    <col min="11501" max="11501" width="15.42578125" style="15" customWidth="1"/>
    <col min="11502" max="11502" width="11.85546875" style="15" customWidth="1"/>
    <col min="11503" max="11503" width="13.28515625" style="15" customWidth="1"/>
    <col min="11504" max="11504" width="15.28515625" style="15" customWidth="1"/>
    <col min="11505" max="11505" width="11.85546875" style="15" customWidth="1"/>
    <col min="11506" max="11506" width="6.140625" style="15" customWidth="1"/>
    <col min="11507" max="11507" width="11.85546875" style="15" customWidth="1"/>
    <col min="11508" max="11508" width="9.42578125" style="15" customWidth="1"/>
    <col min="11509" max="11509" width="14.7109375" style="15" customWidth="1"/>
    <col min="11510" max="11510" width="11.5703125" style="15" customWidth="1"/>
    <col min="11511" max="11511" width="0.42578125" style="15" customWidth="1"/>
    <col min="11512" max="11512" width="10.5703125" style="15" bestFit="1" customWidth="1"/>
    <col min="11513" max="11513" width="12.28515625" style="15" customWidth="1"/>
    <col min="11514" max="11514" width="12.5703125" style="15" customWidth="1"/>
    <col min="11515" max="11515" width="10.5703125" style="15" customWidth="1"/>
    <col min="11516" max="11516" width="10.140625" style="15" customWidth="1"/>
    <col min="11517" max="11517" width="8.42578125" style="15" customWidth="1"/>
    <col min="11518" max="11518" width="18.85546875" style="15" customWidth="1"/>
    <col min="11519" max="11519" width="10.28515625" style="15" customWidth="1"/>
    <col min="11520" max="11520" width="11.42578125" style="15"/>
    <col min="11521" max="11521" width="12.140625" style="15" customWidth="1"/>
    <col min="11522" max="11522" width="10.5703125" style="15" customWidth="1"/>
    <col min="11523" max="11523" width="12.42578125" style="15" customWidth="1"/>
    <col min="11524" max="11524" width="15.140625" style="15" customWidth="1"/>
    <col min="11525" max="11525" width="13.5703125" style="15" customWidth="1"/>
    <col min="11526" max="11526" width="13.140625" style="15" customWidth="1"/>
    <col min="11527" max="11527" width="15.7109375" style="15" customWidth="1"/>
    <col min="11528" max="11528" width="37.5703125" style="15" customWidth="1"/>
    <col min="11529" max="11750" width="11.42578125" style="15"/>
    <col min="11751" max="11751" width="10.5703125" style="15" customWidth="1"/>
    <col min="11752" max="11752" width="4.85546875" style="15" customWidth="1"/>
    <col min="11753" max="11753" width="32.42578125" style="15" customWidth="1"/>
    <col min="11754" max="11754" width="9.85546875" style="15" customWidth="1"/>
    <col min="11755" max="11755" width="10.140625" style="15" customWidth="1"/>
    <col min="11756" max="11756" width="12.28515625" style="15" customWidth="1"/>
    <col min="11757" max="11757" width="15.42578125" style="15" customWidth="1"/>
    <col min="11758" max="11758" width="11.85546875" style="15" customWidth="1"/>
    <col min="11759" max="11759" width="13.28515625" style="15" customWidth="1"/>
    <col min="11760" max="11760" width="15.28515625" style="15" customWidth="1"/>
    <col min="11761" max="11761" width="11.85546875" style="15" customWidth="1"/>
    <col min="11762" max="11762" width="6.140625" style="15" customWidth="1"/>
    <col min="11763" max="11763" width="11.85546875" style="15" customWidth="1"/>
    <col min="11764" max="11764" width="9.42578125" style="15" customWidth="1"/>
    <col min="11765" max="11765" width="14.7109375" style="15" customWidth="1"/>
    <col min="11766" max="11766" width="11.5703125" style="15" customWidth="1"/>
    <col min="11767" max="11767" width="0.42578125" style="15" customWidth="1"/>
    <col min="11768" max="11768" width="10.5703125" style="15" bestFit="1" customWidth="1"/>
    <col min="11769" max="11769" width="12.28515625" style="15" customWidth="1"/>
    <col min="11770" max="11770" width="12.5703125" style="15" customWidth="1"/>
    <col min="11771" max="11771" width="10.5703125" style="15" customWidth="1"/>
    <col min="11772" max="11772" width="10.140625" style="15" customWidth="1"/>
    <col min="11773" max="11773" width="8.42578125" style="15" customWidth="1"/>
    <col min="11774" max="11774" width="18.85546875" style="15" customWidth="1"/>
    <col min="11775" max="11775" width="10.28515625" style="15" customWidth="1"/>
    <col min="11776" max="11776" width="11.42578125" style="15"/>
    <col min="11777" max="11777" width="12.140625" style="15" customWidth="1"/>
    <col min="11778" max="11778" width="10.5703125" style="15" customWidth="1"/>
    <col min="11779" max="11779" width="12.42578125" style="15" customWidth="1"/>
    <col min="11780" max="11780" width="15.140625" style="15" customWidth="1"/>
    <col min="11781" max="11781" width="13.5703125" style="15" customWidth="1"/>
    <col min="11782" max="11782" width="13.140625" style="15" customWidth="1"/>
    <col min="11783" max="11783" width="15.7109375" style="15" customWidth="1"/>
    <col min="11784" max="11784" width="37.5703125" style="15" customWidth="1"/>
    <col min="11785" max="12006" width="11.42578125" style="15"/>
    <col min="12007" max="12007" width="10.5703125" style="15" customWidth="1"/>
    <col min="12008" max="12008" width="4.85546875" style="15" customWidth="1"/>
    <col min="12009" max="12009" width="32.42578125" style="15" customWidth="1"/>
    <col min="12010" max="12010" width="9.85546875" style="15" customWidth="1"/>
    <col min="12011" max="12011" width="10.140625" style="15" customWidth="1"/>
    <col min="12012" max="12012" width="12.28515625" style="15" customWidth="1"/>
    <col min="12013" max="12013" width="15.42578125" style="15" customWidth="1"/>
    <col min="12014" max="12014" width="11.85546875" style="15" customWidth="1"/>
    <col min="12015" max="12015" width="13.28515625" style="15" customWidth="1"/>
    <col min="12016" max="12016" width="15.28515625" style="15" customWidth="1"/>
    <col min="12017" max="12017" width="11.85546875" style="15" customWidth="1"/>
    <col min="12018" max="12018" width="6.140625" style="15" customWidth="1"/>
    <col min="12019" max="12019" width="11.85546875" style="15" customWidth="1"/>
    <col min="12020" max="12020" width="9.42578125" style="15" customWidth="1"/>
    <col min="12021" max="12021" width="14.7109375" style="15" customWidth="1"/>
    <col min="12022" max="12022" width="11.5703125" style="15" customWidth="1"/>
    <col min="12023" max="12023" width="0.42578125" style="15" customWidth="1"/>
    <col min="12024" max="12024" width="10.5703125" style="15" bestFit="1" customWidth="1"/>
    <col min="12025" max="12025" width="12.28515625" style="15" customWidth="1"/>
    <col min="12026" max="12026" width="12.5703125" style="15" customWidth="1"/>
    <col min="12027" max="12027" width="10.5703125" style="15" customWidth="1"/>
    <col min="12028" max="12028" width="10.140625" style="15" customWidth="1"/>
    <col min="12029" max="12029" width="8.42578125" style="15" customWidth="1"/>
    <col min="12030" max="12030" width="18.85546875" style="15" customWidth="1"/>
    <col min="12031" max="12031" width="10.28515625" style="15" customWidth="1"/>
    <col min="12032" max="12032" width="11.42578125" style="15"/>
    <col min="12033" max="12033" width="12.140625" style="15" customWidth="1"/>
    <col min="12034" max="12034" width="10.5703125" style="15" customWidth="1"/>
    <col min="12035" max="12035" width="12.42578125" style="15" customWidth="1"/>
    <col min="12036" max="12036" width="15.140625" style="15" customWidth="1"/>
    <col min="12037" max="12037" width="13.5703125" style="15" customWidth="1"/>
    <col min="12038" max="12038" width="13.140625" style="15" customWidth="1"/>
    <col min="12039" max="12039" width="15.7109375" style="15" customWidth="1"/>
    <col min="12040" max="12040" width="37.5703125" style="15" customWidth="1"/>
    <col min="12041" max="12262" width="11.42578125" style="15"/>
    <col min="12263" max="12263" width="10.5703125" style="15" customWidth="1"/>
    <col min="12264" max="12264" width="4.85546875" style="15" customWidth="1"/>
    <col min="12265" max="12265" width="32.42578125" style="15" customWidth="1"/>
    <col min="12266" max="12266" width="9.85546875" style="15" customWidth="1"/>
    <col min="12267" max="12267" width="10.140625" style="15" customWidth="1"/>
    <col min="12268" max="12268" width="12.28515625" style="15" customWidth="1"/>
    <col min="12269" max="12269" width="15.42578125" style="15" customWidth="1"/>
    <col min="12270" max="12270" width="11.85546875" style="15" customWidth="1"/>
    <col min="12271" max="12271" width="13.28515625" style="15" customWidth="1"/>
    <col min="12272" max="12272" width="15.28515625" style="15" customWidth="1"/>
    <col min="12273" max="12273" width="11.85546875" style="15" customWidth="1"/>
    <col min="12274" max="12274" width="6.140625" style="15" customWidth="1"/>
    <col min="12275" max="12275" width="11.85546875" style="15" customWidth="1"/>
    <col min="12276" max="12276" width="9.42578125" style="15" customWidth="1"/>
    <col min="12277" max="12277" width="14.7109375" style="15" customWidth="1"/>
    <col min="12278" max="12278" width="11.5703125" style="15" customWidth="1"/>
    <col min="12279" max="12279" width="0.42578125" style="15" customWidth="1"/>
    <col min="12280" max="12280" width="10.5703125" style="15" bestFit="1" customWidth="1"/>
    <col min="12281" max="12281" width="12.28515625" style="15" customWidth="1"/>
    <col min="12282" max="12282" width="12.5703125" style="15" customWidth="1"/>
    <col min="12283" max="12283" width="10.5703125" style="15" customWidth="1"/>
    <col min="12284" max="12284" width="10.140625" style="15" customWidth="1"/>
    <col min="12285" max="12285" width="8.42578125" style="15" customWidth="1"/>
    <col min="12286" max="12286" width="18.85546875" style="15" customWidth="1"/>
    <col min="12287" max="12287" width="10.28515625" style="15" customWidth="1"/>
    <col min="12288" max="12288" width="11.42578125" style="15"/>
    <col min="12289" max="12289" width="12.140625" style="15" customWidth="1"/>
    <col min="12290" max="12290" width="10.5703125" style="15" customWidth="1"/>
    <col min="12291" max="12291" width="12.42578125" style="15" customWidth="1"/>
    <col min="12292" max="12292" width="15.140625" style="15" customWidth="1"/>
    <col min="12293" max="12293" width="13.5703125" style="15" customWidth="1"/>
    <col min="12294" max="12294" width="13.140625" style="15" customWidth="1"/>
    <col min="12295" max="12295" width="15.7109375" style="15" customWidth="1"/>
    <col min="12296" max="12296" width="37.5703125" style="15" customWidth="1"/>
    <col min="12297" max="12518" width="11.42578125" style="15"/>
    <col min="12519" max="12519" width="10.5703125" style="15" customWidth="1"/>
    <col min="12520" max="12520" width="4.85546875" style="15" customWidth="1"/>
    <col min="12521" max="12521" width="32.42578125" style="15" customWidth="1"/>
    <col min="12522" max="12522" width="9.85546875" style="15" customWidth="1"/>
    <col min="12523" max="12523" width="10.140625" style="15" customWidth="1"/>
    <col min="12524" max="12524" width="12.28515625" style="15" customWidth="1"/>
    <col min="12525" max="12525" width="15.42578125" style="15" customWidth="1"/>
    <col min="12526" max="12526" width="11.85546875" style="15" customWidth="1"/>
    <col min="12527" max="12527" width="13.28515625" style="15" customWidth="1"/>
    <col min="12528" max="12528" width="15.28515625" style="15" customWidth="1"/>
    <col min="12529" max="12529" width="11.85546875" style="15" customWidth="1"/>
    <col min="12530" max="12530" width="6.140625" style="15" customWidth="1"/>
    <col min="12531" max="12531" width="11.85546875" style="15" customWidth="1"/>
    <col min="12532" max="12532" width="9.42578125" style="15" customWidth="1"/>
    <col min="12533" max="12533" width="14.7109375" style="15" customWidth="1"/>
    <col min="12534" max="12534" width="11.5703125" style="15" customWidth="1"/>
    <col min="12535" max="12535" width="0.42578125" style="15" customWidth="1"/>
    <col min="12536" max="12536" width="10.5703125" style="15" bestFit="1" customWidth="1"/>
    <col min="12537" max="12537" width="12.28515625" style="15" customWidth="1"/>
    <col min="12538" max="12538" width="12.5703125" style="15" customWidth="1"/>
    <col min="12539" max="12539" width="10.5703125" style="15" customWidth="1"/>
    <col min="12540" max="12540" width="10.140625" style="15" customWidth="1"/>
    <col min="12541" max="12541" width="8.42578125" style="15" customWidth="1"/>
    <col min="12542" max="12542" width="18.85546875" style="15" customWidth="1"/>
    <col min="12543" max="12543" width="10.28515625" style="15" customWidth="1"/>
    <col min="12544" max="12544" width="11.42578125" style="15"/>
    <col min="12545" max="12545" width="12.140625" style="15" customWidth="1"/>
    <col min="12546" max="12546" width="10.5703125" style="15" customWidth="1"/>
    <col min="12547" max="12547" width="12.42578125" style="15" customWidth="1"/>
    <col min="12548" max="12548" width="15.140625" style="15" customWidth="1"/>
    <col min="12549" max="12549" width="13.5703125" style="15" customWidth="1"/>
    <col min="12550" max="12550" width="13.140625" style="15" customWidth="1"/>
    <col min="12551" max="12551" width="15.7109375" style="15" customWidth="1"/>
    <col min="12552" max="12552" width="37.5703125" style="15" customWidth="1"/>
    <col min="12553" max="12774" width="11.42578125" style="15"/>
    <col min="12775" max="12775" width="10.5703125" style="15" customWidth="1"/>
    <col min="12776" max="12776" width="4.85546875" style="15" customWidth="1"/>
    <col min="12777" max="12777" width="32.42578125" style="15" customWidth="1"/>
    <col min="12778" max="12778" width="9.85546875" style="15" customWidth="1"/>
    <col min="12779" max="12779" width="10.140625" style="15" customWidth="1"/>
    <col min="12780" max="12780" width="12.28515625" style="15" customWidth="1"/>
    <col min="12781" max="12781" width="15.42578125" style="15" customWidth="1"/>
    <col min="12782" max="12782" width="11.85546875" style="15" customWidth="1"/>
    <col min="12783" max="12783" width="13.28515625" style="15" customWidth="1"/>
    <col min="12784" max="12784" width="15.28515625" style="15" customWidth="1"/>
    <col min="12785" max="12785" width="11.85546875" style="15" customWidth="1"/>
    <col min="12786" max="12786" width="6.140625" style="15" customWidth="1"/>
    <col min="12787" max="12787" width="11.85546875" style="15" customWidth="1"/>
    <col min="12788" max="12788" width="9.42578125" style="15" customWidth="1"/>
    <col min="12789" max="12789" width="14.7109375" style="15" customWidth="1"/>
    <col min="12790" max="12790" width="11.5703125" style="15" customWidth="1"/>
    <col min="12791" max="12791" width="0.42578125" style="15" customWidth="1"/>
    <col min="12792" max="12792" width="10.5703125" style="15" bestFit="1" customWidth="1"/>
    <col min="12793" max="12793" width="12.28515625" style="15" customWidth="1"/>
    <col min="12794" max="12794" width="12.5703125" style="15" customWidth="1"/>
    <col min="12795" max="12795" width="10.5703125" style="15" customWidth="1"/>
    <col min="12796" max="12796" width="10.140625" style="15" customWidth="1"/>
    <col min="12797" max="12797" width="8.42578125" style="15" customWidth="1"/>
    <col min="12798" max="12798" width="18.85546875" style="15" customWidth="1"/>
    <col min="12799" max="12799" width="10.28515625" style="15" customWidth="1"/>
    <col min="12800" max="12800" width="11.42578125" style="15"/>
    <col min="12801" max="12801" width="12.140625" style="15" customWidth="1"/>
    <col min="12802" max="12802" width="10.5703125" style="15" customWidth="1"/>
    <col min="12803" max="12803" width="12.42578125" style="15" customWidth="1"/>
    <col min="12804" max="12804" width="15.140625" style="15" customWidth="1"/>
    <col min="12805" max="12805" width="13.5703125" style="15" customWidth="1"/>
    <col min="12806" max="12806" width="13.140625" style="15" customWidth="1"/>
    <col min="12807" max="12807" width="15.7109375" style="15" customWidth="1"/>
    <col min="12808" max="12808" width="37.5703125" style="15" customWidth="1"/>
    <col min="12809" max="13030" width="11.42578125" style="15"/>
    <col min="13031" max="13031" width="10.5703125" style="15" customWidth="1"/>
    <col min="13032" max="13032" width="4.85546875" style="15" customWidth="1"/>
    <col min="13033" max="13033" width="32.42578125" style="15" customWidth="1"/>
    <col min="13034" max="13034" width="9.85546875" style="15" customWidth="1"/>
    <col min="13035" max="13035" width="10.140625" style="15" customWidth="1"/>
    <col min="13036" max="13036" width="12.28515625" style="15" customWidth="1"/>
    <col min="13037" max="13037" width="15.42578125" style="15" customWidth="1"/>
    <col min="13038" max="13038" width="11.85546875" style="15" customWidth="1"/>
    <col min="13039" max="13039" width="13.28515625" style="15" customWidth="1"/>
    <col min="13040" max="13040" width="15.28515625" style="15" customWidth="1"/>
    <col min="13041" max="13041" width="11.85546875" style="15" customWidth="1"/>
    <col min="13042" max="13042" width="6.140625" style="15" customWidth="1"/>
    <col min="13043" max="13043" width="11.85546875" style="15" customWidth="1"/>
    <col min="13044" max="13044" width="9.42578125" style="15" customWidth="1"/>
    <col min="13045" max="13045" width="14.7109375" style="15" customWidth="1"/>
    <col min="13046" max="13046" width="11.5703125" style="15" customWidth="1"/>
    <col min="13047" max="13047" width="0.42578125" style="15" customWidth="1"/>
    <col min="13048" max="13048" width="10.5703125" style="15" bestFit="1" customWidth="1"/>
    <col min="13049" max="13049" width="12.28515625" style="15" customWidth="1"/>
    <col min="13050" max="13050" width="12.5703125" style="15" customWidth="1"/>
    <col min="13051" max="13051" width="10.5703125" style="15" customWidth="1"/>
    <col min="13052" max="13052" width="10.140625" style="15" customWidth="1"/>
    <col min="13053" max="13053" width="8.42578125" style="15" customWidth="1"/>
    <col min="13054" max="13054" width="18.85546875" style="15" customWidth="1"/>
    <col min="13055" max="13055" width="10.28515625" style="15" customWidth="1"/>
    <col min="13056" max="13056" width="11.42578125" style="15"/>
    <col min="13057" max="13057" width="12.140625" style="15" customWidth="1"/>
    <col min="13058" max="13058" width="10.5703125" style="15" customWidth="1"/>
    <col min="13059" max="13059" width="12.42578125" style="15" customWidth="1"/>
    <col min="13060" max="13060" width="15.140625" style="15" customWidth="1"/>
    <col min="13061" max="13061" width="13.5703125" style="15" customWidth="1"/>
    <col min="13062" max="13062" width="13.140625" style="15" customWidth="1"/>
    <col min="13063" max="13063" width="15.7109375" style="15" customWidth="1"/>
    <col min="13064" max="13064" width="37.5703125" style="15" customWidth="1"/>
    <col min="13065" max="13286" width="11.42578125" style="15"/>
    <col min="13287" max="13287" width="10.5703125" style="15" customWidth="1"/>
    <col min="13288" max="13288" width="4.85546875" style="15" customWidth="1"/>
    <col min="13289" max="13289" width="32.42578125" style="15" customWidth="1"/>
    <col min="13290" max="13290" width="9.85546875" style="15" customWidth="1"/>
    <col min="13291" max="13291" width="10.140625" style="15" customWidth="1"/>
    <col min="13292" max="13292" width="12.28515625" style="15" customWidth="1"/>
    <col min="13293" max="13293" width="15.42578125" style="15" customWidth="1"/>
    <col min="13294" max="13294" width="11.85546875" style="15" customWidth="1"/>
    <col min="13295" max="13295" width="13.28515625" style="15" customWidth="1"/>
    <col min="13296" max="13296" width="15.28515625" style="15" customWidth="1"/>
    <col min="13297" max="13297" width="11.85546875" style="15" customWidth="1"/>
    <col min="13298" max="13298" width="6.140625" style="15" customWidth="1"/>
    <col min="13299" max="13299" width="11.85546875" style="15" customWidth="1"/>
    <col min="13300" max="13300" width="9.42578125" style="15" customWidth="1"/>
    <col min="13301" max="13301" width="14.7109375" style="15" customWidth="1"/>
    <col min="13302" max="13302" width="11.5703125" style="15" customWidth="1"/>
    <col min="13303" max="13303" width="0.42578125" style="15" customWidth="1"/>
    <col min="13304" max="13304" width="10.5703125" style="15" bestFit="1" customWidth="1"/>
    <col min="13305" max="13305" width="12.28515625" style="15" customWidth="1"/>
    <col min="13306" max="13306" width="12.5703125" style="15" customWidth="1"/>
    <col min="13307" max="13307" width="10.5703125" style="15" customWidth="1"/>
    <col min="13308" max="13308" width="10.140625" style="15" customWidth="1"/>
    <col min="13309" max="13309" width="8.42578125" style="15" customWidth="1"/>
    <col min="13310" max="13310" width="18.85546875" style="15" customWidth="1"/>
    <col min="13311" max="13311" width="10.28515625" style="15" customWidth="1"/>
    <col min="13312" max="13312" width="11.42578125" style="15"/>
    <col min="13313" max="13313" width="12.140625" style="15" customWidth="1"/>
    <col min="13314" max="13314" width="10.5703125" style="15" customWidth="1"/>
    <col min="13315" max="13315" width="12.42578125" style="15" customWidth="1"/>
    <col min="13316" max="13316" width="15.140625" style="15" customWidth="1"/>
    <col min="13317" max="13317" width="13.5703125" style="15" customWidth="1"/>
    <col min="13318" max="13318" width="13.140625" style="15" customWidth="1"/>
    <col min="13319" max="13319" width="15.7109375" style="15" customWidth="1"/>
    <col min="13320" max="13320" width="37.5703125" style="15" customWidth="1"/>
    <col min="13321" max="13542" width="11.42578125" style="15"/>
    <col min="13543" max="13543" width="10.5703125" style="15" customWidth="1"/>
    <col min="13544" max="13544" width="4.85546875" style="15" customWidth="1"/>
    <col min="13545" max="13545" width="32.42578125" style="15" customWidth="1"/>
    <col min="13546" max="13546" width="9.85546875" style="15" customWidth="1"/>
    <col min="13547" max="13547" width="10.140625" style="15" customWidth="1"/>
    <col min="13548" max="13548" width="12.28515625" style="15" customWidth="1"/>
    <col min="13549" max="13549" width="15.42578125" style="15" customWidth="1"/>
    <col min="13550" max="13550" width="11.85546875" style="15" customWidth="1"/>
    <col min="13551" max="13551" width="13.28515625" style="15" customWidth="1"/>
    <col min="13552" max="13552" width="15.28515625" style="15" customWidth="1"/>
    <col min="13553" max="13553" width="11.85546875" style="15" customWidth="1"/>
    <col min="13554" max="13554" width="6.140625" style="15" customWidth="1"/>
    <col min="13555" max="13555" width="11.85546875" style="15" customWidth="1"/>
    <col min="13556" max="13556" width="9.42578125" style="15" customWidth="1"/>
    <col min="13557" max="13557" width="14.7109375" style="15" customWidth="1"/>
    <col min="13558" max="13558" width="11.5703125" style="15" customWidth="1"/>
    <col min="13559" max="13559" width="0.42578125" style="15" customWidth="1"/>
    <col min="13560" max="13560" width="10.5703125" style="15" bestFit="1" customWidth="1"/>
    <col min="13561" max="13561" width="12.28515625" style="15" customWidth="1"/>
    <col min="13562" max="13562" width="12.5703125" style="15" customWidth="1"/>
    <col min="13563" max="13563" width="10.5703125" style="15" customWidth="1"/>
    <col min="13564" max="13564" width="10.140625" style="15" customWidth="1"/>
    <col min="13565" max="13565" width="8.42578125" style="15" customWidth="1"/>
    <col min="13566" max="13566" width="18.85546875" style="15" customWidth="1"/>
    <col min="13567" max="13567" width="10.28515625" style="15" customWidth="1"/>
    <col min="13568" max="13568" width="11.42578125" style="15"/>
    <col min="13569" max="13569" width="12.140625" style="15" customWidth="1"/>
    <col min="13570" max="13570" width="10.5703125" style="15" customWidth="1"/>
    <col min="13571" max="13571" width="12.42578125" style="15" customWidth="1"/>
    <col min="13572" max="13572" width="15.140625" style="15" customWidth="1"/>
    <col min="13573" max="13573" width="13.5703125" style="15" customWidth="1"/>
    <col min="13574" max="13574" width="13.140625" style="15" customWidth="1"/>
    <col min="13575" max="13575" width="15.7109375" style="15" customWidth="1"/>
    <col min="13576" max="13576" width="37.5703125" style="15" customWidth="1"/>
    <col min="13577" max="13798" width="11.42578125" style="15"/>
    <col min="13799" max="13799" width="10.5703125" style="15" customWidth="1"/>
    <col min="13800" max="13800" width="4.85546875" style="15" customWidth="1"/>
    <col min="13801" max="13801" width="32.42578125" style="15" customWidth="1"/>
    <col min="13802" max="13802" width="9.85546875" style="15" customWidth="1"/>
    <col min="13803" max="13803" width="10.140625" style="15" customWidth="1"/>
    <col min="13804" max="13804" width="12.28515625" style="15" customWidth="1"/>
    <col min="13805" max="13805" width="15.42578125" style="15" customWidth="1"/>
    <col min="13806" max="13806" width="11.85546875" style="15" customWidth="1"/>
    <col min="13807" max="13807" width="13.28515625" style="15" customWidth="1"/>
    <col min="13808" max="13808" width="15.28515625" style="15" customWidth="1"/>
    <col min="13809" max="13809" width="11.85546875" style="15" customWidth="1"/>
    <col min="13810" max="13810" width="6.140625" style="15" customWidth="1"/>
    <col min="13811" max="13811" width="11.85546875" style="15" customWidth="1"/>
    <col min="13812" max="13812" width="9.42578125" style="15" customWidth="1"/>
    <col min="13813" max="13813" width="14.7109375" style="15" customWidth="1"/>
    <col min="13814" max="13814" width="11.5703125" style="15" customWidth="1"/>
    <col min="13815" max="13815" width="0.42578125" style="15" customWidth="1"/>
    <col min="13816" max="13816" width="10.5703125" style="15" bestFit="1" customWidth="1"/>
    <col min="13817" max="13817" width="12.28515625" style="15" customWidth="1"/>
    <col min="13818" max="13818" width="12.5703125" style="15" customWidth="1"/>
    <col min="13819" max="13819" width="10.5703125" style="15" customWidth="1"/>
    <col min="13820" max="13820" width="10.140625" style="15" customWidth="1"/>
    <col min="13821" max="13821" width="8.42578125" style="15" customWidth="1"/>
    <col min="13822" max="13822" width="18.85546875" style="15" customWidth="1"/>
    <col min="13823" max="13823" width="10.28515625" style="15" customWidth="1"/>
    <col min="13824" max="13824" width="11.42578125" style="15"/>
    <col min="13825" max="13825" width="12.140625" style="15" customWidth="1"/>
    <col min="13826" max="13826" width="10.5703125" style="15" customWidth="1"/>
    <col min="13827" max="13827" width="12.42578125" style="15" customWidth="1"/>
    <col min="13828" max="13828" width="15.140625" style="15" customWidth="1"/>
    <col min="13829" max="13829" width="13.5703125" style="15" customWidth="1"/>
    <col min="13830" max="13830" width="13.140625" style="15" customWidth="1"/>
    <col min="13831" max="13831" width="15.7109375" style="15" customWidth="1"/>
    <col min="13832" max="13832" width="37.5703125" style="15" customWidth="1"/>
    <col min="13833" max="14054" width="11.42578125" style="15"/>
    <col min="14055" max="14055" width="10.5703125" style="15" customWidth="1"/>
    <col min="14056" max="14056" width="4.85546875" style="15" customWidth="1"/>
    <col min="14057" max="14057" width="32.42578125" style="15" customWidth="1"/>
    <col min="14058" max="14058" width="9.85546875" style="15" customWidth="1"/>
    <col min="14059" max="14059" width="10.140625" style="15" customWidth="1"/>
    <col min="14060" max="14060" width="12.28515625" style="15" customWidth="1"/>
    <col min="14061" max="14061" width="15.42578125" style="15" customWidth="1"/>
    <col min="14062" max="14062" width="11.85546875" style="15" customWidth="1"/>
    <col min="14063" max="14063" width="13.28515625" style="15" customWidth="1"/>
    <col min="14064" max="14064" width="15.28515625" style="15" customWidth="1"/>
    <col min="14065" max="14065" width="11.85546875" style="15" customWidth="1"/>
    <col min="14066" max="14066" width="6.140625" style="15" customWidth="1"/>
    <col min="14067" max="14067" width="11.85546875" style="15" customWidth="1"/>
    <col min="14068" max="14068" width="9.42578125" style="15" customWidth="1"/>
    <col min="14069" max="14069" width="14.7109375" style="15" customWidth="1"/>
    <col min="14070" max="14070" width="11.5703125" style="15" customWidth="1"/>
    <col min="14071" max="14071" width="0.42578125" style="15" customWidth="1"/>
    <col min="14072" max="14072" width="10.5703125" style="15" bestFit="1" customWidth="1"/>
    <col min="14073" max="14073" width="12.28515625" style="15" customWidth="1"/>
    <col min="14074" max="14074" width="12.5703125" style="15" customWidth="1"/>
    <col min="14075" max="14075" width="10.5703125" style="15" customWidth="1"/>
    <col min="14076" max="14076" width="10.140625" style="15" customWidth="1"/>
    <col min="14077" max="14077" width="8.42578125" style="15" customWidth="1"/>
    <col min="14078" max="14078" width="18.85546875" style="15" customWidth="1"/>
    <col min="14079" max="14079" width="10.28515625" style="15" customWidth="1"/>
    <col min="14080" max="14080" width="11.42578125" style="15"/>
    <col min="14081" max="14081" width="12.140625" style="15" customWidth="1"/>
    <col min="14082" max="14082" width="10.5703125" style="15" customWidth="1"/>
    <col min="14083" max="14083" width="12.42578125" style="15" customWidth="1"/>
    <col min="14084" max="14084" width="15.140625" style="15" customWidth="1"/>
    <col min="14085" max="14085" width="13.5703125" style="15" customWidth="1"/>
    <col min="14086" max="14086" width="13.140625" style="15" customWidth="1"/>
    <col min="14087" max="14087" width="15.7109375" style="15" customWidth="1"/>
    <col min="14088" max="14088" width="37.5703125" style="15" customWidth="1"/>
    <col min="14089" max="14310" width="11.42578125" style="15"/>
    <col min="14311" max="14311" width="10.5703125" style="15" customWidth="1"/>
    <col min="14312" max="14312" width="4.85546875" style="15" customWidth="1"/>
    <col min="14313" max="14313" width="32.42578125" style="15" customWidth="1"/>
    <col min="14314" max="14314" width="9.85546875" style="15" customWidth="1"/>
    <col min="14315" max="14315" width="10.140625" style="15" customWidth="1"/>
    <col min="14316" max="14316" width="12.28515625" style="15" customWidth="1"/>
    <col min="14317" max="14317" width="15.42578125" style="15" customWidth="1"/>
    <col min="14318" max="14318" width="11.85546875" style="15" customWidth="1"/>
    <col min="14319" max="14319" width="13.28515625" style="15" customWidth="1"/>
    <col min="14320" max="14320" width="15.28515625" style="15" customWidth="1"/>
    <col min="14321" max="14321" width="11.85546875" style="15" customWidth="1"/>
    <col min="14322" max="14322" width="6.140625" style="15" customWidth="1"/>
    <col min="14323" max="14323" width="11.85546875" style="15" customWidth="1"/>
    <col min="14324" max="14324" width="9.42578125" style="15" customWidth="1"/>
    <col min="14325" max="14325" width="14.7109375" style="15" customWidth="1"/>
    <col min="14326" max="14326" width="11.5703125" style="15" customWidth="1"/>
    <col min="14327" max="14327" width="0.42578125" style="15" customWidth="1"/>
    <col min="14328" max="14328" width="10.5703125" style="15" bestFit="1" customWidth="1"/>
    <col min="14329" max="14329" width="12.28515625" style="15" customWidth="1"/>
    <col min="14330" max="14330" width="12.5703125" style="15" customWidth="1"/>
    <col min="14331" max="14331" width="10.5703125" style="15" customWidth="1"/>
    <col min="14332" max="14332" width="10.140625" style="15" customWidth="1"/>
    <col min="14333" max="14333" width="8.42578125" style="15" customWidth="1"/>
    <col min="14334" max="14334" width="18.85546875" style="15" customWidth="1"/>
    <col min="14335" max="14335" width="10.28515625" style="15" customWidth="1"/>
    <col min="14336" max="14336" width="11.42578125" style="15"/>
    <col min="14337" max="14337" width="12.140625" style="15" customWidth="1"/>
    <col min="14338" max="14338" width="10.5703125" style="15" customWidth="1"/>
    <col min="14339" max="14339" width="12.42578125" style="15" customWidth="1"/>
    <col min="14340" max="14340" width="15.140625" style="15" customWidth="1"/>
    <col min="14341" max="14341" width="13.5703125" style="15" customWidth="1"/>
    <col min="14342" max="14342" width="13.140625" style="15" customWidth="1"/>
    <col min="14343" max="14343" width="15.7109375" style="15" customWidth="1"/>
    <col min="14344" max="14344" width="37.5703125" style="15" customWidth="1"/>
    <col min="14345" max="14566" width="11.42578125" style="15"/>
    <col min="14567" max="14567" width="10.5703125" style="15" customWidth="1"/>
    <col min="14568" max="14568" width="4.85546875" style="15" customWidth="1"/>
    <col min="14569" max="14569" width="32.42578125" style="15" customWidth="1"/>
    <col min="14570" max="14570" width="9.85546875" style="15" customWidth="1"/>
    <col min="14571" max="14571" width="10.140625" style="15" customWidth="1"/>
    <col min="14572" max="14572" width="12.28515625" style="15" customWidth="1"/>
    <col min="14573" max="14573" width="15.42578125" style="15" customWidth="1"/>
    <col min="14574" max="14574" width="11.85546875" style="15" customWidth="1"/>
    <col min="14575" max="14575" width="13.28515625" style="15" customWidth="1"/>
    <col min="14576" max="14576" width="15.28515625" style="15" customWidth="1"/>
    <col min="14577" max="14577" width="11.85546875" style="15" customWidth="1"/>
    <col min="14578" max="14578" width="6.140625" style="15" customWidth="1"/>
    <col min="14579" max="14579" width="11.85546875" style="15" customWidth="1"/>
    <col min="14580" max="14580" width="9.42578125" style="15" customWidth="1"/>
    <col min="14581" max="14581" width="14.7109375" style="15" customWidth="1"/>
    <col min="14582" max="14582" width="11.5703125" style="15" customWidth="1"/>
    <col min="14583" max="14583" width="0.42578125" style="15" customWidth="1"/>
    <col min="14584" max="14584" width="10.5703125" style="15" bestFit="1" customWidth="1"/>
    <col min="14585" max="14585" width="12.28515625" style="15" customWidth="1"/>
    <col min="14586" max="14586" width="12.5703125" style="15" customWidth="1"/>
    <col min="14587" max="14587" width="10.5703125" style="15" customWidth="1"/>
    <col min="14588" max="14588" width="10.140625" style="15" customWidth="1"/>
    <col min="14589" max="14589" width="8.42578125" style="15" customWidth="1"/>
    <col min="14590" max="14590" width="18.85546875" style="15" customWidth="1"/>
    <col min="14591" max="14591" width="10.28515625" style="15" customWidth="1"/>
    <col min="14592" max="14592" width="11.42578125" style="15"/>
    <col min="14593" max="14593" width="12.140625" style="15" customWidth="1"/>
    <col min="14594" max="14594" width="10.5703125" style="15" customWidth="1"/>
    <col min="14595" max="14595" width="12.42578125" style="15" customWidth="1"/>
    <col min="14596" max="14596" width="15.140625" style="15" customWidth="1"/>
    <col min="14597" max="14597" width="13.5703125" style="15" customWidth="1"/>
    <col min="14598" max="14598" width="13.140625" style="15" customWidth="1"/>
    <col min="14599" max="14599" width="15.7109375" style="15" customWidth="1"/>
    <col min="14600" max="14600" width="37.5703125" style="15" customWidth="1"/>
    <col min="14601" max="14822" width="11.42578125" style="15"/>
    <col min="14823" max="14823" width="10.5703125" style="15" customWidth="1"/>
    <col min="14824" max="14824" width="4.85546875" style="15" customWidth="1"/>
    <col min="14825" max="14825" width="32.42578125" style="15" customWidth="1"/>
    <col min="14826" max="14826" width="9.85546875" style="15" customWidth="1"/>
    <col min="14827" max="14827" width="10.140625" style="15" customWidth="1"/>
    <col min="14828" max="14828" width="12.28515625" style="15" customWidth="1"/>
    <col min="14829" max="14829" width="15.42578125" style="15" customWidth="1"/>
    <col min="14830" max="14830" width="11.85546875" style="15" customWidth="1"/>
    <col min="14831" max="14831" width="13.28515625" style="15" customWidth="1"/>
    <col min="14832" max="14832" width="15.28515625" style="15" customWidth="1"/>
    <col min="14833" max="14833" width="11.85546875" style="15" customWidth="1"/>
    <col min="14834" max="14834" width="6.140625" style="15" customWidth="1"/>
    <col min="14835" max="14835" width="11.85546875" style="15" customWidth="1"/>
    <col min="14836" max="14836" width="9.42578125" style="15" customWidth="1"/>
    <col min="14837" max="14837" width="14.7109375" style="15" customWidth="1"/>
    <col min="14838" max="14838" width="11.5703125" style="15" customWidth="1"/>
    <col min="14839" max="14839" width="0.42578125" style="15" customWidth="1"/>
    <col min="14840" max="14840" width="10.5703125" style="15" bestFit="1" customWidth="1"/>
    <col min="14841" max="14841" width="12.28515625" style="15" customWidth="1"/>
    <col min="14842" max="14842" width="12.5703125" style="15" customWidth="1"/>
    <col min="14843" max="14843" width="10.5703125" style="15" customWidth="1"/>
    <col min="14844" max="14844" width="10.140625" style="15" customWidth="1"/>
    <col min="14845" max="14845" width="8.42578125" style="15" customWidth="1"/>
    <col min="14846" max="14846" width="18.85546875" style="15" customWidth="1"/>
    <col min="14847" max="14847" width="10.28515625" style="15" customWidth="1"/>
    <col min="14848" max="14848" width="11.42578125" style="15"/>
    <col min="14849" max="14849" width="12.140625" style="15" customWidth="1"/>
    <col min="14850" max="14850" width="10.5703125" style="15" customWidth="1"/>
    <col min="14851" max="14851" width="12.42578125" style="15" customWidth="1"/>
    <col min="14852" max="14852" width="15.140625" style="15" customWidth="1"/>
    <col min="14853" max="14853" width="13.5703125" style="15" customWidth="1"/>
    <col min="14854" max="14854" width="13.140625" style="15" customWidth="1"/>
    <col min="14855" max="14855" width="15.7109375" style="15" customWidth="1"/>
    <col min="14856" max="14856" width="37.5703125" style="15" customWidth="1"/>
    <col min="14857" max="15078" width="11.42578125" style="15"/>
    <col min="15079" max="15079" width="10.5703125" style="15" customWidth="1"/>
    <col min="15080" max="15080" width="4.85546875" style="15" customWidth="1"/>
    <col min="15081" max="15081" width="32.42578125" style="15" customWidth="1"/>
    <col min="15082" max="15082" width="9.85546875" style="15" customWidth="1"/>
    <col min="15083" max="15083" width="10.140625" style="15" customWidth="1"/>
    <col min="15084" max="15084" width="12.28515625" style="15" customWidth="1"/>
    <col min="15085" max="15085" width="15.42578125" style="15" customWidth="1"/>
    <col min="15086" max="15086" width="11.85546875" style="15" customWidth="1"/>
    <col min="15087" max="15087" width="13.28515625" style="15" customWidth="1"/>
    <col min="15088" max="15088" width="15.28515625" style="15" customWidth="1"/>
    <col min="15089" max="15089" width="11.85546875" style="15" customWidth="1"/>
    <col min="15090" max="15090" width="6.140625" style="15" customWidth="1"/>
    <col min="15091" max="15091" width="11.85546875" style="15" customWidth="1"/>
    <col min="15092" max="15092" width="9.42578125" style="15" customWidth="1"/>
    <col min="15093" max="15093" width="14.7109375" style="15" customWidth="1"/>
    <col min="15094" max="15094" width="11.5703125" style="15" customWidth="1"/>
    <col min="15095" max="15095" width="0.42578125" style="15" customWidth="1"/>
    <col min="15096" max="15096" width="10.5703125" style="15" bestFit="1" customWidth="1"/>
    <col min="15097" max="15097" width="12.28515625" style="15" customWidth="1"/>
    <col min="15098" max="15098" width="12.5703125" style="15" customWidth="1"/>
    <col min="15099" max="15099" width="10.5703125" style="15" customWidth="1"/>
    <col min="15100" max="15100" width="10.140625" style="15" customWidth="1"/>
    <col min="15101" max="15101" width="8.42578125" style="15" customWidth="1"/>
    <col min="15102" max="15102" width="18.85546875" style="15" customWidth="1"/>
    <col min="15103" max="15103" width="10.28515625" style="15" customWidth="1"/>
    <col min="15104" max="15104" width="11.42578125" style="15"/>
    <col min="15105" max="15105" width="12.140625" style="15" customWidth="1"/>
    <col min="15106" max="15106" width="10.5703125" style="15" customWidth="1"/>
    <col min="15107" max="15107" width="12.42578125" style="15" customWidth="1"/>
    <col min="15108" max="15108" width="15.140625" style="15" customWidth="1"/>
    <col min="15109" max="15109" width="13.5703125" style="15" customWidth="1"/>
    <col min="15110" max="15110" width="13.140625" style="15" customWidth="1"/>
    <col min="15111" max="15111" width="15.7109375" style="15" customWidth="1"/>
    <col min="15112" max="15112" width="37.5703125" style="15" customWidth="1"/>
    <col min="15113" max="15334" width="11.42578125" style="15"/>
    <col min="15335" max="15335" width="10.5703125" style="15" customWidth="1"/>
    <col min="15336" max="15336" width="4.85546875" style="15" customWidth="1"/>
    <col min="15337" max="15337" width="32.42578125" style="15" customWidth="1"/>
    <col min="15338" max="15338" width="9.85546875" style="15" customWidth="1"/>
    <col min="15339" max="15339" width="10.140625" style="15" customWidth="1"/>
    <col min="15340" max="15340" width="12.28515625" style="15" customWidth="1"/>
    <col min="15341" max="15341" width="15.42578125" style="15" customWidth="1"/>
    <col min="15342" max="15342" width="11.85546875" style="15" customWidth="1"/>
    <col min="15343" max="15343" width="13.28515625" style="15" customWidth="1"/>
    <col min="15344" max="15344" width="15.28515625" style="15" customWidth="1"/>
    <col min="15345" max="15345" width="11.85546875" style="15" customWidth="1"/>
    <col min="15346" max="15346" width="6.140625" style="15" customWidth="1"/>
    <col min="15347" max="15347" width="11.85546875" style="15" customWidth="1"/>
    <col min="15348" max="15348" width="9.42578125" style="15" customWidth="1"/>
    <col min="15349" max="15349" width="14.7109375" style="15" customWidth="1"/>
    <col min="15350" max="15350" width="11.5703125" style="15" customWidth="1"/>
    <col min="15351" max="15351" width="0.42578125" style="15" customWidth="1"/>
    <col min="15352" max="15352" width="10.5703125" style="15" bestFit="1" customWidth="1"/>
    <col min="15353" max="15353" width="12.28515625" style="15" customWidth="1"/>
    <col min="15354" max="15354" width="12.5703125" style="15" customWidth="1"/>
    <col min="15355" max="15355" width="10.5703125" style="15" customWidth="1"/>
    <col min="15356" max="15356" width="10.140625" style="15" customWidth="1"/>
    <col min="15357" max="15357" width="8.42578125" style="15" customWidth="1"/>
    <col min="15358" max="15358" width="18.85546875" style="15" customWidth="1"/>
    <col min="15359" max="15359" width="10.28515625" style="15" customWidth="1"/>
    <col min="15360" max="15360" width="11.42578125" style="15"/>
    <col min="15361" max="15361" width="12.140625" style="15" customWidth="1"/>
    <col min="15362" max="15362" width="10.5703125" style="15" customWidth="1"/>
    <col min="15363" max="15363" width="12.42578125" style="15" customWidth="1"/>
    <col min="15364" max="15364" width="15.140625" style="15" customWidth="1"/>
    <col min="15365" max="15365" width="13.5703125" style="15" customWidth="1"/>
    <col min="15366" max="15366" width="13.140625" style="15" customWidth="1"/>
    <col min="15367" max="15367" width="15.7109375" style="15" customWidth="1"/>
    <col min="15368" max="15368" width="37.5703125" style="15" customWidth="1"/>
    <col min="15369" max="15590" width="11.42578125" style="15"/>
    <col min="15591" max="15591" width="10.5703125" style="15" customWidth="1"/>
    <col min="15592" max="15592" width="4.85546875" style="15" customWidth="1"/>
    <col min="15593" max="15593" width="32.42578125" style="15" customWidth="1"/>
    <col min="15594" max="15594" width="9.85546875" style="15" customWidth="1"/>
    <col min="15595" max="15595" width="10.140625" style="15" customWidth="1"/>
    <col min="15596" max="15596" width="12.28515625" style="15" customWidth="1"/>
    <col min="15597" max="15597" width="15.42578125" style="15" customWidth="1"/>
    <col min="15598" max="15598" width="11.85546875" style="15" customWidth="1"/>
    <col min="15599" max="15599" width="13.28515625" style="15" customWidth="1"/>
    <col min="15600" max="15600" width="15.28515625" style="15" customWidth="1"/>
    <col min="15601" max="15601" width="11.85546875" style="15" customWidth="1"/>
    <col min="15602" max="15602" width="6.140625" style="15" customWidth="1"/>
    <col min="15603" max="15603" width="11.85546875" style="15" customWidth="1"/>
    <col min="15604" max="15604" width="9.42578125" style="15" customWidth="1"/>
    <col min="15605" max="15605" width="14.7109375" style="15" customWidth="1"/>
    <col min="15606" max="15606" width="11.5703125" style="15" customWidth="1"/>
    <col min="15607" max="15607" width="0.42578125" style="15" customWidth="1"/>
    <col min="15608" max="15608" width="10.5703125" style="15" bestFit="1" customWidth="1"/>
    <col min="15609" max="15609" width="12.28515625" style="15" customWidth="1"/>
    <col min="15610" max="15610" width="12.5703125" style="15" customWidth="1"/>
    <col min="15611" max="15611" width="10.5703125" style="15" customWidth="1"/>
    <col min="15612" max="15612" width="10.140625" style="15" customWidth="1"/>
    <col min="15613" max="15613" width="8.42578125" style="15" customWidth="1"/>
    <col min="15614" max="15614" width="18.85546875" style="15" customWidth="1"/>
    <col min="15615" max="15615" width="10.28515625" style="15" customWidth="1"/>
    <col min="15616" max="15616" width="11.42578125" style="15"/>
    <col min="15617" max="15617" width="12.140625" style="15" customWidth="1"/>
    <col min="15618" max="15618" width="10.5703125" style="15" customWidth="1"/>
    <col min="15619" max="15619" width="12.42578125" style="15" customWidth="1"/>
    <col min="15620" max="15620" width="15.140625" style="15" customWidth="1"/>
    <col min="15621" max="15621" width="13.5703125" style="15" customWidth="1"/>
    <col min="15622" max="15622" width="13.140625" style="15" customWidth="1"/>
    <col min="15623" max="15623" width="15.7109375" style="15" customWidth="1"/>
    <col min="15624" max="15624" width="37.5703125" style="15" customWidth="1"/>
    <col min="15625" max="15846" width="11.42578125" style="15"/>
    <col min="15847" max="15847" width="10.5703125" style="15" customWidth="1"/>
    <col min="15848" max="15848" width="4.85546875" style="15" customWidth="1"/>
    <col min="15849" max="15849" width="32.42578125" style="15" customWidth="1"/>
    <col min="15850" max="15850" width="9.85546875" style="15" customWidth="1"/>
    <col min="15851" max="15851" width="10.140625" style="15" customWidth="1"/>
    <col min="15852" max="15852" width="12.28515625" style="15" customWidth="1"/>
    <col min="15853" max="15853" width="15.42578125" style="15" customWidth="1"/>
    <col min="15854" max="15854" width="11.85546875" style="15" customWidth="1"/>
    <col min="15855" max="15855" width="13.28515625" style="15" customWidth="1"/>
    <col min="15856" max="15856" width="15.28515625" style="15" customWidth="1"/>
    <col min="15857" max="15857" width="11.85546875" style="15" customWidth="1"/>
    <col min="15858" max="15858" width="6.140625" style="15" customWidth="1"/>
    <col min="15859" max="15859" width="11.85546875" style="15" customWidth="1"/>
    <col min="15860" max="15860" width="9.42578125" style="15" customWidth="1"/>
    <col min="15861" max="15861" width="14.7109375" style="15" customWidth="1"/>
    <col min="15862" max="15862" width="11.5703125" style="15" customWidth="1"/>
    <col min="15863" max="15863" width="0.42578125" style="15" customWidth="1"/>
    <col min="15864" max="15864" width="10.5703125" style="15" bestFit="1" customWidth="1"/>
    <col min="15865" max="15865" width="12.28515625" style="15" customWidth="1"/>
    <col min="15866" max="15866" width="12.5703125" style="15" customWidth="1"/>
    <col min="15867" max="15867" width="10.5703125" style="15" customWidth="1"/>
    <col min="15868" max="15868" width="10.140625" style="15" customWidth="1"/>
    <col min="15869" max="15869" width="8.42578125" style="15" customWidth="1"/>
    <col min="15870" max="15870" width="18.85546875" style="15" customWidth="1"/>
    <col min="15871" max="15871" width="10.28515625" style="15" customWidth="1"/>
    <col min="15872" max="15872" width="11.42578125" style="15"/>
    <col min="15873" max="15873" width="12.140625" style="15" customWidth="1"/>
    <col min="15874" max="15874" width="10.5703125" style="15" customWidth="1"/>
    <col min="15875" max="15875" width="12.42578125" style="15" customWidth="1"/>
    <col min="15876" max="15876" width="15.140625" style="15" customWidth="1"/>
    <col min="15877" max="15877" width="13.5703125" style="15" customWidth="1"/>
    <col min="15878" max="15878" width="13.140625" style="15" customWidth="1"/>
    <col min="15879" max="15879" width="15.7109375" style="15" customWidth="1"/>
    <col min="15880" max="15880" width="37.5703125" style="15" customWidth="1"/>
    <col min="15881" max="16102" width="11.42578125" style="15"/>
    <col min="16103" max="16103" width="10.5703125" style="15" customWidth="1"/>
    <col min="16104" max="16104" width="4.85546875" style="15" customWidth="1"/>
    <col min="16105" max="16105" width="32.42578125" style="15" customWidth="1"/>
    <col min="16106" max="16106" width="9.85546875" style="15" customWidth="1"/>
    <col min="16107" max="16107" width="10.140625" style="15" customWidth="1"/>
    <col min="16108" max="16108" width="12.28515625" style="15" customWidth="1"/>
    <col min="16109" max="16109" width="15.42578125" style="15" customWidth="1"/>
    <col min="16110" max="16110" width="11.85546875" style="15" customWidth="1"/>
    <col min="16111" max="16111" width="13.28515625" style="15" customWidth="1"/>
    <col min="16112" max="16112" width="15.28515625" style="15" customWidth="1"/>
    <col min="16113" max="16113" width="11.85546875" style="15" customWidth="1"/>
    <col min="16114" max="16114" width="6.140625" style="15" customWidth="1"/>
    <col min="16115" max="16115" width="11.85546875" style="15" customWidth="1"/>
    <col min="16116" max="16116" width="9.42578125" style="15" customWidth="1"/>
    <col min="16117" max="16117" width="14.7109375" style="15" customWidth="1"/>
    <col min="16118" max="16118" width="11.5703125" style="15" customWidth="1"/>
    <col min="16119" max="16119" width="0.42578125" style="15" customWidth="1"/>
    <col min="16120" max="16120" width="10.5703125" style="15" bestFit="1" customWidth="1"/>
    <col min="16121" max="16121" width="12.28515625" style="15" customWidth="1"/>
    <col min="16122" max="16122" width="12.5703125" style="15" customWidth="1"/>
    <col min="16123" max="16123" width="10.5703125" style="15" customWidth="1"/>
    <col min="16124" max="16124" width="10.140625" style="15" customWidth="1"/>
    <col min="16125" max="16125" width="8.42578125" style="15" customWidth="1"/>
    <col min="16126" max="16126" width="18.85546875" style="15" customWidth="1"/>
    <col min="16127" max="16127" width="10.28515625" style="15" customWidth="1"/>
    <col min="16128" max="16128" width="11.42578125" style="15"/>
    <col min="16129" max="16129" width="12.140625" style="15" customWidth="1"/>
    <col min="16130" max="16130" width="10.5703125" style="15" customWidth="1"/>
    <col min="16131" max="16131" width="12.42578125" style="15" customWidth="1"/>
    <col min="16132" max="16132" width="15.140625" style="15" customWidth="1"/>
    <col min="16133" max="16133" width="13.5703125" style="15" customWidth="1"/>
    <col min="16134" max="16134" width="13.140625" style="15" customWidth="1"/>
    <col min="16135" max="16135" width="15.7109375" style="15" customWidth="1"/>
    <col min="16136" max="16136" width="37.5703125" style="15" customWidth="1"/>
    <col min="16137" max="16384" width="11.42578125" style="15"/>
  </cols>
  <sheetData>
    <row r="1" spans="1:27" ht="15" customHeight="1" x14ac:dyDescent="0.2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</row>
    <row r="2" spans="1:27" ht="15" customHeight="1" x14ac:dyDescent="0.25">
      <c r="A2" s="16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8" t="s">
        <v>2</v>
      </c>
      <c r="Q2" s="18"/>
      <c r="R2" s="18"/>
      <c r="S2" s="18"/>
      <c r="T2" s="18"/>
      <c r="U2" s="18"/>
      <c r="V2" s="18"/>
      <c r="W2" s="18"/>
      <c r="X2" s="18"/>
      <c r="Y2" s="19"/>
      <c r="Z2" s="19"/>
      <c r="AA2" s="20"/>
    </row>
    <row r="3" spans="1:27" ht="24.75" customHeight="1" thickBot="1" x14ac:dyDescent="0.3">
      <c r="A3" s="21"/>
      <c r="B3" s="22" t="s">
        <v>3</v>
      </c>
      <c r="C3" s="22" t="s">
        <v>4</v>
      </c>
      <c r="D3" s="22" t="s">
        <v>5</v>
      </c>
      <c r="E3" s="22" t="s">
        <v>6</v>
      </c>
      <c r="F3" s="22" t="s">
        <v>7</v>
      </c>
      <c r="G3" s="22" t="s">
        <v>8</v>
      </c>
      <c r="H3" s="22" t="s">
        <v>9</v>
      </c>
      <c r="I3" s="22" t="s">
        <v>10</v>
      </c>
      <c r="J3" s="22" t="s">
        <v>11</v>
      </c>
      <c r="K3" s="22" t="s">
        <v>12</v>
      </c>
      <c r="L3" s="22" t="s">
        <v>13</v>
      </c>
      <c r="M3" s="22" t="s">
        <v>14</v>
      </c>
      <c r="N3" s="22" t="s">
        <v>15</v>
      </c>
      <c r="O3" s="22" t="s">
        <v>16</v>
      </c>
      <c r="P3" s="22" t="s">
        <v>17</v>
      </c>
      <c r="Q3" s="22" t="s">
        <v>18</v>
      </c>
      <c r="R3" s="22" t="s">
        <v>19</v>
      </c>
      <c r="S3" s="22" t="s">
        <v>20</v>
      </c>
      <c r="T3" s="22" t="s">
        <v>21</v>
      </c>
      <c r="U3" s="22" t="s">
        <v>22</v>
      </c>
      <c r="V3" s="22" t="s">
        <v>23</v>
      </c>
      <c r="W3" s="22" t="s">
        <v>24</v>
      </c>
      <c r="X3" s="22" t="s">
        <v>25</v>
      </c>
      <c r="Y3" s="22" t="s">
        <v>26</v>
      </c>
      <c r="Z3" s="22" t="s">
        <v>27</v>
      </c>
      <c r="AA3" s="23" t="str">
        <f>+Y3</f>
        <v>TOTAL A PAGAR</v>
      </c>
    </row>
    <row r="4" spans="1:27" s="6" customFormat="1" ht="24.95" customHeight="1" x14ac:dyDescent="0.25">
      <c r="A4" s="24" t="s">
        <v>28</v>
      </c>
      <c r="B4" s="2">
        <v>1</v>
      </c>
      <c r="C4" s="1" t="s">
        <v>29</v>
      </c>
      <c r="D4" s="1" t="s">
        <v>30</v>
      </c>
      <c r="E4" s="2" t="s">
        <v>31</v>
      </c>
      <c r="F4" s="3">
        <v>4500000</v>
      </c>
      <c r="G4" s="3">
        <v>30</v>
      </c>
      <c r="H4" s="3">
        <f>+F4-K4</f>
        <v>4050000</v>
      </c>
      <c r="I4" s="3"/>
      <c r="J4" s="3"/>
      <c r="K4" s="3">
        <v>450000</v>
      </c>
      <c r="L4" s="3"/>
      <c r="M4" s="3"/>
      <c r="N4" s="3"/>
      <c r="O4" s="3">
        <f>+H4+N4+M4+L4+K4+J4</f>
        <v>4500000</v>
      </c>
      <c r="P4" s="3">
        <f>+F4*0.04</f>
        <v>180000</v>
      </c>
      <c r="Q4" s="3">
        <f>+F4*0.05</f>
        <v>225000</v>
      </c>
      <c r="R4" s="3"/>
      <c r="S4" s="3"/>
      <c r="T4" s="3">
        <v>17000</v>
      </c>
      <c r="U4" s="3"/>
      <c r="V4" s="3"/>
      <c r="W4" s="3"/>
      <c r="X4" s="4">
        <f>SUM(P4:W4)</f>
        <v>422000</v>
      </c>
      <c r="Y4" s="25">
        <f t="shared" ref="Y4:Y9" si="0">+O4-X4</f>
        <v>4078000</v>
      </c>
      <c r="Z4" s="5">
        <v>405600</v>
      </c>
      <c r="AA4" s="5">
        <f>+Y4+Z4</f>
        <v>4483600</v>
      </c>
    </row>
    <row r="5" spans="1:27" ht="24.95" customHeight="1" x14ac:dyDescent="0.25">
      <c r="A5" s="16"/>
      <c r="B5" s="8">
        <v>2</v>
      </c>
      <c r="C5" s="7" t="s">
        <v>32</v>
      </c>
      <c r="D5" s="7" t="s">
        <v>30</v>
      </c>
      <c r="E5" s="8" t="s">
        <v>31</v>
      </c>
      <c r="F5" s="5">
        <v>6100000</v>
      </c>
      <c r="G5" s="9">
        <v>30</v>
      </c>
      <c r="H5" s="9">
        <f>+F5-K5</f>
        <v>5896667</v>
      </c>
      <c r="I5" s="9"/>
      <c r="J5" s="5"/>
      <c r="K5" s="5">
        <v>203333</v>
      </c>
      <c r="L5" s="5"/>
      <c r="M5" s="5">
        <v>500000</v>
      </c>
      <c r="N5" s="5">
        <f>691016+838750</f>
        <v>1529766</v>
      </c>
      <c r="O5" s="5">
        <f>+H5+J5+L5+M5+N5+K5</f>
        <v>8129766</v>
      </c>
      <c r="P5" s="5">
        <f>+(F5+N5)*4%</f>
        <v>305190.64</v>
      </c>
      <c r="Q5" s="5">
        <f>+(F5+N5)*5%</f>
        <v>381488.30000000005</v>
      </c>
      <c r="R5" s="5"/>
      <c r="S5" s="5"/>
      <c r="T5" s="5">
        <v>117000</v>
      </c>
      <c r="U5" s="5"/>
      <c r="V5" s="5"/>
      <c r="W5" s="5"/>
      <c r="X5" s="5">
        <f t="shared" ref="X5:X10" si="1">SUM(P5:W5)</f>
        <v>803678.94000000006</v>
      </c>
      <c r="Y5" s="26">
        <f t="shared" si="0"/>
        <v>7326087.0599999996</v>
      </c>
      <c r="Z5" s="5">
        <v>686719</v>
      </c>
      <c r="AA5" s="5">
        <f t="shared" ref="AA5:AA68" si="2">+Y5+Z5</f>
        <v>8012806.0599999996</v>
      </c>
    </row>
    <row r="6" spans="1:27" ht="24.95" customHeight="1" x14ac:dyDescent="0.25">
      <c r="A6" s="16"/>
      <c r="B6" s="8">
        <v>3</v>
      </c>
      <c r="C6" s="7" t="s">
        <v>33</v>
      </c>
      <c r="D6" s="7" t="s">
        <v>30</v>
      </c>
      <c r="E6" s="8" t="s">
        <v>31</v>
      </c>
      <c r="F6" s="5">
        <v>6000000</v>
      </c>
      <c r="G6" s="9">
        <v>30</v>
      </c>
      <c r="H6" s="9">
        <f>+F6-K6</f>
        <v>5000000</v>
      </c>
      <c r="I6" s="9"/>
      <c r="J6" s="5"/>
      <c r="K6" s="5">
        <f>600000+400000</f>
        <v>1000000</v>
      </c>
      <c r="L6" s="5"/>
      <c r="M6" s="5">
        <v>600000</v>
      </c>
      <c r="N6" s="5"/>
      <c r="O6" s="5">
        <f t="shared" ref="O6:O67" si="3">+H6+J6+L6+M6+N6+K6</f>
        <v>6600000</v>
      </c>
      <c r="P6" s="5">
        <f>F6*4%</f>
        <v>240000</v>
      </c>
      <c r="Q6" s="5">
        <f>F6*5%</f>
        <v>300000</v>
      </c>
      <c r="R6" s="5"/>
      <c r="S6" s="5"/>
      <c r="T6" s="5">
        <v>183000</v>
      </c>
      <c r="U6" s="5"/>
      <c r="V6" s="5"/>
      <c r="W6" s="5">
        <v>1212777</v>
      </c>
      <c r="X6" s="5">
        <f t="shared" si="1"/>
        <v>1935777</v>
      </c>
      <c r="Y6" s="26">
        <f t="shared" si="0"/>
        <v>4664223</v>
      </c>
      <c r="Z6" s="5">
        <v>720000</v>
      </c>
      <c r="AA6" s="5">
        <f t="shared" si="2"/>
        <v>5384223</v>
      </c>
    </row>
    <row r="7" spans="1:27" ht="24.95" customHeight="1" x14ac:dyDescent="0.25">
      <c r="A7" s="16"/>
      <c r="B7" s="8">
        <v>4</v>
      </c>
      <c r="C7" s="7" t="s">
        <v>34</v>
      </c>
      <c r="D7" s="7" t="s">
        <v>30</v>
      </c>
      <c r="E7" s="8" t="s">
        <v>31</v>
      </c>
      <c r="F7" s="5">
        <v>6000000</v>
      </c>
      <c r="G7" s="9">
        <v>17</v>
      </c>
      <c r="H7" s="9">
        <f t="shared" ref="H7:H66" si="4">+F7/30*G7</f>
        <v>3400000</v>
      </c>
      <c r="I7" s="9">
        <f>+(((F7/30)*66.67%)*13)</f>
        <v>1733420</v>
      </c>
      <c r="J7" s="5"/>
      <c r="K7" s="5"/>
      <c r="L7" s="5"/>
      <c r="M7" s="5"/>
      <c r="N7" s="5"/>
      <c r="O7" s="5">
        <f>+H7+J7+L7+M7+N7+K7+I7</f>
        <v>5133420</v>
      </c>
      <c r="P7" s="5">
        <f>+O7*4%</f>
        <v>205336.80000000002</v>
      </c>
      <c r="Q7" s="5">
        <f>+O7*5%</f>
        <v>256671</v>
      </c>
      <c r="R7" s="5"/>
      <c r="S7" s="5">
        <v>102473</v>
      </c>
      <c r="T7" s="10">
        <v>98000</v>
      </c>
      <c r="U7" s="5"/>
      <c r="V7" s="5"/>
      <c r="W7" s="5">
        <v>726520</v>
      </c>
      <c r="X7" s="5">
        <f t="shared" si="1"/>
        <v>1389000.8</v>
      </c>
      <c r="Y7" s="26">
        <f t="shared" si="0"/>
        <v>3744419.2</v>
      </c>
      <c r="Z7" s="5">
        <v>720000</v>
      </c>
      <c r="AA7" s="5">
        <f t="shared" si="2"/>
        <v>4464419.2</v>
      </c>
    </row>
    <row r="8" spans="1:27" ht="24.95" customHeight="1" x14ac:dyDescent="0.25">
      <c r="A8" s="16"/>
      <c r="B8" s="8">
        <v>5</v>
      </c>
      <c r="C8" s="7" t="s">
        <v>35</v>
      </c>
      <c r="D8" s="7" t="s">
        <v>30</v>
      </c>
      <c r="E8" s="8" t="s">
        <v>31</v>
      </c>
      <c r="F8" s="5">
        <v>5600000</v>
      </c>
      <c r="G8" s="9">
        <v>30</v>
      </c>
      <c r="H8" s="9">
        <f>+F8-K8</f>
        <v>4480000</v>
      </c>
      <c r="I8" s="9"/>
      <c r="J8" s="5"/>
      <c r="K8" s="5">
        <v>1120000</v>
      </c>
      <c r="L8" s="5"/>
      <c r="M8" s="5"/>
      <c r="N8" s="5"/>
      <c r="O8" s="5">
        <f t="shared" si="3"/>
        <v>5600000</v>
      </c>
      <c r="P8" s="5">
        <f>+F8*4%</f>
        <v>224000</v>
      </c>
      <c r="Q8" s="5">
        <f>+F8*5%</f>
        <v>280000</v>
      </c>
      <c r="R8" s="5"/>
      <c r="S8" s="5"/>
      <c r="T8" s="10">
        <v>21409</v>
      </c>
      <c r="U8" s="5">
        <v>500000</v>
      </c>
      <c r="V8" s="5">
        <v>163012</v>
      </c>
      <c r="W8" s="5">
        <v>186238</v>
      </c>
      <c r="X8" s="5">
        <f t="shared" si="1"/>
        <v>1374659</v>
      </c>
      <c r="Y8" s="26">
        <f t="shared" si="0"/>
        <v>4225341</v>
      </c>
      <c r="Z8" s="5">
        <v>600000</v>
      </c>
      <c r="AA8" s="5">
        <f t="shared" si="2"/>
        <v>4825341</v>
      </c>
    </row>
    <row r="9" spans="1:27" ht="24.95" customHeight="1" x14ac:dyDescent="0.25">
      <c r="A9" s="16"/>
      <c r="B9" s="8">
        <v>6</v>
      </c>
      <c r="C9" s="7" t="s">
        <v>36</v>
      </c>
      <c r="D9" s="7" t="s">
        <v>30</v>
      </c>
      <c r="E9" s="8" t="s">
        <v>31</v>
      </c>
      <c r="F9" s="5">
        <v>8000000</v>
      </c>
      <c r="G9" s="9">
        <v>30</v>
      </c>
      <c r="H9" s="9">
        <f t="shared" si="4"/>
        <v>8000000.0000000009</v>
      </c>
      <c r="I9" s="9"/>
      <c r="J9" s="5"/>
      <c r="K9" s="5"/>
      <c r="L9" s="5"/>
      <c r="M9" s="5"/>
      <c r="N9" s="5"/>
      <c r="O9" s="5">
        <f t="shared" si="3"/>
        <v>8000000.0000000009</v>
      </c>
      <c r="P9" s="5">
        <f>+F9*4%</f>
        <v>320000</v>
      </c>
      <c r="Q9" s="5">
        <f>+F9*5%</f>
        <v>400000</v>
      </c>
      <c r="R9" s="5"/>
      <c r="S9" s="5"/>
      <c r="T9" s="5">
        <v>276000</v>
      </c>
      <c r="U9" s="5">
        <v>700000</v>
      </c>
      <c r="V9" s="5"/>
      <c r="W9" s="5"/>
      <c r="X9" s="5">
        <f t="shared" si="1"/>
        <v>1696000</v>
      </c>
      <c r="Y9" s="26">
        <f t="shared" si="0"/>
        <v>6304000.0000000009</v>
      </c>
      <c r="Z9" s="5">
        <v>636000</v>
      </c>
      <c r="AA9" s="5">
        <f t="shared" si="2"/>
        <v>6940000.0000000009</v>
      </c>
    </row>
    <row r="10" spans="1:27" ht="24.95" customHeight="1" x14ac:dyDescent="0.25">
      <c r="A10" s="16"/>
      <c r="B10" s="8">
        <v>7</v>
      </c>
      <c r="C10" s="7" t="s">
        <v>37</v>
      </c>
      <c r="D10" s="7" t="s">
        <v>30</v>
      </c>
      <c r="E10" s="8" t="s">
        <v>31</v>
      </c>
      <c r="F10" s="5">
        <v>5200000</v>
      </c>
      <c r="G10" s="9">
        <v>30</v>
      </c>
      <c r="H10" s="9">
        <f>+F10-K10</f>
        <v>4838888</v>
      </c>
      <c r="I10" s="9"/>
      <c r="J10" s="5"/>
      <c r="K10" s="5">
        <f>180556+180556</f>
        <v>361112</v>
      </c>
      <c r="L10" s="5"/>
      <c r="M10" s="5">
        <v>89000</v>
      </c>
      <c r="N10" s="5"/>
      <c r="O10" s="5">
        <f t="shared" si="3"/>
        <v>5289000</v>
      </c>
      <c r="P10" s="5">
        <f>+F10*4%</f>
        <v>208000</v>
      </c>
      <c r="Q10" s="5">
        <f>+F10*5%</f>
        <v>260000</v>
      </c>
      <c r="R10" s="5"/>
      <c r="S10" s="5"/>
      <c r="T10" s="5">
        <v>35000</v>
      </c>
      <c r="U10" s="5"/>
      <c r="V10" s="5"/>
      <c r="W10" s="5">
        <f>945750+420786</f>
        <v>1366536</v>
      </c>
      <c r="X10" s="5">
        <f t="shared" si="1"/>
        <v>1869536</v>
      </c>
      <c r="Y10" s="26">
        <f>O10-X10</f>
        <v>3419464</v>
      </c>
      <c r="Z10" s="5">
        <v>624000</v>
      </c>
      <c r="AA10" s="5">
        <f t="shared" si="2"/>
        <v>4043464</v>
      </c>
    </row>
    <row r="11" spans="1:27" ht="24.95" customHeight="1" x14ac:dyDescent="0.25">
      <c r="A11" s="16"/>
      <c r="B11" s="8">
        <v>8</v>
      </c>
      <c r="C11" s="7" t="s">
        <v>38</v>
      </c>
      <c r="D11" s="7" t="s">
        <v>30</v>
      </c>
      <c r="E11" s="8" t="s">
        <v>31</v>
      </c>
      <c r="F11" s="5">
        <v>5184000</v>
      </c>
      <c r="G11" s="9">
        <v>30</v>
      </c>
      <c r="H11" s="9">
        <f t="shared" si="4"/>
        <v>5184000</v>
      </c>
      <c r="I11" s="9"/>
      <c r="J11" s="5"/>
      <c r="K11" s="5"/>
      <c r="L11" s="5"/>
      <c r="M11" s="5"/>
      <c r="N11" s="5"/>
      <c r="O11" s="5">
        <f t="shared" si="3"/>
        <v>5184000</v>
      </c>
      <c r="P11" s="5">
        <f>+H11*4%</f>
        <v>207360</v>
      </c>
      <c r="Q11" s="5">
        <f>+H11*5%</f>
        <v>259200</v>
      </c>
      <c r="R11" s="5"/>
      <c r="S11" s="5"/>
      <c r="T11" s="5">
        <v>78000</v>
      </c>
      <c r="U11" s="5"/>
      <c r="V11" s="5"/>
      <c r="W11" s="5"/>
      <c r="X11" s="5">
        <f t="shared" ref="X11:X67" si="5">SUM(P11:W11)</f>
        <v>544560</v>
      </c>
      <c r="Y11" s="26">
        <f>O11-X11</f>
        <v>4639440</v>
      </c>
      <c r="Z11" s="5">
        <v>622080</v>
      </c>
      <c r="AA11" s="5">
        <f t="shared" si="2"/>
        <v>5261520</v>
      </c>
    </row>
    <row r="12" spans="1:27" ht="24.95" customHeight="1" x14ac:dyDescent="0.25">
      <c r="A12" s="16"/>
      <c r="B12" s="8">
        <v>9</v>
      </c>
      <c r="C12" s="7" t="s">
        <v>39</v>
      </c>
      <c r="D12" s="7" t="s">
        <v>30</v>
      </c>
      <c r="E12" s="8" t="s">
        <v>31</v>
      </c>
      <c r="F12" s="5">
        <v>4750000</v>
      </c>
      <c r="G12" s="9">
        <v>30</v>
      </c>
      <c r="H12" s="9">
        <f t="shared" si="4"/>
        <v>4750000</v>
      </c>
      <c r="I12" s="9"/>
      <c r="J12" s="5"/>
      <c r="K12" s="5"/>
      <c r="L12" s="5"/>
      <c r="M12" s="5"/>
      <c r="N12" s="5">
        <v>489844</v>
      </c>
      <c r="O12" s="5">
        <f t="shared" si="3"/>
        <v>5239844</v>
      </c>
      <c r="P12" s="5">
        <f>+O12*4%</f>
        <v>209593.76</v>
      </c>
      <c r="Q12" s="5">
        <f>+O12*5%</f>
        <v>261992.2</v>
      </c>
      <c r="R12" s="5"/>
      <c r="S12" s="5"/>
      <c r="T12" s="5">
        <v>49000</v>
      </c>
      <c r="U12" s="5"/>
      <c r="V12" s="5"/>
      <c r="W12" s="5"/>
      <c r="X12" s="5">
        <f>SUM(P12:W12)</f>
        <v>520585.96</v>
      </c>
      <c r="Y12" s="26">
        <f>O12-X12</f>
        <v>4719258.04</v>
      </c>
      <c r="Z12" s="5">
        <v>130448</v>
      </c>
      <c r="AA12" s="5">
        <f t="shared" si="2"/>
        <v>4849706.04</v>
      </c>
    </row>
    <row r="13" spans="1:27" ht="24.95" customHeight="1" x14ac:dyDescent="0.25">
      <c r="A13" s="16"/>
      <c r="B13" s="8">
        <v>10</v>
      </c>
      <c r="C13" s="7" t="s">
        <v>40</v>
      </c>
      <c r="D13" s="7" t="s">
        <v>30</v>
      </c>
      <c r="E13" s="8" t="s">
        <v>31</v>
      </c>
      <c r="F13" s="5">
        <v>5725000</v>
      </c>
      <c r="G13" s="9">
        <v>30</v>
      </c>
      <c r="H13" s="9">
        <f>+F13-K13</f>
        <v>4581000</v>
      </c>
      <c r="I13" s="9"/>
      <c r="J13" s="5"/>
      <c r="K13" s="5">
        <f>572000*2</f>
        <v>1144000</v>
      </c>
      <c r="L13" s="5"/>
      <c r="M13" s="5"/>
      <c r="N13" s="5"/>
      <c r="O13" s="5">
        <f t="shared" si="3"/>
        <v>5725000</v>
      </c>
      <c r="P13" s="5">
        <f>+F13*4%</f>
        <v>229000</v>
      </c>
      <c r="Q13" s="5">
        <f>+F13*5%</f>
        <v>286250</v>
      </c>
      <c r="R13" s="5"/>
      <c r="S13" s="5"/>
      <c r="T13" s="5">
        <v>6900</v>
      </c>
      <c r="U13" s="5"/>
      <c r="V13" s="5"/>
      <c r="W13" s="5"/>
      <c r="X13" s="5">
        <f t="shared" si="5"/>
        <v>522150</v>
      </c>
      <c r="Y13" s="26">
        <f t="shared" ref="Y13:Y27" si="6">+O13-X13</f>
        <v>5202850</v>
      </c>
      <c r="Z13" s="5">
        <v>687000</v>
      </c>
      <c r="AA13" s="5">
        <f t="shared" si="2"/>
        <v>5889850</v>
      </c>
    </row>
    <row r="14" spans="1:27" ht="24.95" customHeight="1" x14ac:dyDescent="0.25">
      <c r="A14" s="16"/>
      <c r="B14" s="8">
        <v>11</v>
      </c>
      <c r="C14" s="7" t="s">
        <v>41</v>
      </c>
      <c r="D14" s="7" t="s">
        <v>30</v>
      </c>
      <c r="E14" s="8" t="s">
        <v>31</v>
      </c>
      <c r="F14" s="5">
        <v>7300000</v>
      </c>
      <c r="G14" s="9">
        <v>30</v>
      </c>
      <c r="H14" s="9">
        <f t="shared" si="4"/>
        <v>7300000</v>
      </c>
      <c r="I14" s="9"/>
      <c r="J14" s="5"/>
      <c r="K14" s="5"/>
      <c r="L14" s="5"/>
      <c r="M14" s="5"/>
      <c r="N14" s="5"/>
      <c r="O14" s="5">
        <f t="shared" si="3"/>
        <v>7300000</v>
      </c>
      <c r="P14" s="5">
        <f>+F14*4%</f>
        <v>292000</v>
      </c>
      <c r="Q14" s="5">
        <f>+F14*5%</f>
        <v>365000</v>
      </c>
      <c r="R14" s="5"/>
      <c r="S14" s="5"/>
      <c r="T14" s="5">
        <v>240000</v>
      </c>
      <c r="U14" s="5">
        <v>980000</v>
      </c>
      <c r="V14" s="5"/>
      <c r="W14" s="5"/>
      <c r="X14" s="5">
        <f t="shared" si="5"/>
        <v>1877000</v>
      </c>
      <c r="Y14" s="26">
        <f t="shared" si="6"/>
        <v>5423000</v>
      </c>
      <c r="Z14" s="5">
        <v>54750</v>
      </c>
      <c r="AA14" s="5">
        <f t="shared" si="2"/>
        <v>5477750</v>
      </c>
    </row>
    <row r="15" spans="1:27" ht="24.95" customHeight="1" x14ac:dyDescent="0.25">
      <c r="A15" s="16"/>
      <c r="B15" s="8">
        <v>12</v>
      </c>
      <c r="C15" s="7" t="s">
        <v>42</v>
      </c>
      <c r="D15" s="7" t="s">
        <v>30</v>
      </c>
      <c r="E15" s="8" t="s">
        <v>31</v>
      </c>
      <c r="F15" s="5">
        <v>5500000</v>
      </c>
      <c r="G15" s="9">
        <v>30</v>
      </c>
      <c r="H15" s="9">
        <f>+F15-K15</f>
        <v>4400000</v>
      </c>
      <c r="I15" s="9"/>
      <c r="J15" s="5"/>
      <c r="K15" s="5">
        <v>1100000</v>
      </c>
      <c r="L15" s="5"/>
      <c r="M15" s="5"/>
      <c r="N15" s="5"/>
      <c r="O15" s="5">
        <f t="shared" si="3"/>
        <v>5500000</v>
      </c>
      <c r="P15" s="5">
        <f>+O15*4%</f>
        <v>220000</v>
      </c>
      <c r="Q15" s="5">
        <f>+O15*5%</f>
        <v>275000</v>
      </c>
      <c r="R15" s="5"/>
      <c r="S15" s="5"/>
      <c r="T15" s="5">
        <v>73000</v>
      </c>
      <c r="U15" s="5"/>
      <c r="V15" s="5"/>
      <c r="W15" s="5"/>
      <c r="X15" s="5">
        <f>SUM(P15:W15)</f>
        <v>568000</v>
      </c>
      <c r="Y15" s="26">
        <f t="shared" si="6"/>
        <v>4932000</v>
      </c>
      <c r="Z15" s="5">
        <v>668422</v>
      </c>
      <c r="AA15" s="5">
        <f t="shared" si="2"/>
        <v>5600422</v>
      </c>
    </row>
    <row r="16" spans="1:27" ht="24.95" customHeight="1" x14ac:dyDescent="0.25">
      <c r="A16" s="16"/>
      <c r="B16" s="8">
        <v>13</v>
      </c>
      <c r="C16" s="7" t="s">
        <v>43</v>
      </c>
      <c r="D16" s="7" t="s">
        <v>30</v>
      </c>
      <c r="E16" s="8" t="s">
        <v>31</v>
      </c>
      <c r="F16" s="5">
        <v>7000000</v>
      </c>
      <c r="G16" s="9">
        <v>30</v>
      </c>
      <c r="H16" s="9">
        <f t="shared" si="4"/>
        <v>7000000</v>
      </c>
      <c r="I16" s="9"/>
      <c r="J16" s="5">
        <v>160000</v>
      </c>
      <c r="K16" s="5"/>
      <c r="L16" s="5"/>
      <c r="M16" s="5"/>
      <c r="N16" s="5"/>
      <c r="O16" s="5">
        <f t="shared" si="3"/>
        <v>7160000</v>
      </c>
      <c r="P16" s="5">
        <f>+F16*4%</f>
        <v>280000</v>
      </c>
      <c r="Q16" s="5">
        <f>+F16*5%</f>
        <v>350000</v>
      </c>
      <c r="R16" s="5"/>
      <c r="S16" s="5"/>
      <c r="T16" s="5">
        <v>0</v>
      </c>
      <c r="U16" s="5"/>
      <c r="V16" s="5"/>
      <c r="W16" s="5"/>
      <c r="X16" s="5">
        <f>SUM(P16:W16)</f>
        <v>630000</v>
      </c>
      <c r="Y16" s="26">
        <f t="shared" si="6"/>
        <v>6530000</v>
      </c>
      <c r="Z16" s="5">
        <v>193900</v>
      </c>
      <c r="AA16" s="5">
        <f t="shared" si="2"/>
        <v>6723900</v>
      </c>
    </row>
    <row r="17" spans="1:27" ht="24.95" customHeight="1" x14ac:dyDescent="0.25">
      <c r="A17" s="16"/>
      <c r="B17" s="8">
        <v>14</v>
      </c>
      <c r="C17" s="7" t="s">
        <v>44</v>
      </c>
      <c r="D17" s="7" t="s">
        <v>30</v>
      </c>
      <c r="E17" s="8" t="s">
        <v>31</v>
      </c>
      <c r="F17" s="5">
        <v>5500000</v>
      </c>
      <c r="G17" s="9">
        <v>30</v>
      </c>
      <c r="H17" s="9">
        <f>+F17-K17</f>
        <v>4400000</v>
      </c>
      <c r="I17" s="9"/>
      <c r="J17" s="5"/>
      <c r="K17" s="5">
        <v>1100000</v>
      </c>
      <c r="L17" s="5"/>
      <c r="M17" s="5"/>
      <c r="N17" s="5"/>
      <c r="O17" s="5">
        <f t="shared" si="3"/>
        <v>5500000</v>
      </c>
      <c r="P17" s="5">
        <f>+F17*4%</f>
        <v>220000</v>
      </c>
      <c r="Q17" s="5">
        <f>+F17*5%</f>
        <v>275000</v>
      </c>
      <c r="R17" s="5"/>
      <c r="S17" s="5"/>
      <c r="T17" s="5">
        <v>68000</v>
      </c>
      <c r="U17" s="5"/>
      <c r="V17" s="5"/>
      <c r="W17" s="5"/>
      <c r="X17" s="5">
        <f>SUM(P17:W17)</f>
        <v>563000</v>
      </c>
      <c r="Y17" s="26">
        <f t="shared" si="6"/>
        <v>4937000</v>
      </c>
      <c r="Z17" s="5">
        <v>246481</v>
      </c>
      <c r="AA17" s="5">
        <f t="shared" si="2"/>
        <v>5183481</v>
      </c>
    </row>
    <row r="18" spans="1:27" ht="24.95" customHeight="1" x14ac:dyDescent="0.25">
      <c r="A18" s="16"/>
      <c r="B18" s="8">
        <v>15</v>
      </c>
      <c r="C18" s="11" t="s">
        <v>45</v>
      </c>
      <c r="D18" s="7" t="s">
        <v>30</v>
      </c>
      <c r="E18" s="8" t="s">
        <v>31</v>
      </c>
      <c r="F18" s="5">
        <v>6000000</v>
      </c>
      <c r="G18" s="9">
        <v>30</v>
      </c>
      <c r="H18" s="9">
        <f t="shared" si="4"/>
        <v>6000000</v>
      </c>
      <c r="I18" s="9"/>
      <c r="J18" s="5"/>
      <c r="K18" s="5"/>
      <c r="L18" s="5"/>
      <c r="M18" s="5"/>
      <c r="N18" s="5"/>
      <c r="O18" s="5">
        <f>+H18+J18+L18+M18+N18+K18+I18</f>
        <v>6000000</v>
      </c>
      <c r="P18" s="5">
        <f>+(F18+N18)*4%</f>
        <v>240000</v>
      </c>
      <c r="Q18" s="5">
        <f>+(F18+N18)*5%</f>
        <v>300000</v>
      </c>
      <c r="R18" s="5"/>
      <c r="S18" s="5"/>
      <c r="T18" s="5">
        <v>100000</v>
      </c>
      <c r="U18" s="5"/>
      <c r="V18" s="5"/>
      <c r="W18" s="5"/>
      <c r="X18" s="5">
        <f t="shared" si="5"/>
        <v>640000</v>
      </c>
      <c r="Y18" s="26">
        <f t="shared" si="6"/>
        <v>5360000</v>
      </c>
      <c r="Z18" s="5">
        <v>611400</v>
      </c>
      <c r="AA18" s="5">
        <f t="shared" si="2"/>
        <v>5971400</v>
      </c>
    </row>
    <row r="19" spans="1:27" ht="24.95" customHeight="1" x14ac:dyDescent="0.25">
      <c r="A19" s="16"/>
      <c r="B19" s="8">
        <v>16</v>
      </c>
      <c r="C19" s="11" t="s">
        <v>46</v>
      </c>
      <c r="D19" s="7" t="s">
        <v>30</v>
      </c>
      <c r="E19" s="8" t="s">
        <v>31</v>
      </c>
      <c r="F19" s="5">
        <v>6200000</v>
      </c>
      <c r="G19" s="9">
        <v>30</v>
      </c>
      <c r="H19" s="9">
        <f t="shared" si="4"/>
        <v>6200000</v>
      </c>
      <c r="I19" s="9"/>
      <c r="J19" s="5"/>
      <c r="K19" s="5"/>
      <c r="L19" s="5"/>
      <c r="M19" s="5"/>
      <c r="N19" s="5"/>
      <c r="O19" s="5">
        <f>+H19+J19+L19+M19+N19+K19</f>
        <v>6200000</v>
      </c>
      <c r="P19" s="5">
        <f>+H19*4%</f>
        <v>248000</v>
      </c>
      <c r="Q19" s="5">
        <f>+H19*0.05</f>
        <v>310000</v>
      </c>
      <c r="R19" s="5"/>
      <c r="S19" s="5"/>
      <c r="T19" s="5">
        <v>149000</v>
      </c>
      <c r="U19" s="5"/>
      <c r="V19" s="5"/>
      <c r="W19" s="5"/>
      <c r="X19" s="5">
        <f>SUM(P19:W19)</f>
        <v>707000</v>
      </c>
      <c r="Y19" s="26">
        <f t="shared" si="6"/>
        <v>5493000</v>
      </c>
      <c r="Z19" s="5">
        <v>106181</v>
      </c>
      <c r="AA19" s="5">
        <f t="shared" si="2"/>
        <v>5599181</v>
      </c>
    </row>
    <row r="20" spans="1:27" ht="24.95" customHeight="1" x14ac:dyDescent="0.25">
      <c r="A20" s="16"/>
      <c r="B20" s="8">
        <v>17</v>
      </c>
      <c r="C20" s="11" t="s">
        <v>47</v>
      </c>
      <c r="D20" s="7" t="s">
        <v>30</v>
      </c>
      <c r="E20" s="8" t="s">
        <v>31</v>
      </c>
      <c r="F20" s="5">
        <v>4600000</v>
      </c>
      <c r="G20" s="9">
        <v>30</v>
      </c>
      <c r="H20" s="9">
        <f t="shared" si="4"/>
        <v>4600000</v>
      </c>
      <c r="I20" s="9"/>
      <c r="J20" s="5"/>
      <c r="K20" s="5"/>
      <c r="L20" s="5"/>
      <c r="M20" s="5"/>
      <c r="N20" s="5"/>
      <c r="O20" s="5">
        <f t="shared" si="3"/>
        <v>4600000</v>
      </c>
      <c r="P20" s="5">
        <f>+F20*4%</f>
        <v>184000</v>
      </c>
      <c r="Q20" s="5">
        <f>+F20*0.05</f>
        <v>230000</v>
      </c>
      <c r="R20" s="5"/>
      <c r="S20" s="5"/>
      <c r="T20" s="5">
        <v>24000</v>
      </c>
      <c r="U20" s="5"/>
      <c r="V20" s="5"/>
      <c r="W20" s="5"/>
      <c r="X20" s="5">
        <f>SUM(P20:W20)</f>
        <v>438000</v>
      </c>
      <c r="Y20" s="26">
        <f t="shared" si="6"/>
        <v>4162000</v>
      </c>
      <c r="Z20" s="5">
        <v>261961</v>
      </c>
      <c r="AA20" s="5">
        <f t="shared" si="2"/>
        <v>4423961</v>
      </c>
    </row>
    <row r="21" spans="1:27" ht="24.95" customHeight="1" x14ac:dyDescent="0.25">
      <c r="A21" s="16"/>
      <c r="B21" s="8">
        <v>18</v>
      </c>
      <c r="C21" s="11" t="s">
        <v>48</v>
      </c>
      <c r="D21" s="7" t="s">
        <v>30</v>
      </c>
      <c r="E21" s="8" t="s">
        <v>31</v>
      </c>
      <c r="F21" s="5">
        <v>5600000</v>
      </c>
      <c r="G21" s="9">
        <v>30</v>
      </c>
      <c r="H21" s="9">
        <f t="shared" si="4"/>
        <v>5600000</v>
      </c>
      <c r="I21" s="9"/>
      <c r="J21" s="5"/>
      <c r="K21" s="5"/>
      <c r="L21" s="5"/>
      <c r="M21" s="5">
        <f>+(400000/30)*30</f>
        <v>400000</v>
      </c>
      <c r="N21" s="5"/>
      <c r="O21" s="5">
        <f>+H21+M21+N21+K21+I21</f>
        <v>6000000</v>
      </c>
      <c r="P21" s="5">
        <f>+F21*4%</f>
        <v>224000</v>
      </c>
      <c r="Q21" s="5">
        <f>+F21*0.05</f>
        <v>280000</v>
      </c>
      <c r="R21" s="5"/>
      <c r="S21" s="5"/>
      <c r="T21" s="5">
        <v>48000</v>
      </c>
      <c r="U21" s="5"/>
      <c r="V21" s="5"/>
      <c r="W21" s="5"/>
      <c r="X21" s="5">
        <f>SUM(P21:W21)</f>
        <v>552000</v>
      </c>
      <c r="Y21" s="26">
        <f t="shared" si="6"/>
        <v>5448000</v>
      </c>
      <c r="Z21" s="5">
        <v>55010</v>
      </c>
      <c r="AA21" s="5">
        <f t="shared" si="2"/>
        <v>5503010</v>
      </c>
    </row>
    <row r="22" spans="1:27" ht="24.95" customHeight="1" x14ac:dyDescent="0.25">
      <c r="A22" s="16"/>
      <c r="B22" s="8">
        <v>19</v>
      </c>
      <c r="C22" s="11" t="s">
        <v>49</v>
      </c>
      <c r="D22" s="7" t="s">
        <v>30</v>
      </c>
      <c r="E22" s="8" t="s">
        <v>31</v>
      </c>
      <c r="F22" s="5">
        <v>4400000</v>
      </c>
      <c r="G22" s="9">
        <v>30</v>
      </c>
      <c r="H22" s="9">
        <f t="shared" si="4"/>
        <v>4400000</v>
      </c>
      <c r="I22" s="9"/>
      <c r="J22" s="5"/>
      <c r="K22" s="5"/>
      <c r="L22" s="5"/>
      <c r="M22" s="5"/>
      <c r="N22" s="5"/>
      <c r="O22" s="5">
        <f t="shared" si="3"/>
        <v>4400000</v>
      </c>
      <c r="P22" s="5">
        <f>+O22*0.04</f>
        <v>176000</v>
      </c>
      <c r="Q22" s="5">
        <f>+O22*0.05</f>
        <v>220000</v>
      </c>
      <c r="R22" s="5"/>
      <c r="S22" s="5"/>
      <c r="T22" s="5">
        <v>3400</v>
      </c>
      <c r="U22" s="5"/>
      <c r="V22" s="5"/>
      <c r="W22" s="5"/>
      <c r="X22" s="5">
        <f t="shared" si="5"/>
        <v>399400</v>
      </c>
      <c r="Y22" s="26">
        <f t="shared" si="6"/>
        <v>4000600</v>
      </c>
      <c r="Z22" s="5">
        <v>583137</v>
      </c>
      <c r="AA22" s="5">
        <f t="shared" si="2"/>
        <v>4583737</v>
      </c>
    </row>
    <row r="23" spans="1:27" ht="24.95" customHeight="1" x14ac:dyDescent="0.25">
      <c r="A23" s="16"/>
      <c r="B23" s="8">
        <v>20</v>
      </c>
      <c r="C23" s="11" t="s">
        <v>50</v>
      </c>
      <c r="D23" s="7" t="s">
        <v>30</v>
      </c>
      <c r="E23" s="8" t="s">
        <v>31</v>
      </c>
      <c r="F23" s="5">
        <v>5500000</v>
      </c>
      <c r="G23" s="9">
        <v>30</v>
      </c>
      <c r="H23" s="9">
        <f>+F23-K23</f>
        <v>2199999</v>
      </c>
      <c r="I23" s="9"/>
      <c r="J23" s="5"/>
      <c r="K23" s="5">
        <f>1283334+2016667</f>
        <v>3300001</v>
      </c>
      <c r="L23" s="5"/>
      <c r="M23" s="5"/>
      <c r="N23" s="5"/>
      <c r="O23" s="5">
        <f t="shared" si="3"/>
        <v>5500000</v>
      </c>
      <c r="P23" s="5">
        <f>+O23*0.04</f>
        <v>220000</v>
      </c>
      <c r="Q23" s="5">
        <f>+O23*0.05</f>
        <v>275000</v>
      </c>
      <c r="R23" s="5"/>
      <c r="S23" s="5"/>
      <c r="T23" s="5">
        <v>121000</v>
      </c>
      <c r="U23" s="5"/>
      <c r="V23" s="5"/>
      <c r="W23" s="5"/>
      <c r="X23" s="5">
        <f t="shared" si="5"/>
        <v>616000</v>
      </c>
      <c r="Y23" s="26">
        <f t="shared" si="6"/>
        <v>4884000</v>
      </c>
      <c r="Z23" s="5">
        <v>698812</v>
      </c>
      <c r="AA23" s="5">
        <f t="shared" si="2"/>
        <v>5582812</v>
      </c>
    </row>
    <row r="24" spans="1:27" ht="24.95" customHeight="1" x14ac:dyDescent="0.25">
      <c r="A24" s="16"/>
      <c r="B24" s="8">
        <v>21</v>
      </c>
      <c r="C24" s="11" t="s">
        <v>51</v>
      </c>
      <c r="D24" s="7" t="s">
        <v>30</v>
      </c>
      <c r="E24" s="8" t="s">
        <v>31</v>
      </c>
      <c r="F24" s="5">
        <v>5500000</v>
      </c>
      <c r="G24" s="9">
        <v>30</v>
      </c>
      <c r="H24" s="9">
        <f>+F24-K24</f>
        <v>5316667</v>
      </c>
      <c r="I24" s="9"/>
      <c r="J24" s="5"/>
      <c r="K24" s="5">
        <v>183333</v>
      </c>
      <c r="L24" s="5"/>
      <c r="M24" s="5"/>
      <c r="N24" s="5"/>
      <c r="O24" s="5">
        <f t="shared" si="3"/>
        <v>5500000</v>
      </c>
      <c r="P24" s="5">
        <f>+F24*0.04</f>
        <v>220000</v>
      </c>
      <c r="Q24" s="5">
        <f>+F24*0.05</f>
        <v>275000</v>
      </c>
      <c r="R24" s="5"/>
      <c r="S24" s="5"/>
      <c r="T24" s="5">
        <v>147000</v>
      </c>
      <c r="U24" s="5"/>
      <c r="V24" s="5"/>
      <c r="W24" s="5"/>
      <c r="X24" s="5">
        <f t="shared" si="5"/>
        <v>642000</v>
      </c>
      <c r="Y24" s="26">
        <f t="shared" si="6"/>
        <v>4858000</v>
      </c>
      <c r="Z24" s="5">
        <v>27138</v>
      </c>
      <c r="AA24" s="5">
        <f t="shared" si="2"/>
        <v>4885138</v>
      </c>
    </row>
    <row r="25" spans="1:27" ht="24.95" customHeight="1" x14ac:dyDescent="0.25">
      <c r="A25" s="16"/>
      <c r="B25" s="8">
        <v>22</v>
      </c>
      <c r="C25" s="7" t="s">
        <v>52</v>
      </c>
      <c r="D25" s="7" t="s">
        <v>30</v>
      </c>
      <c r="E25" s="8" t="s">
        <v>31</v>
      </c>
      <c r="F25" s="5">
        <v>7000000</v>
      </c>
      <c r="G25" s="9">
        <v>30</v>
      </c>
      <c r="H25" s="9">
        <f t="shared" si="4"/>
        <v>7000000</v>
      </c>
      <c r="I25" s="9"/>
      <c r="J25" s="5"/>
      <c r="K25" s="5"/>
      <c r="L25" s="5"/>
      <c r="M25" s="5"/>
      <c r="N25" s="5"/>
      <c r="O25" s="5">
        <f>+H25+J25+L25+M25+N25+K25</f>
        <v>7000000</v>
      </c>
      <c r="P25" s="5">
        <f>O25*4%</f>
        <v>280000</v>
      </c>
      <c r="Q25" s="5">
        <f>+O25*5%</f>
        <v>350000</v>
      </c>
      <c r="R25" s="5"/>
      <c r="S25" s="5">
        <v>147000</v>
      </c>
      <c r="T25" s="5">
        <v>209509</v>
      </c>
      <c r="U25" s="5"/>
      <c r="V25" s="5"/>
      <c r="W25" s="5"/>
      <c r="X25" s="5">
        <f>SUM(P25:W25)</f>
        <v>986509</v>
      </c>
      <c r="Y25" s="26">
        <f>O25-X25</f>
        <v>6013491</v>
      </c>
      <c r="Z25" s="5">
        <v>550289</v>
      </c>
      <c r="AA25" s="5">
        <f t="shared" si="2"/>
        <v>6563780</v>
      </c>
    </row>
    <row r="26" spans="1:27" ht="24.95" customHeight="1" x14ac:dyDescent="0.25">
      <c r="A26" s="16"/>
      <c r="B26" s="8">
        <v>23</v>
      </c>
      <c r="C26" s="11" t="s">
        <v>53</v>
      </c>
      <c r="D26" s="7" t="s">
        <v>30</v>
      </c>
      <c r="E26" s="8" t="s">
        <v>31</v>
      </c>
      <c r="F26" s="5">
        <v>5200000</v>
      </c>
      <c r="G26" s="9">
        <v>30</v>
      </c>
      <c r="H26" s="9">
        <f t="shared" si="4"/>
        <v>5200000</v>
      </c>
      <c r="I26" s="9"/>
      <c r="J26" s="5"/>
      <c r="K26" s="5"/>
      <c r="L26" s="5"/>
      <c r="M26" s="5"/>
      <c r="N26" s="5">
        <v>81250</v>
      </c>
      <c r="O26" s="5">
        <f t="shared" si="3"/>
        <v>5281250</v>
      </c>
      <c r="P26" s="5">
        <f>+((F26+N26)*4%)</f>
        <v>211250</v>
      </c>
      <c r="Q26" s="5">
        <f>+((F26+N26)*5%)</f>
        <v>264062.5</v>
      </c>
      <c r="R26" s="5"/>
      <c r="S26" s="5"/>
      <c r="T26" s="5">
        <v>46204</v>
      </c>
      <c r="U26" s="5"/>
      <c r="V26" s="5"/>
      <c r="W26" s="5"/>
      <c r="X26" s="5">
        <f t="shared" si="5"/>
        <v>521516.5</v>
      </c>
      <c r="Y26" s="26">
        <f t="shared" si="6"/>
        <v>4759733.5</v>
      </c>
      <c r="Z26" s="5">
        <v>643175</v>
      </c>
      <c r="AA26" s="5">
        <f t="shared" si="2"/>
        <v>5402908.5</v>
      </c>
    </row>
    <row r="27" spans="1:27" ht="24.95" customHeight="1" x14ac:dyDescent="0.25">
      <c r="A27" s="16"/>
      <c r="B27" s="8">
        <v>24</v>
      </c>
      <c r="C27" s="7" t="s">
        <v>54</v>
      </c>
      <c r="D27" s="7" t="s">
        <v>30</v>
      </c>
      <c r="E27" s="8" t="s">
        <v>31</v>
      </c>
      <c r="F27" s="5">
        <v>5500000</v>
      </c>
      <c r="G27" s="9">
        <v>30</v>
      </c>
      <c r="H27" s="9">
        <f t="shared" si="4"/>
        <v>5500000</v>
      </c>
      <c r="I27" s="9"/>
      <c r="J27" s="5"/>
      <c r="K27" s="5"/>
      <c r="L27" s="5"/>
      <c r="M27" s="5">
        <v>450000</v>
      </c>
      <c r="N27" s="5"/>
      <c r="O27" s="5">
        <f t="shared" si="3"/>
        <v>5950000</v>
      </c>
      <c r="P27" s="5">
        <f>+F27*4%</f>
        <v>220000</v>
      </c>
      <c r="Q27" s="5">
        <f>+F27*5%</f>
        <v>275000</v>
      </c>
      <c r="R27" s="5"/>
      <c r="S27" s="5"/>
      <c r="T27" s="10">
        <v>4100</v>
      </c>
      <c r="U27" s="5">
        <v>1365000</v>
      </c>
      <c r="V27" s="5"/>
      <c r="W27" s="5"/>
      <c r="X27" s="5">
        <f t="shared" si="5"/>
        <v>1864100</v>
      </c>
      <c r="Y27" s="26">
        <f t="shared" si="6"/>
        <v>4085900</v>
      </c>
      <c r="Z27" s="5">
        <v>703313</v>
      </c>
      <c r="AA27" s="5">
        <f t="shared" si="2"/>
        <v>4789213</v>
      </c>
    </row>
    <row r="28" spans="1:27" ht="24.95" customHeight="1" x14ac:dyDescent="0.25">
      <c r="A28" s="16"/>
      <c r="B28" s="8">
        <v>25</v>
      </c>
      <c r="C28" s="7" t="s">
        <v>55</v>
      </c>
      <c r="D28" s="7" t="s">
        <v>30</v>
      </c>
      <c r="E28" s="8" t="s">
        <v>31</v>
      </c>
      <c r="F28" s="5">
        <v>5350000</v>
      </c>
      <c r="G28" s="9">
        <v>30</v>
      </c>
      <c r="H28" s="9">
        <f>+F28-K28</f>
        <v>4280000</v>
      </c>
      <c r="I28" s="9"/>
      <c r="J28" s="5"/>
      <c r="K28" s="5">
        <f>535000*2</f>
        <v>1070000</v>
      </c>
      <c r="L28" s="5"/>
      <c r="M28" s="5">
        <v>1000000</v>
      </c>
      <c r="N28" s="5"/>
      <c r="O28" s="5">
        <f t="shared" si="3"/>
        <v>6350000</v>
      </c>
      <c r="P28" s="5">
        <f>+F28*4%</f>
        <v>214000</v>
      </c>
      <c r="Q28" s="5">
        <f>+F28*0.05</f>
        <v>267500</v>
      </c>
      <c r="R28" s="5"/>
      <c r="S28" s="5"/>
      <c r="T28" s="10">
        <v>127000</v>
      </c>
      <c r="U28" s="5"/>
      <c r="V28" s="5"/>
      <c r="W28" s="5">
        <f>810005+511813</f>
        <v>1321818</v>
      </c>
      <c r="X28" s="5">
        <f t="shared" si="5"/>
        <v>1930318</v>
      </c>
      <c r="Y28" s="26">
        <f t="shared" ref="Y28:Y34" si="7">O28-X28</f>
        <v>4419682</v>
      </c>
      <c r="Z28" s="5">
        <v>642000</v>
      </c>
      <c r="AA28" s="5">
        <f t="shared" si="2"/>
        <v>5061682</v>
      </c>
    </row>
    <row r="29" spans="1:27" ht="24.95" customHeight="1" x14ac:dyDescent="0.25">
      <c r="A29" s="16"/>
      <c r="B29" s="8">
        <v>26</v>
      </c>
      <c r="C29" s="7" t="s">
        <v>56</v>
      </c>
      <c r="D29" s="7" t="s">
        <v>30</v>
      </c>
      <c r="E29" s="8" t="s">
        <v>31</v>
      </c>
      <c r="F29" s="5">
        <v>5000000</v>
      </c>
      <c r="G29" s="9">
        <v>30</v>
      </c>
      <c r="H29" s="9">
        <f t="shared" si="4"/>
        <v>5000000</v>
      </c>
      <c r="I29" s="9"/>
      <c r="J29" s="5"/>
      <c r="K29" s="5"/>
      <c r="L29" s="5"/>
      <c r="M29" s="5"/>
      <c r="N29" s="5"/>
      <c r="O29" s="5">
        <f t="shared" si="3"/>
        <v>5000000</v>
      </c>
      <c r="P29" s="5">
        <f>+H29*4%</f>
        <v>200000</v>
      </c>
      <c r="Q29" s="5">
        <f>+H29*5%</f>
        <v>250000</v>
      </c>
      <c r="R29" s="5"/>
      <c r="S29" s="5"/>
      <c r="T29" s="10">
        <v>29802</v>
      </c>
      <c r="U29" s="5"/>
      <c r="V29" s="5"/>
      <c r="W29" s="5"/>
      <c r="X29" s="5">
        <f>SUM(P29:W29)</f>
        <v>479802</v>
      </c>
      <c r="Y29" s="26">
        <f t="shared" si="7"/>
        <v>4520198</v>
      </c>
      <c r="Z29" s="5">
        <v>220019</v>
      </c>
      <c r="AA29" s="5">
        <f t="shared" si="2"/>
        <v>4740217</v>
      </c>
    </row>
    <row r="30" spans="1:27" ht="24.95" customHeight="1" x14ac:dyDescent="0.25">
      <c r="A30" s="16"/>
      <c r="B30" s="8">
        <v>27</v>
      </c>
      <c r="C30" s="7" t="s">
        <v>57</v>
      </c>
      <c r="D30" s="7" t="s">
        <v>30</v>
      </c>
      <c r="E30" s="8" t="s">
        <v>31</v>
      </c>
      <c r="F30" s="5">
        <v>7000000</v>
      </c>
      <c r="G30" s="9">
        <v>30</v>
      </c>
      <c r="H30" s="9">
        <f t="shared" si="4"/>
        <v>7000000</v>
      </c>
      <c r="I30" s="9"/>
      <c r="J30" s="5"/>
      <c r="K30" s="5"/>
      <c r="L30" s="5"/>
      <c r="M30" s="5"/>
      <c r="N30" s="5"/>
      <c r="O30" s="5">
        <f t="shared" si="3"/>
        <v>7000000</v>
      </c>
      <c r="P30" s="5">
        <f>+O30*4%</f>
        <v>280000</v>
      </c>
      <c r="Q30" s="5">
        <f>+O30*5%</f>
        <v>350000</v>
      </c>
      <c r="R30" s="5"/>
      <c r="S30" s="5"/>
      <c r="T30" s="10">
        <v>289000</v>
      </c>
      <c r="U30" s="5"/>
      <c r="V30" s="5"/>
      <c r="W30" s="5"/>
      <c r="X30" s="5">
        <f>SUM(P30:W30)</f>
        <v>919000</v>
      </c>
      <c r="Y30" s="26">
        <f t="shared" si="7"/>
        <v>6081000</v>
      </c>
      <c r="Z30" s="5">
        <v>241429</v>
      </c>
      <c r="AA30" s="5">
        <f t="shared" si="2"/>
        <v>6322429</v>
      </c>
    </row>
    <row r="31" spans="1:27" ht="24.95" customHeight="1" x14ac:dyDescent="0.25">
      <c r="A31" s="16"/>
      <c r="B31" s="8">
        <v>28</v>
      </c>
      <c r="C31" s="7" t="s">
        <v>58</v>
      </c>
      <c r="D31" s="7" t="s">
        <v>30</v>
      </c>
      <c r="E31" s="8" t="s">
        <v>31</v>
      </c>
      <c r="F31" s="5">
        <v>8500000</v>
      </c>
      <c r="G31" s="9">
        <v>30</v>
      </c>
      <c r="H31" s="9">
        <f>+F31-K31</f>
        <v>6800000</v>
      </c>
      <c r="I31" s="9"/>
      <c r="J31" s="5">
        <v>3000</v>
      </c>
      <c r="K31" s="5">
        <f>850000+850000</f>
        <v>1700000</v>
      </c>
      <c r="L31" s="5"/>
      <c r="M31" s="5"/>
      <c r="N31" s="5">
        <v>2187500</v>
      </c>
      <c r="O31" s="5">
        <f t="shared" si="3"/>
        <v>10690500</v>
      </c>
      <c r="P31" s="5">
        <f>+O31*4%</f>
        <v>427620</v>
      </c>
      <c r="Q31" s="5">
        <f>+O31*0.05</f>
        <v>534525</v>
      </c>
      <c r="R31" s="5"/>
      <c r="S31" s="5"/>
      <c r="T31" s="10">
        <v>318000</v>
      </c>
      <c r="U31" s="5"/>
      <c r="V31" s="5"/>
      <c r="W31" s="5"/>
      <c r="X31" s="5">
        <f t="shared" si="5"/>
        <v>1280145</v>
      </c>
      <c r="Y31" s="26">
        <f t="shared" si="7"/>
        <v>9410355</v>
      </c>
      <c r="Z31" s="5">
        <v>890344</v>
      </c>
      <c r="AA31" s="5">
        <f t="shared" si="2"/>
        <v>10300699</v>
      </c>
    </row>
    <row r="32" spans="1:27" ht="24.95" customHeight="1" x14ac:dyDescent="0.25">
      <c r="A32" s="16"/>
      <c r="B32" s="8">
        <v>29</v>
      </c>
      <c r="C32" s="7" t="s">
        <v>59</v>
      </c>
      <c r="D32" s="7" t="s">
        <v>30</v>
      </c>
      <c r="E32" s="8" t="s">
        <v>31</v>
      </c>
      <c r="F32" s="5">
        <v>7314000</v>
      </c>
      <c r="G32" s="9">
        <v>30</v>
      </c>
      <c r="H32" s="9">
        <f>+F32-K32</f>
        <v>4144600</v>
      </c>
      <c r="I32" s="9"/>
      <c r="J32" s="5"/>
      <c r="K32" s="5">
        <v>3169400</v>
      </c>
      <c r="L32" s="5"/>
      <c r="M32" s="5">
        <v>1400000</v>
      </c>
      <c r="N32" s="5"/>
      <c r="O32" s="5">
        <f t="shared" si="3"/>
        <v>8714000</v>
      </c>
      <c r="P32" s="5">
        <f>+F32*4%</f>
        <v>292560</v>
      </c>
      <c r="Q32" s="5">
        <f>+F32*5%</f>
        <v>365700</v>
      </c>
      <c r="R32" s="5"/>
      <c r="S32" s="5"/>
      <c r="T32" s="10">
        <v>193000</v>
      </c>
      <c r="U32" s="5">
        <v>1300000</v>
      </c>
      <c r="V32" s="5"/>
      <c r="W32" s="5"/>
      <c r="X32" s="5">
        <f t="shared" si="5"/>
        <v>2151260</v>
      </c>
      <c r="Y32" s="26">
        <f t="shared" si="7"/>
        <v>6562740</v>
      </c>
      <c r="Z32" s="5">
        <v>913564</v>
      </c>
      <c r="AA32" s="5">
        <f t="shared" si="2"/>
        <v>7476304</v>
      </c>
    </row>
    <row r="33" spans="1:27" ht="24.95" customHeight="1" x14ac:dyDescent="0.25">
      <c r="A33" s="16"/>
      <c r="B33" s="8">
        <v>30</v>
      </c>
      <c r="C33" s="7" t="s">
        <v>60</v>
      </c>
      <c r="D33" s="7" t="s">
        <v>30</v>
      </c>
      <c r="E33" s="8" t="s">
        <v>31</v>
      </c>
      <c r="F33" s="5">
        <v>5500000</v>
      </c>
      <c r="G33" s="9">
        <v>30</v>
      </c>
      <c r="H33" s="9">
        <f t="shared" si="4"/>
        <v>5500000</v>
      </c>
      <c r="I33" s="9"/>
      <c r="J33" s="5"/>
      <c r="K33" s="5"/>
      <c r="L33" s="5"/>
      <c r="M33" s="5"/>
      <c r="N33" s="5"/>
      <c r="O33" s="5">
        <f t="shared" si="3"/>
        <v>5500000</v>
      </c>
      <c r="P33" s="5">
        <f>+H33*4%</f>
        <v>220000</v>
      </c>
      <c r="Q33" s="5">
        <f>+H33*5%</f>
        <v>275000</v>
      </c>
      <c r="R33" s="5"/>
      <c r="S33" s="5"/>
      <c r="T33" s="10">
        <v>36000</v>
      </c>
      <c r="U33" s="5"/>
      <c r="V33" s="5"/>
      <c r="W33" s="5"/>
      <c r="X33" s="5">
        <f>SUM(P33:W33)</f>
        <v>531000</v>
      </c>
      <c r="Y33" s="26">
        <f t="shared" si="7"/>
        <v>4969000</v>
      </c>
      <c r="Z33" s="5">
        <v>228881</v>
      </c>
      <c r="AA33" s="5">
        <f t="shared" si="2"/>
        <v>5197881</v>
      </c>
    </row>
    <row r="34" spans="1:27" ht="24.95" customHeight="1" x14ac:dyDescent="0.25">
      <c r="A34" s="16"/>
      <c r="B34" s="8">
        <v>31</v>
      </c>
      <c r="C34" s="11" t="s">
        <v>61</v>
      </c>
      <c r="D34" s="7" t="s">
        <v>30</v>
      </c>
      <c r="E34" s="8" t="s">
        <v>31</v>
      </c>
      <c r="F34" s="5">
        <v>4500000</v>
      </c>
      <c r="G34" s="9">
        <v>30</v>
      </c>
      <c r="H34" s="9">
        <f t="shared" si="4"/>
        <v>4500000</v>
      </c>
      <c r="I34" s="9"/>
      <c r="J34" s="5"/>
      <c r="K34" s="5"/>
      <c r="L34" s="5"/>
      <c r="M34" s="5"/>
      <c r="N34" s="5"/>
      <c r="O34" s="5">
        <f>+H34+J34+L34+M34+N34+K34</f>
        <v>4500000</v>
      </c>
      <c r="P34" s="5">
        <v>180000</v>
      </c>
      <c r="Q34" s="5">
        <v>225000</v>
      </c>
      <c r="R34" s="5"/>
      <c r="S34" s="5"/>
      <c r="T34" s="5"/>
      <c r="U34" s="5"/>
      <c r="V34" s="5"/>
      <c r="W34" s="5"/>
      <c r="X34" s="5">
        <f>SUM(P34:W34)</f>
        <v>405000</v>
      </c>
      <c r="Y34" s="26">
        <f t="shared" si="7"/>
        <v>4095000</v>
      </c>
      <c r="Z34" s="5">
        <v>365067</v>
      </c>
      <c r="AA34" s="5">
        <f t="shared" si="2"/>
        <v>4460067</v>
      </c>
    </row>
    <row r="35" spans="1:27" ht="24.95" customHeight="1" x14ac:dyDescent="0.25">
      <c r="A35" s="16"/>
      <c r="B35" s="8">
        <v>32</v>
      </c>
      <c r="C35" s="7" t="s">
        <v>62</v>
      </c>
      <c r="D35" s="7" t="s">
        <v>30</v>
      </c>
      <c r="E35" s="8" t="s">
        <v>31</v>
      </c>
      <c r="F35" s="5">
        <v>5500000</v>
      </c>
      <c r="G35" s="9">
        <v>30</v>
      </c>
      <c r="H35" s="9">
        <f>+F35-K35</f>
        <v>2933334</v>
      </c>
      <c r="I35" s="9"/>
      <c r="J35" s="5"/>
      <c r="K35" s="5">
        <v>2566666</v>
      </c>
      <c r="L35" s="5"/>
      <c r="M35" s="5"/>
      <c r="N35" s="5">
        <v>942187</v>
      </c>
      <c r="O35" s="5">
        <f t="shared" si="3"/>
        <v>6442187</v>
      </c>
      <c r="P35" s="5">
        <f>O35*4/100</f>
        <v>257687.48</v>
      </c>
      <c r="Q35" s="5">
        <f>+O35*5%</f>
        <v>322109.35000000003</v>
      </c>
      <c r="R35" s="5"/>
      <c r="S35" s="5"/>
      <c r="T35" s="5">
        <v>0</v>
      </c>
      <c r="U35" s="5">
        <v>550000</v>
      </c>
      <c r="V35" s="5"/>
      <c r="W35" s="5"/>
      <c r="X35" s="5">
        <f t="shared" si="5"/>
        <v>1129796.83</v>
      </c>
      <c r="Y35" s="26">
        <f t="shared" ref="Y35:Y41" si="8">+O35-X35</f>
        <v>5312390.17</v>
      </c>
      <c r="Z35" s="5">
        <v>818709</v>
      </c>
      <c r="AA35" s="5">
        <f t="shared" si="2"/>
        <v>6131099.1699999999</v>
      </c>
    </row>
    <row r="36" spans="1:27" ht="24.95" customHeight="1" x14ac:dyDescent="0.25">
      <c r="A36" s="16"/>
      <c r="B36" s="8">
        <v>33</v>
      </c>
      <c r="C36" s="7" t="s">
        <v>63</v>
      </c>
      <c r="D36" s="7" t="s">
        <v>30</v>
      </c>
      <c r="E36" s="8" t="s">
        <v>31</v>
      </c>
      <c r="F36" s="5">
        <v>7000000</v>
      </c>
      <c r="G36" s="9">
        <v>30</v>
      </c>
      <c r="H36" s="9">
        <f>+F36-K36</f>
        <v>3966667</v>
      </c>
      <c r="I36" s="9"/>
      <c r="J36" s="5"/>
      <c r="K36" s="5">
        <v>3033333</v>
      </c>
      <c r="L36" s="5"/>
      <c r="M36" s="5"/>
      <c r="N36" s="5"/>
      <c r="O36" s="5">
        <f t="shared" si="3"/>
        <v>7000000</v>
      </c>
      <c r="P36" s="5">
        <f>F36*4/100</f>
        <v>280000</v>
      </c>
      <c r="Q36" s="5">
        <f>+F36*0.05</f>
        <v>350000</v>
      </c>
      <c r="R36" s="5"/>
      <c r="S36" s="5"/>
      <c r="T36" s="10">
        <v>107607</v>
      </c>
      <c r="U36" s="5">
        <v>2000000</v>
      </c>
      <c r="V36" s="5"/>
      <c r="W36" s="5">
        <f>884747</f>
        <v>884747</v>
      </c>
      <c r="X36" s="5">
        <f t="shared" si="5"/>
        <v>3622354</v>
      </c>
      <c r="Y36" s="26">
        <f t="shared" si="8"/>
        <v>3377646</v>
      </c>
      <c r="Z36" s="5">
        <v>636000</v>
      </c>
      <c r="AA36" s="5">
        <f t="shared" si="2"/>
        <v>4013646</v>
      </c>
    </row>
    <row r="37" spans="1:27" ht="24.95" customHeight="1" x14ac:dyDescent="0.25">
      <c r="A37" s="16"/>
      <c r="B37" s="8">
        <v>34</v>
      </c>
      <c r="C37" s="7" t="s">
        <v>64</v>
      </c>
      <c r="D37" s="7" t="s">
        <v>30</v>
      </c>
      <c r="E37" s="8" t="s">
        <v>31</v>
      </c>
      <c r="F37" s="5">
        <v>4800000</v>
      </c>
      <c r="G37" s="9">
        <v>30</v>
      </c>
      <c r="H37" s="9">
        <f t="shared" si="4"/>
        <v>4800000</v>
      </c>
      <c r="I37" s="9"/>
      <c r="J37" s="5"/>
      <c r="K37" s="5"/>
      <c r="L37" s="5"/>
      <c r="M37" s="5">
        <v>99015</v>
      </c>
      <c r="N37" s="5"/>
      <c r="O37" s="5">
        <f t="shared" si="3"/>
        <v>4899015</v>
      </c>
      <c r="P37" s="5">
        <f>F37*4/100</f>
        <v>192000</v>
      </c>
      <c r="Q37" s="5">
        <f>+F37*0.05</f>
        <v>240000</v>
      </c>
      <c r="R37" s="5"/>
      <c r="S37" s="5"/>
      <c r="T37" s="10">
        <v>26000</v>
      </c>
      <c r="U37" s="5"/>
      <c r="V37" s="5"/>
      <c r="W37" s="5">
        <v>472184</v>
      </c>
      <c r="X37" s="5">
        <f t="shared" si="5"/>
        <v>930184</v>
      </c>
      <c r="Y37" s="26">
        <f t="shared" si="8"/>
        <v>3968831</v>
      </c>
      <c r="Z37" s="5">
        <v>576000</v>
      </c>
      <c r="AA37" s="5">
        <f t="shared" si="2"/>
        <v>4544831</v>
      </c>
    </row>
    <row r="38" spans="1:27" ht="24.95" customHeight="1" x14ac:dyDescent="0.25">
      <c r="A38" s="16"/>
      <c r="B38" s="8">
        <v>35</v>
      </c>
      <c r="C38" s="7" t="s">
        <v>65</v>
      </c>
      <c r="D38" s="7"/>
      <c r="E38" s="8"/>
      <c r="F38" s="5">
        <v>3800000</v>
      </c>
      <c r="G38" s="9">
        <v>29</v>
      </c>
      <c r="H38" s="9">
        <f t="shared" si="4"/>
        <v>3673333.3333333335</v>
      </c>
      <c r="I38" s="9"/>
      <c r="J38" s="5"/>
      <c r="K38" s="5"/>
      <c r="L38" s="5"/>
      <c r="M38" s="5"/>
      <c r="N38" s="5"/>
      <c r="O38" s="5">
        <f>+H38+J38+L38+M38+N38+K38</f>
        <v>3673333.3333333335</v>
      </c>
      <c r="P38" s="5">
        <f>H38*4/100</f>
        <v>146933.33333333334</v>
      </c>
      <c r="Q38" s="5">
        <f>+H38*0.05</f>
        <v>183666.66666666669</v>
      </c>
      <c r="R38" s="5"/>
      <c r="S38" s="5"/>
      <c r="T38" s="10"/>
      <c r="U38" s="5"/>
      <c r="V38" s="5"/>
      <c r="W38" s="5"/>
      <c r="X38" s="5">
        <f>SUM(P38:W38)</f>
        <v>330600</v>
      </c>
      <c r="Y38" s="26">
        <f>+O38-X38</f>
        <v>3342733.3333333335</v>
      </c>
      <c r="Z38" s="5">
        <v>0</v>
      </c>
      <c r="AA38" s="5">
        <f t="shared" si="2"/>
        <v>3342733.3333333335</v>
      </c>
    </row>
    <row r="39" spans="1:27" ht="24.95" customHeight="1" x14ac:dyDescent="0.25">
      <c r="A39" s="16"/>
      <c r="B39" s="8">
        <v>36</v>
      </c>
      <c r="C39" s="7" t="s">
        <v>66</v>
      </c>
      <c r="D39" s="7" t="s">
        <v>30</v>
      </c>
      <c r="E39" s="8" t="s">
        <v>31</v>
      </c>
      <c r="F39" s="5">
        <v>5500000</v>
      </c>
      <c r="G39" s="9">
        <v>30</v>
      </c>
      <c r="H39" s="9">
        <f t="shared" si="4"/>
        <v>5500000</v>
      </c>
      <c r="I39" s="9"/>
      <c r="J39" s="5"/>
      <c r="K39" s="5"/>
      <c r="L39" s="5"/>
      <c r="M39" s="5"/>
      <c r="N39" s="5"/>
      <c r="O39" s="5">
        <f t="shared" si="3"/>
        <v>5500000</v>
      </c>
      <c r="P39" s="5">
        <f>+F39*4%</f>
        <v>220000</v>
      </c>
      <c r="Q39" s="5">
        <f>+F39*0.05</f>
        <v>275000</v>
      </c>
      <c r="R39" s="5"/>
      <c r="S39" s="5"/>
      <c r="T39" s="10">
        <v>94639</v>
      </c>
      <c r="U39" s="5"/>
      <c r="V39" s="5"/>
      <c r="W39" s="5"/>
      <c r="X39" s="5">
        <f>SUM(P39:W39)</f>
        <v>589639</v>
      </c>
      <c r="Y39" s="26">
        <f t="shared" si="8"/>
        <v>4910361</v>
      </c>
      <c r="Z39" s="5">
        <v>61620</v>
      </c>
      <c r="AA39" s="5">
        <f t="shared" si="2"/>
        <v>4971981</v>
      </c>
    </row>
    <row r="40" spans="1:27" ht="24.95" customHeight="1" x14ac:dyDescent="0.25">
      <c r="A40" s="16"/>
      <c r="B40" s="8">
        <v>37</v>
      </c>
      <c r="C40" s="7" t="s">
        <v>67</v>
      </c>
      <c r="D40" s="7" t="s">
        <v>30</v>
      </c>
      <c r="E40" s="8" t="s">
        <v>31</v>
      </c>
      <c r="F40" s="5">
        <v>6100000</v>
      </c>
      <c r="G40" s="9">
        <v>30</v>
      </c>
      <c r="H40" s="9">
        <f>+F40-K40</f>
        <v>4880000</v>
      </c>
      <c r="I40" s="9"/>
      <c r="J40" s="5"/>
      <c r="K40" s="5">
        <v>1220000</v>
      </c>
      <c r="L40" s="5"/>
      <c r="M40" s="5"/>
      <c r="N40" s="5"/>
      <c r="O40" s="5">
        <f t="shared" si="3"/>
        <v>6100000</v>
      </c>
      <c r="P40" s="5">
        <f>O40*4/100</f>
        <v>244000</v>
      </c>
      <c r="Q40" s="5">
        <f>+O40*0.05</f>
        <v>305000</v>
      </c>
      <c r="R40" s="5"/>
      <c r="S40" s="5"/>
      <c r="T40" s="5">
        <v>204000</v>
      </c>
      <c r="U40" s="5"/>
      <c r="V40" s="5"/>
      <c r="W40" s="5"/>
      <c r="X40" s="5">
        <f t="shared" si="5"/>
        <v>753000</v>
      </c>
      <c r="Y40" s="26">
        <f t="shared" si="8"/>
        <v>5347000</v>
      </c>
      <c r="Z40" s="5">
        <v>716873</v>
      </c>
      <c r="AA40" s="5">
        <f t="shared" si="2"/>
        <v>6063873</v>
      </c>
    </row>
    <row r="41" spans="1:27" ht="24.95" customHeight="1" x14ac:dyDescent="0.25">
      <c r="A41" s="16"/>
      <c r="B41" s="8">
        <v>38</v>
      </c>
      <c r="C41" s="7" t="s">
        <v>68</v>
      </c>
      <c r="D41" s="7" t="s">
        <v>30</v>
      </c>
      <c r="E41" s="8" t="s">
        <v>31</v>
      </c>
      <c r="F41" s="5">
        <v>5900000</v>
      </c>
      <c r="G41" s="9">
        <v>30</v>
      </c>
      <c r="H41" s="9">
        <f t="shared" si="4"/>
        <v>5900000</v>
      </c>
      <c r="I41" s="9"/>
      <c r="J41" s="5"/>
      <c r="K41" s="5"/>
      <c r="L41" s="5"/>
      <c r="M41" s="5">
        <v>300000</v>
      </c>
      <c r="N41" s="5">
        <v>184375</v>
      </c>
      <c r="O41" s="5">
        <f t="shared" si="3"/>
        <v>6384375</v>
      </c>
      <c r="P41" s="5">
        <f>F41*4/100</f>
        <v>236000</v>
      </c>
      <c r="Q41" s="5">
        <f>+F41*0.05</f>
        <v>295000</v>
      </c>
      <c r="R41" s="5"/>
      <c r="S41" s="5"/>
      <c r="T41" s="10">
        <v>148000</v>
      </c>
      <c r="U41" s="5"/>
      <c r="V41" s="5"/>
      <c r="W41" s="5"/>
      <c r="X41" s="5">
        <f t="shared" si="5"/>
        <v>679000</v>
      </c>
      <c r="Y41" s="26">
        <f t="shared" si="8"/>
        <v>5705375</v>
      </c>
      <c r="Z41" s="5">
        <v>676000</v>
      </c>
      <c r="AA41" s="5">
        <f t="shared" si="2"/>
        <v>6381375</v>
      </c>
    </row>
    <row r="42" spans="1:27" ht="24.95" customHeight="1" x14ac:dyDescent="0.25">
      <c r="A42" s="16"/>
      <c r="B42" s="8">
        <v>39</v>
      </c>
      <c r="C42" s="7" t="s">
        <v>69</v>
      </c>
      <c r="D42" s="7" t="s">
        <v>30</v>
      </c>
      <c r="E42" s="8" t="s">
        <v>31</v>
      </c>
      <c r="F42" s="5">
        <v>4300000</v>
      </c>
      <c r="G42" s="9">
        <v>30</v>
      </c>
      <c r="H42" s="9">
        <f t="shared" si="4"/>
        <v>4300000</v>
      </c>
      <c r="I42" s="9"/>
      <c r="J42" s="5"/>
      <c r="K42" s="5"/>
      <c r="L42" s="5"/>
      <c r="M42" s="5"/>
      <c r="N42" s="5"/>
      <c r="O42" s="5">
        <f t="shared" si="3"/>
        <v>4300000</v>
      </c>
      <c r="P42" s="5">
        <f>+F42*4%</f>
        <v>172000</v>
      </c>
      <c r="Q42" s="5">
        <f>+F42*5%</f>
        <v>215000</v>
      </c>
      <c r="R42" s="5"/>
      <c r="S42" s="5"/>
      <c r="T42" s="10">
        <v>0</v>
      </c>
      <c r="U42" s="5"/>
      <c r="V42" s="5">
        <v>0</v>
      </c>
      <c r="W42" s="5">
        <v>709704</v>
      </c>
      <c r="X42" s="5">
        <f>SUM(P42:W42)</f>
        <v>1096704</v>
      </c>
      <c r="Y42" s="26">
        <f>+O42-X42</f>
        <v>3203296</v>
      </c>
      <c r="Z42" s="5">
        <v>516000</v>
      </c>
      <c r="AA42" s="5">
        <f t="shared" si="2"/>
        <v>3719296</v>
      </c>
    </row>
    <row r="43" spans="1:27" ht="24.95" customHeight="1" x14ac:dyDescent="0.25">
      <c r="A43" s="16"/>
      <c r="B43" s="8">
        <v>40</v>
      </c>
      <c r="C43" s="7" t="s">
        <v>70</v>
      </c>
      <c r="D43" s="7" t="s">
        <v>30</v>
      </c>
      <c r="E43" s="8" t="s">
        <v>31</v>
      </c>
      <c r="F43" s="5">
        <v>4770000</v>
      </c>
      <c r="G43" s="9">
        <v>30</v>
      </c>
      <c r="H43" s="9">
        <f t="shared" si="4"/>
        <v>4770000</v>
      </c>
      <c r="I43" s="9"/>
      <c r="J43" s="5"/>
      <c r="K43" s="5"/>
      <c r="L43" s="5"/>
      <c r="M43" s="5">
        <v>160000</v>
      </c>
      <c r="N43" s="5"/>
      <c r="O43" s="5">
        <f t="shared" si="3"/>
        <v>4930000</v>
      </c>
      <c r="P43" s="5">
        <f>+F43*4%</f>
        <v>190800</v>
      </c>
      <c r="Q43" s="5">
        <f>+F43*5%</f>
        <v>238500</v>
      </c>
      <c r="R43" s="5"/>
      <c r="S43" s="5"/>
      <c r="T43" s="10">
        <v>0</v>
      </c>
      <c r="U43" s="5"/>
      <c r="V43" s="5"/>
      <c r="W43" s="5"/>
      <c r="X43" s="5">
        <f>SUM(P43:W43)</f>
        <v>429300</v>
      </c>
      <c r="Y43" s="26">
        <f>+O43-X43</f>
        <v>4500700</v>
      </c>
      <c r="Z43" s="5">
        <v>580747</v>
      </c>
      <c r="AA43" s="5">
        <f t="shared" si="2"/>
        <v>5081447</v>
      </c>
    </row>
    <row r="44" spans="1:27" ht="24.95" customHeight="1" x14ac:dyDescent="0.25">
      <c r="A44" s="16"/>
      <c r="B44" s="8">
        <v>41</v>
      </c>
      <c r="C44" s="7" t="s">
        <v>71</v>
      </c>
      <c r="D44" s="7" t="s">
        <v>30</v>
      </c>
      <c r="E44" s="8" t="s">
        <v>31</v>
      </c>
      <c r="F44" s="5">
        <v>5088000</v>
      </c>
      <c r="G44" s="9">
        <v>30</v>
      </c>
      <c r="H44" s="9">
        <f>+F44-K44</f>
        <v>4070400</v>
      </c>
      <c r="I44" s="9"/>
      <c r="J44" s="5"/>
      <c r="K44" s="5">
        <v>1017600</v>
      </c>
      <c r="L44" s="5"/>
      <c r="M44" s="5">
        <v>412000</v>
      </c>
      <c r="N44" s="5">
        <v>2703000</v>
      </c>
      <c r="O44" s="5">
        <f t="shared" si="3"/>
        <v>8203000</v>
      </c>
      <c r="P44" s="5">
        <v>381600</v>
      </c>
      <c r="Q44" s="5">
        <v>477000</v>
      </c>
      <c r="R44" s="5"/>
      <c r="S44" s="5"/>
      <c r="T44" s="5">
        <v>120000</v>
      </c>
      <c r="U44" s="5">
        <f>1150000</f>
        <v>1150000</v>
      </c>
      <c r="V44" s="5"/>
      <c r="W44" s="5">
        <f>209579</f>
        <v>209579</v>
      </c>
      <c r="X44" s="5">
        <f t="shared" si="5"/>
        <v>2338179</v>
      </c>
      <c r="Y44" s="26">
        <f>O44-X44</f>
        <v>5864821</v>
      </c>
      <c r="Z44" s="5">
        <v>699600</v>
      </c>
      <c r="AA44" s="5">
        <f t="shared" si="2"/>
        <v>6564421</v>
      </c>
    </row>
    <row r="45" spans="1:27" ht="24.95" customHeight="1" x14ac:dyDescent="0.25">
      <c r="A45" s="16"/>
      <c r="B45" s="8">
        <v>42</v>
      </c>
      <c r="C45" s="7" t="s">
        <v>72</v>
      </c>
      <c r="D45" s="7" t="s">
        <v>30</v>
      </c>
      <c r="E45" s="8" t="s">
        <v>31</v>
      </c>
      <c r="F45" s="5">
        <v>4540000</v>
      </c>
      <c r="G45" s="9">
        <v>30</v>
      </c>
      <c r="H45" s="9">
        <f t="shared" si="4"/>
        <v>4540000</v>
      </c>
      <c r="I45" s="9"/>
      <c r="J45" s="5"/>
      <c r="K45" s="5"/>
      <c r="L45" s="5"/>
      <c r="M45" s="5"/>
      <c r="N45" s="5"/>
      <c r="O45" s="5">
        <f t="shared" si="3"/>
        <v>4540000</v>
      </c>
      <c r="P45" s="5">
        <f>F45*4/100</f>
        <v>181600</v>
      </c>
      <c r="Q45" s="5">
        <f>+F45*0.05</f>
        <v>227000</v>
      </c>
      <c r="R45" s="5"/>
      <c r="S45" s="5"/>
      <c r="T45" s="10">
        <v>22000</v>
      </c>
      <c r="U45" s="5"/>
      <c r="V45" s="5"/>
      <c r="W45" s="5">
        <v>407106</v>
      </c>
      <c r="X45" s="5">
        <f t="shared" si="5"/>
        <v>837706</v>
      </c>
      <c r="Y45" s="26">
        <f>O45-X45</f>
        <v>3702294</v>
      </c>
      <c r="Z45" s="5">
        <v>544800</v>
      </c>
      <c r="AA45" s="5">
        <f t="shared" si="2"/>
        <v>4247094</v>
      </c>
    </row>
    <row r="46" spans="1:27" ht="24.95" customHeight="1" x14ac:dyDescent="0.25">
      <c r="A46" s="16"/>
      <c r="B46" s="8">
        <v>43</v>
      </c>
      <c r="C46" s="7" t="s">
        <v>73</v>
      </c>
      <c r="D46" s="7" t="s">
        <v>30</v>
      </c>
      <c r="E46" s="8" t="s">
        <v>31</v>
      </c>
      <c r="F46" s="5">
        <v>4500000</v>
      </c>
      <c r="G46" s="9">
        <v>30</v>
      </c>
      <c r="H46" s="9">
        <f>+F46-K46</f>
        <v>3600000</v>
      </c>
      <c r="I46" s="9"/>
      <c r="J46" s="5"/>
      <c r="K46" s="5">
        <v>900000</v>
      </c>
      <c r="L46" s="5"/>
      <c r="M46" s="5"/>
      <c r="N46" s="5">
        <v>942187</v>
      </c>
      <c r="O46" s="5">
        <f t="shared" si="3"/>
        <v>5442187</v>
      </c>
      <c r="P46" s="5">
        <f>O46*4/100</f>
        <v>217687.48</v>
      </c>
      <c r="Q46" s="5">
        <f>+O46*0.05</f>
        <v>272109.35000000003</v>
      </c>
      <c r="R46" s="5"/>
      <c r="S46" s="5"/>
      <c r="T46" s="5">
        <v>0</v>
      </c>
      <c r="U46" s="5"/>
      <c r="V46" s="5"/>
      <c r="W46" s="5">
        <v>636561</v>
      </c>
      <c r="X46" s="5">
        <f t="shared" si="5"/>
        <v>1126357.83</v>
      </c>
      <c r="Y46" s="26">
        <f t="shared" ref="Y46:Y51" si="9">+O46-X46</f>
        <v>4315829.17</v>
      </c>
      <c r="Z46" s="5">
        <v>563836</v>
      </c>
      <c r="AA46" s="5">
        <f t="shared" si="2"/>
        <v>4879665.17</v>
      </c>
    </row>
    <row r="47" spans="1:27" ht="24.95" customHeight="1" x14ac:dyDescent="0.25">
      <c r="A47" s="16"/>
      <c r="B47" s="8">
        <v>44</v>
      </c>
      <c r="C47" s="7" t="s">
        <v>74</v>
      </c>
      <c r="D47" s="7" t="s">
        <v>30</v>
      </c>
      <c r="E47" s="8" t="s">
        <v>31</v>
      </c>
      <c r="F47" s="5">
        <v>6360000</v>
      </c>
      <c r="G47" s="9">
        <v>30</v>
      </c>
      <c r="H47" s="9">
        <f>+F47-K47</f>
        <v>4876000</v>
      </c>
      <c r="I47" s="9"/>
      <c r="J47" s="5"/>
      <c r="K47" s="5">
        <v>1484000</v>
      </c>
      <c r="L47" s="5"/>
      <c r="M47" s="5"/>
      <c r="N47" s="5"/>
      <c r="O47" s="5">
        <f t="shared" si="3"/>
        <v>6360000</v>
      </c>
      <c r="P47" s="5">
        <f>F47*4/100</f>
        <v>254400</v>
      </c>
      <c r="Q47" s="5">
        <f>+F47*0.05</f>
        <v>318000</v>
      </c>
      <c r="R47" s="5"/>
      <c r="S47" s="5"/>
      <c r="T47" s="5">
        <v>208000</v>
      </c>
      <c r="U47" s="5"/>
      <c r="V47" s="5"/>
      <c r="W47" s="5"/>
      <c r="X47" s="5">
        <f t="shared" si="5"/>
        <v>780400</v>
      </c>
      <c r="Y47" s="26">
        <f t="shared" si="9"/>
        <v>5579600</v>
      </c>
      <c r="Z47" s="5">
        <v>763200</v>
      </c>
      <c r="AA47" s="5">
        <f t="shared" si="2"/>
        <v>6342800</v>
      </c>
    </row>
    <row r="48" spans="1:27" ht="24.95" customHeight="1" x14ac:dyDescent="0.25">
      <c r="A48" s="16"/>
      <c r="B48" s="8">
        <v>45</v>
      </c>
      <c r="C48" s="7" t="s">
        <v>75</v>
      </c>
      <c r="D48" s="7" t="s">
        <v>30</v>
      </c>
      <c r="E48" s="8" t="s">
        <v>31</v>
      </c>
      <c r="F48" s="5">
        <v>11500000</v>
      </c>
      <c r="G48" s="9">
        <v>30</v>
      </c>
      <c r="H48" s="9">
        <f t="shared" si="4"/>
        <v>11500000</v>
      </c>
      <c r="I48" s="9"/>
      <c r="J48" s="5"/>
      <c r="K48" s="5"/>
      <c r="L48" s="5"/>
      <c r="M48" s="5"/>
      <c r="N48" s="5"/>
      <c r="O48" s="5">
        <f>+H48+J48+L48+M48+N48+K48</f>
        <v>11500000</v>
      </c>
      <c r="P48" s="5">
        <v>322000</v>
      </c>
      <c r="Q48" s="5">
        <f>322000+80500</f>
        <v>402500</v>
      </c>
      <c r="R48" s="5"/>
      <c r="S48" s="5"/>
      <c r="T48" s="5">
        <v>374806</v>
      </c>
      <c r="U48" s="5"/>
      <c r="V48" s="5"/>
      <c r="W48" s="5"/>
      <c r="X48" s="5">
        <f>SUM(P48:W48)</f>
        <v>1099306</v>
      </c>
      <c r="Y48" s="26">
        <f t="shared" si="9"/>
        <v>10400694</v>
      </c>
      <c r="Z48" s="5">
        <v>0</v>
      </c>
      <c r="AA48" s="5">
        <f t="shared" si="2"/>
        <v>10400694</v>
      </c>
    </row>
    <row r="49" spans="1:27" ht="24.95" customHeight="1" x14ac:dyDescent="0.25">
      <c r="A49" s="16"/>
      <c r="B49" s="8">
        <v>46</v>
      </c>
      <c r="C49" s="7" t="s">
        <v>76</v>
      </c>
      <c r="D49" s="7" t="s">
        <v>30</v>
      </c>
      <c r="E49" s="8" t="s">
        <v>31</v>
      </c>
      <c r="F49" s="5">
        <v>3500000</v>
      </c>
      <c r="G49" s="9">
        <v>30</v>
      </c>
      <c r="H49" s="9">
        <f t="shared" si="4"/>
        <v>3500000</v>
      </c>
      <c r="I49" s="9"/>
      <c r="J49" s="5"/>
      <c r="K49" s="5"/>
      <c r="L49" s="5"/>
      <c r="M49" s="5"/>
      <c r="N49" s="5"/>
      <c r="O49" s="5">
        <f>+H49+J49+L49+M49+N49+K49</f>
        <v>3500000</v>
      </c>
      <c r="P49" s="5">
        <f>H49*4/100</f>
        <v>140000</v>
      </c>
      <c r="Q49" s="5">
        <f>+H49*0.05</f>
        <v>175000</v>
      </c>
      <c r="R49" s="5"/>
      <c r="S49" s="5"/>
      <c r="T49" s="5">
        <v>0</v>
      </c>
      <c r="U49" s="5"/>
      <c r="V49" s="5">
        <v>0</v>
      </c>
      <c r="W49" s="5"/>
      <c r="X49" s="5">
        <f>SUM(P49:W49)</f>
        <v>315000</v>
      </c>
      <c r="Y49" s="26">
        <f t="shared" si="9"/>
        <v>3185000</v>
      </c>
      <c r="Z49" s="5">
        <v>270670</v>
      </c>
      <c r="AA49" s="5">
        <f t="shared" si="2"/>
        <v>3455670</v>
      </c>
    </row>
    <row r="50" spans="1:27" ht="24.95" customHeight="1" x14ac:dyDescent="0.25">
      <c r="A50" s="16"/>
      <c r="B50" s="8">
        <v>47</v>
      </c>
      <c r="C50" s="7" t="s">
        <v>77</v>
      </c>
      <c r="D50" s="7" t="s">
        <v>30</v>
      </c>
      <c r="E50" s="8" t="s">
        <v>31</v>
      </c>
      <c r="F50" s="5">
        <v>5000000</v>
      </c>
      <c r="G50" s="9">
        <v>30</v>
      </c>
      <c r="H50" s="9">
        <f t="shared" si="4"/>
        <v>5000000</v>
      </c>
      <c r="I50" s="9"/>
      <c r="J50" s="5"/>
      <c r="K50" s="5"/>
      <c r="L50" s="5"/>
      <c r="M50" s="5">
        <v>1000000</v>
      </c>
      <c r="N50" s="5"/>
      <c r="O50" s="5">
        <f>+H50+J50+L50+M50+N50+K50</f>
        <v>6000000</v>
      </c>
      <c r="P50" s="5">
        <f>+H50*4%</f>
        <v>200000</v>
      </c>
      <c r="Q50" s="5">
        <f>+H50*0.05</f>
        <v>250000</v>
      </c>
      <c r="R50" s="5"/>
      <c r="S50" s="5"/>
      <c r="T50" s="5">
        <v>82000</v>
      </c>
      <c r="U50" s="5"/>
      <c r="V50" s="5">
        <v>0</v>
      </c>
      <c r="W50" s="5"/>
      <c r="X50" s="5">
        <f>SUM(P50:W50)</f>
        <v>532000</v>
      </c>
      <c r="Y50" s="26">
        <f t="shared" si="9"/>
        <v>5468000</v>
      </c>
      <c r="Z50" s="5">
        <v>43560</v>
      </c>
      <c r="AA50" s="5">
        <f t="shared" si="2"/>
        <v>5511560</v>
      </c>
    </row>
    <row r="51" spans="1:27" ht="24.95" customHeight="1" x14ac:dyDescent="0.25">
      <c r="A51" s="16"/>
      <c r="B51" s="8">
        <v>48</v>
      </c>
      <c r="C51" s="7" t="s">
        <v>78</v>
      </c>
      <c r="D51" s="7" t="s">
        <v>30</v>
      </c>
      <c r="E51" s="8" t="s">
        <v>31</v>
      </c>
      <c r="F51" s="5">
        <v>5400000</v>
      </c>
      <c r="G51" s="9">
        <v>30</v>
      </c>
      <c r="H51" s="9">
        <f t="shared" si="4"/>
        <v>5400000</v>
      </c>
      <c r="I51" s="9"/>
      <c r="J51" s="5"/>
      <c r="K51" s="5"/>
      <c r="L51" s="5"/>
      <c r="M51" s="5"/>
      <c r="N51" s="5"/>
      <c r="O51" s="5">
        <f t="shared" si="3"/>
        <v>5400000</v>
      </c>
      <c r="P51" s="5">
        <f>F51*4/100</f>
        <v>216000</v>
      </c>
      <c r="Q51" s="5">
        <f>+F51*0.05</f>
        <v>270000</v>
      </c>
      <c r="R51" s="5"/>
      <c r="S51" s="5"/>
      <c r="T51" s="5">
        <v>135000</v>
      </c>
      <c r="U51" s="5"/>
      <c r="V51" s="5"/>
      <c r="W51" s="5"/>
      <c r="X51" s="5">
        <f t="shared" si="5"/>
        <v>621000</v>
      </c>
      <c r="Y51" s="26">
        <f t="shared" si="9"/>
        <v>4779000</v>
      </c>
      <c r="Z51" s="5">
        <v>572400</v>
      </c>
      <c r="AA51" s="5">
        <f t="shared" si="2"/>
        <v>5351400</v>
      </c>
    </row>
    <row r="52" spans="1:27" ht="24.95" customHeight="1" x14ac:dyDescent="0.25">
      <c r="A52" s="16"/>
      <c r="B52" s="8">
        <v>49</v>
      </c>
      <c r="C52" s="7" t="s">
        <v>79</v>
      </c>
      <c r="D52" s="7" t="s">
        <v>30</v>
      </c>
      <c r="E52" s="8" t="s">
        <v>31</v>
      </c>
      <c r="F52" s="5">
        <v>6000000</v>
      </c>
      <c r="G52" s="9">
        <v>31</v>
      </c>
      <c r="H52" s="9">
        <f>+F52-K52</f>
        <v>0</v>
      </c>
      <c r="I52" s="9"/>
      <c r="J52" s="5"/>
      <c r="K52" s="5">
        <v>6000000</v>
      </c>
      <c r="L52" s="15"/>
      <c r="M52" s="5">
        <v>200000</v>
      </c>
      <c r="N52" s="5"/>
      <c r="O52" s="5">
        <f>+H52+J52+M52+N52+K52</f>
        <v>6200000</v>
      </c>
      <c r="P52" s="5">
        <f>O52*4/100</f>
        <v>248000</v>
      </c>
      <c r="Q52" s="5">
        <f>+O52*0.05</f>
        <v>310000</v>
      </c>
      <c r="R52" s="5">
        <v>0</v>
      </c>
      <c r="S52" s="5"/>
      <c r="T52" s="5">
        <v>14000</v>
      </c>
      <c r="U52" s="5"/>
      <c r="V52" s="5"/>
      <c r="W52" s="5"/>
      <c r="X52" s="5">
        <f t="shared" si="5"/>
        <v>572000</v>
      </c>
      <c r="Y52" s="26">
        <f>O52-X52</f>
        <v>5628000</v>
      </c>
      <c r="Z52" s="5">
        <v>720000</v>
      </c>
      <c r="AA52" s="5">
        <f t="shared" si="2"/>
        <v>6348000</v>
      </c>
    </row>
    <row r="53" spans="1:27" ht="24.95" customHeight="1" x14ac:dyDescent="0.25">
      <c r="A53" s="16"/>
      <c r="B53" s="8">
        <v>50</v>
      </c>
      <c r="C53" s="7" t="s">
        <v>80</v>
      </c>
      <c r="D53" s="7"/>
      <c r="E53" s="8"/>
      <c r="F53" s="5">
        <v>1300000</v>
      </c>
      <c r="G53" s="9">
        <v>30</v>
      </c>
      <c r="H53" s="9">
        <f t="shared" si="4"/>
        <v>1300000</v>
      </c>
      <c r="I53" s="9"/>
      <c r="J53" s="9">
        <v>97032</v>
      </c>
      <c r="K53" s="5"/>
      <c r="L53" s="5"/>
      <c r="M53" s="5"/>
      <c r="N53" s="5"/>
      <c r="O53" s="5">
        <f>+H53+J53+L53+M53+N53+K53</f>
        <v>1397032</v>
      </c>
      <c r="P53" s="5">
        <f>F53*4/100</f>
        <v>52000</v>
      </c>
      <c r="Q53" s="5">
        <f>+F53*0.04</f>
        <v>52000</v>
      </c>
      <c r="R53" s="5">
        <v>0</v>
      </c>
      <c r="S53" s="5"/>
      <c r="T53" s="5">
        <v>0</v>
      </c>
      <c r="U53" s="5"/>
      <c r="V53" s="5"/>
      <c r="W53" s="5"/>
      <c r="X53" s="5">
        <f>SUM(P53:W53)</f>
        <v>104000</v>
      </c>
      <c r="Y53" s="26">
        <f>O53-X53</f>
        <v>1293032</v>
      </c>
      <c r="Z53" s="5">
        <v>4627</v>
      </c>
      <c r="AA53" s="5">
        <f t="shared" si="2"/>
        <v>1297659</v>
      </c>
    </row>
    <row r="54" spans="1:27" ht="24.95" customHeight="1" x14ac:dyDescent="0.25">
      <c r="A54" s="16"/>
      <c r="B54" s="8">
        <v>51</v>
      </c>
      <c r="C54" s="7" t="s">
        <v>81</v>
      </c>
      <c r="D54" s="7" t="s">
        <v>30</v>
      </c>
      <c r="E54" s="8" t="s">
        <v>31</v>
      </c>
      <c r="F54" s="5">
        <v>7800000</v>
      </c>
      <c r="G54" s="9">
        <v>30</v>
      </c>
      <c r="H54" s="9">
        <f t="shared" si="4"/>
        <v>7800000</v>
      </c>
      <c r="I54" s="9"/>
      <c r="J54" s="5"/>
      <c r="K54" s="5"/>
      <c r="L54" s="5"/>
      <c r="M54" s="5">
        <v>1200000</v>
      </c>
      <c r="N54" s="5"/>
      <c r="O54" s="5">
        <f t="shared" si="3"/>
        <v>9000000</v>
      </c>
      <c r="P54" s="5">
        <f>(F54*4/100)</f>
        <v>312000</v>
      </c>
      <c r="Q54" s="5">
        <f>+(F54*0.05)</f>
        <v>390000</v>
      </c>
      <c r="R54" s="5"/>
      <c r="S54" s="5"/>
      <c r="T54" s="5">
        <v>302000</v>
      </c>
      <c r="U54" s="5"/>
      <c r="V54" s="5"/>
      <c r="W54" s="5"/>
      <c r="X54" s="5">
        <f t="shared" si="5"/>
        <v>1004000</v>
      </c>
      <c r="Y54" s="26">
        <f>+O54-X54</f>
        <v>7996000</v>
      </c>
      <c r="Z54" s="5">
        <v>986700</v>
      </c>
      <c r="AA54" s="5">
        <f t="shared" si="2"/>
        <v>8982700</v>
      </c>
    </row>
    <row r="55" spans="1:27" ht="24.95" customHeight="1" x14ac:dyDescent="0.25">
      <c r="A55" s="16"/>
      <c r="B55" s="8">
        <v>52</v>
      </c>
      <c r="C55" s="11" t="s">
        <v>82</v>
      </c>
      <c r="D55" s="7" t="s">
        <v>30</v>
      </c>
      <c r="E55" s="8" t="s">
        <v>31</v>
      </c>
      <c r="F55" s="5">
        <v>7000000</v>
      </c>
      <c r="G55" s="9">
        <v>30</v>
      </c>
      <c r="H55" s="9">
        <f>+F55-K55</f>
        <v>6766667</v>
      </c>
      <c r="I55" s="9"/>
      <c r="J55" s="5"/>
      <c r="K55" s="5">
        <v>233333</v>
      </c>
      <c r="L55" s="5"/>
      <c r="M55" s="5"/>
      <c r="N55" s="5">
        <v>1979687</v>
      </c>
      <c r="O55" s="5">
        <f t="shared" si="3"/>
        <v>8979687</v>
      </c>
      <c r="P55" s="5">
        <f>O55*4/100</f>
        <v>359187.48</v>
      </c>
      <c r="Q55" s="5">
        <f>+O55*0.05</f>
        <v>448984.35000000003</v>
      </c>
      <c r="R55" s="5"/>
      <c r="S55" s="5"/>
      <c r="T55" s="5">
        <v>182000</v>
      </c>
      <c r="U55" s="5"/>
      <c r="V55" s="5"/>
      <c r="W55" s="5"/>
      <c r="X55" s="5">
        <f t="shared" si="5"/>
        <v>990171.83000000007</v>
      </c>
      <c r="Y55" s="26">
        <f>O55-X55</f>
        <v>7989515.1699999999</v>
      </c>
      <c r="Z55" s="5">
        <v>894031</v>
      </c>
      <c r="AA55" s="5">
        <f t="shared" si="2"/>
        <v>8883546.1699999999</v>
      </c>
    </row>
    <row r="56" spans="1:27" ht="24.95" customHeight="1" x14ac:dyDescent="0.25">
      <c r="A56" s="16"/>
      <c r="B56" s="8">
        <v>53</v>
      </c>
      <c r="C56" s="7" t="s">
        <v>83</v>
      </c>
      <c r="D56" s="7" t="s">
        <v>30</v>
      </c>
      <c r="E56" s="8" t="s">
        <v>31</v>
      </c>
      <c r="F56" s="5">
        <v>5350000</v>
      </c>
      <c r="G56" s="9">
        <v>30</v>
      </c>
      <c r="H56" s="9">
        <f>+F56-K56</f>
        <v>4101667</v>
      </c>
      <c r="I56" s="9"/>
      <c r="J56" s="5"/>
      <c r="K56" s="5">
        <v>1248333</v>
      </c>
      <c r="L56" s="5"/>
      <c r="M56" s="5"/>
      <c r="N56" s="5"/>
      <c r="O56" s="5">
        <f t="shared" si="3"/>
        <v>5350000</v>
      </c>
      <c r="P56" s="5">
        <f>F56*4/100</f>
        <v>214000</v>
      </c>
      <c r="Q56" s="5">
        <f>+F56*0.05</f>
        <v>267500</v>
      </c>
      <c r="R56" s="5"/>
      <c r="S56" s="5"/>
      <c r="T56" s="5">
        <v>95000</v>
      </c>
      <c r="U56" s="5"/>
      <c r="V56" s="5"/>
      <c r="W56" s="5"/>
      <c r="X56" s="5">
        <f t="shared" si="5"/>
        <v>576500</v>
      </c>
      <c r="Y56" s="26">
        <f t="shared" ref="Y56:Y61" si="10">+O56-X56</f>
        <v>4773500</v>
      </c>
      <c r="Z56" s="5">
        <v>642000</v>
      </c>
      <c r="AA56" s="5">
        <f t="shared" si="2"/>
        <v>5415500</v>
      </c>
    </row>
    <row r="57" spans="1:27" ht="24.95" customHeight="1" x14ac:dyDescent="0.25">
      <c r="A57" s="16"/>
      <c r="B57" s="8">
        <v>54</v>
      </c>
      <c r="C57" s="7" t="s">
        <v>84</v>
      </c>
      <c r="D57" s="8" t="s">
        <v>30</v>
      </c>
      <c r="E57" s="8" t="s">
        <v>31</v>
      </c>
      <c r="F57" s="5">
        <v>4500000</v>
      </c>
      <c r="G57" s="9">
        <v>30</v>
      </c>
      <c r="H57" s="9">
        <f>+F57-K57</f>
        <v>3900000</v>
      </c>
      <c r="I57" s="9"/>
      <c r="J57" s="5"/>
      <c r="K57" s="5">
        <v>600000</v>
      </c>
      <c r="L57" s="5"/>
      <c r="M57" s="5"/>
      <c r="N57" s="5">
        <v>815625</v>
      </c>
      <c r="O57" s="5">
        <f t="shared" si="3"/>
        <v>5315625</v>
      </c>
      <c r="P57" s="5">
        <f>O57*4/100</f>
        <v>212625</v>
      </c>
      <c r="Q57" s="5">
        <f>+O57*0.05</f>
        <v>265781.25</v>
      </c>
      <c r="R57" s="5"/>
      <c r="S57" s="5"/>
      <c r="T57" s="5">
        <v>0</v>
      </c>
      <c r="U57" s="5"/>
      <c r="V57" s="5"/>
      <c r="W57" s="5"/>
      <c r="X57" s="5">
        <f t="shared" si="5"/>
        <v>478406.25</v>
      </c>
      <c r="Y57" s="26">
        <f t="shared" si="10"/>
        <v>4837218.75</v>
      </c>
      <c r="Z57" s="5">
        <v>603141</v>
      </c>
      <c r="AA57" s="5">
        <f t="shared" si="2"/>
        <v>5440359.75</v>
      </c>
    </row>
    <row r="58" spans="1:27" ht="24.95" customHeight="1" x14ac:dyDescent="0.25">
      <c r="A58" s="16"/>
      <c r="B58" s="8">
        <v>55</v>
      </c>
      <c r="C58" s="7" t="s">
        <v>85</v>
      </c>
      <c r="D58" s="7" t="s">
        <v>30</v>
      </c>
      <c r="E58" s="8" t="s">
        <v>31</v>
      </c>
      <c r="F58" s="5">
        <v>5100000</v>
      </c>
      <c r="G58" s="9">
        <v>30</v>
      </c>
      <c r="H58" s="9">
        <f t="shared" si="4"/>
        <v>5100000</v>
      </c>
      <c r="I58" s="9"/>
      <c r="J58" s="5"/>
      <c r="K58" s="5"/>
      <c r="L58" s="5"/>
      <c r="M58" s="5"/>
      <c r="N58" s="5">
        <v>836719</v>
      </c>
      <c r="O58" s="5">
        <f t="shared" si="3"/>
        <v>5936719</v>
      </c>
      <c r="P58" s="5">
        <f>O58*4/100</f>
        <v>237468.76</v>
      </c>
      <c r="Q58" s="5">
        <f>+O58*0.05</f>
        <v>296835.95</v>
      </c>
      <c r="R58" s="5"/>
      <c r="S58" s="5">
        <v>148502</v>
      </c>
      <c r="T58" s="5">
        <v>22000</v>
      </c>
      <c r="U58" s="5"/>
      <c r="V58" s="5"/>
      <c r="W58" s="5"/>
      <c r="X58" s="5">
        <f t="shared" si="5"/>
        <v>704806.71</v>
      </c>
      <c r="Y58" s="26">
        <f t="shared" si="10"/>
        <v>5231912.29</v>
      </c>
      <c r="Z58" s="5">
        <v>612000</v>
      </c>
      <c r="AA58" s="5">
        <f t="shared" si="2"/>
        <v>5843912.29</v>
      </c>
    </row>
    <row r="59" spans="1:27" ht="24.95" customHeight="1" x14ac:dyDescent="0.25">
      <c r="A59" s="16"/>
      <c r="B59" s="8">
        <v>56</v>
      </c>
      <c r="C59" s="7" t="s">
        <v>86</v>
      </c>
      <c r="D59" s="7" t="s">
        <v>30</v>
      </c>
      <c r="E59" s="8" t="s">
        <v>31</v>
      </c>
      <c r="F59" s="5">
        <v>4400000</v>
      </c>
      <c r="G59" s="9">
        <v>30</v>
      </c>
      <c r="H59" s="9">
        <f t="shared" si="4"/>
        <v>4400000</v>
      </c>
      <c r="I59" s="9"/>
      <c r="J59" s="5"/>
      <c r="K59" s="5"/>
      <c r="L59" s="5"/>
      <c r="M59" s="5"/>
      <c r="N59" s="5"/>
      <c r="O59" s="5">
        <f t="shared" si="3"/>
        <v>4400000</v>
      </c>
      <c r="P59" s="5">
        <f>F59*4/100</f>
        <v>176000</v>
      </c>
      <c r="Q59" s="5">
        <f>+F59*0.05</f>
        <v>220000</v>
      </c>
      <c r="R59" s="5"/>
      <c r="S59" s="5"/>
      <c r="T59" s="5">
        <v>4500</v>
      </c>
      <c r="U59" s="5"/>
      <c r="V59" s="5"/>
      <c r="W59" s="5">
        <v>141077</v>
      </c>
      <c r="X59" s="5">
        <f t="shared" si="5"/>
        <v>541577</v>
      </c>
      <c r="Y59" s="26">
        <f t="shared" si="10"/>
        <v>3858423</v>
      </c>
      <c r="Z59" s="5">
        <v>528000</v>
      </c>
      <c r="AA59" s="5">
        <f t="shared" si="2"/>
        <v>4386423</v>
      </c>
    </row>
    <row r="60" spans="1:27" ht="24.95" customHeight="1" x14ac:dyDescent="0.25">
      <c r="A60" s="16"/>
      <c r="B60" s="8">
        <v>57</v>
      </c>
      <c r="C60" s="7" t="s">
        <v>87</v>
      </c>
      <c r="D60" s="7" t="s">
        <v>30</v>
      </c>
      <c r="E60" s="8" t="s">
        <v>31</v>
      </c>
      <c r="F60" s="5">
        <v>7800000</v>
      </c>
      <c r="G60" s="9">
        <v>30</v>
      </c>
      <c r="H60" s="9">
        <f t="shared" si="4"/>
        <v>7800000</v>
      </c>
      <c r="I60" s="9"/>
      <c r="J60" s="5"/>
      <c r="K60" s="5"/>
      <c r="L60" s="5"/>
      <c r="M60" s="5">
        <v>400000</v>
      </c>
      <c r="N60" s="5"/>
      <c r="O60" s="5">
        <f t="shared" si="3"/>
        <v>8200000</v>
      </c>
      <c r="P60" s="5">
        <f>F60*4/100</f>
        <v>312000</v>
      </c>
      <c r="Q60" s="5">
        <f>+F60*0.05</f>
        <v>390000</v>
      </c>
      <c r="R60" s="5"/>
      <c r="S60" s="5"/>
      <c r="T60" s="5">
        <v>338000</v>
      </c>
      <c r="U60" s="5"/>
      <c r="V60" s="5"/>
      <c r="W60" s="5"/>
      <c r="X60" s="5">
        <f t="shared" si="5"/>
        <v>1040000</v>
      </c>
      <c r="Y60" s="26">
        <f t="shared" si="10"/>
        <v>7160000</v>
      </c>
      <c r="Z60" s="5">
        <v>936000</v>
      </c>
      <c r="AA60" s="5">
        <f t="shared" si="2"/>
        <v>8096000</v>
      </c>
    </row>
    <row r="61" spans="1:27" ht="24.95" customHeight="1" x14ac:dyDescent="0.25">
      <c r="A61" s="16"/>
      <c r="B61" s="8">
        <v>58</v>
      </c>
      <c r="C61" s="7" t="s">
        <v>88</v>
      </c>
      <c r="D61" s="7" t="s">
        <v>30</v>
      </c>
      <c r="E61" s="8" t="s">
        <v>31</v>
      </c>
      <c r="F61" s="5">
        <v>4500000</v>
      </c>
      <c r="G61" s="9">
        <v>30</v>
      </c>
      <c r="H61" s="9">
        <f t="shared" si="4"/>
        <v>4500000</v>
      </c>
      <c r="I61" s="9"/>
      <c r="J61" s="5"/>
      <c r="K61" s="5"/>
      <c r="L61" s="5"/>
      <c r="M61" s="5"/>
      <c r="N61" s="5"/>
      <c r="O61" s="5">
        <f t="shared" si="3"/>
        <v>4500000</v>
      </c>
      <c r="P61" s="5">
        <f>H61*4/100</f>
        <v>180000</v>
      </c>
      <c r="Q61" s="5">
        <f>+H61*0.05</f>
        <v>225000</v>
      </c>
      <c r="R61" s="5"/>
      <c r="S61" s="5">
        <v>700000</v>
      </c>
      <c r="T61" s="5"/>
      <c r="U61" s="5"/>
      <c r="V61" s="5"/>
      <c r="W61" s="5"/>
      <c r="X61" s="5">
        <f>SUM(P61:W61)</f>
        <v>1105000</v>
      </c>
      <c r="Y61" s="26">
        <f t="shared" si="10"/>
        <v>3395000</v>
      </c>
      <c r="Z61" s="5">
        <v>310726</v>
      </c>
      <c r="AA61" s="5">
        <f t="shared" si="2"/>
        <v>3705726</v>
      </c>
    </row>
    <row r="62" spans="1:27" ht="24.95" customHeight="1" x14ac:dyDescent="0.25">
      <c r="A62" s="16"/>
      <c r="B62" s="8">
        <v>59</v>
      </c>
      <c r="C62" s="7" t="s">
        <v>89</v>
      </c>
      <c r="D62" s="7" t="s">
        <v>30</v>
      </c>
      <c r="E62" s="8" t="s">
        <v>31</v>
      </c>
      <c r="F62" s="5">
        <v>6000000</v>
      </c>
      <c r="G62" s="9">
        <v>30</v>
      </c>
      <c r="H62" s="9">
        <f>+F62-K62</f>
        <v>3200000</v>
      </c>
      <c r="I62" s="9"/>
      <c r="J62" s="5"/>
      <c r="K62" s="9">
        <v>2800000</v>
      </c>
      <c r="L62" s="5"/>
      <c r="M62" s="5">
        <v>400000</v>
      </c>
      <c r="N62" s="5"/>
      <c r="O62" s="5">
        <f t="shared" si="3"/>
        <v>6400000</v>
      </c>
      <c r="P62" s="5">
        <f>F62*4/100</f>
        <v>240000</v>
      </c>
      <c r="Q62" s="5">
        <f>+F62*0.05</f>
        <v>300000</v>
      </c>
      <c r="R62" s="5"/>
      <c r="S62" s="5"/>
      <c r="T62" s="5">
        <v>120000</v>
      </c>
      <c r="U62" s="5"/>
      <c r="V62" s="5"/>
      <c r="W62" s="5"/>
      <c r="X62" s="5">
        <f t="shared" si="5"/>
        <v>660000</v>
      </c>
      <c r="Y62" s="26">
        <f>O62-X62</f>
        <v>5740000</v>
      </c>
      <c r="Z62" s="5">
        <v>720000</v>
      </c>
      <c r="AA62" s="5">
        <f t="shared" si="2"/>
        <v>6460000</v>
      </c>
    </row>
    <row r="63" spans="1:27" ht="24.95" customHeight="1" x14ac:dyDescent="0.25">
      <c r="A63" s="16"/>
      <c r="B63" s="8">
        <v>60</v>
      </c>
      <c r="C63" s="7" t="s">
        <v>90</v>
      </c>
      <c r="D63" s="7" t="s">
        <v>30</v>
      </c>
      <c r="E63" s="8" t="s">
        <v>31</v>
      </c>
      <c r="F63" s="5">
        <v>4800000</v>
      </c>
      <c r="G63" s="9">
        <v>30</v>
      </c>
      <c r="H63" s="9">
        <f t="shared" si="4"/>
        <v>4800000</v>
      </c>
      <c r="I63" s="9"/>
      <c r="J63" s="5"/>
      <c r="K63" s="5"/>
      <c r="L63" s="5"/>
      <c r="M63" s="5"/>
      <c r="N63" s="5"/>
      <c r="O63" s="5">
        <f t="shared" si="3"/>
        <v>4800000</v>
      </c>
      <c r="P63" s="5">
        <f>+H63*4%</f>
        <v>192000</v>
      </c>
      <c r="Q63" s="5">
        <f>+H63*5%</f>
        <v>240000</v>
      </c>
      <c r="R63" s="5"/>
      <c r="S63" s="5"/>
      <c r="T63" s="5">
        <v>56000</v>
      </c>
      <c r="U63" s="5"/>
      <c r="V63" s="5"/>
      <c r="W63" s="5"/>
      <c r="X63" s="5">
        <f>SUM(P63:W63)</f>
        <v>488000</v>
      </c>
      <c r="Y63" s="26">
        <f>+O63-X63</f>
        <v>4312000</v>
      </c>
      <c r="Z63" s="5">
        <v>41818</v>
      </c>
      <c r="AA63" s="5">
        <f t="shared" si="2"/>
        <v>4353818</v>
      </c>
    </row>
    <row r="64" spans="1:27" ht="24.95" customHeight="1" x14ac:dyDescent="0.25">
      <c r="A64" s="16"/>
      <c r="B64" s="8">
        <v>61</v>
      </c>
      <c r="C64" s="7" t="s">
        <v>91</v>
      </c>
      <c r="D64" s="7" t="s">
        <v>30</v>
      </c>
      <c r="E64" s="8" t="s">
        <v>31</v>
      </c>
      <c r="F64" s="5">
        <v>4800000</v>
      </c>
      <c r="G64" s="9">
        <v>30</v>
      </c>
      <c r="H64" s="9">
        <f t="shared" si="4"/>
        <v>4800000</v>
      </c>
      <c r="I64" s="9"/>
      <c r="J64" s="5"/>
      <c r="K64" s="5"/>
      <c r="L64" s="5"/>
      <c r="M64" s="5"/>
      <c r="N64" s="5"/>
      <c r="O64" s="5">
        <f t="shared" si="3"/>
        <v>4800000</v>
      </c>
      <c r="P64" s="5">
        <f>+H64*4%</f>
        <v>192000</v>
      </c>
      <c r="Q64" s="5">
        <f>+H64*5%</f>
        <v>240000</v>
      </c>
      <c r="R64" s="5"/>
      <c r="S64" s="5"/>
      <c r="T64" s="5">
        <v>56000</v>
      </c>
      <c r="U64" s="5"/>
      <c r="V64" s="5"/>
      <c r="W64" s="5"/>
      <c r="X64" s="5">
        <f>SUM(P64:W64)</f>
        <v>488000</v>
      </c>
      <c r="Y64" s="26">
        <f>+O64-X64</f>
        <v>4312000</v>
      </c>
      <c r="Z64" s="5">
        <v>41818</v>
      </c>
      <c r="AA64" s="5">
        <f t="shared" si="2"/>
        <v>4353818</v>
      </c>
    </row>
    <row r="65" spans="1:27" ht="24.95" customHeight="1" x14ac:dyDescent="0.25">
      <c r="A65" s="16"/>
      <c r="B65" s="8">
        <v>62</v>
      </c>
      <c r="C65" s="7" t="s">
        <v>92</v>
      </c>
      <c r="D65" s="7" t="s">
        <v>30</v>
      </c>
      <c r="E65" s="8" t="s">
        <v>31</v>
      </c>
      <c r="F65" s="5">
        <v>4800000</v>
      </c>
      <c r="G65" s="9">
        <v>30</v>
      </c>
      <c r="H65" s="9">
        <f t="shared" si="4"/>
        <v>4800000</v>
      </c>
      <c r="I65" s="9"/>
      <c r="J65" s="5"/>
      <c r="K65" s="5"/>
      <c r="L65" s="5"/>
      <c r="M65" s="5"/>
      <c r="N65" s="5">
        <v>187500</v>
      </c>
      <c r="O65" s="5">
        <f t="shared" si="3"/>
        <v>4987500</v>
      </c>
      <c r="P65" s="5">
        <f>+O65*4%</f>
        <v>199500</v>
      </c>
      <c r="Q65" s="5">
        <f>+O65*5%</f>
        <v>249375</v>
      </c>
      <c r="R65" s="5"/>
      <c r="S65" s="5"/>
      <c r="T65" s="5">
        <v>26000</v>
      </c>
      <c r="U65" s="5"/>
      <c r="V65" s="5"/>
      <c r="W65" s="5">
        <v>524069</v>
      </c>
      <c r="X65" s="5">
        <f t="shared" si="5"/>
        <v>998944</v>
      </c>
      <c r="Y65" s="26">
        <f>+O65-X65</f>
        <v>3988556</v>
      </c>
      <c r="Z65" s="5">
        <v>614175</v>
      </c>
      <c r="AA65" s="5">
        <f t="shared" si="2"/>
        <v>4602731</v>
      </c>
    </row>
    <row r="66" spans="1:27" ht="24.95" customHeight="1" x14ac:dyDescent="0.25">
      <c r="A66" s="16"/>
      <c r="B66" s="8">
        <v>63</v>
      </c>
      <c r="C66" s="7" t="s">
        <v>93</v>
      </c>
      <c r="D66" s="7"/>
      <c r="E66" s="8"/>
      <c r="F66" s="5">
        <v>5500000</v>
      </c>
      <c r="G66" s="9">
        <v>10</v>
      </c>
      <c r="H66" s="9">
        <f t="shared" si="4"/>
        <v>1833333.3333333335</v>
      </c>
      <c r="I66" s="9"/>
      <c r="J66" s="5"/>
      <c r="K66" s="5"/>
      <c r="L66" s="5"/>
      <c r="M66" s="5"/>
      <c r="N66" s="5"/>
      <c r="O66" s="5">
        <f t="shared" si="3"/>
        <v>1833333.3333333335</v>
      </c>
      <c r="P66" s="5">
        <f>+O66*4%</f>
        <v>73333.333333333343</v>
      </c>
      <c r="Q66" s="5">
        <f>+O66*4%</f>
        <v>73333.333333333343</v>
      </c>
      <c r="R66" s="5"/>
      <c r="S66" s="5"/>
      <c r="T66" s="5"/>
      <c r="U66" s="5"/>
      <c r="V66" s="5"/>
      <c r="W66" s="5"/>
      <c r="X66" s="5">
        <f>SUM(P66:W66)</f>
        <v>146666.66666666669</v>
      </c>
      <c r="Y66" s="26">
        <f>+O66-X66</f>
        <v>1686666.6666666667</v>
      </c>
      <c r="Z66" s="5">
        <v>0</v>
      </c>
      <c r="AA66" s="5">
        <f t="shared" si="2"/>
        <v>1686666.6666666667</v>
      </c>
    </row>
    <row r="67" spans="1:27" ht="24.95" customHeight="1" x14ac:dyDescent="0.25">
      <c r="A67" s="16"/>
      <c r="B67" s="8">
        <v>64</v>
      </c>
      <c r="C67" s="7" t="s">
        <v>94</v>
      </c>
      <c r="D67" s="7" t="s">
        <v>30</v>
      </c>
      <c r="E67" s="8" t="s">
        <v>31</v>
      </c>
      <c r="F67" s="5">
        <v>6500000</v>
      </c>
      <c r="G67" s="9">
        <v>30</v>
      </c>
      <c r="H67" s="9">
        <f>+F67-K67</f>
        <v>6283333</v>
      </c>
      <c r="I67" s="9"/>
      <c r="J67" s="5"/>
      <c r="K67" s="5">
        <v>216667</v>
      </c>
      <c r="L67" s="5"/>
      <c r="M67" s="5"/>
      <c r="N67" s="5"/>
      <c r="O67" s="5">
        <f t="shared" si="3"/>
        <v>6500000</v>
      </c>
      <c r="P67" s="5">
        <f>+F67*0.04</f>
        <v>260000</v>
      </c>
      <c r="Q67" s="5">
        <f>+F67*0.05</f>
        <v>325000</v>
      </c>
      <c r="R67" s="5"/>
      <c r="S67" s="5"/>
      <c r="T67" s="5">
        <v>207372</v>
      </c>
      <c r="U67" s="5"/>
      <c r="V67" s="5"/>
      <c r="W67" s="5"/>
      <c r="X67" s="5">
        <f t="shared" si="5"/>
        <v>792372</v>
      </c>
      <c r="Y67" s="26">
        <f t="shared" ref="Y67:Y72" si="11">O67-X67</f>
        <v>5707628</v>
      </c>
      <c r="Z67" s="5">
        <v>720513</v>
      </c>
      <c r="AA67" s="5">
        <f t="shared" si="2"/>
        <v>6428141</v>
      </c>
    </row>
    <row r="68" spans="1:27" ht="24.75" customHeight="1" x14ac:dyDescent="0.25">
      <c r="A68" s="16" t="s">
        <v>95</v>
      </c>
      <c r="B68" s="8">
        <v>1</v>
      </c>
      <c r="C68" s="7" t="s">
        <v>96</v>
      </c>
      <c r="D68" s="7" t="s">
        <v>30</v>
      </c>
      <c r="E68" s="8" t="s">
        <v>31</v>
      </c>
      <c r="F68" s="5">
        <v>912000</v>
      </c>
      <c r="G68" s="9">
        <v>30</v>
      </c>
      <c r="H68" s="9">
        <f>+F68-K68</f>
        <v>820800</v>
      </c>
      <c r="I68" s="9"/>
      <c r="J68" s="5">
        <v>97032</v>
      </c>
      <c r="K68" s="5">
        <v>91200</v>
      </c>
      <c r="L68" s="5"/>
      <c r="M68" s="5"/>
      <c r="N68" s="5"/>
      <c r="O68" s="5">
        <f t="shared" ref="O68:O119" si="12">SUM(H68:N68)</f>
        <v>1009032</v>
      </c>
      <c r="P68" s="5">
        <f>+F68*4%</f>
        <v>36480</v>
      </c>
      <c r="Q68" s="5">
        <f>+F68*0.04</f>
        <v>36480</v>
      </c>
      <c r="R68" s="5"/>
      <c r="S68" s="5"/>
      <c r="T68" s="5"/>
      <c r="U68" s="5"/>
      <c r="V68" s="5"/>
      <c r="W68" s="5"/>
      <c r="X68" s="5">
        <f t="shared" ref="X68:X86" si="13">SUM(P68:W68)</f>
        <v>72960</v>
      </c>
      <c r="Y68" s="26">
        <f t="shared" si="11"/>
        <v>936072</v>
      </c>
      <c r="Z68" s="5">
        <v>103934</v>
      </c>
      <c r="AA68" s="5">
        <f t="shared" si="2"/>
        <v>1040006</v>
      </c>
    </row>
    <row r="69" spans="1:27" ht="24.95" customHeight="1" x14ac:dyDescent="0.25">
      <c r="A69" s="16"/>
      <c r="B69" s="8">
        <v>2</v>
      </c>
      <c r="C69" s="7" t="s">
        <v>97</v>
      </c>
      <c r="D69" s="7" t="s">
        <v>30</v>
      </c>
      <c r="E69" s="8" t="s">
        <v>31</v>
      </c>
      <c r="F69" s="5">
        <v>4000000</v>
      </c>
      <c r="G69" s="9">
        <v>30</v>
      </c>
      <c r="H69" s="9">
        <f>+F69-K69</f>
        <v>3600000</v>
      </c>
      <c r="I69" s="9"/>
      <c r="J69" s="5"/>
      <c r="K69" s="5">
        <v>400000</v>
      </c>
      <c r="L69" s="5"/>
      <c r="M69" s="5"/>
      <c r="N69" s="5"/>
      <c r="O69" s="5">
        <f t="shared" si="12"/>
        <v>4000000</v>
      </c>
      <c r="P69" s="5">
        <f>+F69*4%</f>
        <v>160000</v>
      </c>
      <c r="Q69" s="5">
        <f>+F69*0.05</f>
        <v>200000</v>
      </c>
      <c r="R69" s="5"/>
      <c r="S69" s="5"/>
      <c r="T69" s="5"/>
      <c r="U69" s="5"/>
      <c r="V69" s="5"/>
      <c r="W69" s="5">
        <v>853816</v>
      </c>
      <c r="X69" s="5">
        <f t="shared" si="13"/>
        <v>1213816</v>
      </c>
      <c r="Y69" s="26">
        <f t="shared" si="11"/>
        <v>2786184</v>
      </c>
      <c r="Z69" s="5">
        <v>424000</v>
      </c>
      <c r="AA69" s="5">
        <f t="shared" ref="AA69:AA119" si="14">+Y69+Z69</f>
        <v>3210184</v>
      </c>
    </row>
    <row r="70" spans="1:27" ht="24.95" customHeight="1" x14ac:dyDescent="0.25">
      <c r="A70" s="16"/>
      <c r="B70" s="8">
        <v>3</v>
      </c>
      <c r="C70" s="11" t="s">
        <v>98</v>
      </c>
      <c r="D70" s="7" t="s">
        <v>30</v>
      </c>
      <c r="E70" s="8" t="s">
        <v>31</v>
      </c>
      <c r="F70" s="5">
        <v>2500000</v>
      </c>
      <c r="G70" s="9">
        <v>30</v>
      </c>
      <c r="H70" s="9">
        <f>+F70-K70</f>
        <v>2000000</v>
      </c>
      <c r="I70" s="9"/>
      <c r="J70" s="5"/>
      <c r="K70" s="5">
        <v>500000</v>
      </c>
      <c r="L70" s="5"/>
      <c r="M70" s="5"/>
      <c r="N70" s="5"/>
      <c r="O70" s="5">
        <f t="shared" si="12"/>
        <v>2500000</v>
      </c>
      <c r="P70" s="5">
        <f>+F70*4%</f>
        <v>100000</v>
      </c>
      <c r="Q70" s="5">
        <f>+F70*4%</f>
        <v>100000</v>
      </c>
      <c r="R70" s="5"/>
      <c r="S70" s="5"/>
      <c r="T70" s="5"/>
      <c r="U70" s="5"/>
      <c r="V70" s="5"/>
      <c r="W70" s="5"/>
      <c r="X70" s="5">
        <f t="shared" si="13"/>
        <v>200000</v>
      </c>
      <c r="Y70" s="26">
        <f t="shared" si="11"/>
        <v>2300000</v>
      </c>
      <c r="Z70" s="5">
        <v>300000</v>
      </c>
      <c r="AA70" s="5">
        <f t="shared" si="14"/>
        <v>2600000</v>
      </c>
    </row>
    <row r="71" spans="1:27" ht="24.95" customHeight="1" x14ac:dyDescent="0.25">
      <c r="A71" s="16"/>
      <c r="B71" s="8">
        <v>4</v>
      </c>
      <c r="C71" s="11" t="s">
        <v>99</v>
      </c>
      <c r="D71" s="7" t="s">
        <v>30</v>
      </c>
      <c r="E71" s="8" t="s">
        <v>100</v>
      </c>
      <c r="F71" s="5">
        <v>828116</v>
      </c>
      <c r="G71" s="9">
        <v>30</v>
      </c>
      <c r="H71" s="9">
        <f>+F71/30*G71</f>
        <v>828116</v>
      </c>
      <c r="I71" s="9"/>
      <c r="J71" s="5"/>
      <c r="K71" s="5"/>
      <c r="L71" s="5"/>
      <c r="M71" s="5"/>
      <c r="N71" s="5"/>
      <c r="O71" s="5">
        <f t="shared" si="12"/>
        <v>828116</v>
      </c>
      <c r="P71" s="5"/>
      <c r="Q71" s="5"/>
      <c r="R71" s="5"/>
      <c r="S71" s="5"/>
      <c r="T71" s="5"/>
      <c r="U71" s="5"/>
      <c r="V71" s="5"/>
      <c r="W71" s="5"/>
      <c r="X71" s="5">
        <f t="shared" si="13"/>
        <v>0</v>
      </c>
      <c r="Y71" s="26">
        <f t="shared" si="11"/>
        <v>828116</v>
      </c>
      <c r="Z71" s="5">
        <v>0</v>
      </c>
      <c r="AA71" s="5">
        <f t="shared" si="14"/>
        <v>828116</v>
      </c>
    </row>
    <row r="72" spans="1:27" ht="24.95" customHeight="1" x14ac:dyDescent="0.25">
      <c r="A72" s="16"/>
      <c r="B72" s="8">
        <v>5</v>
      </c>
      <c r="C72" s="11" t="s">
        <v>101</v>
      </c>
      <c r="D72" s="7" t="s">
        <v>30</v>
      </c>
      <c r="E72" s="8" t="s">
        <v>100</v>
      </c>
      <c r="F72" s="5">
        <v>828116</v>
      </c>
      <c r="G72" s="9">
        <v>30</v>
      </c>
      <c r="H72" s="9">
        <f>+F72/30*G72</f>
        <v>828116</v>
      </c>
      <c r="I72" s="9"/>
      <c r="J72" s="5"/>
      <c r="K72" s="5"/>
      <c r="L72" s="5"/>
      <c r="M72" s="5"/>
      <c r="N72" s="5"/>
      <c r="O72" s="5">
        <f t="shared" si="12"/>
        <v>828116</v>
      </c>
      <c r="P72" s="5"/>
      <c r="Q72" s="5"/>
      <c r="R72" s="5"/>
      <c r="S72" s="5"/>
      <c r="T72" s="5"/>
      <c r="U72" s="5"/>
      <c r="V72" s="5"/>
      <c r="W72" s="5"/>
      <c r="X72" s="5">
        <f t="shared" si="13"/>
        <v>0</v>
      </c>
      <c r="Y72" s="26">
        <f t="shared" si="11"/>
        <v>828116</v>
      </c>
      <c r="Z72" s="5">
        <v>0</v>
      </c>
      <c r="AA72" s="5">
        <f t="shared" si="14"/>
        <v>828116</v>
      </c>
    </row>
    <row r="73" spans="1:27" ht="24.95" customHeight="1" x14ac:dyDescent="0.25">
      <c r="A73" s="16"/>
      <c r="B73" s="8">
        <v>6</v>
      </c>
      <c r="C73" s="7" t="s">
        <v>102</v>
      </c>
      <c r="D73" s="7" t="s">
        <v>30</v>
      </c>
      <c r="E73" s="8" t="s">
        <v>31</v>
      </c>
      <c r="F73" s="5">
        <v>3000000</v>
      </c>
      <c r="G73" s="9">
        <v>30</v>
      </c>
      <c r="H73" s="9">
        <f>+F73/30*G73</f>
        <v>3000000</v>
      </c>
      <c r="I73" s="9"/>
      <c r="J73" s="5"/>
      <c r="K73" s="5"/>
      <c r="L73" s="5"/>
      <c r="M73" s="5"/>
      <c r="N73" s="5"/>
      <c r="O73" s="5">
        <f t="shared" si="12"/>
        <v>3000000</v>
      </c>
      <c r="P73" s="5">
        <f>+F73*4%</f>
        <v>120000</v>
      </c>
      <c r="Q73" s="5">
        <f>+F73*4%</f>
        <v>120000</v>
      </c>
      <c r="R73" s="5"/>
      <c r="S73" s="5"/>
      <c r="T73" s="10"/>
      <c r="U73" s="5"/>
      <c r="V73" s="5"/>
      <c r="W73" s="5"/>
      <c r="X73" s="5">
        <f t="shared" si="13"/>
        <v>240000</v>
      </c>
      <c r="Y73" s="26">
        <f t="shared" ref="Y73:Y84" si="15">+O73-X73</f>
        <v>2760000</v>
      </c>
      <c r="Z73" s="5">
        <v>360000</v>
      </c>
      <c r="AA73" s="5">
        <f t="shared" si="14"/>
        <v>3120000</v>
      </c>
    </row>
    <row r="74" spans="1:27" ht="24.95" customHeight="1" x14ac:dyDescent="0.25">
      <c r="A74" s="16"/>
      <c r="B74" s="8">
        <v>7</v>
      </c>
      <c r="C74" s="7" t="s">
        <v>103</v>
      </c>
      <c r="D74" s="7" t="s">
        <v>104</v>
      </c>
      <c r="E74" s="8" t="s">
        <v>100</v>
      </c>
      <c r="F74" s="5">
        <v>828116</v>
      </c>
      <c r="G74" s="9">
        <v>14</v>
      </c>
      <c r="H74" s="9">
        <f>+F74/30*G74</f>
        <v>386454.1333333333</v>
      </c>
      <c r="I74" s="9">
        <f>+(414058/30)*16</f>
        <v>220830.93333333332</v>
      </c>
      <c r="J74" s="5"/>
      <c r="K74" s="5"/>
      <c r="L74" s="5"/>
      <c r="M74" s="5"/>
      <c r="N74" s="5"/>
      <c r="O74" s="5">
        <f t="shared" si="12"/>
        <v>607285.06666666665</v>
      </c>
      <c r="P74" s="5"/>
      <c r="Q74" s="5"/>
      <c r="R74" s="5"/>
      <c r="S74" s="5"/>
      <c r="T74" s="10"/>
      <c r="U74" s="5"/>
      <c r="V74" s="5"/>
      <c r="W74" s="5"/>
      <c r="X74" s="5">
        <f t="shared" si="13"/>
        <v>0</v>
      </c>
      <c r="Y74" s="26">
        <f t="shared" si="15"/>
        <v>607285.06666666665</v>
      </c>
      <c r="Z74" s="5">
        <v>0</v>
      </c>
      <c r="AA74" s="5">
        <f t="shared" si="14"/>
        <v>607285.06666666665</v>
      </c>
    </row>
    <row r="75" spans="1:27" ht="24.95" customHeight="1" x14ac:dyDescent="0.25">
      <c r="A75" s="16"/>
      <c r="B75" s="8">
        <v>8</v>
      </c>
      <c r="C75" s="7" t="s">
        <v>105</v>
      </c>
      <c r="D75" s="7" t="s">
        <v>30</v>
      </c>
      <c r="E75" s="8" t="s">
        <v>31</v>
      </c>
      <c r="F75" s="5">
        <v>2000000</v>
      </c>
      <c r="G75" s="9">
        <v>30</v>
      </c>
      <c r="H75" s="9">
        <f>+F75/30*G75</f>
        <v>2000000.0000000002</v>
      </c>
      <c r="I75" s="9"/>
      <c r="J75" s="5"/>
      <c r="K75" s="5"/>
      <c r="L75" s="5"/>
      <c r="M75" s="5"/>
      <c r="N75" s="5"/>
      <c r="O75" s="5">
        <f t="shared" si="12"/>
        <v>2000000.0000000002</v>
      </c>
      <c r="P75" s="5">
        <f t="shared" ref="P75:P82" si="16">+F75*4%</f>
        <v>80000</v>
      </c>
      <c r="Q75" s="5">
        <f>+H75*0.04</f>
        <v>80000.000000000015</v>
      </c>
      <c r="R75" s="5"/>
      <c r="S75" s="5"/>
      <c r="T75" s="10"/>
      <c r="U75" s="5"/>
      <c r="V75" s="5"/>
      <c r="W75" s="5"/>
      <c r="X75" s="5">
        <f t="shared" si="13"/>
        <v>160000</v>
      </c>
      <c r="Y75" s="26">
        <f t="shared" si="15"/>
        <v>1840000.0000000002</v>
      </c>
      <c r="Z75" s="5">
        <v>0</v>
      </c>
      <c r="AA75" s="5">
        <f t="shared" si="14"/>
        <v>1840000.0000000002</v>
      </c>
    </row>
    <row r="76" spans="1:27" ht="24.95" customHeight="1" x14ac:dyDescent="0.25">
      <c r="A76" s="16"/>
      <c r="B76" s="8">
        <v>9</v>
      </c>
      <c r="C76" s="7" t="s">
        <v>106</v>
      </c>
      <c r="D76" s="7" t="s">
        <v>30</v>
      </c>
      <c r="E76" s="8" t="s">
        <v>31</v>
      </c>
      <c r="F76" s="5">
        <v>3000000</v>
      </c>
      <c r="G76" s="9">
        <v>30</v>
      </c>
      <c r="H76" s="9">
        <f t="shared" ref="H76:H82" si="17">+F76-K76</f>
        <v>2400000</v>
      </c>
      <c r="I76" s="9"/>
      <c r="J76" s="5"/>
      <c r="K76" s="5">
        <v>600000</v>
      </c>
      <c r="L76" s="5"/>
      <c r="M76" s="5"/>
      <c r="N76" s="5"/>
      <c r="O76" s="5">
        <f t="shared" si="12"/>
        <v>3000000</v>
      </c>
      <c r="P76" s="5">
        <f t="shared" si="16"/>
        <v>120000</v>
      </c>
      <c r="Q76" s="5">
        <f>+F76*4%</f>
        <v>120000</v>
      </c>
      <c r="R76" s="5"/>
      <c r="S76" s="5"/>
      <c r="T76" s="5"/>
      <c r="U76" s="5"/>
      <c r="V76" s="5"/>
      <c r="W76" s="5"/>
      <c r="X76" s="5">
        <f t="shared" si="13"/>
        <v>240000</v>
      </c>
      <c r="Y76" s="26">
        <f t="shared" si="15"/>
        <v>2760000</v>
      </c>
      <c r="Z76" s="5">
        <v>37378</v>
      </c>
      <c r="AA76" s="5">
        <f t="shared" si="14"/>
        <v>2797378</v>
      </c>
    </row>
    <row r="77" spans="1:27" ht="24.95" customHeight="1" x14ac:dyDescent="0.25">
      <c r="A77" s="16"/>
      <c r="B77" s="8">
        <v>10</v>
      </c>
      <c r="C77" s="7" t="s">
        <v>107</v>
      </c>
      <c r="D77" s="7" t="s">
        <v>30</v>
      </c>
      <c r="E77" s="8" t="s">
        <v>31</v>
      </c>
      <c r="F77" s="5">
        <v>4000000</v>
      </c>
      <c r="G77" s="9">
        <v>30</v>
      </c>
      <c r="H77" s="9">
        <f t="shared" si="17"/>
        <v>3200000</v>
      </c>
      <c r="I77" s="9"/>
      <c r="J77" s="5"/>
      <c r="K77" s="5">
        <v>800000</v>
      </c>
      <c r="L77" s="5"/>
      <c r="M77" s="5"/>
      <c r="N77" s="5"/>
      <c r="O77" s="5">
        <f t="shared" si="12"/>
        <v>4000000</v>
      </c>
      <c r="P77" s="5">
        <f t="shared" si="16"/>
        <v>160000</v>
      </c>
      <c r="Q77" s="5">
        <f>+F77*5%</f>
        <v>200000</v>
      </c>
      <c r="R77" s="5"/>
      <c r="S77" s="5"/>
      <c r="T77" s="5">
        <v>0</v>
      </c>
      <c r="U77" s="5"/>
      <c r="V77" s="5"/>
      <c r="W77" s="5">
        <v>224445</v>
      </c>
      <c r="X77" s="5">
        <f t="shared" si="13"/>
        <v>584445</v>
      </c>
      <c r="Y77" s="26">
        <f t="shared" si="15"/>
        <v>3415555</v>
      </c>
      <c r="Z77" s="5">
        <v>480000</v>
      </c>
      <c r="AA77" s="5">
        <f t="shared" si="14"/>
        <v>3895555</v>
      </c>
    </row>
    <row r="78" spans="1:27" ht="24.95" customHeight="1" x14ac:dyDescent="0.25">
      <c r="A78" s="16"/>
      <c r="B78" s="8">
        <v>11</v>
      </c>
      <c r="C78" s="7" t="s">
        <v>108</v>
      </c>
      <c r="D78" s="7" t="s">
        <v>30</v>
      </c>
      <c r="E78" s="8" t="s">
        <v>31</v>
      </c>
      <c r="F78" s="5">
        <v>1500000</v>
      </c>
      <c r="G78" s="9">
        <v>30</v>
      </c>
      <c r="H78" s="9">
        <f t="shared" si="17"/>
        <v>1300000</v>
      </c>
      <c r="I78" s="9"/>
      <c r="J78" s="5">
        <v>97032</v>
      </c>
      <c r="K78" s="5">
        <v>200000</v>
      </c>
      <c r="L78" s="5"/>
      <c r="M78" s="5"/>
      <c r="N78" s="5"/>
      <c r="O78" s="5">
        <f t="shared" si="12"/>
        <v>1597032</v>
      </c>
      <c r="P78" s="5">
        <f t="shared" si="16"/>
        <v>60000</v>
      </c>
      <c r="Q78" s="5">
        <v>60000</v>
      </c>
      <c r="R78" s="5"/>
      <c r="S78" s="5"/>
      <c r="T78" s="5">
        <v>0</v>
      </c>
      <c r="U78" s="5"/>
      <c r="V78" s="5"/>
      <c r="W78" s="5"/>
      <c r="X78" s="5">
        <f t="shared" si="13"/>
        <v>120000</v>
      </c>
      <c r="Y78" s="26">
        <f t="shared" si="15"/>
        <v>1477032</v>
      </c>
      <c r="Z78" s="5">
        <v>7837</v>
      </c>
      <c r="AA78" s="5">
        <f t="shared" si="14"/>
        <v>1484869</v>
      </c>
    </row>
    <row r="79" spans="1:27" ht="24.95" customHeight="1" x14ac:dyDescent="0.25">
      <c r="A79" s="16"/>
      <c r="B79" s="8">
        <v>12</v>
      </c>
      <c r="C79" s="7" t="s">
        <v>109</v>
      </c>
      <c r="D79" s="7" t="s">
        <v>30</v>
      </c>
      <c r="E79" s="8" t="s">
        <v>31</v>
      </c>
      <c r="F79" s="5">
        <v>828116</v>
      </c>
      <c r="G79" s="9">
        <v>30</v>
      </c>
      <c r="H79" s="9">
        <f t="shared" si="17"/>
        <v>662492</v>
      </c>
      <c r="I79" s="9"/>
      <c r="J79" s="5">
        <v>97032</v>
      </c>
      <c r="K79" s="5">
        <v>165624</v>
      </c>
      <c r="L79" s="5"/>
      <c r="M79" s="5"/>
      <c r="N79" s="5"/>
      <c r="O79" s="5">
        <f t="shared" si="12"/>
        <v>925148</v>
      </c>
      <c r="P79" s="5">
        <f t="shared" si="16"/>
        <v>33124.639999999999</v>
      </c>
      <c r="Q79" s="5">
        <f>+F79*4%</f>
        <v>33124.639999999999</v>
      </c>
      <c r="R79" s="5"/>
      <c r="S79" s="5"/>
      <c r="T79" s="5">
        <v>0</v>
      </c>
      <c r="U79" s="5"/>
      <c r="V79" s="5"/>
      <c r="W79" s="5"/>
      <c r="X79" s="5">
        <f t="shared" si="13"/>
        <v>66249.279999999999</v>
      </c>
      <c r="Y79" s="26">
        <f t="shared" si="15"/>
        <v>858898.72</v>
      </c>
      <c r="Z79" s="5">
        <v>20097</v>
      </c>
      <c r="AA79" s="5">
        <f t="shared" si="14"/>
        <v>878995.72</v>
      </c>
    </row>
    <row r="80" spans="1:27" ht="24.95" customHeight="1" x14ac:dyDescent="0.25">
      <c r="A80" s="16"/>
      <c r="B80" s="8">
        <v>13</v>
      </c>
      <c r="C80" s="7" t="s">
        <v>110</v>
      </c>
      <c r="D80" s="7" t="s">
        <v>30</v>
      </c>
      <c r="E80" s="8" t="s">
        <v>31</v>
      </c>
      <c r="F80" s="5">
        <v>4000000</v>
      </c>
      <c r="G80" s="9">
        <v>30</v>
      </c>
      <c r="H80" s="9">
        <f t="shared" si="17"/>
        <v>3600000</v>
      </c>
      <c r="I80" s="9"/>
      <c r="J80" s="5"/>
      <c r="K80" s="5">
        <v>400000</v>
      </c>
      <c r="L80" s="5"/>
      <c r="M80" s="5"/>
      <c r="N80" s="5"/>
      <c r="O80" s="5">
        <f t="shared" si="12"/>
        <v>4000000</v>
      </c>
      <c r="P80" s="5">
        <f t="shared" si="16"/>
        <v>160000</v>
      </c>
      <c r="Q80" s="5">
        <f>+F80*5%</f>
        <v>200000</v>
      </c>
      <c r="R80" s="5">
        <v>0</v>
      </c>
      <c r="S80" s="5"/>
      <c r="T80" s="5">
        <v>0</v>
      </c>
      <c r="U80" s="5"/>
      <c r="V80" s="5"/>
      <c r="W80" s="5">
        <v>422966</v>
      </c>
      <c r="X80" s="5">
        <f t="shared" si="13"/>
        <v>782966</v>
      </c>
      <c r="Y80" s="26">
        <f t="shared" si="15"/>
        <v>3217034</v>
      </c>
      <c r="Z80" s="5">
        <v>480000</v>
      </c>
      <c r="AA80" s="5">
        <f t="shared" si="14"/>
        <v>3697034</v>
      </c>
    </row>
    <row r="81" spans="1:27" ht="24.95" customHeight="1" x14ac:dyDescent="0.25">
      <c r="A81" s="16"/>
      <c r="B81" s="8">
        <v>14</v>
      </c>
      <c r="C81" s="7" t="s">
        <v>111</v>
      </c>
      <c r="D81" s="7" t="s">
        <v>30</v>
      </c>
      <c r="E81" s="8" t="s">
        <v>31</v>
      </c>
      <c r="F81" s="5">
        <v>1500000</v>
      </c>
      <c r="G81" s="9">
        <v>30</v>
      </c>
      <c r="H81" s="9">
        <f t="shared" si="17"/>
        <v>1350000</v>
      </c>
      <c r="I81" s="9"/>
      <c r="J81" s="5">
        <v>97032</v>
      </c>
      <c r="K81" s="5">
        <v>150000</v>
      </c>
      <c r="L81" s="5"/>
      <c r="M81" s="5"/>
      <c r="N81" s="5"/>
      <c r="O81" s="5">
        <f t="shared" si="12"/>
        <v>1597032</v>
      </c>
      <c r="P81" s="5">
        <f t="shared" si="16"/>
        <v>60000</v>
      </c>
      <c r="Q81" s="5">
        <f>+F81*4%</f>
        <v>60000</v>
      </c>
      <c r="R81" s="5"/>
      <c r="S81" s="5"/>
      <c r="T81" s="5">
        <v>0</v>
      </c>
      <c r="U81" s="5"/>
      <c r="V81" s="5"/>
      <c r="W81" s="5"/>
      <c r="X81" s="5">
        <f t="shared" si="13"/>
        <v>120000</v>
      </c>
      <c r="Y81" s="26">
        <f t="shared" si="15"/>
        <v>1477032</v>
      </c>
      <c r="Z81" s="5">
        <v>190585</v>
      </c>
      <c r="AA81" s="5">
        <f t="shared" si="14"/>
        <v>1667617</v>
      </c>
    </row>
    <row r="82" spans="1:27" ht="24.95" customHeight="1" x14ac:dyDescent="0.25">
      <c r="A82" s="16"/>
      <c r="B82" s="8">
        <v>15</v>
      </c>
      <c r="C82" s="7" t="s">
        <v>112</v>
      </c>
      <c r="D82" s="7" t="s">
        <v>30</v>
      </c>
      <c r="E82" s="8" t="s">
        <v>31</v>
      </c>
      <c r="F82" s="5">
        <v>3000000</v>
      </c>
      <c r="G82" s="9">
        <v>30</v>
      </c>
      <c r="H82" s="9">
        <f t="shared" si="17"/>
        <v>2400000</v>
      </c>
      <c r="I82" s="9"/>
      <c r="J82" s="5"/>
      <c r="K82" s="5">
        <v>600000</v>
      </c>
      <c r="L82" s="5"/>
      <c r="M82" s="5">
        <v>200000</v>
      </c>
      <c r="N82" s="5"/>
      <c r="O82" s="5">
        <f t="shared" si="12"/>
        <v>3200000</v>
      </c>
      <c r="P82" s="5">
        <f t="shared" si="16"/>
        <v>120000</v>
      </c>
      <c r="Q82" s="5">
        <f>+F82*0.04</f>
        <v>120000</v>
      </c>
      <c r="R82" s="5"/>
      <c r="S82" s="5"/>
      <c r="T82" s="5">
        <v>0</v>
      </c>
      <c r="U82" s="5"/>
      <c r="V82" s="5"/>
      <c r="W82" s="5"/>
      <c r="X82" s="5">
        <f t="shared" si="13"/>
        <v>240000</v>
      </c>
      <c r="Y82" s="26">
        <f t="shared" si="15"/>
        <v>2960000</v>
      </c>
      <c r="Z82" s="5">
        <v>360000</v>
      </c>
      <c r="AA82" s="5">
        <f t="shared" si="14"/>
        <v>3320000</v>
      </c>
    </row>
    <row r="83" spans="1:27" ht="24" customHeight="1" x14ac:dyDescent="0.25">
      <c r="A83" s="16"/>
      <c r="B83" s="8">
        <v>16</v>
      </c>
      <c r="C83" s="7" t="s">
        <v>113</v>
      </c>
      <c r="D83" s="7"/>
      <c r="E83" s="8"/>
      <c r="F83" s="5">
        <v>828116</v>
      </c>
      <c r="G83" s="9">
        <v>30</v>
      </c>
      <c r="H83" s="9">
        <f>+F83/30*G83</f>
        <v>828116</v>
      </c>
      <c r="I83" s="9"/>
      <c r="J83" s="5">
        <v>97032</v>
      </c>
      <c r="K83" s="5"/>
      <c r="L83" s="5"/>
      <c r="M83" s="5"/>
      <c r="N83" s="5"/>
      <c r="O83" s="5">
        <f t="shared" si="12"/>
        <v>925148</v>
      </c>
      <c r="P83" s="5">
        <f>+H83*4%</f>
        <v>33124.639999999999</v>
      </c>
      <c r="Q83" s="5">
        <f>+H83*0.04</f>
        <v>33124.639999999999</v>
      </c>
      <c r="R83" s="5"/>
      <c r="S83" s="5"/>
      <c r="T83" s="5">
        <v>0</v>
      </c>
      <c r="U83" s="5"/>
      <c r="V83" s="5"/>
      <c r="W83" s="5"/>
      <c r="X83" s="5">
        <f t="shared" si="13"/>
        <v>66249.279999999999</v>
      </c>
      <c r="Y83" s="26">
        <f t="shared" si="15"/>
        <v>858898.72</v>
      </c>
      <c r="Z83" s="5">
        <v>355</v>
      </c>
      <c r="AA83" s="5">
        <f t="shared" si="14"/>
        <v>859253.72</v>
      </c>
    </row>
    <row r="84" spans="1:27" ht="24.95" customHeight="1" x14ac:dyDescent="0.25">
      <c r="A84" s="16"/>
      <c r="B84" s="8">
        <v>17</v>
      </c>
      <c r="C84" s="7" t="s">
        <v>114</v>
      </c>
      <c r="D84" s="7" t="s">
        <v>30</v>
      </c>
      <c r="E84" s="8" t="s">
        <v>31</v>
      </c>
      <c r="F84" s="5">
        <v>2000000</v>
      </c>
      <c r="G84" s="9">
        <v>30</v>
      </c>
      <c r="H84" s="9">
        <f>+F84-K84</f>
        <v>1600000</v>
      </c>
      <c r="I84" s="9"/>
      <c r="J84" s="5"/>
      <c r="K84" s="5">
        <v>400000</v>
      </c>
      <c r="L84" s="5"/>
      <c r="M84" s="5"/>
      <c r="N84" s="5"/>
      <c r="O84" s="5">
        <f t="shared" si="12"/>
        <v>2000000</v>
      </c>
      <c r="P84" s="5">
        <f>+F84*4%</f>
        <v>80000</v>
      </c>
      <c r="Q84" s="5">
        <f>+F84*4%</f>
        <v>80000</v>
      </c>
      <c r="R84" s="5"/>
      <c r="S84" s="5"/>
      <c r="T84" s="5">
        <v>0</v>
      </c>
      <c r="U84" s="5"/>
      <c r="V84" s="5"/>
      <c r="W84" s="5"/>
      <c r="X84" s="5">
        <f t="shared" si="13"/>
        <v>160000</v>
      </c>
      <c r="Y84" s="26">
        <f t="shared" si="15"/>
        <v>1840000</v>
      </c>
      <c r="Z84" s="5">
        <v>240000</v>
      </c>
      <c r="AA84" s="5">
        <f t="shared" si="14"/>
        <v>2080000</v>
      </c>
    </row>
    <row r="85" spans="1:27" ht="24.95" customHeight="1" x14ac:dyDescent="0.25">
      <c r="A85" s="16"/>
      <c r="B85" s="8">
        <v>18</v>
      </c>
      <c r="C85" s="11" t="s">
        <v>115</v>
      </c>
      <c r="D85" s="7" t="s">
        <v>30</v>
      </c>
      <c r="E85" s="8" t="s">
        <v>31</v>
      </c>
      <c r="F85" s="5">
        <v>4500000</v>
      </c>
      <c r="G85" s="9">
        <v>30</v>
      </c>
      <c r="H85" s="9">
        <f>+F85-K85</f>
        <v>3587500</v>
      </c>
      <c r="I85" s="9"/>
      <c r="J85" s="5"/>
      <c r="K85" s="5">
        <v>912500</v>
      </c>
      <c r="L85" s="5"/>
      <c r="M85" s="5"/>
      <c r="N85" s="5"/>
      <c r="O85" s="5">
        <f t="shared" si="12"/>
        <v>4500000</v>
      </c>
      <c r="P85" s="5">
        <f>+O85*4%</f>
        <v>180000</v>
      </c>
      <c r="Q85" s="5">
        <f>+O85*5%</f>
        <v>225000</v>
      </c>
      <c r="R85" s="5"/>
      <c r="S85" s="5"/>
      <c r="T85" s="5">
        <v>0</v>
      </c>
      <c r="U85" s="5"/>
      <c r="V85" s="5"/>
      <c r="W85" s="5"/>
      <c r="X85" s="5">
        <f t="shared" si="13"/>
        <v>405000</v>
      </c>
      <c r="Y85" s="26">
        <f t="shared" ref="Y85:Y94" si="18">O85-X85</f>
        <v>4095000</v>
      </c>
      <c r="Z85" s="5">
        <v>540000</v>
      </c>
      <c r="AA85" s="5">
        <f t="shared" si="14"/>
        <v>4635000</v>
      </c>
    </row>
    <row r="86" spans="1:27" ht="24.95" customHeight="1" x14ac:dyDescent="0.25">
      <c r="A86" s="16"/>
      <c r="B86" s="8">
        <v>19</v>
      </c>
      <c r="C86" s="7" t="s">
        <v>116</v>
      </c>
      <c r="D86" s="7" t="s">
        <v>30</v>
      </c>
      <c r="E86" s="8" t="s">
        <v>31</v>
      </c>
      <c r="F86" s="5">
        <v>1500000</v>
      </c>
      <c r="G86" s="9">
        <v>30</v>
      </c>
      <c r="H86" s="9">
        <f>+F86-K86</f>
        <v>1348333</v>
      </c>
      <c r="I86" s="9"/>
      <c r="J86" s="5">
        <v>97032</v>
      </c>
      <c r="K86" s="5">
        <v>151667</v>
      </c>
      <c r="L86" s="5"/>
      <c r="M86" s="5"/>
      <c r="N86" s="5"/>
      <c r="O86" s="5">
        <f t="shared" si="12"/>
        <v>1597032</v>
      </c>
      <c r="P86" s="5">
        <f>+F86*4%</f>
        <v>60000</v>
      </c>
      <c r="Q86" s="5">
        <f>+F86*4%</f>
        <v>60000</v>
      </c>
      <c r="R86" s="5"/>
      <c r="S86" s="5"/>
      <c r="T86" s="5"/>
      <c r="U86" s="5"/>
      <c r="V86" s="5"/>
      <c r="W86" s="5">
        <f>194767+231623</f>
        <v>426390</v>
      </c>
      <c r="X86" s="5">
        <f t="shared" si="13"/>
        <v>546390</v>
      </c>
      <c r="Y86" s="26">
        <f t="shared" si="18"/>
        <v>1050642</v>
      </c>
      <c r="Z86" s="5">
        <v>190585</v>
      </c>
      <c r="AA86" s="5">
        <f t="shared" si="14"/>
        <v>1241227</v>
      </c>
    </row>
    <row r="87" spans="1:27" ht="24.95" customHeight="1" x14ac:dyDescent="0.25">
      <c r="A87" s="16"/>
      <c r="B87" s="8">
        <v>20</v>
      </c>
      <c r="C87" s="7" t="s">
        <v>117</v>
      </c>
      <c r="D87" s="7" t="s">
        <v>30</v>
      </c>
      <c r="E87" s="8" t="s">
        <v>118</v>
      </c>
      <c r="F87" s="5">
        <v>828116</v>
      </c>
      <c r="G87" s="9">
        <v>30</v>
      </c>
      <c r="H87" s="9">
        <f>+F87/30*G87</f>
        <v>828116</v>
      </c>
      <c r="I87" s="9"/>
      <c r="J87" s="5"/>
      <c r="K87" s="5"/>
      <c r="L87" s="5"/>
      <c r="M87" s="5"/>
      <c r="N87" s="5"/>
      <c r="O87" s="5">
        <f t="shared" si="12"/>
        <v>828116</v>
      </c>
      <c r="P87" s="5"/>
      <c r="Q87" s="5"/>
      <c r="R87" s="5"/>
      <c r="S87" s="5"/>
      <c r="T87" s="5"/>
      <c r="U87" s="5"/>
      <c r="V87" s="5"/>
      <c r="W87" s="5"/>
      <c r="X87" s="5"/>
      <c r="Y87" s="26">
        <f t="shared" si="18"/>
        <v>828116</v>
      </c>
      <c r="Z87" s="5">
        <v>0</v>
      </c>
      <c r="AA87" s="5">
        <f t="shared" si="14"/>
        <v>828116</v>
      </c>
    </row>
    <row r="88" spans="1:27" ht="24.95" customHeight="1" x14ac:dyDescent="0.25">
      <c r="A88" s="16"/>
      <c r="B88" s="8">
        <v>21</v>
      </c>
      <c r="C88" s="7" t="s">
        <v>119</v>
      </c>
      <c r="D88" s="7" t="s">
        <v>30</v>
      </c>
      <c r="E88" s="8" t="s">
        <v>31</v>
      </c>
      <c r="F88" s="5">
        <v>4800000</v>
      </c>
      <c r="G88" s="9">
        <v>30</v>
      </c>
      <c r="H88" s="9">
        <f>+F88-K88</f>
        <v>4313746</v>
      </c>
      <c r="I88" s="9"/>
      <c r="J88" s="5"/>
      <c r="K88" s="5">
        <v>486254</v>
      </c>
      <c r="L88" s="5"/>
      <c r="M88" s="5"/>
      <c r="N88" s="5"/>
      <c r="O88" s="5">
        <f t="shared" si="12"/>
        <v>4800000</v>
      </c>
      <c r="P88" s="5">
        <f>+O88*0.04</f>
        <v>192000</v>
      </c>
      <c r="Q88" s="5">
        <f>+O88*0.05</f>
        <v>240000</v>
      </c>
      <c r="R88" s="5"/>
      <c r="S88" s="5"/>
      <c r="T88" s="5">
        <v>59000</v>
      </c>
      <c r="U88" s="5"/>
      <c r="V88" s="5"/>
      <c r="W88" s="5"/>
      <c r="X88" s="5">
        <f t="shared" ref="X88:X119" si="19">SUM(P88:W88)</f>
        <v>491000</v>
      </c>
      <c r="Y88" s="26">
        <f t="shared" si="18"/>
        <v>4309000</v>
      </c>
      <c r="Z88" s="5">
        <v>582600</v>
      </c>
      <c r="AA88" s="5">
        <f t="shared" si="14"/>
        <v>4891600</v>
      </c>
    </row>
    <row r="89" spans="1:27" ht="24.95" customHeight="1" x14ac:dyDescent="0.25">
      <c r="A89" s="16"/>
      <c r="B89" s="8">
        <v>22</v>
      </c>
      <c r="C89" s="7" t="s">
        <v>120</v>
      </c>
      <c r="D89" s="7" t="s">
        <v>30</v>
      </c>
      <c r="E89" s="8" t="s">
        <v>31</v>
      </c>
      <c r="F89" s="5">
        <v>2500000</v>
      </c>
      <c r="G89" s="9">
        <v>30</v>
      </c>
      <c r="H89" s="9">
        <f>+F89-K89</f>
        <v>2250000</v>
      </c>
      <c r="I89" s="9"/>
      <c r="J89" s="5"/>
      <c r="K89" s="5">
        <v>250000</v>
      </c>
      <c r="L89" s="5"/>
      <c r="M89" s="5"/>
      <c r="N89" s="5"/>
      <c r="O89" s="5">
        <f t="shared" si="12"/>
        <v>2500000</v>
      </c>
      <c r="P89" s="5">
        <f>+F89*4%</f>
        <v>100000</v>
      </c>
      <c r="Q89" s="5">
        <f>+F89*4%</f>
        <v>100000</v>
      </c>
      <c r="R89" s="5"/>
      <c r="S89" s="5"/>
      <c r="T89" s="5"/>
      <c r="U89" s="5"/>
      <c r="V89" s="5"/>
      <c r="W89" s="5"/>
      <c r="X89" s="5">
        <f t="shared" si="19"/>
        <v>200000</v>
      </c>
      <c r="Y89" s="26">
        <f t="shared" si="18"/>
        <v>2300000</v>
      </c>
      <c r="Z89" s="5">
        <v>300000</v>
      </c>
      <c r="AA89" s="5">
        <f t="shared" si="14"/>
        <v>2600000</v>
      </c>
    </row>
    <row r="90" spans="1:27" ht="24.95" customHeight="1" x14ac:dyDescent="0.25">
      <c r="A90" s="16"/>
      <c r="B90" s="8">
        <v>23</v>
      </c>
      <c r="C90" s="7" t="s">
        <v>121</v>
      </c>
      <c r="D90" s="7" t="s">
        <v>30</v>
      </c>
      <c r="E90" s="8" t="s">
        <v>31</v>
      </c>
      <c r="F90" s="5">
        <v>1272000</v>
      </c>
      <c r="G90" s="9">
        <v>30</v>
      </c>
      <c r="H90" s="9">
        <f>+F90-K90</f>
        <v>1144800</v>
      </c>
      <c r="I90" s="9"/>
      <c r="J90" s="5">
        <v>97032</v>
      </c>
      <c r="K90" s="5">
        <v>127200</v>
      </c>
      <c r="L90" s="5"/>
      <c r="M90" s="5"/>
      <c r="N90" s="5"/>
      <c r="O90" s="5">
        <f t="shared" si="12"/>
        <v>1369032</v>
      </c>
      <c r="P90" s="5">
        <f>+F90*4%</f>
        <v>50880</v>
      </c>
      <c r="Q90" s="5">
        <f>+F90*4%</f>
        <v>50880</v>
      </c>
      <c r="R90" s="5"/>
      <c r="S90" s="5"/>
      <c r="T90" s="5"/>
      <c r="U90" s="5"/>
      <c r="V90" s="5"/>
      <c r="W90" s="5">
        <v>355808</v>
      </c>
      <c r="X90" s="5">
        <f t="shared" si="19"/>
        <v>457568</v>
      </c>
      <c r="Y90" s="26">
        <f t="shared" si="18"/>
        <v>911464</v>
      </c>
      <c r="Z90" s="5">
        <v>163225</v>
      </c>
      <c r="AA90" s="5">
        <f t="shared" si="14"/>
        <v>1074689</v>
      </c>
    </row>
    <row r="91" spans="1:27" ht="24.95" customHeight="1" x14ac:dyDescent="0.25">
      <c r="A91" s="16"/>
      <c r="B91" s="8">
        <v>24</v>
      </c>
      <c r="C91" s="7" t="s">
        <v>122</v>
      </c>
      <c r="D91" s="7"/>
      <c r="E91" s="8"/>
      <c r="F91" s="5">
        <v>1657000</v>
      </c>
      <c r="G91" s="9">
        <v>15</v>
      </c>
      <c r="H91" s="9">
        <f>+F91/30*G91</f>
        <v>828500</v>
      </c>
      <c r="I91" s="9"/>
      <c r="J91" s="5"/>
      <c r="K91" s="5"/>
      <c r="L91" s="5"/>
      <c r="M91" s="5">
        <f>+(200000/30)*G91</f>
        <v>100000</v>
      </c>
      <c r="N91" s="5"/>
      <c r="O91" s="5">
        <f t="shared" si="12"/>
        <v>928500</v>
      </c>
      <c r="P91" s="5">
        <f>+H91*4%</f>
        <v>33140</v>
      </c>
      <c r="Q91" s="5">
        <f>+H91*4%</f>
        <v>33140</v>
      </c>
      <c r="R91" s="5"/>
      <c r="S91" s="5"/>
      <c r="T91" s="5"/>
      <c r="U91" s="5"/>
      <c r="V91" s="5"/>
      <c r="W91" s="5"/>
      <c r="X91" s="5">
        <f t="shared" si="19"/>
        <v>66280</v>
      </c>
      <c r="Y91" s="26">
        <f t="shared" si="18"/>
        <v>862220</v>
      </c>
      <c r="Z91" s="5">
        <v>0</v>
      </c>
      <c r="AA91" s="5">
        <f t="shared" si="14"/>
        <v>862220</v>
      </c>
    </row>
    <row r="92" spans="1:27" ht="24.95" customHeight="1" x14ac:dyDescent="0.25">
      <c r="A92" s="16"/>
      <c r="B92" s="8">
        <v>25</v>
      </c>
      <c r="C92" s="7" t="s">
        <v>123</v>
      </c>
      <c r="D92" s="7" t="s">
        <v>30</v>
      </c>
      <c r="E92" s="8" t="s">
        <v>31</v>
      </c>
      <c r="F92" s="5">
        <v>3000000</v>
      </c>
      <c r="G92" s="9">
        <v>30</v>
      </c>
      <c r="H92" s="9">
        <f>+F92/30*G92</f>
        <v>3000000</v>
      </c>
      <c r="I92" s="9"/>
      <c r="J92" s="5"/>
      <c r="K92" s="5"/>
      <c r="L92" s="5"/>
      <c r="M92" s="5"/>
      <c r="N92" s="5"/>
      <c r="O92" s="5">
        <f t="shared" si="12"/>
        <v>3000000</v>
      </c>
      <c r="P92" s="5">
        <f>+F92*4%</f>
        <v>120000</v>
      </c>
      <c r="Q92" s="5">
        <f>+F92*4%</f>
        <v>120000</v>
      </c>
      <c r="R92" s="5"/>
      <c r="S92" s="5"/>
      <c r="T92" s="5">
        <v>0</v>
      </c>
      <c r="U92" s="5"/>
      <c r="V92" s="5"/>
      <c r="W92" s="5">
        <v>700045</v>
      </c>
      <c r="X92" s="5">
        <f t="shared" si="19"/>
        <v>940045</v>
      </c>
      <c r="Y92" s="26">
        <f t="shared" si="18"/>
        <v>2059955</v>
      </c>
      <c r="Z92" s="5">
        <v>360000</v>
      </c>
      <c r="AA92" s="5">
        <f t="shared" si="14"/>
        <v>2419955</v>
      </c>
    </row>
    <row r="93" spans="1:27" ht="24.95" customHeight="1" x14ac:dyDescent="0.25">
      <c r="A93" s="16"/>
      <c r="B93" s="8">
        <v>26</v>
      </c>
      <c r="C93" s="7" t="s">
        <v>124</v>
      </c>
      <c r="D93" s="7" t="s">
        <v>30</v>
      </c>
      <c r="E93" s="8" t="s">
        <v>31</v>
      </c>
      <c r="F93" s="5">
        <v>912000</v>
      </c>
      <c r="G93" s="9">
        <v>30</v>
      </c>
      <c r="H93" s="9">
        <f>+F93-K93</f>
        <v>729600</v>
      </c>
      <c r="I93" s="9"/>
      <c r="J93" s="5">
        <v>97032</v>
      </c>
      <c r="K93" s="5">
        <v>182400</v>
      </c>
      <c r="L93" s="5"/>
      <c r="M93" s="5"/>
      <c r="N93" s="5"/>
      <c r="O93" s="5">
        <f t="shared" si="12"/>
        <v>1009032</v>
      </c>
      <c r="P93" s="5">
        <f>+H93*4%</f>
        <v>29184</v>
      </c>
      <c r="Q93" s="5">
        <f>+H93*4%</f>
        <v>29184</v>
      </c>
      <c r="R93" s="5"/>
      <c r="S93" s="5"/>
      <c r="T93" s="5"/>
      <c r="U93" s="5"/>
      <c r="V93" s="5"/>
      <c r="W93" s="5"/>
      <c r="X93" s="5">
        <f t="shared" si="19"/>
        <v>58368</v>
      </c>
      <c r="Y93" s="26">
        <f t="shared" si="18"/>
        <v>950664</v>
      </c>
      <c r="Z93" s="5">
        <v>5209</v>
      </c>
      <c r="AA93" s="5">
        <f t="shared" si="14"/>
        <v>955873</v>
      </c>
    </row>
    <row r="94" spans="1:27" ht="24.95" customHeight="1" x14ac:dyDescent="0.25">
      <c r="A94" s="16"/>
      <c r="B94" s="8">
        <v>27</v>
      </c>
      <c r="C94" s="11" t="s">
        <v>125</v>
      </c>
      <c r="D94" s="7" t="s">
        <v>30</v>
      </c>
      <c r="E94" s="8" t="s">
        <v>31</v>
      </c>
      <c r="F94" s="5">
        <v>3000000</v>
      </c>
      <c r="G94" s="9">
        <v>30</v>
      </c>
      <c r="H94" s="9">
        <f>+F94-K94</f>
        <v>2700000</v>
      </c>
      <c r="I94" s="9"/>
      <c r="J94" s="5"/>
      <c r="K94" s="5">
        <v>300000</v>
      </c>
      <c r="L94" s="5"/>
      <c r="M94" s="5"/>
      <c r="N94" s="5"/>
      <c r="O94" s="5">
        <f t="shared" si="12"/>
        <v>3000000</v>
      </c>
      <c r="P94" s="5">
        <f>+F94*4%</f>
        <v>120000</v>
      </c>
      <c r="Q94" s="5">
        <f>+F94*4%</f>
        <v>120000</v>
      </c>
      <c r="R94" s="5"/>
      <c r="S94" s="5"/>
      <c r="T94" s="5"/>
      <c r="U94" s="5"/>
      <c r="V94" s="5"/>
      <c r="W94" s="5"/>
      <c r="X94" s="5">
        <f t="shared" si="19"/>
        <v>240000</v>
      </c>
      <c r="Y94" s="26">
        <f t="shared" si="18"/>
        <v>2760000</v>
      </c>
      <c r="Z94" s="5">
        <v>360000</v>
      </c>
      <c r="AA94" s="5">
        <f t="shared" si="14"/>
        <v>3120000</v>
      </c>
    </row>
    <row r="95" spans="1:27" ht="24.95" customHeight="1" x14ac:dyDescent="0.25">
      <c r="A95" s="16"/>
      <c r="B95" s="8">
        <v>28</v>
      </c>
      <c r="C95" s="7" t="s">
        <v>126</v>
      </c>
      <c r="D95" s="7" t="s">
        <v>30</v>
      </c>
      <c r="E95" s="8" t="s">
        <v>31</v>
      </c>
      <c r="F95" s="5">
        <v>2800000</v>
      </c>
      <c r="G95" s="9">
        <v>30</v>
      </c>
      <c r="H95" s="9">
        <f>+F95-K95</f>
        <v>2580000</v>
      </c>
      <c r="I95" s="9"/>
      <c r="J95" s="5"/>
      <c r="K95" s="5">
        <v>220000</v>
      </c>
      <c r="L95" s="5"/>
      <c r="M95" s="5">
        <v>200000</v>
      </c>
      <c r="N95" s="5"/>
      <c r="O95" s="5">
        <f t="shared" si="12"/>
        <v>3000000</v>
      </c>
      <c r="P95" s="5">
        <f>+F95*4%</f>
        <v>112000</v>
      </c>
      <c r="Q95" s="5">
        <f>+F95*4%</f>
        <v>112000</v>
      </c>
      <c r="R95" s="5"/>
      <c r="S95" s="5"/>
      <c r="T95" s="5">
        <v>0</v>
      </c>
      <c r="U95" s="5"/>
      <c r="V95" s="5"/>
      <c r="W95" s="5"/>
      <c r="X95" s="5">
        <f t="shared" si="19"/>
        <v>224000</v>
      </c>
      <c r="Y95" s="26">
        <f>+O95-X95</f>
        <v>2776000</v>
      </c>
      <c r="Z95" s="5">
        <v>264000</v>
      </c>
      <c r="AA95" s="5">
        <f t="shared" si="14"/>
        <v>3040000</v>
      </c>
    </row>
    <row r="96" spans="1:27" ht="24.95" customHeight="1" x14ac:dyDescent="0.25">
      <c r="A96" s="16"/>
      <c r="B96" s="8">
        <v>29</v>
      </c>
      <c r="C96" s="7" t="s">
        <v>127</v>
      </c>
      <c r="D96" s="7" t="s">
        <v>30</v>
      </c>
      <c r="E96" s="8" t="s">
        <v>31</v>
      </c>
      <c r="F96" s="5">
        <v>5500000</v>
      </c>
      <c r="G96" s="9">
        <v>30</v>
      </c>
      <c r="H96" s="9">
        <f>+F96/30*G96</f>
        <v>5500000</v>
      </c>
      <c r="I96" s="9"/>
      <c r="J96" s="5"/>
      <c r="K96" s="5"/>
      <c r="L96" s="5"/>
      <c r="M96" s="5">
        <v>500000</v>
      </c>
      <c r="N96" s="5"/>
      <c r="O96" s="5">
        <f t="shared" si="12"/>
        <v>6000000</v>
      </c>
      <c r="P96" s="5">
        <f>+F96*4%</f>
        <v>220000</v>
      </c>
      <c r="Q96" s="5">
        <f>+F96*5%</f>
        <v>275000</v>
      </c>
      <c r="R96" s="5"/>
      <c r="S96" s="5"/>
      <c r="T96" s="10">
        <v>81000</v>
      </c>
      <c r="U96" s="5"/>
      <c r="V96" s="5"/>
      <c r="W96" s="5">
        <v>480989</v>
      </c>
      <c r="X96" s="5">
        <f t="shared" si="19"/>
        <v>1056989</v>
      </c>
      <c r="Y96" s="26">
        <f>+O96-X96</f>
        <v>4943011</v>
      </c>
      <c r="Z96" s="5">
        <v>660000</v>
      </c>
      <c r="AA96" s="5">
        <f t="shared" si="14"/>
        <v>5603011</v>
      </c>
    </row>
    <row r="97" spans="1:27" ht="24.95" customHeight="1" x14ac:dyDescent="0.25">
      <c r="A97" s="16"/>
      <c r="B97" s="8">
        <v>30</v>
      </c>
      <c r="C97" s="7" t="s">
        <v>128</v>
      </c>
      <c r="D97" s="7" t="s">
        <v>30</v>
      </c>
      <c r="E97" s="8" t="s">
        <v>31</v>
      </c>
      <c r="F97" s="5">
        <v>828116</v>
      </c>
      <c r="G97" s="9">
        <v>30</v>
      </c>
      <c r="H97" s="9">
        <f t="shared" ref="H97:H105" si="20">+F97-K97</f>
        <v>745304</v>
      </c>
      <c r="I97" s="9"/>
      <c r="J97" s="5">
        <v>97032</v>
      </c>
      <c r="K97" s="5">
        <v>82812</v>
      </c>
      <c r="L97" s="5"/>
      <c r="M97" s="5"/>
      <c r="N97" s="5"/>
      <c r="O97" s="5">
        <f t="shared" si="12"/>
        <v>925148</v>
      </c>
      <c r="P97" s="5">
        <f>+F97*4%</f>
        <v>33124.639999999999</v>
      </c>
      <c r="Q97" s="5">
        <f>+F97*4%</f>
        <v>33124.639999999999</v>
      </c>
      <c r="R97" s="5"/>
      <c r="S97" s="5"/>
      <c r="T97" s="10"/>
      <c r="U97" s="5"/>
      <c r="V97" s="5"/>
      <c r="W97" s="5"/>
      <c r="X97" s="5">
        <f t="shared" si="19"/>
        <v>66249.279999999999</v>
      </c>
      <c r="Y97" s="26">
        <f>+O97-X97</f>
        <v>858898.72</v>
      </c>
      <c r="Z97" s="5">
        <v>20097</v>
      </c>
      <c r="AA97" s="5">
        <f t="shared" si="14"/>
        <v>878995.72</v>
      </c>
    </row>
    <row r="98" spans="1:27" ht="24.95" customHeight="1" x14ac:dyDescent="0.25">
      <c r="A98" s="16"/>
      <c r="B98" s="8">
        <v>31</v>
      </c>
      <c r="C98" s="7" t="s">
        <v>129</v>
      </c>
      <c r="D98" s="7" t="s">
        <v>30</v>
      </c>
      <c r="E98" s="8" t="s">
        <v>31</v>
      </c>
      <c r="F98" s="5">
        <v>2180000</v>
      </c>
      <c r="G98" s="9">
        <v>30</v>
      </c>
      <c r="H98" s="9">
        <f t="shared" si="20"/>
        <v>1962000</v>
      </c>
      <c r="I98" s="9"/>
      <c r="J98" s="5"/>
      <c r="K98" s="5">
        <v>218000</v>
      </c>
      <c r="L98" s="5"/>
      <c r="M98" s="5"/>
      <c r="N98" s="5"/>
      <c r="O98" s="5">
        <f t="shared" si="12"/>
        <v>2180000</v>
      </c>
      <c r="P98" s="5">
        <f>+F98*4%</f>
        <v>87200</v>
      </c>
      <c r="Q98" s="5">
        <f>+F98*4%</f>
        <v>87200</v>
      </c>
      <c r="R98" s="5"/>
      <c r="S98" s="5">
        <v>166667</v>
      </c>
      <c r="T98" s="10"/>
      <c r="U98" s="5"/>
      <c r="V98" s="5"/>
      <c r="W98" s="5">
        <v>372908</v>
      </c>
      <c r="X98" s="5">
        <f t="shared" si="19"/>
        <v>713975</v>
      </c>
      <c r="Y98" s="26">
        <f>+O98-X98</f>
        <v>1466025</v>
      </c>
      <c r="Z98" s="5">
        <v>261600</v>
      </c>
      <c r="AA98" s="5">
        <f t="shared" si="14"/>
        <v>1727625</v>
      </c>
    </row>
    <row r="99" spans="1:27" ht="24.95" customHeight="1" x14ac:dyDescent="0.25">
      <c r="A99" s="16"/>
      <c r="B99" s="8">
        <v>32</v>
      </c>
      <c r="C99" s="7" t="s">
        <v>130</v>
      </c>
      <c r="D99" s="7" t="s">
        <v>30</v>
      </c>
      <c r="E99" s="8" t="s">
        <v>31</v>
      </c>
      <c r="F99" s="5">
        <v>3500000</v>
      </c>
      <c r="G99" s="9">
        <v>30</v>
      </c>
      <c r="H99" s="9">
        <f t="shared" si="20"/>
        <v>2800000</v>
      </c>
      <c r="I99" s="9"/>
      <c r="J99" s="5"/>
      <c r="K99" s="5">
        <v>700000</v>
      </c>
      <c r="L99" s="5"/>
      <c r="M99" s="5"/>
      <c r="N99" s="5"/>
      <c r="O99" s="5">
        <f t="shared" si="12"/>
        <v>3500000</v>
      </c>
      <c r="P99" s="5">
        <f>F99*4/100</f>
        <v>140000</v>
      </c>
      <c r="Q99" s="5">
        <f>+F99*0.05</f>
        <v>175000</v>
      </c>
      <c r="R99" s="5"/>
      <c r="S99" s="5"/>
      <c r="T99" s="10">
        <v>0</v>
      </c>
      <c r="U99" s="5"/>
      <c r="V99" s="5">
        <v>136237</v>
      </c>
      <c r="W99" s="5"/>
      <c r="X99" s="5">
        <f t="shared" si="19"/>
        <v>451237</v>
      </c>
      <c r="Y99" s="26">
        <f>O99-X99</f>
        <v>3048763</v>
      </c>
      <c r="Z99" s="5">
        <v>420000</v>
      </c>
      <c r="AA99" s="5">
        <f t="shared" si="14"/>
        <v>3468763</v>
      </c>
    </row>
    <row r="100" spans="1:27" ht="24.95" customHeight="1" x14ac:dyDescent="0.25">
      <c r="A100" s="16"/>
      <c r="B100" s="8">
        <v>33</v>
      </c>
      <c r="C100" s="7" t="s">
        <v>131</v>
      </c>
      <c r="D100" s="7" t="s">
        <v>30</v>
      </c>
      <c r="E100" s="8" t="s">
        <v>31</v>
      </c>
      <c r="F100" s="5">
        <v>2200000</v>
      </c>
      <c r="G100" s="9">
        <v>30</v>
      </c>
      <c r="H100" s="9">
        <f t="shared" si="20"/>
        <v>1686667</v>
      </c>
      <c r="I100" s="9"/>
      <c r="J100" s="5"/>
      <c r="K100" s="5">
        <v>513333</v>
      </c>
      <c r="L100" s="5"/>
      <c r="M100" s="5"/>
      <c r="N100" s="5"/>
      <c r="O100" s="5">
        <f t="shared" si="12"/>
        <v>2200000</v>
      </c>
      <c r="P100" s="5">
        <f>+F100*0.04</f>
        <v>88000</v>
      </c>
      <c r="Q100" s="5">
        <v>88000</v>
      </c>
      <c r="R100" s="5"/>
      <c r="S100" s="5"/>
      <c r="T100" s="10">
        <v>0</v>
      </c>
      <c r="U100" s="5"/>
      <c r="V100" s="5"/>
      <c r="W100" s="5"/>
      <c r="X100" s="5">
        <f t="shared" si="19"/>
        <v>176000</v>
      </c>
      <c r="Y100" s="26">
        <f>+O100-X100</f>
        <v>2024000</v>
      </c>
      <c r="Z100" s="5">
        <v>264000</v>
      </c>
      <c r="AA100" s="5">
        <f t="shared" si="14"/>
        <v>2288000</v>
      </c>
    </row>
    <row r="101" spans="1:27" ht="24.95" customHeight="1" x14ac:dyDescent="0.25">
      <c r="A101" s="16"/>
      <c r="B101" s="8">
        <v>34</v>
      </c>
      <c r="C101" s="7" t="s">
        <v>132</v>
      </c>
      <c r="D101" s="7" t="s">
        <v>30</v>
      </c>
      <c r="E101" s="8" t="s">
        <v>31</v>
      </c>
      <c r="F101" s="5">
        <v>2400000</v>
      </c>
      <c r="G101" s="9">
        <v>30</v>
      </c>
      <c r="H101" s="9">
        <f t="shared" si="20"/>
        <v>1920000</v>
      </c>
      <c r="I101" s="9"/>
      <c r="J101" s="5"/>
      <c r="K101" s="5">
        <v>480000</v>
      </c>
      <c r="L101" s="5"/>
      <c r="M101" s="5"/>
      <c r="N101" s="5"/>
      <c r="O101" s="5">
        <f t="shared" si="12"/>
        <v>2400000</v>
      </c>
      <c r="P101" s="5">
        <f>+F101*4%</f>
        <v>96000</v>
      </c>
      <c r="Q101" s="5">
        <f>+F101*4%</f>
        <v>96000</v>
      </c>
      <c r="R101" s="5">
        <v>0</v>
      </c>
      <c r="S101" s="5"/>
      <c r="T101" s="5">
        <v>0</v>
      </c>
      <c r="U101" s="5"/>
      <c r="V101" s="5"/>
      <c r="W101" s="5"/>
      <c r="X101" s="5">
        <f t="shared" si="19"/>
        <v>192000</v>
      </c>
      <c r="Y101" s="26">
        <f t="shared" ref="Y101:Y116" si="21">O101-X101</f>
        <v>2208000</v>
      </c>
      <c r="Z101" s="5">
        <v>16699</v>
      </c>
      <c r="AA101" s="5">
        <f t="shared" si="14"/>
        <v>2224699</v>
      </c>
    </row>
    <row r="102" spans="1:27" ht="24.95" customHeight="1" x14ac:dyDescent="0.25">
      <c r="A102" s="16"/>
      <c r="B102" s="8">
        <v>35</v>
      </c>
      <c r="C102" s="7" t="s">
        <v>133</v>
      </c>
      <c r="D102" s="7" t="s">
        <v>30</v>
      </c>
      <c r="E102" s="8" t="s">
        <v>31</v>
      </c>
      <c r="F102" s="5">
        <v>3500000</v>
      </c>
      <c r="G102" s="9">
        <v>30</v>
      </c>
      <c r="H102" s="9">
        <f t="shared" si="20"/>
        <v>3150000</v>
      </c>
      <c r="I102" s="9"/>
      <c r="J102" s="5"/>
      <c r="K102" s="5">
        <v>350000</v>
      </c>
      <c r="L102" s="5"/>
      <c r="M102" s="5"/>
      <c r="N102" s="5"/>
      <c r="O102" s="5">
        <f t="shared" si="12"/>
        <v>3500000</v>
      </c>
      <c r="P102" s="5">
        <f>+F102*4%</f>
        <v>140000</v>
      </c>
      <c r="Q102" s="5">
        <f>+F102*5%</f>
        <v>175000</v>
      </c>
      <c r="R102" s="5">
        <v>0</v>
      </c>
      <c r="S102" s="5"/>
      <c r="T102" s="5">
        <v>0</v>
      </c>
      <c r="U102" s="5"/>
      <c r="V102" s="5"/>
      <c r="W102" s="5"/>
      <c r="X102" s="5">
        <f t="shared" si="19"/>
        <v>315000</v>
      </c>
      <c r="Y102" s="26">
        <f t="shared" si="21"/>
        <v>3185000</v>
      </c>
      <c r="Z102" s="5">
        <v>420000</v>
      </c>
      <c r="AA102" s="5">
        <f t="shared" si="14"/>
        <v>3605000</v>
      </c>
    </row>
    <row r="103" spans="1:27" ht="24.95" customHeight="1" x14ac:dyDescent="0.25">
      <c r="A103" s="16"/>
      <c r="B103" s="8">
        <v>36</v>
      </c>
      <c r="C103" s="7" t="s">
        <v>134</v>
      </c>
      <c r="D103" s="7" t="s">
        <v>30</v>
      </c>
      <c r="E103" s="8" t="s">
        <v>31</v>
      </c>
      <c r="F103" s="5">
        <v>2700000</v>
      </c>
      <c r="G103" s="9">
        <v>30</v>
      </c>
      <c r="H103" s="9">
        <f t="shared" si="20"/>
        <v>2340000</v>
      </c>
      <c r="I103" s="9"/>
      <c r="J103" s="5"/>
      <c r="K103" s="5">
        <v>360000</v>
      </c>
      <c r="L103" s="5"/>
      <c r="M103" s="5"/>
      <c r="N103" s="5"/>
      <c r="O103" s="5">
        <f t="shared" si="12"/>
        <v>2700000</v>
      </c>
      <c r="P103" s="5">
        <f>+F103*4%</f>
        <v>108000</v>
      </c>
      <c r="Q103" s="5">
        <f>+F103*4%</f>
        <v>108000</v>
      </c>
      <c r="R103" s="5">
        <v>0</v>
      </c>
      <c r="S103" s="5"/>
      <c r="T103" s="5">
        <v>0</v>
      </c>
      <c r="U103" s="5"/>
      <c r="V103" s="5"/>
      <c r="W103" s="5"/>
      <c r="X103" s="5">
        <f t="shared" si="19"/>
        <v>216000</v>
      </c>
      <c r="Y103" s="26">
        <f t="shared" si="21"/>
        <v>2484000</v>
      </c>
      <c r="Z103" s="5">
        <v>16403</v>
      </c>
      <c r="AA103" s="5">
        <f t="shared" si="14"/>
        <v>2500403</v>
      </c>
    </row>
    <row r="104" spans="1:27" ht="24.95" customHeight="1" x14ac:dyDescent="0.25">
      <c r="A104" s="16"/>
      <c r="B104" s="8">
        <v>37</v>
      </c>
      <c r="C104" s="11" t="s">
        <v>135</v>
      </c>
      <c r="D104" s="7" t="s">
        <v>30</v>
      </c>
      <c r="E104" s="8" t="s">
        <v>31</v>
      </c>
      <c r="F104" s="5">
        <v>828116</v>
      </c>
      <c r="G104" s="9">
        <v>30</v>
      </c>
      <c r="H104" s="9">
        <f t="shared" si="20"/>
        <v>496870</v>
      </c>
      <c r="I104" s="9"/>
      <c r="J104" s="5">
        <v>97032</v>
      </c>
      <c r="K104" s="5">
        <v>331246</v>
      </c>
      <c r="L104" s="5"/>
      <c r="M104" s="5"/>
      <c r="N104" s="5"/>
      <c r="O104" s="5">
        <f t="shared" si="12"/>
        <v>925148</v>
      </c>
      <c r="P104" s="5">
        <f>+F104*0.04</f>
        <v>33124.639999999999</v>
      </c>
      <c r="Q104" s="5">
        <f>+F104*0.04</f>
        <v>33124.639999999999</v>
      </c>
      <c r="R104" s="5"/>
      <c r="S104" s="5"/>
      <c r="T104" s="5">
        <v>0</v>
      </c>
      <c r="U104" s="5"/>
      <c r="V104" s="5"/>
      <c r="W104" s="5"/>
      <c r="X104" s="5">
        <f t="shared" si="19"/>
        <v>66249.279999999999</v>
      </c>
      <c r="Y104" s="26">
        <f t="shared" si="21"/>
        <v>858898.72</v>
      </c>
      <c r="Z104" s="5">
        <v>113031</v>
      </c>
      <c r="AA104" s="5">
        <f t="shared" si="14"/>
        <v>971929.72</v>
      </c>
    </row>
    <row r="105" spans="1:27" ht="24.95" customHeight="1" x14ac:dyDescent="0.25">
      <c r="A105" s="16"/>
      <c r="B105" s="8">
        <v>38</v>
      </c>
      <c r="C105" s="7" t="s">
        <v>136</v>
      </c>
      <c r="D105" s="7" t="s">
        <v>30</v>
      </c>
      <c r="E105" s="8" t="s">
        <v>31</v>
      </c>
      <c r="F105" s="5">
        <v>1000000</v>
      </c>
      <c r="G105" s="9">
        <v>30</v>
      </c>
      <c r="H105" s="9">
        <f t="shared" si="20"/>
        <v>900000</v>
      </c>
      <c r="I105" s="9"/>
      <c r="J105" s="5">
        <v>97032</v>
      </c>
      <c r="K105" s="5">
        <v>100000</v>
      </c>
      <c r="L105" s="5"/>
      <c r="M105" s="5"/>
      <c r="N105" s="5"/>
      <c r="O105" s="5">
        <f t="shared" si="12"/>
        <v>1097032</v>
      </c>
      <c r="P105" s="5">
        <f>+F105*0.04</f>
        <v>40000</v>
      </c>
      <c r="Q105" s="5">
        <f>+F105*0.04</f>
        <v>40000</v>
      </c>
      <c r="R105" s="5"/>
      <c r="S105" s="5"/>
      <c r="T105" s="5">
        <v>0</v>
      </c>
      <c r="U105" s="5"/>
      <c r="V105" s="5"/>
      <c r="W105" s="5"/>
      <c r="X105" s="5">
        <f t="shared" si="19"/>
        <v>80000</v>
      </c>
      <c r="Y105" s="26">
        <f t="shared" si="21"/>
        <v>1017032</v>
      </c>
      <c r="Z105" s="5">
        <v>13793</v>
      </c>
      <c r="AA105" s="5">
        <f t="shared" si="14"/>
        <v>1030825</v>
      </c>
    </row>
    <row r="106" spans="1:27" ht="24.95" customHeight="1" x14ac:dyDescent="0.25">
      <c r="A106" s="16"/>
      <c r="B106" s="8">
        <v>39</v>
      </c>
      <c r="C106" s="7" t="s">
        <v>137</v>
      </c>
      <c r="D106" s="7" t="s">
        <v>30</v>
      </c>
      <c r="E106" s="8" t="s">
        <v>31</v>
      </c>
      <c r="F106" s="5">
        <v>828116</v>
      </c>
      <c r="G106" s="9">
        <v>30</v>
      </c>
      <c r="H106" s="9">
        <f>+F106/30*G106</f>
        <v>828116</v>
      </c>
      <c r="I106" s="9"/>
      <c r="J106" s="5">
        <v>97032</v>
      </c>
      <c r="K106" s="5"/>
      <c r="L106" s="5"/>
      <c r="M106" s="5"/>
      <c r="N106" s="5"/>
      <c r="O106" s="5">
        <f t="shared" si="12"/>
        <v>925148</v>
      </c>
      <c r="P106" s="5">
        <f>+F106*0.04</f>
        <v>33124.639999999999</v>
      </c>
      <c r="Q106" s="5">
        <f>+F106*0.04</f>
        <v>33124.639999999999</v>
      </c>
      <c r="R106" s="5"/>
      <c r="S106" s="5"/>
      <c r="T106" s="5">
        <v>0</v>
      </c>
      <c r="U106" s="5"/>
      <c r="V106" s="5"/>
      <c r="W106" s="5"/>
      <c r="X106" s="5">
        <f t="shared" si="19"/>
        <v>66249.279999999999</v>
      </c>
      <c r="Y106" s="26">
        <f t="shared" si="21"/>
        <v>858898.72</v>
      </c>
      <c r="Z106" s="5">
        <v>11129</v>
      </c>
      <c r="AA106" s="5">
        <f t="shared" si="14"/>
        <v>870027.72</v>
      </c>
    </row>
    <row r="107" spans="1:27" ht="24.95" customHeight="1" x14ac:dyDescent="0.25">
      <c r="A107" s="16"/>
      <c r="B107" s="8">
        <v>40</v>
      </c>
      <c r="C107" s="7" t="s">
        <v>138</v>
      </c>
      <c r="D107" s="7" t="s">
        <v>30</v>
      </c>
      <c r="E107" s="8" t="s">
        <v>31</v>
      </c>
      <c r="F107" s="5">
        <v>19532000</v>
      </c>
      <c r="G107" s="9">
        <v>2</v>
      </c>
      <c r="H107" s="9">
        <f>+F107/30*G107</f>
        <v>1302133.3333333333</v>
      </c>
      <c r="I107" s="9">
        <f>+((F107/30)*66.67%)*28</f>
        <v>12153852.106666667</v>
      </c>
      <c r="J107" s="5"/>
      <c r="K107" s="5"/>
      <c r="L107" s="5"/>
      <c r="M107" s="5"/>
      <c r="N107" s="5"/>
      <c r="O107" s="5">
        <f t="shared" si="12"/>
        <v>13455985.440000001</v>
      </c>
      <c r="P107" s="5">
        <v>781280</v>
      </c>
      <c r="Q107" s="5">
        <v>1171920</v>
      </c>
      <c r="R107" s="5">
        <v>112700</v>
      </c>
      <c r="S107" s="5"/>
      <c r="T107" s="5">
        <v>1859000</v>
      </c>
      <c r="U107" s="5">
        <v>1300000</v>
      </c>
      <c r="V107" s="5"/>
      <c r="W107" s="5">
        <v>2314715</v>
      </c>
      <c r="X107" s="5">
        <f t="shared" si="19"/>
        <v>7539615</v>
      </c>
      <c r="Y107" s="26">
        <f t="shared" si="21"/>
        <v>5916370.4400000013</v>
      </c>
      <c r="Z107" s="5">
        <v>2343840</v>
      </c>
      <c r="AA107" s="5">
        <f t="shared" si="14"/>
        <v>8260210.4400000013</v>
      </c>
    </row>
    <row r="108" spans="1:27" ht="24.95" customHeight="1" x14ac:dyDescent="0.25">
      <c r="A108" s="16"/>
      <c r="B108" s="8">
        <v>41</v>
      </c>
      <c r="C108" s="7" t="s">
        <v>139</v>
      </c>
      <c r="D108" s="7" t="s">
        <v>30</v>
      </c>
      <c r="E108" s="8" t="s">
        <v>31</v>
      </c>
      <c r="F108" s="5">
        <v>8000000</v>
      </c>
      <c r="G108" s="9">
        <v>30</v>
      </c>
      <c r="H108" s="9">
        <f>+F108-K108</f>
        <v>6026389</v>
      </c>
      <c r="I108" s="9"/>
      <c r="J108" s="5"/>
      <c r="K108" s="5">
        <v>1973611</v>
      </c>
      <c r="L108" s="5"/>
      <c r="M108" s="5"/>
      <c r="N108" s="5"/>
      <c r="O108" s="5">
        <f t="shared" si="12"/>
        <v>8000000</v>
      </c>
      <c r="P108" s="5">
        <f>+F108*0.04</f>
        <v>320000</v>
      </c>
      <c r="Q108" s="5">
        <f>+F108*0.05</f>
        <v>400000</v>
      </c>
      <c r="R108" s="5"/>
      <c r="S108" s="5"/>
      <c r="T108" s="5">
        <v>391000</v>
      </c>
      <c r="U108" s="5"/>
      <c r="V108" s="5"/>
      <c r="W108" s="5">
        <f>979498+371043</f>
        <v>1350541</v>
      </c>
      <c r="X108" s="5">
        <f t="shared" si="19"/>
        <v>2461541</v>
      </c>
      <c r="Y108" s="26">
        <f t="shared" si="21"/>
        <v>5538459</v>
      </c>
      <c r="Z108" s="5">
        <v>660000</v>
      </c>
      <c r="AA108" s="5">
        <f t="shared" si="14"/>
        <v>6198459</v>
      </c>
    </row>
    <row r="109" spans="1:27" ht="24.95" customHeight="1" x14ac:dyDescent="0.25">
      <c r="A109" s="16"/>
      <c r="B109" s="8">
        <v>42</v>
      </c>
      <c r="C109" s="7" t="s">
        <v>140</v>
      </c>
      <c r="D109" s="7"/>
      <c r="E109" s="8"/>
      <c r="F109" s="5">
        <v>828116</v>
      </c>
      <c r="G109" s="9">
        <v>30</v>
      </c>
      <c r="H109" s="9">
        <f>+F109/30*G109</f>
        <v>828116</v>
      </c>
      <c r="I109" s="9"/>
      <c r="J109" s="5"/>
      <c r="K109" s="5"/>
      <c r="L109" s="5"/>
      <c r="M109" s="5"/>
      <c r="N109" s="5"/>
      <c r="O109" s="5">
        <f t="shared" si="12"/>
        <v>828116</v>
      </c>
      <c r="P109" s="5"/>
      <c r="Q109" s="5"/>
      <c r="R109" s="5"/>
      <c r="S109" s="5"/>
      <c r="T109" s="5"/>
      <c r="U109" s="5"/>
      <c r="V109" s="5"/>
      <c r="W109" s="5"/>
      <c r="X109" s="5">
        <f t="shared" si="19"/>
        <v>0</v>
      </c>
      <c r="Y109" s="26">
        <f t="shared" si="21"/>
        <v>828116</v>
      </c>
      <c r="Z109" s="5">
        <v>0</v>
      </c>
      <c r="AA109" s="5">
        <f t="shared" si="14"/>
        <v>828116</v>
      </c>
    </row>
    <row r="110" spans="1:27" ht="24.95" customHeight="1" x14ac:dyDescent="0.25">
      <c r="A110" s="16"/>
      <c r="B110" s="8">
        <v>43</v>
      </c>
      <c r="C110" s="11" t="s">
        <v>141</v>
      </c>
      <c r="D110" s="7" t="s">
        <v>30</v>
      </c>
      <c r="E110" s="8" t="s">
        <v>31</v>
      </c>
      <c r="F110" s="5">
        <v>4000000</v>
      </c>
      <c r="G110" s="9">
        <v>30</v>
      </c>
      <c r="H110" s="9">
        <f>+F110/30*G110</f>
        <v>4000000.0000000005</v>
      </c>
      <c r="I110" s="9"/>
      <c r="J110" s="5"/>
      <c r="K110" s="5"/>
      <c r="L110" s="5"/>
      <c r="M110" s="5"/>
      <c r="N110" s="5"/>
      <c r="O110" s="5">
        <f t="shared" si="12"/>
        <v>4000000.0000000005</v>
      </c>
      <c r="P110" s="5">
        <f>+O110*0.04</f>
        <v>160000.00000000003</v>
      </c>
      <c r="Q110" s="5">
        <v>200000</v>
      </c>
      <c r="R110" s="5"/>
      <c r="S110" s="5"/>
      <c r="T110" s="5">
        <v>0</v>
      </c>
      <c r="U110" s="5"/>
      <c r="V110" s="5"/>
      <c r="W110" s="5"/>
      <c r="X110" s="5">
        <f t="shared" si="19"/>
        <v>360000</v>
      </c>
      <c r="Y110" s="26">
        <f t="shared" si="21"/>
        <v>3640000.0000000005</v>
      </c>
      <c r="Z110" s="5">
        <v>547501</v>
      </c>
      <c r="AA110" s="5">
        <f t="shared" si="14"/>
        <v>4187501.0000000005</v>
      </c>
    </row>
    <row r="111" spans="1:27" ht="24.95" customHeight="1" x14ac:dyDescent="0.25">
      <c r="A111" s="16"/>
      <c r="B111" s="8">
        <v>44</v>
      </c>
      <c r="C111" s="11" t="s">
        <v>142</v>
      </c>
      <c r="D111" s="7" t="s">
        <v>30</v>
      </c>
      <c r="E111" s="8" t="s">
        <v>31</v>
      </c>
      <c r="F111" s="5">
        <v>8000000</v>
      </c>
      <c r="G111" s="9">
        <v>30</v>
      </c>
      <c r="H111" s="9">
        <f>+F111-K111</f>
        <v>5600000</v>
      </c>
      <c r="I111" s="9"/>
      <c r="J111" s="5"/>
      <c r="K111" s="5">
        <f>1600000+800000</f>
        <v>2400000</v>
      </c>
      <c r="L111" s="5"/>
      <c r="M111" s="5"/>
      <c r="N111" s="5"/>
      <c r="O111" s="5">
        <f t="shared" si="12"/>
        <v>8000000</v>
      </c>
      <c r="P111" s="5">
        <f>+O111*0.04</f>
        <v>320000</v>
      </c>
      <c r="Q111" s="5">
        <f>+F111*5%</f>
        <v>400000</v>
      </c>
      <c r="R111" s="5"/>
      <c r="S111" s="5"/>
      <c r="T111" s="5">
        <v>282000</v>
      </c>
      <c r="U111" s="5"/>
      <c r="V111" s="5"/>
      <c r="W111" s="5"/>
      <c r="X111" s="5">
        <f t="shared" si="19"/>
        <v>1002000</v>
      </c>
      <c r="Y111" s="26">
        <f t="shared" si="21"/>
        <v>6998000</v>
      </c>
      <c r="Z111" s="5">
        <v>51030</v>
      </c>
      <c r="AA111" s="5">
        <f t="shared" si="14"/>
        <v>7049030</v>
      </c>
    </row>
    <row r="112" spans="1:27" ht="24.95" customHeight="1" x14ac:dyDescent="0.25">
      <c r="A112" s="16"/>
      <c r="B112" s="8">
        <v>45</v>
      </c>
      <c r="C112" s="7" t="s">
        <v>143</v>
      </c>
      <c r="D112" s="7" t="s">
        <v>30</v>
      </c>
      <c r="E112" s="8" t="s">
        <v>31</v>
      </c>
      <c r="F112" s="5">
        <v>3850220</v>
      </c>
      <c r="G112" s="9">
        <v>30</v>
      </c>
      <c r="H112" s="9">
        <f>+F112/30*G112</f>
        <v>3850220</v>
      </c>
      <c r="I112" s="9"/>
      <c r="J112" s="5"/>
      <c r="K112" s="5"/>
      <c r="L112" s="5"/>
      <c r="M112" s="5">
        <f>+(676390/30)*G112</f>
        <v>676390</v>
      </c>
      <c r="N112" s="5"/>
      <c r="O112" s="5">
        <f t="shared" si="12"/>
        <v>4526610</v>
      </c>
      <c r="P112" s="5">
        <f>+H112*4%</f>
        <v>154008.80000000002</v>
      </c>
      <c r="Q112" s="5">
        <f>+H112*5%</f>
        <v>192511</v>
      </c>
      <c r="R112" s="5"/>
      <c r="S112" s="5"/>
      <c r="T112" s="5">
        <v>0</v>
      </c>
      <c r="U112" s="5"/>
      <c r="V112" s="5"/>
      <c r="W112" s="5"/>
      <c r="X112" s="5">
        <f t="shared" si="19"/>
        <v>346519.80000000005</v>
      </c>
      <c r="Y112" s="26">
        <f t="shared" si="21"/>
        <v>4180090.2</v>
      </c>
      <c r="Z112" s="5">
        <v>462026</v>
      </c>
      <c r="AA112" s="5">
        <f t="shared" si="14"/>
        <v>4642116.2</v>
      </c>
    </row>
    <row r="113" spans="1:27" ht="24.95" customHeight="1" x14ac:dyDescent="0.25">
      <c r="A113" s="16"/>
      <c r="B113" s="8">
        <v>46</v>
      </c>
      <c r="C113" s="7" t="s">
        <v>144</v>
      </c>
      <c r="D113" s="7" t="s">
        <v>30</v>
      </c>
      <c r="E113" s="8" t="s">
        <v>31</v>
      </c>
      <c r="F113" s="5">
        <v>5500000</v>
      </c>
      <c r="G113" s="9">
        <v>30</v>
      </c>
      <c r="H113" s="9">
        <f>+F113-K113</f>
        <v>4400000</v>
      </c>
      <c r="I113" s="9"/>
      <c r="J113" s="5"/>
      <c r="K113" s="5">
        <v>1100000</v>
      </c>
      <c r="L113" s="5"/>
      <c r="M113" s="5"/>
      <c r="N113" s="5"/>
      <c r="O113" s="5">
        <f t="shared" si="12"/>
        <v>5500000</v>
      </c>
      <c r="P113" s="5">
        <f>+F113*4%</f>
        <v>220000</v>
      </c>
      <c r="Q113" s="5">
        <f>+F113*5%</f>
        <v>275000</v>
      </c>
      <c r="R113" s="5"/>
      <c r="S113" s="5"/>
      <c r="T113" s="5">
        <v>95000</v>
      </c>
      <c r="U113" s="5"/>
      <c r="V113" s="5"/>
      <c r="W113" s="5"/>
      <c r="X113" s="5">
        <f t="shared" si="19"/>
        <v>590000</v>
      </c>
      <c r="Y113" s="26">
        <f t="shared" si="21"/>
        <v>4910000</v>
      </c>
      <c r="Z113" s="5">
        <v>560000</v>
      </c>
      <c r="AA113" s="5">
        <f t="shared" si="14"/>
        <v>5470000</v>
      </c>
    </row>
    <row r="114" spans="1:27" ht="24.95" customHeight="1" x14ac:dyDescent="0.25">
      <c r="A114" s="16"/>
      <c r="B114" s="8">
        <v>47</v>
      </c>
      <c r="C114" s="7" t="s">
        <v>145</v>
      </c>
      <c r="D114" s="7" t="s">
        <v>30</v>
      </c>
      <c r="E114" s="8" t="s">
        <v>31</v>
      </c>
      <c r="F114" s="5">
        <v>912000</v>
      </c>
      <c r="G114" s="9">
        <v>30</v>
      </c>
      <c r="H114" s="9">
        <f>+F114/30*G114</f>
        <v>912000</v>
      </c>
      <c r="I114" s="9"/>
      <c r="J114" s="5">
        <v>0</v>
      </c>
      <c r="K114" s="5"/>
      <c r="L114" s="5"/>
      <c r="M114" s="5"/>
      <c r="N114" s="5"/>
      <c r="O114" s="5">
        <f t="shared" si="12"/>
        <v>912000</v>
      </c>
      <c r="P114" s="5">
        <v>0</v>
      </c>
      <c r="Q114" s="5">
        <v>0</v>
      </c>
      <c r="R114" s="5"/>
      <c r="S114" s="5"/>
      <c r="T114" s="5">
        <v>0</v>
      </c>
      <c r="U114" s="5"/>
      <c r="V114" s="5"/>
      <c r="W114" s="5"/>
      <c r="X114" s="5">
        <f t="shared" si="19"/>
        <v>0</v>
      </c>
      <c r="Y114" s="26">
        <f t="shared" si="21"/>
        <v>912000</v>
      </c>
      <c r="Z114" s="5">
        <v>5071</v>
      </c>
      <c r="AA114" s="5">
        <f t="shared" si="14"/>
        <v>917071</v>
      </c>
    </row>
    <row r="115" spans="1:27" ht="24.95" customHeight="1" x14ac:dyDescent="0.25">
      <c r="A115" s="16"/>
      <c r="B115" s="8">
        <v>48</v>
      </c>
      <c r="C115" s="11" t="s">
        <v>146</v>
      </c>
      <c r="D115" s="7" t="s">
        <v>30</v>
      </c>
      <c r="E115" s="8" t="s">
        <v>31</v>
      </c>
      <c r="F115" s="5">
        <v>1500000</v>
      </c>
      <c r="G115" s="9">
        <v>30</v>
      </c>
      <c r="H115" s="9">
        <f>+F115-K115</f>
        <v>1150000</v>
      </c>
      <c r="I115" s="9"/>
      <c r="J115" s="5">
        <v>97032</v>
      </c>
      <c r="K115" s="5">
        <v>350000</v>
      </c>
      <c r="L115" s="5"/>
      <c r="M115" s="5"/>
      <c r="N115" s="5"/>
      <c r="O115" s="5">
        <f t="shared" si="12"/>
        <v>1597032</v>
      </c>
      <c r="P115" s="5">
        <f>+F115*4%</f>
        <v>60000</v>
      </c>
      <c r="Q115" s="5">
        <f>+F115*0.04</f>
        <v>60000</v>
      </c>
      <c r="R115" s="5"/>
      <c r="S115" s="5"/>
      <c r="T115" s="5">
        <v>0</v>
      </c>
      <c r="U115" s="5"/>
      <c r="V115" s="5">
        <v>0</v>
      </c>
      <c r="W115" s="5">
        <v>621561</v>
      </c>
      <c r="X115" s="5">
        <f t="shared" si="19"/>
        <v>741561</v>
      </c>
      <c r="Y115" s="26">
        <f t="shared" si="21"/>
        <v>855471</v>
      </c>
      <c r="Z115" s="5">
        <v>145917</v>
      </c>
      <c r="AA115" s="5">
        <f t="shared" si="14"/>
        <v>1001388</v>
      </c>
    </row>
    <row r="116" spans="1:27" ht="24.95" customHeight="1" x14ac:dyDescent="0.25">
      <c r="A116" s="16"/>
      <c r="B116" s="8">
        <v>49</v>
      </c>
      <c r="C116" s="7" t="s">
        <v>147</v>
      </c>
      <c r="D116" s="7" t="s">
        <v>30</v>
      </c>
      <c r="E116" s="8" t="s">
        <v>31</v>
      </c>
      <c r="F116" s="5">
        <v>4000000</v>
      </c>
      <c r="G116" s="9">
        <v>30</v>
      </c>
      <c r="H116" s="9">
        <f>+F116-K116</f>
        <v>2400000</v>
      </c>
      <c r="I116" s="9"/>
      <c r="J116" s="5"/>
      <c r="K116" s="5">
        <v>1600000</v>
      </c>
      <c r="L116" s="5"/>
      <c r="M116" s="5"/>
      <c r="N116" s="5"/>
      <c r="O116" s="5">
        <f t="shared" si="12"/>
        <v>4000000</v>
      </c>
      <c r="P116" s="5">
        <f>+F116*0.04</f>
        <v>160000</v>
      </c>
      <c r="Q116" s="5">
        <f>+F116*0.05</f>
        <v>200000</v>
      </c>
      <c r="R116" s="5"/>
      <c r="S116" s="5">
        <v>95000</v>
      </c>
      <c r="T116" s="5">
        <v>0</v>
      </c>
      <c r="U116" s="5"/>
      <c r="V116" s="5"/>
      <c r="W116" s="5"/>
      <c r="X116" s="5">
        <f t="shared" si="19"/>
        <v>455000</v>
      </c>
      <c r="Y116" s="26">
        <f t="shared" si="21"/>
        <v>3545000</v>
      </c>
      <c r="Z116" s="5">
        <v>480000</v>
      </c>
      <c r="AA116" s="5">
        <f t="shared" si="14"/>
        <v>4025000</v>
      </c>
    </row>
    <row r="117" spans="1:27" ht="24.95" customHeight="1" x14ac:dyDescent="0.25">
      <c r="A117" s="16"/>
      <c r="B117" s="8">
        <v>50</v>
      </c>
      <c r="C117" s="7" t="s">
        <v>148</v>
      </c>
      <c r="D117" s="7" t="s">
        <v>30</v>
      </c>
      <c r="E117" s="8" t="s">
        <v>31</v>
      </c>
      <c r="F117" s="5">
        <v>4500000</v>
      </c>
      <c r="G117" s="9">
        <v>30</v>
      </c>
      <c r="H117" s="9">
        <f>+F117-K117</f>
        <v>4050000</v>
      </c>
      <c r="I117" s="9"/>
      <c r="J117" s="5"/>
      <c r="K117" s="5">
        <v>450000</v>
      </c>
      <c r="L117" s="5"/>
      <c r="M117" s="5"/>
      <c r="N117" s="5"/>
      <c r="O117" s="5">
        <f t="shared" si="12"/>
        <v>4500000</v>
      </c>
      <c r="P117" s="5">
        <f>+F117*4%</f>
        <v>180000</v>
      </c>
      <c r="Q117" s="5">
        <f>+F117*5%</f>
        <v>225000</v>
      </c>
      <c r="R117" s="5"/>
      <c r="S117" s="5"/>
      <c r="T117" s="5"/>
      <c r="U117" s="5"/>
      <c r="V117" s="5"/>
      <c r="W117" s="5"/>
      <c r="X117" s="5">
        <f t="shared" si="19"/>
        <v>405000</v>
      </c>
      <c r="Y117" s="26">
        <f>+O117-X117</f>
        <v>4095000</v>
      </c>
      <c r="Z117" s="5">
        <v>329004</v>
      </c>
      <c r="AA117" s="5">
        <f t="shared" si="14"/>
        <v>4424004</v>
      </c>
    </row>
    <row r="118" spans="1:27" ht="17.25" customHeight="1" x14ac:dyDescent="0.25">
      <c r="A118" s="16"/>
      <c r="B118" s="8">
        <v>51</v>
      </c>
      <c r="C118" s="7" t="s">
        <v>149</v>
      </c>
      <c r="D118" s="7" t="s">
        <v>30</v>
      </c>
      <c r="E118" s="8" t="s">
        <v>31</v>
      </c>
      <c r="F118" s="5">
        <v>6500000</v>
      </c>
      <c r="G118" s="9">
        <v>30</v>
      </c>
      <c r="H118" s="9">
        <f>+F118-K118</f>
        <v>5850000</v>
      </c>
      <c r="I118" s="9"/>
      <c r="J118" s="5"/>
      <c r="K118" s="5">
        <v>650000</v>
      </c>
      <c r="L118" s="5"/>
      <c r="M118" s="5"/>
      <c r="N118" s="5"/>
      <c r="O118" s="5">
        <f t="shared" si="12"/>
        <v>6500000</v>
      </c>
      <c r="P118" s="5">
        <f>+F118*0.04</f>
        <v>260000</v>
      </c>
      <c r="Q118" s="5">
        <f>+F118*0.05</f>
        <v>325000</v>
      </c>
      <c r="R118" s="5"/>
      <c r="S118" s="5"/>
      <c r="T118" s="5">
        <v>225000</v>
      </c>
      <c r="U118" s="5"/>
      <c r="V118" s="5"/>
      <c r="W118" s="5"/>
      <c r="X118" s="5">
        <f t="shared" si="19"/>
        <v>810000</v>
      </c>
      <c r="Y118" s="26">
        <f>O118-X118</f>
        <v>5690000</v>
      </c>
      <c r="Z118" s="5">
        <v>82388</v>
      </c>
      <c r="AA118" s="5">
        <f t="shared" si="14"/>
        <v>5772388</v>
      </c>
    </row>
    <row r="119" spans="1:27" x14ac:dyDescent="0.25">
      <c r="A119" s="27"/>
      <c r="B119" s="8">
        <v>52</v>
      </c>
      <c r="C119" s="7" t="s">
        <v>150</v>
      </c>
      <c r="D119" s="7" t="s">
        <v>30</v>
      </c>
      <c r="E119" s="8" t="s">
        <v>31</v>
      </c>
      <c r="F119" s="5">
        <v>1800000</v>
      </c>
      <c r="G119" s="9">
        <v>30</v>
      </c>
      <c r="H119" s="9">
        <f>+F119-K119</f>
        <v>1440000</v>
      </c>
      <c r="I119" s="9"/>
      <c r="J119" s="5"/>
      <c r="K119" s="5">
        <v>360000</v>
      </c>
      <c r="L119" s="5"/>
      <c r="M119" s="5"/>
      <c r="N119" s="5"/>
      <c r="O119" s="5">
        <f t="shared" si="12"/>
        <v>1800000</v>
      </c>
      <c r="P119" s="5">
        <f>+F119*4%</f>
        <v>72000</v>
      </c>
      <c r="Q119" s="5">
        <f>+F119*4%</f>
        <v>72000</v>
      </c>
      <c r="R119" s="5"/>
      <c r="S119" s="5"/>
      <c r="T119" s="5">
        <v>0</v>
      </c>
      <c r="U119" s="5"/>
      <c r="V119" s="5"/>
      <c r="W119" s="5">
        <v>261848</v>
      </c>
      <c r="X119" s="5">
        <f t="shared" si="19"/>
        <v>405848</v>
      </c>
      <c r="Y119" s="26">
        <f>O119-X119</f>
        <v>1394152</v>
      </c>
      <c r="Z119" s="5">
        <v>216000</v>
      </c>
      <c r="AA119" s="5">
        <f t="shared" si="14"/>
        <v>1610152</v>
      </c>
    </row>
    <row r="120" spans="1:27" ht="12.75" thickBot="1" x14ac:dyDescent="0.3">
      <c r="A120" s="21"/>
      <c r="B120" s="28"/>
      <c r="C120" s="28"/>
      <c r="D120" s="29"/>
      <c r="E120" s="29"/>
      <c r="F120" s="30">
        <f>SUM(F4:F119)</f>
        <v>517439380</v>
      </c>
      <c r="G120" s="30"/>
      <c r="H120" s="30">
        <f>SUM(H4:H119)</f>
        <v>435369060.13333333</v>
      </c>
      <c r="I120" s="30">
        <f>SUM(I4:I119)</f>
        <v>14108103.040000001</v>
      </c>
      <c r="J120" s="30">
        <f t="shared" ref="J120:X120" si="22">SUM(J4:J119)</f>
        <v>1521448</v>
      </c>
      <c r="K120" s="30">
        <f t="shared" si="22"/>
        <v>56176958</v>
      </c>
      <c r="L120" s="30">
        <f t="shared" si="22"/>
        <v>0</v>
      </c>
      <c r="M120" s="30">
        <f t="shared" si="22"/>
        <v>10286405</v>
      </c>
      <c r="N120" s="30">
        <f t="shared" si="22"/>
        <v>12879640</v>
      </c>
      <c r="O120" s="30">
        <f t="shared" si="22"/>
        <v>530341614.17333335</v>
      </c>
      <c r="P120" s="30">
        <f t="shared" si="22"/>
        <v>20716530.066666674</v>
      </c>
      <c r="Q120" s="30">
        <f t="shared" si="22"/>
        <v>25530022.449999999</v>
      </c>
      <c r="R120" s="30">
        <f t="shared" si="22"/>
        <v>112700</v>
      </c>
      <c r="S120" s="30">
        <f t="shared" si="22"/>
        <v>1359642</v>
      </c>
      <c r="T120" s="30">
        <f t="shared" si="22"/>
        <v>9044248</v>
      </c>
      <c r="U120" s="30">
        <f t="shared" si="22"/>
        <v>9845000</v>
      </c>
      <c r="V120" s="30">
        <f t="shared" si="22"/>
        <v>299249</v>
      </c>
      <c r="W120" s="30">
        <f t="shared" si="22"/>
        <v>17184948</v>
      </c>
      <c r="X120" s="30">
        <f t="shared" si="22"/>
        <v>84092339.516666666</v>
      </c>
      <c r="Y120" s="30">
        <f>SUM(Y4:Y119)</f>
        <v>446249274.65666682</v>
      </c>
      <c r="Z120" s="30"/>
      <c r="AA120" s="30">
        <f>SUM(AA4:AA119)</f>
        <v>491271292.65666687</v>
      </c>
    </row>
    <row r="121" spans="1:27" x14ac:dyDescent="0.25">
      <c r="Y121" s="32"/>
    </row>
    <row r="122" spans="1:27" x14ac:dyDescent="0.25">
      <c r="E122" s="33"/>
    </row>
    <row r="123" spans="1:27" x14ac:dyDescent="0.25">
      <c r="E123" s="33"/>
      <c r="AA123" s="31"/>
    </row>
    <row r="124" spans="1:27" x14ac:dyDescent="0.25"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S124" s="34"/>
      <c r="T124" s="34"/>
      <c r="U124" s="34"/>
      <c r="V124" s="34"/>
      <c r="W124" s="34"/>
      <c r="X124" s="34"/>
      <c r="Y124" s="34"/>
    </row>
    <row r="128" spans="1:27" x14ac:dyDescent="0.25">
      <c r="C128" s="35"/>
      <c r="D128" s="35"/>
      <c r="E128" s="35"/>
      <c r="F128" s="35"/>
      <c r="G128" s="35"/>
      <c r="H128" s="36"/>
      <c r="I128" s="36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</row>
    <row r="129" spans="2:25" x14ac:dyDescent="0.25">
      <c r="B129" s="37"/>
      <c r="C129" s="38"/>
      <c r="D129" s="39"/>
      <c r="E129" s="39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39"/>
    </row>
    <row r="130" spans="2:25" x14ac:dyDescent="0.25">
      <c r="C130" s="41"/>
      <c r="H130" s="42"/>
      <c r="I130" s="42"/>
      <c r="R130" s="43"/>
      <c r="S130" s="43"/>
      <c r="T130" s="43"/>
      <c r="U130" s="43"/>
      <c r="V130" s="43"/>
    </row>
    <row r="131" spans="2:25" x14ac:dyDescent="0.25">
      <c r="C131" s="44"/>
      <c r="D131" s="39"/>
      <c r="E131" s="39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39"/>
    </row>
    <row r="132" spans="2:25" x14ac:dyDescent="0.25">
      <c r="B132" s="39"/>
      <c r="C132" s="44"/>
      <c r="D132" s="39"/>
      <c r="E132" s="39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39"/>
    </row>
    <row r="133" spans="2:25" x14ac:dyDescent="0.25">
      <c r="C133" s="44"/>
      <c r="D133" s="39"/>
      <c r="E133" s="39"/>
      <c r="Y133" s="32"/>
    </row>
    <row r="134" spans="2:25" x14ac:dyDescent="0.25">
      <c r="C134" s="44"/>
      <c r="D134" s="39"/>
      <c r="E134" s="39"/>
      <c r="Y134" s="32"/>
    </row>
    <row r="135" spans="2:25" x14ac:dyDescent="0.25">
      <c r="C135" s="44"/>
      <c r="D135" s="39"/>
      <c r="E135" s="39"/>
      <c r="Y135" s="32"/>
    </row>
    <row r="136" spans="2:25" x14ac:dyDescent="0.25">
      <c r="C136" s="44"/>
      <c r="D136" s="39"/>
      <c r="E136" s="39"/>
      <c r="Y136" s="32"/>
    </row>
    <row r="137" spans="2:25" x14ac:dyDescent="0.25">
      <c r="C137" s="44"/>
      <c r="D137" s="39"/>
      <c r="E137" s="39"/>
      <c r="Y137" s="32"/>
    </row>
    <row r="138" spans="2:25" x14ac:dyDescent="0.25">
      <c r="C138" s="44"/>
      <c r="D138" s="39"/>
      <c r="E138" s="39"/>
      <c r="Y138" s="32"/>
    </row>
    <row r="139" spans="2:25" x14ac:dyDescent="0.25">
      <c r="Y139" s="32"/>
    </row>
    <row r="140" spans="2:25" x14ac:dyDescent="0.25">
      <c r="C140" s="44"/>
      <c r="Y140" s="32"/>
    </row>
    <row r="141" spans="2:25" x14ac:dyDescent="0.25">
      <c r="C141" s="44"/>
      <c r="Y141" s="32"/>
    </row>
    <row r="142" spans="2:25" x14ac:dyDescent="0.25">
      <c r="C142" s="44"/>
      <c r="Y142" s="32"/>
    </row>
    <row r="143" spans="2:25" x14ac:dyDescent="0.25">
      <c r="C143" s="44"/>
      <c r="Y143" s="32"/>
    </row>
    <row r="144" spans="2:25" x14ac:dyDescent="0.25">
      <c r="C144" s="44"/>
      <c r="O144" s="31">
        <f>737717*4</f>
        <v>2950868</v>
      </c>
      <c r="P144" s="31">
        <f>737717*2</f>
        <v>1475434</v>
      </c>
      <c r="Y144" s="32"/>
    </row>
    <row r="145" spans="2:25" x14ac:dyDescent="0.25">
      <c r="C145" s="44"/>
      <c r="Y145" s="32"/>
    </row>
    <row r="146" spans="2:25" x14ac:dyDescent="0.25">
      <c r="C146" s="44"/>
      <c r="Y146" s="32"/>
    </row>
    <row r="147" spans="2:25" x14ac:dyDescent="0.25">
      <c r="C147" s="44"/>
      <c r="Y147" s="32"/>
    </row>
    <row r="148" spans="2:25" x14ac:dyDescent="0.25">
      <c r="C148" s="44"/>
      <c r="Y148" s="32"/>
    </row>
    <row r="149" spans="2:25" x14ac:dyDescent="0.25">
      <c r="C149" s="44"/>
      <c r="Y149" s="32"/>
    </row>
    <row r="150" spans="2:25" x14ac:dyDescent="0.25">
      <c r="C150" s="44"/>
      <c r="Y150" s="32"/>
    </row>
    <row r="152" spans="2:25" x14ac:dyDescent="0.25"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15"/>
    </row>
    <row r="153" spans="2:25" x14ac:dyDescent="0.25"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</row>
    <row r="154" spans="2:25" x14ac:dyDescent="0.25"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39"/>
    </row>
    <row r="155" spans="2:25" x14ac:dyDescent="0.25">
      <c r="C155" s="44"/>
      <c r="D155" s="39"/>
      <c r="E155" s="39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39"/>
    </row>
    <row r="156" spans="2:25" x14ac:dyDescent="0.25">
      <c r="B156" s="47"/>
      <c r="C156" s="44"/>
      <c r="D156" s="39"/>
      <c r="E156" s="39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39"/>
    </row>
    <row r="157" spans="2:25" x14ac:dyDescent="0.25">
      <c r="C157" s="44"/>
      <c r="D157" s="39"/>
      <c r="E157" s="39"/>
      <c r="Y157" s="32"/>
    </row>
    <row r="158" spans="2:25" x14ac:dyDescent="0.25">
      <c r="C158" s="44"/>
      <c r="D158" s="39"/>
      <c r="E158" s="39"/>
      <c r="Y158" s="32"/>
    </row>
    <row r="159" spans="2:25" x14ac:dyDescent="0.25">
      <c r="C159" s="44"/>
      <c r="D159" s="39"/>
      <c r="E159" s="39"/>
      <c r="Y159" s="32"/>
    </row>
    <row r="160" spans="2:25" x14ac:dyDescent="0.25">
      <c r="Y160" s="32"/>
    </row>
    <row r="161" spans="3:25" x14ac:dyDescent="0.25">
      <c r="C161" s="44"/>
      <c r="Y161" s="32"/>
    </row>
    <row r="163" spans="3:25" x14ac:dyDescent="0.25">
      <c r="Y163" s="32"/>
    </row>
    <row r="166" spans="3:25" x14ac:dyDescent="0.25">
      <c r="Y166" s="48"/>
    </row>
    <row r="175" spans="3:25" x14ac:dyDescent="0.25">
      <c r="P175" s="31">
        <v>3003000</v>
      </c>
    </row>
    <row r="176" spans="3:25" x14ac:dyDescent="0.25">
      <c r="C176" s="44"/>
    </row>
    <row r="177" spans="3:24" x14ac:dyDescent="0.25">
      <c r="C177" s="44"/>
    </row>
    <row r="178" spans="3:24" x14ac:dyDescent="0.25">
      <c r="C178" s="44"/>
    </row>
    <row r="179" spans="3:24" x14ac:dyDescent="0.25">
      <c r="C179" s="44"/>
    </row>
    <row r="180" spans="3:24" x14ac:dyDescent="0.25">
      <c r="C180" s="6">
        <v>42614840</v>
      </c>
      <c r="X180" s="31">
        <v>412608</v>
      </c>
    </row>
    <row r="181" spans="3:24" x14ac:dyDescent="0.25">
      <c r="C181" s="6">
        <v>9675182</v>
      </c>
      <c r="X181" s="31">
        <v>1880000</v>
      </c>
    </row>
    <row r="182" spans="3:24" x14ac:dyDescent="0.25">
      <c r="C182" s="6">
        <v>17903600</v>
      </c>
    </row>
    <row r="183" spans="3:24" x14ac:dyDescent="0.25">
      <c r="C183" s="6">
        <f>SUM(C180:C182)</f>
        <v>70193622</v>
      </c>
    </row>
    <row r="184" spans="3:24" x14ac:dyDescent="0.25">
      <c r="C184" s="6">
        <v>400000</v>
      </c>
    </row>
    <row r="185" spans="3:24" x14ac:dyDescent="0.25">
      <c r="C185" s="6">
        <f>+C183+C184</f>
        <v>70593622</v>
      </c>
    </row>
    <row r="189" spans="3:24" x14ac:dyDescent="0.25">
      <c r="C189" s="6">
        <v>11000000</v>
      </c>
    </row>
    <row r="190" spans="3:24" x14ac:dyDescent="0.25">
      <c r="C190" s="6">
        <f>+C188+C189</f>
        <v>11000000</v>
      </c>
    </row>
    <row r="195" spans="3:3" x14ac:dyDescent="0.25">
      <c r="C195" s="6">
        <v>3185000</v>
      </c>
    </row>
    <row r="196" spans="3:3" x14ac:dyDescent="0.25">
      <c r="C196" s="6">
        <v>1080000</v>
      </c>
    </row>
    <row r="197" spans="3:3" x14ac:dyDescent="0.25">
      <c r="C197" s="6">
        <v>4850100</v>
      </c>
    </row>
    <row r="198" spans="3:3" x14ac:dyDescent="0.25">
      <c r="C198" s="6">
        <v>5027500</v>
      </c>
    </row>
    <row r="199" spans="3:3" x14ac:dyDescent="0.25">
      <c r="C199" s="6">
        <v>4566000</v>
      </c>
    </row>
    <row r="200" spans="3:3" x14ac:dyDescent="0.25">
      <c r="C200" s="6">
        <v>1050000</v>
      </c>
    </row>
    <row r="201" spans="3:3" x14ac:dyDescent="0.25">
      <c r="C201" s="6">
        <v>3877333</v>
      </c>
    </row>
    <row r="202" spans="3:3" x14ac:dyDescent="0.25">
      <c r="C202" s="6">
        <v>6732440</v>
      </c>
    </row>
    <row r="203" spans="3:3" x14ac:dyDescent="0.25">
      <c r="C203" s="6">
        <v>3460000</v>
      </c>
    </row>
    <row r="204" spans="3:3" x14ac:dyDescent="0.25">
      <c r="C204" s="6">
        <v>588800</v>
      </c>
    </row>
    <row r="205" spans="3:3" x14ac:dyDescent="0.25">
      <c r="C205" s="6">
        <v>1868000</v>
      </c>
    </row>
    <row r="206" spans="3:3" x14ac:dyDescent="0.25">
      <c r="C206" s="6">
        <v>10313000</v>
      </c>
    </row>
    <row r="207" spans="3:3" x14ac:dyDescent="0.25">
      <c r="C207" s="6">
        <v>3443800</v>
      </c>
    </row>
    <row r="208" spans="3:3" x14ac:dyDescent="0.25">
      <c r="C208" s="6">
        <v>8136400</v>
      </c>
    </row>
    <row r="209" spans="3:3" x14ac:dyDescent="0.25">
      <c r="C209" s="6">
        <v>9675183</v>
      </c>
    </row>
    <row r="210" spans="3:3" x14ac:dyDescent="0.25">
      <c r="C210" s="6">
        <f>SUM(C194:C209)</f>
        <v>67853556</v>
      </c>
    </row>
  </sheetData>
  <mergeCells count="8">
    <mergeCell ref="F152:U152"/>
    <mergeCell ref="D153:Y153"/>
    <mergeCell ref="A1:AA1"/>
    <mergeCell ref="A2:O2"/>
    <mergeCell ref="P2:X2"/>
    <mergeCell ref="A4:A67"/>
    <mergeCell ref="A68:A118"/>
    <mergeCell ref="B120:C120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F8EE3-31D4-434B-8960-DB133DE52721}">
  <dimension ref="A1"/>
  <sheetViews>
    <sheetView workbookViewId="0">
      <selection activeCell="F22" sqref="F22:G22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ENERO </vt:lpstr>
      <vt:lpstr>FEBRERO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2019-05-27T14:57:25Z</dcterms:modified>
</cp:coreProperties>
</file>