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39D20864-674E-4336-A66F-072E0427726D}" xr6:coauthVersionLast="43" xr6:coauthVersionMax="43" xr10:uidLastSave="{00000000-0000-0000-0000-000000000000}"/>
  <bookViews>
    <workbookView xWindow="-120" yWindow="-120" windowWidth="24240" windowHeight="13140" activeTab="7" xr2:uid="{00000000-000D-0000-FFFF-FFFF00000000}"/>
  </bookViews>
  <sheets>
    <sheet name="ENERO" sheetId="1" r:id="rId1"/>
    <sheet name="FEBRERO" sheetId="2" r:id="rId2"/>
    <sheet name="MARZO" sheetId="3" r:id="rId3"/>
    <sheet name="ABRIL " sheetId="4" r:id="rId4"/>
    <sheet name="MAYO" sheetId="5" r:id="rId5"/>
    <sheet name="JUNIO" sheetId="6" r:id="rId6"/>
    <sheet name="JULIO " sheetId="7" r:id="rId7"/>
    <sheet name="AGOSTO" sheetId="8" r:id="rId8"/>
    <sheet name="SEPTIEMBRE " sheetId="9" r:id="rId9"/>
    <sheet name="OCTUBRE " sheetId="10" r:id="rId10"/>
    <sheet name="NOVIEMBRE " sheetId="11" r:id="rId11"/>
    <sheet name="DICIEMBR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5" i="8" l="1"/>
  <c r="C145" i="8"/>
  <c r="C138" i="8"/>
  <c r="C140" i="8" s="1"/>
  <c r="Z72" i="8"/>
  <c r="Y72" i="8"/>
  <c r="U72" i="8"/>
  <c r="T72" i="8"/>
  <c r="R72" i="8"/>
  <c r="Q72" i="8"/>
  <c r="L72" i="8"/>
  <c r="J72" i="8"/>
  <c r="I72" i="8"/>
  <c r="H72" i="8"/>
  <c r="E72" i="8"/>
  <c r="N71" i="8"/>
  <c r="G71" i="8"/>
  <c r="G70" i="8"/>
  <c r="W69" i="8"/>
  <c r="G69" i="8"/>
  <c r="N69" i="8" s="1"/>
  <c r="X69" i="8" s="1"/>
  <c r="AA69" i="8" s="1"/>
  <c r="G68" i="8"/>
  <c r="O67" i="8"/>
  <c r="G67" i="8"/>
  <c r="N67" i="8" s="1"/>
  <c r="P66" i="8"/>
  <c r="W66" i="8" s="1"/>
  <c r="G66" i="8"/>
  <c r="N66" i="8" s="1"/>
  <c r="X66" i="8" s="1"/>
  <c r="AA66" i="8" s="1"/>
  <c r="G65" i="8"/>
  <c r="P64" i="8"/>
  <c r="O64" i="8"/>
  <c r="W64" i="8" s="1"/>
  <c r="G64" i="8"/>
  <c r="N64" i="8" s="1"/>
  <c r="W63" i="8"/>
  <c r="G63" i="8"/>
  <c r="N63" i="8" s="1"/>
  <c r="X63" i="8" s="1"/>
  <c r="AA63" i="8" s="1"/>
  <c r="V62" i="8"/>
  <c r="V72" i="8" s="1"/>
  <c r="G62" i="8"/>
  <c r="G61" i="8"/>
  <c r="S61" i="8" s="1"/>
  <c r="O60" i="8"/>
  <c r="G60" i="8"/>
  <c r="N60" i="8" s="1"/>
  <c r="O59" i="8"/>
  <c r="N59" i="8"/>
  <c r="G59" i="8"/>
  <c r="G58" i="8"/>
  <c r="G57" i="8"/>
  <c r="O56" i="8"/>
  <c r="G56" i="8"/>
  <c r="N56" i="8" s="1"/>
  <c r="O55" i="8"/>
  <c r="N55" i="8"/>
  <c r="G55" i="8"/>
  <c r="G54" i="8"/>
  <c r="G53" i="8"/>
  <c r="O52" i="8"/>
  <c r="G52" i="8"/>
  <c r="N52" i="8" s="1"/>
  <c r="O51" i="8"/>
  <c r="N51" i="8"/>
  <c r="G51" i="8"/>
  <c r="O50" i="8"/>
  <c r="P50" i="8" s="1"/>
  <c r="N50" i="8"/>
  <c r="G50" i="8"/>
  <c r="X49" i="8"/>
  <c r="AA49" i="8" s="1"/>
  <c r="W49" i="8"/>
  <c r="N49" i="8"/>
  <c r="G49" i="8"/>
  <c r="O49" i="8" s="1"/>
  <c r="P49" i="8" s="1"/>
  <c r="G48" i="8"/>
  <c r="W47" i="8"/>
  <c r="G47" i="8"/>
  <c r="N47" i="8" s="1"/>
  <c r="X47" i="8" s="1"/>
  <c r="AA47" i="8" s="1"/>
  <c r="G46" i="8"/>
  <c r="O45" i="8"/>
  <c r="G45" i="8"/>
  <c r="N45" i="8" s="1"/>
  <c r="O44" i="8"/>
  <c r="N44" i="8"/>
  <c r="G44" i="8"/>
  <c r="W43" i="8"/>
  <c r="G43" i="8"/>
  <c r="N43" i="8" s="1"/>
  <c r="X43" i="8" s="1"/>
  <c r="AA43" i="8" s="1"/>
  <c r="O42" i="8"/>
  <c r="N42" i="8"/>
  <c r="G42" i="8"/>
  <c r="G41" i="8"/>
  <c r="W40" i="8"/>
  <c r="N40" i="8"/>
  <c r="X40" i="8" s="1"/>
  <c r="AA40" i="8" s="1"/>
  <c r="G40" i="8"/>
  <c r="X39" i="8"/>
  <c r="AA39" i="8" s="1"/>
  <c r="W39" i="8"/>
  <c r="G39" i="8"/>
  <c r="N39" i="8" s="1"/>
  <c r="X38" i="8"/>
  <c r="AA38" i="8" s="1"/>
  <c r="W38" i="8"/>
  <c r="G38" i="8"/>
  <c r="N38" i="8" s="1"/>
  <c r="P37" i="8"/>
  <c r="O37" i="8"/>
  <c r="G37" i="8"/>
  <c r="N37" i="8" s="1"/>
  <c r="S36" i="8"/>
  <c r="P36" i="8"/>
  <c r="W36" i="8" s="1"/>
  <c r="X36" i="8" s="1"/>
  <c r="AA36" i="8" s="1"/>
  <c r="N36" i="8"/>
  <c r="G36" i="8"/>
  <c r="G35" i="8"/>
  <c r="S34" i="8"/>
  <c r="G34" i="8"/>
  <c r="G33" i="8"/>
  <c r="G32" i="8"/>
  <c r="G31" i="8"/>
  <c r="S31" i="8" s="1"/>
  <c r="M30" i="8"/>
  <c r="M72" i="8" s="1"/>
  <c r="G30" i="8"/>
  <c r="G29" i="8"/>
  <c r="G28" i="8"/>
  <c r="G27" i="8"/>
  <c r="G26" i="8"/>
  <c r="G25" i="8"/>
  <c r="G24" i="8"/>
  <c r="O23" i="8"/>
  <c r="P23" i="8" s="1"/>
  <c r="G23" i="8"/>
  <c r="N23" i="8" s="1"/>
  <c r="G22" i="8"/>
  <c r="S21" i="8"/>
  <c r="G21" i="8"/>
  <c r="N21" i="8" s="1"/>
  <c r="G20" i="8"/>
  <c r="N20" i="8" s="1"/>
  <c r="G19" i="8"/>
  <c r="N19" i="8" s="1"/>
  <c r="G18" i="8"/>
  <c r="N18" i="8" s="1"/>
  <c r="G17" i="8"/>
  <c r="N17" i="8" s="1"/>
  <c r="N16" i="8"/>
  <c r="G16" i="8"/>
  <c r="O16" i="8" s="1"/>
  <c r="N15" i="8"/>
  <c r="G15" i="8"/>
  <c r="O15" i="8" s="1"/>
  <c r="N14" i="8"/>
  <c r="G14" i="8"/>
  <c r="S14" i="8" s="1"/>
  <c r="N13" i="8"/>
  <c r="G13" i="8"/>
  <c r="S13" i="8" s="1"/>
  <c r="G12" i="8"/>
  <c r="N12" i="8" s="1"/>
  <c r="S11" i="8"/>
  <c r="G11" i="8"/>
  <c r="N11" i="8" s="1"/>
  <c r="S10" i="8"/>
  <c r="G10" i="8"/>
  <c r="N10" i="8" s="1"/>
  <c r="S9" i="8"/>
  <c r="G9" i="8"/>
  <c r="N9" i="8" s="1"/>
  <c r="S8" i="8"/>
  <c r="G8" i="8"/>
  <c r="N8" i="8" s="1"/>
  <c r="S7" i="8"/>
  <c r="O7" i="8"/>
  <c r="G7" i="8"/>
  <c r="N7" i="8" s="1"/>
  <c r="S6" i="8"/>
  <c r="G6" i="8"/>
  <c r="N6" i="8" s="1"/>
  <c r="S5" i="8"/>
  <c r="O5" i="8"/>
  <c r="G5" i="8"/>
  <c r="N5" i="8" s="1"/>
  <c r="S4" i="8"/>
  <c r="G4" i="8"/>
  <c r="N4" i="8" s="1"/>
  <c r="X7" i="8" l="1"/>
  <c r="AA7" i="8" s="1"/>
  <c r="W5" i="8"/>
  <c r="W7" i="8"/>
  <c r="N22" i="8"/>
  <c r="S22" i="8"/>
  <c r="O26" i="8"/>
  <c r="N26" i="8"/>
  <c r="O28" i="8"/>
  <c r="N28" i="8"/>
  <c r="O30" i="8"/>
  <c r="N30" i="8"/>
  <c r="S30" i="8"/>
  <c r="X37" i="8"/>
  <c r="AA37" i="8" s="1"/>
  <c r="O41" i="8"/>
  <c r="N41" i="8"/>
  <c r="P42" i="8"/>
  <c r="W42" i="8" s="1"/>
  <c r="X42" i="8" s="1"/>
  <c r="AA42" i="8" s="1"/>
  <c r="P60" i="8"/>
  <c r="W60" i="8" s="1"/>
  <c r="X60" i="8" s="1"/>
  <c r="AA60" i="8" s="1"/>
  <c r="P5" i="8"/>
  <c r="P7" i="8"/>
  <c r="S15" i="8"/>
  <c r="S20" i="8"/>
  <c r="O21" i="8"/>
  <c r="O22" i="8"/>
  <c r="S25" i="8"/>
  <c r="N25" i="8"/>
  <c r="S26" i="8"/>
  <c r="S28" i="8"/>
  <c r="O33" i="8"/>
  <c r="N33" i="8"/>
  <c r="O35" i="8"/>
  <c r="N35" i="8"/>
  <c r="P56" i="8"/>
  <c r="W56" i="8" s="1"/>
  <c r="X56" i="8" s="1"/>
  <c r="AA56" i="8" s="1"/>
  <c r="P59" i="8"/>
  <c r="W59" i="8" s="1"/>
  <c r="X59" i="8" s="1"/>
  <c r="AA59" i="8" s="1"/>
  <c r="O4" i="8"/>
  <c r="O17" i="8"/>
  <c r="O18" i="8"/>
  <c r="O19" i="8"/>
  <c r="O20" i="8"/>
  <c r="N24" i="8"/>
  <c r="S24" i="8"/>
  <c r="O25" i="8"/>
  <c r="O27" i="8"/>
  <c r="N27" i="8"/>
  <c r="O29" i="8"/>
  <c r="N29" i="8"/>
  <c r="S33" i="8"/>
  <c r="W44" i="8"/>
  <c r="X44" i="8" s="1"/>
  <c r="AA44" i="8" s="1"/>
  <c r="P44" i="8"/>
  <c r="S50" i="8"/>
  <c r="W50" i="8" s="1"/>
  <c r="X50" i="8"/>
  <c r="AA50" i="8" s="1"/>
  <c r="X51" i="8"/>
  <c r="AA51" i="8" s="1"/>
  <c r="P52" i="8"/>
  <c r="W52" i="8" s="1"/>
  <c r="X52" i="8" s="1"/>
  <c r="AA52" i="8" s="1"/>
  <c r="O54" i="8"/>
  <c r="N54" i="8"/>
  <c r="P55" i="8"/>
  <c r="W55" i="8" s="1"/>
  <c r="X55" i="8" s="1"/>
  <c r="AA55" i="8" s="1"/>
  <c r="O70" i="8"/>
  <c r="N70" i="8"/>
  <c r="G72" i="8"/>
  <c r="P45" i="8"/>
  <c r="W45" i="8" s="1"/>
  <c r="X45" i="8" s="1"/>
  <c r="AA45" i="8" s="1"/>
  <c r="O58" i="8"/>
  <c r="N58" i="8"/>
  <c r="O6" i="8"/>
  <c r="O72" i="8" s="1"/>
  <c r="O8" i="8"/>
  <c r="P15" i="8"/>
  <c r="W15" i="8" s="1"/>
  <c r="X15" i="8" s="1"/>
  <c r="AA15" i="8" s="1"/>
  <c r="O9" i="8"/>
  <c r="O10" i="8"/>
  <c r="O11" i="8"/>
  <c r="O12" i="8"/>
  <c r="P16" i="8"/>
  <c r="W16" i="8" s="1"/>
  <c r="X16" i="8" s="1"/>
  <c r="AA16" i="8" s="1"/>
  <c r="S17" i="8"/>
  <c r="S18" i="8"/>
  <c r="S19" i="8"/>
  <c r="S23" i="8"/>
  <c r="O24" i="8"/>
  <c r="S27" i="8"/>
  <c r="O34" i="8"/>
  <c r="N34" i="8"/>
  <c r="O48" i="8"/>
  <c r="N48" i="8"/>
  <c r="W51" i="8"/>
  <c r="P51" i="8"/>
  <c r="O13" i="8"/>
  <c r="O14" i="8"/>
  <c r="W37" i="8"/>
  <c r="P67" i="8"/>
  <c r="W67" i="8" s="1"/>
  <c r="X67" i="8" s="1"/>
  <c r="AA67" i="8" s="1"/>
  <c r="P71" i="8"/>
  <c r="O71" i="8"/>
  <c r="O31" i="8"/>
  <c r="N31" i="8"/>
  <c r="O32" i="8"/>
  <c r="N32" i="8"/>
  <c r="O46" i="8"/>
  <c r="N46" i="8"/>
  <c r="O53" i="8"/>
  <c r="N53" i="8"/>
  <c r="O57" i="8"/>
  <c r="N57" i="8"/>
  <c r="O61" i="8"/>
  <c r="N61" i="8"/>
  <c r="O62" i="8"/>
  <c r="N62" i="8"/>
  <c r="X64" i="8"/>
  <c r="AA64" i="8" s="1"/>
  <c r="O65" i="8"/>
  <c r="N65" i="8"/>
  <c r="O68" i="8"/>
  <c r="N68" i="8"/>
  <c r="P13" i="8" l="1"/>
  <c r="W13" i="8" s="1"/>
  <c r="X13" i="8" s="1"/>
  <c r="AA13" i="8" s="1"/>
  <c r="P34" i="8"/>
  <c r="W34" i="8" s="1"/>
  <c r="X34" i="8" s="1"/>
  <c r="AA34" i="8" s="1"/>
  <c r="W46" i="8"/>
  <c r="X46" i="8" s="1"/>
  <c r="AA46" i="8" s="1"/>
  <c r="P46" i="8"/>
  <c r="P48" i="8"/>
  <c r="W48" i="8"/>
  <c r="X48" i="8" s="1"/>
  <c r="AA48" i="8" s="1"/>
  <c r="P27" i="8"/>
  <c r="W27" i="8" s="1"/>
  <c r="X27" i="8" s="1"/>
  <c r="AA27" i="8" s="1"/>
  <c r="W4" i="8"/>
  <c r="X4" i="8" s="1"/>
  <c r="AA4" i="8" s="1"/>
  <c r="P4" i="8"/>
  <c r="P33" i="8"/>
  <c r="W33" i="8" s="1"/>
  <c r="X33" i="8" s="1"/>
  <c r="AA33" i="8" s="1"/>
  <c r="P28" i="8"/>
  <c r="W28" i="8" s="1"/>
  <c r="X28" i="8" s="1"/>
  <c r="AA28" i="8" s="1"/>
  <c r="W62" i="8"/>
  <c r="X62" i="8" s="1"/>
  <c r="AA62" i="8" s="1"/>
  <c r="P62" i="8"/>
  <c r="P53" i="8"/>
  <c r="W53" i="8" s="1"/>
  <c r="X53" i="8" s="1"/>
  <c r="AA53" i="8" s="1"/>
  <c r="W31" i="8"/>
  <c r="P31" i="8"/>
  <c r="P24" i="8"/>
  <c r="W24" i="8"/>
  <c r="X24" i="8" s="1"/>
  <c r="AA24" i="8" s="1"/>
  <c r="P12" i="8"/>
  <c r="W12" i="8" s="1"/>
  <c r="X12" i="8" s="1"/>
  <c r="AA12" i="8" s="1"/>
  <c r="X5" i="8"/>
  <c r="W8" i="8"/>
  <c r="X8" i="8" s="1"/>
  <c r="AA8" i="8" s="1"/>
  <c r="P8" i="8"/>
  <c r="P58" i="8"/>
  <c r="W58" i="8"/>
  <c r="X58" i="8" s="1"/>
  <c r="AA58" i="8" s="1"/>
  <c r="S29" i="8"/>
  <c r="S72" i="8" s="1"/>
  <c r="P25" i="8"/>
  <c r="W25" i="8"/>
  <c r="X25" i="8" s="1"/>
  <c r="AA25" i="8" s="1"/>
  <c r="W19" i="8"/>
  <c r="X19" i="8" s="1"/>
  <c r="AA19" i="8" s="1"/>
  <c r="P19" i="8"/>
  <c r="W23" i="8"/>
  <c r="X23" i="8" s="1"/>
  <c r="AA23" i="8" s="1"/>
  <c r="X41" i="8"/>
  <c r="AA41" i="8" s="1"/>
  <c r="P68" i="8"/>
  <c r="W68" i="8" s="1"/>
  <c r="X68" i="8" s="1"/>
  <c r="AA68" i="8" s="1"/>
  <c r="W61" i="8"/>
  <c r="P61" i="8"/>
  <c r="P32" i="8"/>
  <c r="W32" i="8" s="1"/>
  <c r="X32" i="8" s="1"/>
  <c r="AA32" i="8" s="1"/>
  <c r="P10" i="8"/>
  <c r="W10" i="8"/>
  <c r="X10" i="8" s="1"/>
  <c r="AA10" i="8" s="1"/>
  <c r="W17" i="8"/>
  <c r="X17" i="8" s="1"/>
  <c r="AA17" i="8" s="1"/>
  <c r="P17" i="8"/>
  <c r="P21" i="8"/>
  <c r="W21" i="8" s="1"/>
  <c r="X21" i="8" s="1"/>
  <c r="AA21" i="8" s="1"/>
  <c r="X31" i="8"/>
  <c r="AA31" i="8" s="1"/>
  <c r="P9" i="8"/>
  <c r="W9" i="8" s="1"/>
  <c r="X9" i="8" s="1"/>
  <c r="AA9" i="8" s="1"/>
  <c r="P70" i="8"/>
  <c r="W70" i="8"/>
  <c r="X70" i="8" s="1"/>
  <c r="AA70" i="8" s="1"/>
  <c r="P54" i="8"/>
  <c r="W54" i="8" s="1"/>
  <c r="X54" i="8" s="1"/>
  <c r="AA54" i="8" s="1"/>
  <c r="P20" i="8"/>
  <c r="W20" i="8"/>
  <c r="X20" i="8" s="1"/>
  <c r="AA20" i="8" s="1"/>
  <c r="P65" i="8"/>
  <c r="W65" i="8" s="1"/>
  <c r="X65" i="8" s="1"/>
  <c r="AA65" i="8" s="1"/>
  <c r="X61" i="8"/>
  <c r="AA61" i="8" s="1"/>
  <c r="W57" i="8"/>
  <c r="X57" i="8" s="1"/>
  <c r="AA57" i="8" s="1"/>
  <c r="P57" i="8"/>
  <c r="W71" i="8"/>
  <c r="X71" i="8" s="1"/>
  <c r="AA71" i="8" s="1"/>
  <c r="W14" i="8"/>
  <c r="X14" i="8" s="1"/>
  <c r="AA14" i="8" s="1"/>
  <c r="P14" i="8"/>
  <c r="P11" i="8"/>
  <c r="W11" i="8" s="1"/>
  <c r="X11" i="8" s="1"/>
  <c r="AA11" i="8" s="1"/>
  <c r="N72" i="8"/>
  <c r="P6" i="8"/>
  <c r="P72" i="8" s="1"/>
  <c r="P29" i="8"/>
  <c r="W29" i="8" s="1"/>
  <c r="X29" i="8" s="1"/>
  <c r="AA29" i="8" s="1"/>
  <c r="P18" i="8"/>
  <c r="W18" i="8" s="1"/>
  <c r="X18" i="8" s="1"/>
  <c r="AA18" i="8" s="1"/>
  <c r="P35" i="8"/>
  <c r="W35" i="8" s="1"/>
  <c r="X35" i="8" s="1"/>
  <c r="AA35" i="8" s="1"/>
  <c r="P22" i="8"/>
  <c r="W22" i="8"/>
  <c r="X22" i="8" s="1"/>
  <c r="AA22" i="8" s="1"/>
  <c r="P41" i="8"/>
  <c r="W41" i="8"/>
  <c r="W30" i="8"/>
  <c r="X30" i="8" s="1"/>
  <c r="AA30" i="8" s="1"/>
  <c r="P30" i="8"/>
  <c r="P26" i="8"/>
  <c r="W26" i="8"/>
  <c r="X26" i="8" s="1"/>
  <c r="AA26" i="8" s="1"/>
  <c r="W6" i="8" l="1"/>
  <c r="AA5" i="8"/>
  <c r="X6" i="8" l="1"/>
  <c r="W72" i="8"/>
  <c r="AA6" i="8" l="1"/>
  <c r="AA72" i="8" s="1"/>
  <c r="X72" i="8"/>
  <c r="C179" i="12" l="1"/>
  <c r="C159" i="12"/>
  <c r="C152" i="12"/>
  <c r="C154" i="12" s="1"/>
  <c r="AA91" i="12"/>
  <c r="AA90" i="12"/>
  <c r="AA89" i="12"/>
  <c r="Z87" i="12"/>
  <c r="Y87" i="12"/>
  <c r="T87" i="12"/>
  <c r="S87" i="12"/>
  <c r="Q87" i="12"/>
  <c r="L87" i="12"/>
  <c r="J87" i="12"/>
  <c r="I87" i="12"/>
  <c r="E87" i="12"/>
  <c r="W86" i="12"/>
  <c r="G86" i="12"/>
  <c r="N86" i="12" s="1"/>
  <c r="W85" i="12"/>
  <c r="G85" i="12"/>
  <c r="N85" i="12" s="1"/>
  <c r="X85" i="12" s="1"/>
  <c r="AA85" i="12" s="1"/>
  <c r="G84" i="12"/>
  <c r="O83" i="12"/>
  <c r="G83" i="12"/>
  <c r="N83" i="12" s="1"/>
  <c r="G82" i="12"/>
  <c r="O82" i="12" s="1"/>
  <c r="P82" i="12" s="1"/>
  <c r="O81" i="12"/>
  <c r="P81" i="12" s="1"/>
  <c r="G81" i="12"/>
  <c r="N81" i="12" s="1"/>
  <c r="G80" i="12"/>
  <c r="O80" i="12" s="1"/>
  <c r="P80" i="12" s="1"/>
  <c r="W80" i="12" s="1"/>
  <c r="P79" i="12"/>
  <c r="W79" i="12" s="1"/>
  <c r="G79" i="12"/>
  <c r="N79" i="12" s="1"/>
  <c r="G78" i="12"/>
  <c r="O78" i="12" s="1"/>
  <c r="P78" i="12" s="1"/>
  <c r="G77" i="12"/>
  <c r="O77" i="12" s="1"/>
  <c r="G76" i="12"/>
  <c r="N76" i="12" s="1"/>
  <c r="G75" i="12"/>
  <c r="O75" i="12" s="1"/>
  <c r="V74" i="12"/>
  <c r="G74" i="12"/>
  <c r="N74" i="12" s="1"/>
  <c r="G73" i="12"/>
  <c r="N73" i="12" s="1"/>
  <c r="N72" i="12"/>
  <c r="G72" i="12"/>
  <c r="O72" i="12" s="1"/>
  <c r="G71" i="12"/>
  <c r="O71" i="12" s="1"/>
  <c r="P71" i="12" s="1"/>
  <c r="G70" i="12"/>
  <c r="G69" i="12"/>
  <c r="N69" i="12" s="1"/>
  <c r="H68" i="12"/>
  <c r="G68" i="12"/>
  <c r="G67" i="12"/>
  <c r="O67" i="12" s="1"/>
  <c r="G66" i="12"/>
  <c r="G65" i="12"/>
  <c r="O65" i="12" s="1"/>
  <c r="P65" i="12" s="1"/>
  <c r="W65" i="12" s="1"/>
  <c r="G64" i="12"/>
  <c r="N64" i="12" s="1"/>
  <c r="G63" i="12"/>
  <c r="G62" i="12"/>
  <c r="O62" i="12" s="1"/>
  <c r="G61" i="12"/>
  <c r="H60" i="12"/>
  <c r="G60" i="12"/>
  <c r="O60" i="12" s="1"/>
  <c r="AD59" i="12"/>
  <c r="W59" i="12"/>
  <c r="G59" i="12"/>
  <c r="N59" i="12" s="1"/>
  <c r="X59" i="12" s="1"/>
  <c r="AA59" i="12" s="1"/>
  <c r="AD58" i="12"/>
  <c r="G58" i="12"/>
  <c r="N58" i="12" s="1"/>
  <c r="G57" i="12"/>
  <c r="O57" i="12" s="1"/>
  <c r="P57" i="12" s="1"/>
  <c r="W56" i="12"/>
  <c r="G56" i="12"/>
  <c r="N56" i="12" s="1"/>
  <c r="G55" i="12"/>
  <c r="N55" i="12" s="1"/>
  <c r="G54" i="12"/>
  <c r="O54" i="12" s="1"/>
  <c r="P54" i="12" s="1"/>
  <c r="W53" i="12"/>
  <c r="G53" i="12"/>
  <c r="N53" i="12" s="1"/>
  <c r="X53" i="12" s="1"/>
  <c r="AA53" i="12" s="1"/>
  <c r="O52" i="12"/>
  <c r="P52" i="12" s="1"/>
  <c r="G52" i="12"/>
  <c r="N52" i="12" s="1"/>
  <c r="H51" i="12"/>
  <c r="G51" i="12"/>
  <c r="O51" i="12" s="1"/>
  <c r="P51" i="12" s="1"/>
  <c r="H50" i="12"/>
  <c r="G50" i="12"/>
  <c r="O50" i="12" s="1"/>
  <c r="W49" i="12"/>
  <c r="G49" i="12"/>
  <c r="N49" i="12" s="1"/>
  <c r="X49" i="12" s="1"/>
  <c r="AA49" i="12" s="1"/>
  <c r="N48" i="12"/>
  <c r="X48" i="12" s="1"/>
  <c r="AA48" i="12" s="1"/>
  <c r="G48" i="12"/>
  <c r="G47" i="12"/>
  <c r="O47" i="12" s="1"/>
  <c r="P47" i="12" s="1"/>
  <c r="G46" i="12"/>
  <c r="P46" i="12" s="1"/>
  <c r="P45" i="12"/>
  <c r="G45" i="12"/>
  <c r="N45" i="12" s="1"/>
  <c r="G44" i="12"/>
  <c r="G43" i="12"/>
  <c r="N43" i="12" s="1"/>
  <c r="G42" i="12"/>
  <c r="G41" i="12"/>
  <c r="O41" i="12" s="1"/>
  <c r="G40" i="12"/>
  <c r="G39" i="12"/>
  <c r="N39" i="12" s="1"/>
  <c r="G38" i="12"/>
  <c r="G37" i="12"/>
  <c r="N37" i="12" s="1"/>
  <c r="M36" i="12"/>
  <c r="G36" i="12"/>
  <c r="R36" i="12" s="1"/>
  <c r="G35" i="12"/>
  <c r="O35" i="12" s="1"/>
  <c r="P35" i="12" s="1"/>
  <c r="G34" i="12"/>
  <c r="R34" i="12" s="1"/>
  <c r="G33" i="12"/>
  <c r="R33" i="12" s="1"/>
  <c r="G32" i="12"/>
  <c r="R32" i="12" s="1"/>
  <c r="G31" i="12"/>
  <c r="R31" i="12" s="1"/>
  <c r="G30" i="12"/>
  <c r="R30" i="12" s="1"/>
  <c r="G29" i="12"/>
  <c r="R29" i="12" s="1"/>
  <c r="G28" i="12"/>
  <c r="O28" i="12" s="1"/>
  <c r="G27" i="12"/>
  <c r="R26" i="12"/>
  <c r="G26" i="12"/>
  <c r="O26" i="12" s="1"/>
  <c r="M25" i="12"/>
  <c r="N25" i="12" s="1"/>
  <c r="G25" i="12"/>
  <c r="R25" i="12" s="1"/>
  <c r="G24" i="12"/>
  <c r="O24" i="12" s="1"/>
  <c r="P24" i="12" s="1"/>
  <c r="G23" i="12"/>
  <c r="R23" i="12" s="1"/>
  <c r="V22" i="12"/>
  <c r="V87" i="12" s="1"/>
  <c r="G22" i="12"/>
  <c r="N22" i="12" s="1"/>
  <c r="G21" i="12"/>
  <c r="N21" i="12" s="1"/>
  <c r="G20" i="12"/>
  <c r="O20" i="12" s="1"/>
  <c r="G19" i="12"/>
  <c r="R19" i="12" s="1"/>
  <c r="G18" i="12"/>
  <c r="R18" i="12" s="1"/>
  <c r="G17" i="12"/>
  <c r="R17" i="12" s="1"/>
  <c r="N16" i="12"/>
  <c r="G16" i="12"/>
  <c r="R16" i="12" s="1"/>
  <c r="G15" i="12"/>
  <c r="R15" i="12" s="1"/>
  <c r="G14" i="12"/>
  <c r="R14" i="12" s="1"/>
  <c r="O13" i="12"/>
  <c r="P13" i="12" s="1"/>
  <c r="G13" i="12"/>
  <c r="R13" i="12" s="1"/>
  <c r="G12" i="12"/>
  <c r="R12" i="12" s="1"/>
  <c r="G11" i="12"/>
  <c r="R11" i="12" s="1"/>
  <c r="G10" i="12"/>
  <c r="R10" i="12" s="1"/>
  <c r="G9" i="12"/>
  <c r="R9" i="12" s="1"/>
  <c r="O8" i="12"/>
  <c r="P8" i="12" s="1"/>
  <c r="G8" i="12"/>
  <c r="R8" i="12" s="1"/>
  <c r="M7" i="12"/>
  <c r="G7" i="12"/>
  <c r="R7" i="12" s="1"/>
  <c r="G6" i="12"/>
  <c r="R6" i="12" s="1"/>
  <c r="G5" i="12"/>
  <c r="N5" i="12" s="1"/>
  <c r="G4" i="12"/>
  <c r="N4" i="12" s="1"/>
  <c r="O4" i="12" l="1"/>
  <c r="N12" i="12"/>
  <c r="O17" i="12"/>
  <c r="P17" i="12" s="1"/>
  <c r="O32" i="12"/>
  <c r="P32" i="12" s="1"/>
  <c r="W32" i="12" s="1"/>
  <c r="X32" i="12" s="1"/>
  <c r="AA32" i="12" s="1"/>
  <c r="N10" i="12"/>
  <c r="N30" i="12"/>
  <c r="N7" i="12"/>
  <c r="N11" i="12"/>
  <c r="O12" i="12"/>
  <c r="P12" i="12" s="1"/>
  <c r="O18" i="12"/>
  <c r="P18" i="12" s="1"/>
  <c r="O21" i="12"/>
  <c r="P21" i="12" s="1"/>
  <c r="O25" i="12"/>
  <c r="P25" i="12" s="1"/>
  <c r="N36" i="12"/>
  <c r="O46" i="12"/>
  <c r="O55" i="12"/>
  <c r="N57" i="12"/>
  <c r="N75" i="12"/>
  <c r="P77" i="12"/>
  <c r="W77" i="12" s="1"/>
  <c r="N82" i="12"/>
  <c r="O6" i="12"/>
  <c r="P6" i="12" s="1"/>
  <c r="O7" i="12"/>
  <c r="P7" i="12" s="1"/>
  <c r="O11" i="12"/>
  <c r="P11" i="12" s="1"/>
  <c r="N15" i="12"/>
  <c r="N17" i="12"/>
  <c r="N24" i="12"/>
  <c r="R24" i="12" s="1"/>
  <c r="N31" i="12"/>
  <c r="N62" i="12"/>
  <c r="R74" i="12"/>
  <c r="O58" i="12"/>
  <c r="N60" i="12"/>
  <c r="X86" i="12"/>
  <c r="AA86" i="12" s="1"/>
  <c r="O5" i="12"/>
  <c r="P5" i="12" s="1"/>
  <c r="W7" i="12"/>
  <c r="X7" i="12" s="1"/>
  <c r="AA7" i="12" s="1"/>
  <c r="N9" i="12"/>
  <c r="O10" i="12"/>
  <c r="P10" i="12" s="1"/>
  <c r="N14" i="12"/>
  <c r="O15" i="12"/>
  <c r="O16" i="12"/>
  <c r="P16" i="12" s="1"/>
  <c r="N19" i="12"/>
  <c r="N20" i="12"/>
  <c r="N23" i="12"/>
  <c r="N29" i="12"/>
  <c r="O30" i="12"/>
  <c r="P30" i="12" s="1"/>
  <c r="W30" i="12" s="1"/>
  <c r="O31" i="12"/>
  <c r="P31" i="12" s="1"/>
  <c r="W31" i="12" s="1"/>
  <c r="N34" i="12"/>
  <c r="N35" i="12"/>
  <c r="R35" i="12" s="1"/>
  <c r="W35" i="12" s="1"/>
  <c r="X35" i="12" s="1"/>
  <c r="AA35" i="12" s="1"/>
  <c r="O36" i="12"/>
  <c r="O37" i="12"/>
  <c r="P37" i="12" s="1"/>
  <c r="O39" i="12"/>
  <c r="N41" i="12"/>
  <c r="R43" i="12"/>
  <c r="R45" i="12"/>
  <c r="W45" i="12" s="1"/>
  <c r="R46" i="12"/>
  <c r="X56" i="12"/>
  <c r="AA56" i="12" s="1"/>
  <c r="P60" i="12"/>
  <c r="W60" i="12" s="1"/>
  <c r="X60" i="12" s="1"/>
  <c r="AA60" i="12" s="1"/>
  <c r="N65" i="12"/>
  <c r="X65" i="12" s="1"/>
  <c r="AA65" i="12" s="1"/>
  <c r="N67" i="12"/>
  <c r="R73" i="12"/>
  <c r="N8" i="12"/>
  <c r="O9" i="12"/>
  <c r="P9" i="12" s="1"/>
  <c r="N13" i="12"/>
  <c r="O14" i="12"/>
  <c r="P14" i="12" s="1"/>
  <c r="N18" i="12"/>
  <c r="O19" i="12"/>
  <c r="O22" i="12"/>
  <c r="P22" i="12" s="1"/>
  <c r="O23" i="12"/>
  <c r="P23" i="12" s="1"/>
  <c r="N28" i="12"/>
  <c r="R28" i="12" s="1"/>
  <c r="O29" i="12"/>
  <c r="P29" i="12" s="1"/>
  <c r="N33" i="12"/>
  <c r="O34" i="12"/>
  <c r="P34" i="12" s="1"/>
  <c r="W34" i="12" s="1"/>
  <c r="R37" i="12"/>
  <c r="R39" i="12"/>
  <c r="P50" i="12"/>
  <c r="O69" i="12"/>
  <c r="P69" i="12" s="1"/>
  <c r="W69" i="12" s="1"/>
  <c r="X69" i="12" s="1"/>
  <c r="AA69" i="12" s="1"/>
  <c r="N78" i="12"/>
  <c r="N32" i="12"/>
  <c r="O33" i="12"/>
  <c r="P33" i="12" s="1"/>
  <c r="W33" i="12" s="1"/>
  <c r="X33" i="12" s="1"/>
  <c r="AA33" i="12" s="1"/>
  <c r="X45" i="12"/>
  <c r="AA45" i="12" s="1"/>
  <c r="N46" i="12"/>
  <c r="O74" i="12"/>
  <c r="X30" i="12"/>
  <c r="AA30" i="12" s="1"/>
  <c r="W46" i="12"/>
  <c r="W50" i="12"/>
  <c r="P20" i="12"/>
  <c r="W20" i="12" s="1"/>
  <c r="X20" i="12" s="1"/>
  <c r="AA20" i="12" s="1"/>
  <c r="M87" i="12"/>
  <c r="W12" i="12"/>
  <c r="X12" i="12" s="1"/>
  <c r="AA12" i="12" s="1"/>
  <c r="R27" i="12"/>
  <c r="O27" i="12"/>
  <c r="N27" i="12"/>
  <c r="W17" i="12"/>
  <c r="W24" i="12"/>
  <c r="X24" i="12" s="1"/>
  <c r="AA24" i="12" s="1"/>
  <c r="P26" i="12"/>
  <c r="W26" i="12" s="1"/>
  <c r="P39" i="12"/>
  <c r="N44" i="12"/>
  <c r="O44" i="12"/>
  <c r="O61" i="12"/>
  <c r="N61" i="12"/>
  <c r="P62" i="12"/>
  <c r="W62" i="12" s="1"/>
  <c r="X62" i="12" s="1"/>
  <c r="AA62" i="12" s="1"/>
  <c r="O66" i="12"/>
  <c r="N66" i="12"/>
  <c r="P67" i="12"/>
  <c r="W67" i="12" s="1"/>
  <c r="X67" i="12" s="1"/>
  <c r="AA67" i="12" s="1"/>
  <c r="P83" i="12"/>
  <c r="W83" i="12" s="1"/>
  <c r="X83" i="12" s="1"/>
  <c r="AA83" i="12" s="1"/>
  <c r="O40" i="12"/>
  <c r="N40" i="12"/>
  <c r="P41" i="12"/>
  <c r="W41" i="12" s="1"/>
  <c r="X41" i="12" s="1"/>
  <c r="AA41" i="12" s="1"/>
  <c r="H87" i="12"/>
  <c r="N50" i="12"/>
  <c r="X50" i="12" s="1"/>
  <c r="AA50" i="12" s="1"/>
  <c r="P58" i="12"/>
  <c r="W58" i="12" s="1"/>
  <c r="X58" i="12" s="1"/>
  <c r="AA58" i="12" s="1"/>
  <c r="O70" i="12"/>
  <c r="N70" i="12"/>
  <c r="W8" i="12"/>
  <c r="W16" i="12"/>
  <c r="X16" i="12" s="1"/>
  <c r="AA16" i="12" s="1"/>
  <c r="W23" i="12"/>
  <c r="X23" i="12" s="1"/>
  <c r="AA23" i="12" s="1"/>
  <c r="N42" i="12"/>
  <c r="R42" i="12"/>
  <c r="O42" i="12"/>
  <c r="W47" i="12"/>
  <c r="W13" i="12"/>
  <c r="X13" i="12" s="1"/>
  <c r="AA13" i="12" s="1"/>
  <c r="P4" i="12"/>
  <c r="W10" i="12"/>
  <c r="X10" i="12" s="1"/>
  <c r="AA10" i="12" s="1"/>
  <c r="W14" i="12"/>
  <c r="W18" i="12"/>
  <c r="N26" i="12"/>
  <c r="R38" i="12"/>
  <c r="O38" i="12"/>
  <c r="N38" i="12"/>
  <c r="W51" i="12"/>
  <c r="W54" i="12"/>
  <c r="N63" i="12"/>
  <c r="O63" i="12"/>
  <c r="O68" i="12"/>
  <c r="N68" i="12"/>
  <c r="W71" i="12"/>
  <c r="O84" i="12"/>
  <c r="P84" i="12"/>
  <c r="N84" i="12"/>
  <c r="R4" i="12"/>
  <c r="W4" i="12" s="1"/>
  <c r="X4" i="12" s="1"/>
  <c r="R5" i="12"/>
  <c r="W5" i="12" s="1"/>
  <c r="X5" i="12" s="1"/>
  <c r="AA5" i="12" s="1"/>
  <c r="R21" i="12"/>
  <c r="W21" i="12" s="1"/>
  <c r="X21" i="12" s="1"/>
  <c r="AA21" i="12" s="1"/>
  <c r="P28" i="12"/>
  <c r="N47" i="12"/>
  <c r="X47" i="12" s="1"/>
  <c r="AA47" i="12" s="1"/>
  <c r="O73" i="12"/>
  <c r="P75" i="12"/>
  <c r="W75" i="12" s="1"/>
  <c r="X75" i="12" s="1"/>
  <c r="AA75" i="12" s="1"/>
  <c r="O76" i="12"/>
  <c r="W78" i="12"/>
  <c r="W81" i="12"/>
  <c r="X81" i="12" s="1"/>
  <c r="AA81" i="12" s="1"/>
  <c r="G87" i="12"/>
  <c r="R22" i="12"/>
  <c r="W22" i="12" s="1"/>
  <c r="X22" i="12" s="1"/>
  <c r="AA22" i="12" s="1"/>
  <c r="W52" i="12"/>
  <c r="X52" i="12" s="1"/>
  <c r="AA52" i="12" s="1"/>
  <c r="N54" i="12"/>
  <c r="X54" i="12" s="1"/>
  <c r="AA54" i="12" s="1"/>
  <c r="P55" i="12"/>
  <c r="W55" i="12" s="1"/>
  <c r="X55" i="12" s="1"/>
  <c r="AA55" i="12" s="1"/>
  <c r="N71" i="12"/>
  <c r="X71" i="12" s="1"/>
  <c r="AA71" i="12" s="1"/>
  <c r="P72" i="12"/>
  <c r="W72" i="12" s="1"/>
  <c r="X72" i="12" s="1"/>
  <c r="AA72" i="12" s="1"/>
  <c r="X79" i="12"/>
  <c r="AA79" i="12" s="1"/>
  <c r="N6" i="12"/>
  <c r="O43" i="12"/>
  <c r="N51" i="12"/>
  <c r="X51" i="12" s="1"/>
  <c r="AA51" i="12" s="1"/>
  <c r="W57" i="12"/>
  <c r="X57" i="12" s="1"/>
  <c r="AA57" i="12" s="1"/>
  <c r="O64" i="12"/>
  <c r="P76" i="12"/>
  <c r="N77" i="12"/>
  <c r="X77" i="12" s="1"/>
  <c r="AA77" i="12" s="1"/>
  <c r="N80" i="12"/>
  <c r="X80" i="12" s="1"/>
  <c r="AA80" i="12" s="1"/>
  <c r="W82" i="12"/>
  <c r="X82" i="12" s="1"/>
  <c r="AA82" i="12" s="1"/>
  <c r="X8" i="12" l="1"/>
  <c r="AA8" i="12" s="1"/>
  <c r="X17" i="12"/>
  <c r="AA17" i="12" s="1"/>
  <c r="W28" i="12"/>
  <c r="X28" i="12" s="1"/>
  <c r="AA28" i="12" s="1"/>
  <c r="X18" i="12"/>
  <c r="AA18" i="12" s="1"/>
  <c r="X31" i="12"/>
  <c r="AA31" i="12" s="1"/>
  <c r="W37" i="12"/>
  <c r="X37" i="12" s="1"/>
  <c r="AA37" i="12" s="1"/>
  <c r="W25" i="12"/>
  <c r="X25" i="12" s="1"/>
  <c r="AA25" i="12" s="1"/>
  <c r="X14" i="12"/>
  <c r="AA14" i="12" s="1"/>
  <c r="W29" i="12"/>
  <c r="X29" i="12" s="1"/>
  <c r="AA29" i="12" s="1"/>
  <c r="W11" i="12"/>
  <c r="X11" i="12" s="1"/>
  <c r="AA11" i="12" s="1"/>
  <c r="X78" i="12"/>
  <c r="AA78" i="12" s="1"/>
  <c r="W39" i="12"/>
  <c r="X39" i="12" s="1"/>
  <c r="AA39" i="12" s="1"/>
  <c r="W9" i="12"/>
  <c r="X9" i="12" s="1"/>
  <c r="AA9" i="12" s="1"/>
  <c r="X46" i="12"/>
  <c r="AA46" i="12" s="1"/>
  <c r="X34" i="12"/>
  <c r="AA34" i="12" s="1"/>
  <c r="P15" i="12"/>
  <c r="W15" i="12" s="1"/>
  <c r="X15" i="12" s="1"/>
  <c r="AA15" i="12" s="1"/>
  <c r="P19" i="12"/>
  <c r="W19" i="12" s="1"/>
  <c r="X19" i="12" s="1"/>
  <c r="AA19" i="12" s="1"/>
  <c r="P36" i="12"/>
  <c r="W36" i="12" s="1"/>
  <c r="X36" i="12" s="1"/>
  <c r="AA36" i="12" s="1"/>
  <c r="W76" i="12"/>
  <c r="X76" i="12" s="1"/>
  <c r="AA76" i="12" s="1"/>
  <c r="O87" i="12"/>
  <c r="P74" i="12"/>
  <c r="W74" i="12" s="1"/>
  <c r="X74" i="12" s="1"/>
  <c r="AA74" i="12" s="1"/>
  <c r="AA4" i="12"/>
  <c r="P63" i="12"/>
  <c r="P42" i="12"/>
  <c r="W42" i="12" s="1"/>
  <c r="X42" i="12" s="1"/>
  <c r="AA42" i="12" s="1"/>
  <c r="P64" i="12"/>
  <c r="W64" i="12" s="1"/>
  <c r="X64" i="12" s="1"/>
  <c r="AA64" i="12" s="1"/>
  <c r="P43" i="12"/>
  <c r="W43" i="12" s="1"/>
  <c r="X43" i="12" s="1"/>
  <c r="AA43" i="12" s="1"/>
  <c r="N87" i="12"/>
  <c r="W84" i="12"/>
  <c r="X84" i="12" s="1"/>
  <c r="AA84" i="12" s="1"/>
  <c r="P70" i="12"/>
  <c r="W70" i="12" s="1"/>
  <c r="X70" i="12" s="1"/>
  <c r="AA70" i="12" s="1"/>
  <c r="P40" i="12"/>
  <c r="W40" i="12" s="1"/>
  <c r="X40" i="12" s="1"/>
  <c r="AA40" i="12" s="1"/>
  <c r="P66" i="12"/>
  <c r="W66" i="12" s="1"/>
  <c r="X66" i="12" s="1"/>
  <c r="AA66" i="12" s="1"/>
  <c r="P61" i="12"/>
  <c r="W61" i="12" s="1"/>
  <c r="X61" i="12" s="1"/>
  <c r="AA61" i="12" s="1"/>
  <c r="P27" i="12"/>
  <c r="R63" i="12"/>
  <c r="R87" i="12" s="1"/>
  <c r="X26" i="12"/>
  <c r="AA26" i="12" s="1"/>
  <c r="P73" i="12"/>
  <c r="W73" i="12" s="1"/>
  <c r="X73" i="12" s="1"/>
  <c r="AA73" i="12" s="1"/>
  <c r="P68" i="12"/>
  <c r="W68" i="12" s="1"/>
  <c r="X68" i="12" s="1"/>
  <c r="AA68" i="12" s="1"/>
  <c r="P38" i="12"/>
  <c r="W38" i="12" s="1"/>
  <c r="X38" i="12" s="1"/>
  <c r="AA38" i="12" s="1"/>
  <c r="W6" i="12"/>
  <c r="P44" i="12"/>
  <c r="W44" i="12" s="1"/>
  <c r="X44" i="12" s="1"/>
  <c r="AA44" i="12" s="1"/>
  <c r="W63" i="12" l="1"/>
  <c r="X63" i="12" s="1"/>
  <c r="AA63" i="12" s="1"/>
  <c r="P87" i="12"/>
  <c r="W27" i="12"/>
  <c r="X27" i="12" s="1"/>
  <c r="AA27" i="12" s="1"/>
  <c r="X6" i="12"/>
  <c r="W87" i="12" l="1"/>
  <c r="AA6" i="12"/>
  <c r="AA87" i="12" s="1"/>
  <c r="X87" i="12"/>
  <c r="Q91" i="12" l="1"/>
  <c r="Q92" i="12"/>
  <c r="Q90" i="12"/>
  <c r="Q93" i="12"/>
  <c r="C151" i="11" l="1"/>
  <c r="C131" i="11"/>
  <c r="C124" i="11"/>
  <c r="C126" i="11" s="1"/>
  <c r="Z81" i="11"/>
  <c r="Y81" i="11"/>
  <c r="T81" i="11"/>
  <c r="S81" i="11"/>
  <c r="Q81" i="11"/>
  <c r="L81" i="11"/>
  <c r="J81" i="11"/>
  <c r="I81" i="11"/>
  <c r="E81" i="11"/>
  <c r="W80" i="11"/>
  <c r="G80" i="11"/>
  <c r="N80" i="11" s="1"/>
  <c r="X80" i="11" s="1"/>
  <c r="AA80" i="11" s="1"/>
  <c r="W79" i="11"/>
  <c r="G79" i="11"/>
  <c r="N79" i="11" s="1"/>
  <c r="P78" i="11"/>
  <c r="N78" i="11"/>
  <c r="G78" i="11"/>
  <c r="O78" i="11" s="1"/>
  <c r="G77" i="11"/>
  <c r="G76" i="11"/>
  <c r="O76" i="11" s="1"/>
  <c r="O75" i="11"/>
  <c r="G75" i="11"/>
  <c r="N75" i="11" s="1"/>
  <c r="G74" i="11"/>
  <c r="O74" i="11" s="1"/>
  <c r="W73" i="11"/>
  <c r="P73" i="11"/>
  <c r="G73" i="11"/>
  <c r="N73" i="11" s="1"/>
  <c r="O72" i="11"/>
  <c r="G72" i="11"/>
  <c r="N72" i="11" s="1"/>
  <c r="P71" i="11"/>
  <c r="N71" i="11"/>
  <c r="G71" i="11"/>
  <c r="O71" i="11" s="1"/>
  <c r="G70" i="11"/>
  <c r="V69" i="11"/>
  <c r="N69" i="11"/>
  <c r="G69" i="11"/>
  <c r="R69" i="11" s="1"/>
  <c r="G68" i="11"/>
  <c r="R68" i="11" s="1"/>
  <c r="G67" i="11"/>
  <c r="G66" i="11"/>
  <c r="O66" i="11" s="1"/>
  <c r="P66" i="11" s="1"/>
  <c r="O65" i="11"/>
  <c r="G65" i="11"/>
  <c r="N65" i="11" s="1"/>
  <c r="G64" i="11"/>
  <c r="O64" i="11" s="1"/>
  <c r="G63" i="11"/>
  <c r="N62" i="11"/>
  <c r="G62" i="11"/>
  <c r="O62" i="11" s="1"/>
  <c r="P62" i="11" s="1"/>
  <c r="G61" i="11"/>
  <c r="N61" i="11" s="1"/>
  <c r="N60" i="11"/>
  <c r="G60" i="11"/>
  <c r="O60" i="11" s="1"/>
  <c r="G59" i="11"/>
  <c r="O59" i="11" s="1"/>
  <c r="P59" i="11" s="1"/>
  <c r="G58" i="11"/>
  <c r="G57" i="11"/>
  <c r="O57" i="11" s="1"/>
  <c r="P57" i="11" s="1"/>
  <c r="AD56" i="11"/>
  <c r="W56" i="11"/>
  <c r="G56" i="11"/>
  <c r="N56" i="11" s="1"/>
  <c r="X56" i="11" s="1"/>
  <c r="AA56" i="11" s="1"/>
  <c r="AD55" i="11"/>
  <c r="G55" i="11"/>
  <c r="O55" i="11" s="1"/>
  <c r="G54" i="11"/>
  <c r="W53" i="11"/>
  <c r="G53" i="11"/>
  <c r="N53" i="11" s="1"/>
  <c r="X53" i="11" s="1"/>
  <c r="AA53" i="11" s="1"/>
  <c r="G52" i="11"/>
  <c r="G51" i="11"/>
  <c r="O51" i="11" s="1"/>
  <c r="P51" i="11" s="1"/>
  <c r="W50" i="11"/>
  <c r="G50" i="11"/>
  <c r="N50" i="11" s="1"/>
  <c r="X50" i="11" s="1"/>
  <c r="AA50" i="11" s="1"/>
  <c r="G49" i="11"/>
  <c r="O49" i="11" s="1"/>
  <c r="O48" i="11"/>
  <c r="H48" i="11"/>
  <c r="H81" i="11" s="1"/>
  <c r="G48" i="11"/>
  <c r="W47" i="11"/>
  <c r="G47" i="11"/>
  <c r="N47" i="11" s="1"/>
  <c r="G46" i="11"/>
  <c r="N46" i="11" s="1"/>
  <c r="X46" i="11" s="1"/>
  <c r="AA46" i="11" s="1"/>
  <c r="P45" i="11"/>
  <c r="N45" i="11"/>
  <c r="G45" i="11"/>
  <c r="O45" i="11" s="1"/>
  <c r="P44" i="11"/>
  <c r="G44" i="11"/>
  <c r="N44" i="11" s="1"/>
  <c r="G43" i="11"/>
  <c r="O43" i="11" s="1"/>
  <c r="G42" i="11"/>
  <c r="R42" i="11" s="1"/>
  <c r="G41" i="11"/>
  <c r="R41" i="11" s="1"/>
  <c r="G40" i="11"/>
  <c r="G39" i="11"/>
  <c r="O39" i="11" s="1"/>
  <c r="P39" i="11" s="1"/>
  <c r="P38" i="11"/>
  <c r="N38" i="11"/>
  <c r="G38" i="11"/>
  <c r="O38" i="11" s="1"/>
  <c r="P37" i="11"/>
  <c r="N37" i="11"/>
  <c r="G37" i="11"/>
  <c r="O37" i="11" s="1"/>
  <c r="M36" i="11"/>
  <c r="G36" i="11"/>
  <c r="O35" i="11"/>
  <c r="G35" i="11"/>
  <c r="N35" i="11" s="1"/>
  <c r="G34" i="11"/>
  <c r="N34" i="11" s="1"/>
  <c r="R34" i="11" s="1"/>
  <c r="G33" i="11"/>
  <c r="R33" i="11" s="1"/>
  <c r="O32" i="11"/>
  <c r="P32" i="11" s="1"/>
  <c r="G32" i="11"/>
  <c r="N32" i="11" s="1"/>
  <c r="G31" i="11"/>
  <c r="R31" i="11" s="1"/>
  <c r="G30" i="11"/>
  <c r="N30" i="11" s="1"/>
  <c r="G29" i="11"/>
  <c r="R29" i="11" s="1"/>
  <c r="G28" i="11"/>
  <c r="N28" i="11" s="1"/>
  <c r="G27" i="11"/>
  <c r="O27" i="11" s="1"/>
  <c r="N26" i="11"/>
  <c r="G26" i="11"/>
  <c r="O26" i="11" s="1"/>
  <c r="R25" i="11"/>
  <c r="N25" i="11"/>
  <c r="G25" i="11"/>
  <c r="O25" i="11" s="1"/>
  <c r="M24" i="11"/>
  <c r="M81" i="11" s="1"/>
  <c r="G24" i="11"/>
  <c r="O24" i="11" s="1"/>
  <c r="G23" i="11"/>
  <c r="O23" i="11" s="1"/>
  <c r="G22" i="11"/>
  <c r="O22" i="11" s="1"/>
  <c r="V21" i="11"/>
  <c r="O21" i="11"/>
  <c r="P21" i="11" s="1"/>
  <c r="N21" i="11"/>
  <c r="G21" i="11"/>
  <c r="R21" i="11" s="1"/>
  <c r="G20" i="11"/>
  <c r="R20" i="11" s="1"/>
  <c r="G19" i="11"/>
  <c r="O19" i="11" s="1"/>
  <c r="G18" i="11"/>
  <c r="O18" i="11" s="1"/>
  <c r="G17" i="11"/>
  <c r="O17" i="11" s="1"/>
  <c r="G16" i="11"/>
  <c r="O16" i="11" s="1"/>
  <c r="G15" i="11"/>
  <c r="O15" i="11" s="1"/>
  <c r="G14" i="11"/>
  <c r="O14" i="11" s="1"/>
  <c r="G13" i="11"/>
  <c r="N13" i="11" s="1"/>
  <c r="G12" i="11"/>
  <c r="O12" i="11" s="1"/>
  <c r="G11" i="11"/>
  <c r="R11" i="11" s="1"/>
  <c r="G10" i="11"/>
  <c r="O10" i="11" s="1"/>
  <c r="G9" i="11"/>
  <c r="O9" i="11" s="1"/>
  <c r="G8" i="11"/>
  <c r="O8" i="11" s="1"/>
  <c r="G7" i="11"/>
  <c r="O7" i="11" s="1"/>
  <c r="G6" i="11"/>
  <c r="G5" i="11"/>
  <c r="N5" i="11" s="1"/>
  <c r="G4" i="11"/>
  <c r="N4" i="11" s="1"/>
  <c r="P43" i="11" l="1"/>
  <c r="W43" i="11" s="1"/>
  <c r="X43" i="11" s="1"/>
  <c r="AA43" i="11" s="1"/>
  <c r="O5" i="11"/>
  <c r="P5" i="11" s="1"/>
  <c r="W5" i="11" s="1"/>
  <c r="X5" i="11" s="1"/>
  <c r="AA5" i="11" s="1"/>
  <c r="N57" i="11"/>
  <c r="O61" i="11"/>
  <c r="N74" i="11"/>
  <c r="O20" i="11"/>
  <c r="P20" i="11" s="1"/>
  <c r="V81" i="11"/>
  <c r="O28" i="11"/>
  <c r="P28" i="11" s="1"/>
  <c r="N39" i="11"/>
  <c r="N41" i="11"/>
  <c r="N42" i="11"/>
  <c r="N43" i="11"/>
  <c r="N48" i="11"/>
  <c r="N49" i="11"/>
  <c r="N51" i="11"/>
  <c r="N55" i="11"/>
  <c r="N64" i="11"/>
  <c r="N66" i="11"/>
  <c r="N68" i="11"/>
  <c r="W57" i="11"/>
  <c r="X71" i="11"/>
  <c r="AA71" i="11" s="1"/>
  <c r="N20" i="11"/>
  <c r="O30" i="11"/>
  <c r="P30" i="11" s="1"/>
  <c r="N59" i="11"/>
  <c r="N76" i="11"/>
  <c r="O4" i="11"/>
  <c r="O41" i="11"/>
  <c r="P41" i="11" s="1"/>
  <c r="O42" i="11"/>
  <c r="P42" i="11" s="1"/>
  <c r="X47" i="11"/>
  <c r="AA47" i="11" s="1"/>
  <c r="W71" i="11"/>
  <c r="W78" i="11"/>
  <c r="X78" i="11" s="1"/>
  <c r="AA78" i="11" s="1"/>
  <c r="P12" i="11"/>
  <c r="W12" i="11" s="1"/>
  <c r="P9" i="11"/>
  <c r="W9" i="11" s="1"/>
  <c r="P17" i="11"/>
  <c r="W17" i="11" s="1"/>
  <c r="P24" i="11"/>
  <c r="P8" i="11"/>
  <c r="P16" i="11"/>
  <c r="P23" i="11"/>
  <c r="P27" i="11"/>
  <c r="P4" i="11"/>
  <c r="P7" i="11"/>
  <c r="W7" i="11" s="1"/>
  <c r="P10" i="11"/>
  <c r="W10" i="11" s="1"/>
  <c r="P14" i="11"/>
  <c r="W14" i="11" s="1"/>
  <c r="P18" i="11"/>
  <c r="W20" i="11"/>
  <c r="X20" i="11" s="1"/>
  <c r="AA20" i="11" s="1"/>
  <c r="P26" i="11"/>
  <c r="P15" i="11"/>
  <c r="W15" i="11" s="1"/>
  <c r="P19" i="11"/>
  <c r="W19" i="11"/>
  <c r="P22" i="11"/>
  <c r="W22" i="11" s="1"/>
  <c r="P25" i="11"/>
  <c r="W25" i="11" s="1"/>
  <c r="X25" i="11" s="1"/>
  <c r="AA25" i="11" s="1"/>
  <c r="R13" i="11"/>
  <c r="R14" i="11"/>
  <c r="R15" i="11"/>
  <c r="R16" i="11"/>
  <c r="R22" i="11"/>
  <c r="P64" i="11"/>
  <c r="W64" i="11" s="1"/>
  <c r="P72" i="11"/>
  <c r="W72" i="11" s="1"/>
  <c r="X72" i="11" s="1"/>
  <c r="AA72" i="11" s="1"/>
  <c r="G81" i="11"/>
  <c r="R7" i="11"/>
  <c r="R8" i="11"/>
  <c r="W8" i="11" s="1"/>
  <c r="R9" i="11"/>
  <c r="N11" i="11"/>
  <c r="N12" i="11"/>
  <c r="N14" i="11"/>
  <c r="N15" i="11"/>
  <c r="N16" i="11"/>
  <c r="N17" i="11"/>
  <c r="N18" i="11"/>
  <c r="N19" i="11"/>
  <c r="W21" i="11"/>
  <c r="X21" i="11" s="1"/>
  <c r="AA21" i="11" s="1"/>
  <c r="N22" i="11"/>
  <c r="N23" i="11"/>
  <c r="R24" i="11"/>
  <c r="W24" i="11" s="1"/>
  <c r="R26" i="11"/>
  <c r="W26" i="11" s="1"/>
  <c r="X26" i="11" s="1"/>
  <c r="AA26" i="11" s="1"/>
  <c r="N27" i="11"/>
  <c r="R28" i="11"/>
  <c r="N29" i="11"/>
  <c r="R30" i="11"/>
  <c r="N31" i="11"/>
  <c r="R32" i="11"/>
  <c r="W32" i="11" s="1"/>
  <c r="X32" i="11" s="1"/>
  <c r="AA32" i="11" s="1"/>
  <c r="N33" i="11"/>
  <c r="O36" i="11"/>
  <c r="R36" i="11"/>
  <c r="W55" i="11"/>
  <c r="X55" i="11" s="1"/>
  <c r="AA55" i="11" s="1"/>
  <c r="P55" i="11"/>
  <c r="P60" i="11"/>
  <c r="W60" i="11" s="1"/>
  <c r="X60" i="11" s="1"/>
  <c r="AA60" i="11" s="1"/>
  <c r="P61" i="11"/>
  <c r="W61" i="11" s="1"/>
  <c r="X61" i="11" s="1"/>
  <c r="AA61" i="11" s="1"/>
  <c r="O67" i="11"/>
  <c r="N67" i="11"/>
  <c r="O70" i="11"/>
  <c r="N70" i="11"/>
  <c r="X79" i="11"/>
  <c r="AA79" i="11" s="1"/>
  <c r="R12" i="11"/>
  <c r="R17" i="11"/>
  <c r="R18" i="11"/>
  <c r="R6" i="11"/>
  <c r="O11" i="11"/>
  <c r="O13" i="11"/>
  <c r="N24" i="11"/>
  <c r="O29" i="11"/>
  <c r="W30" i="11"/>
  <c r="X30" i="11" s="1"/>
  <c r="AA30" i="11" s="1"/>
  <c r="O31" i="11"/>
  <c r="O33" i="11"/>
  <c r="O34" i="11"/>
  <c r="P35" i="11"/>
  <c r="O40" i="11"/>
  <c r="N40" i="11"/>
  <c r="W45" i="11"/>
  <c r="O52" i="11"/>
  <c r="N52" i="11"/>
  <c r="O63" i="11"/>
  <c r="N63" i="11"/>
  <c r="W66" i="11"/>
  <c r="X66" i="11" s="1"/>
  <c r="AA66" i="11" s="1"/>
  <c r="P74" i="11"/>
  <c r="W74" i="11" s="1"/>
  <c r="X74" i="11" s="1"/>
  <c r="AA74" i="11" s="1"/>
  <c r="P75" i="11"/>
  <c r="W75" i="11" s="1"/>
  <c r="X75" i="11" s="1"/>
  <c r="AA75" i="11" s="1"/>
  <c r="P76" i="11"/>
  <c r="W76" i="11" s="1"/>
  <c r="X76" i="11" s="1"/>
  <c r="AA76" i="11" s="1"/>
  <c r="O58" i="11"/>
  <c r="N58" i="11"/>
  <c r="P65" i="11"/>
  <c r="W65" i="11" s="1"/>
  <c r="X65" i="11" s="1"/>
  <c r="AA65" i="11" s="1"/>
  <c r="R4" i="11"/>
  <c r="N6" i="11"/>
  <c r="N7" i="11"/>
  <c r="N8" i="11"/>
  <c r="N9" i="11"/>
  <c r="N10" i="11"/>
  <c r="O6" i="11"/>
  <c r="R35" i="11"/>
  <c r="N36" i="11"/>
  <c r="W37" i="11"/>
  <c r="X37" i="11" s="1"/>
  <c r="AA37" i="11" s="1"/>
  <c r="W39" i="11"/>
  <c r="X45" i="11"/>
  <c r="AA45" i="11" s="1"/>
  <c r="W48" i="11"/>
  <c r="X48" i="11" s="1"/>
  <c r="AA48" i="11" s="1"/>
  <c r="P48" i="11"/>
  <c r="P49" i="11"/>
  <c r="W49" i="11" s="1"/>
  <c r="X49" i="11" s="1"/>
  <c r="AA49" i="11" s="1"/>
  <c r="W51" i="11"/>
  <c r="X51" i="11" s="1"/>
  <c r="AA51" i="11" s="1"/>
  <c r="O54" i="11"/>
  <c r="N54" i="11"/>
  <c r="W62" i="11"/>
  <c r="X62" i="11" s="1"/>
  <c r="AA62" i="11" s="1"/>
  <c r="X73" i="11"/>
  <c r="AA73" i="11" s="1"/>
  <c r="O77" i="11"/>
  <c r="N77" i="11"/>
  <c r="R37" i="11"/>
  <c r="R38" i="11"/>
  <c r="W38" i="11" s="1"/>
  <c r="X38" i="11" s="1"/>
  <c r="AA38" i="11" s="1"/>
  <c r="R44" i="11"/>
  <c r="W44" i="11" s="1"/>
  <c r="X44" i="11" s="1"/>
  <c r="AA44" i="11" s="1"/>
  <c r="O68" i="11"/>
  <c r="O69" i="11"/>
  <c r="W18" i="11" l="1"/>
  <c r="W16" i="11"/>
  <c r="W4" i="11"/>
  <c r="X4" i="11" s="1"/>
  <c r="AA4" i="11" s="1"/>
  <c r="W42" i="11"/>
  <c r="X42" i="11" s="1"/>
  <c r="AA42" i="11" s="1"/>
  <c r="R59" i="11"/>
  <c r="W59" i="11" s="1"/>
  <c r="X59" i="11" s="1"/>
  <c r="AA59" i="11" s="1"/>
  <c r="X39" i="11"/>
  <c r="AA39" i="11" s="1"/>
  <c r="W28" i="11"/>
  <c r="X28" i="11" s="1"/>
  <c r="AA28" i="11" s="1"/>
  <c r="X17" i="11"/>
  <c r="AA17" i="11" s="1"/>
  <c r="X64" i="11"/>
  <c r="AA64" i="11" s="1"/>
  <c r="X57" i="11"/>
  <c r="AA57" i="11" s="1"/>
  <c r="X10" i="11"/>
  <c r="AA10" i="11" s="1"/>
  <c r="W35" i="11"/>
  <c r="X35" i="11" s="1"/>
  <c r="AA35" i="11" s="1"/>
  <c r="W41" i="11"/>
  <c r="X41" i="11" s="1"/>
  <c r="AA41" i="11" s="1"/>
  <c r="P34" i="11"/>
  <c r="W34" i="11" s="1"/>
  <c r="X34" i="11" s="1"/>
  <c r="AA34" i="11" s="1"/>
  <c r="P77" i="11"/>
  <c r="W77" i="11"/>
  <c r="X77" i="11" s="1"/>
  <c r="AA77" i="11" s="1"/>
  <c r="X9" i="11"/>
  <c r="AA9" i="11" s="1"/>
  <c r="P58" i="11"/>
  <c r="W58" i="11" s="1"/>
  <c r="X58" i="11" s="1"/>
  <c r="AA58" i="11" s="1"/>
  <c r="P40" i="11"/>
  <c r="W40" i="11" s="1"/>
  <c r="X40" i="11" s="1"/>
  <c r="AA40" i="11" s="1"/>
  <c r="P33" i="11"/>
  <c r="W33" i="11" s="1"/>
  <c r="X33" i="11" s="1"/>
  <c r="AA33" i="11" s="1"/>
  <c r="P29" i="11"/>
  <c r="W29" i="11" s="1"/>
  <c r="X29" i="11" s="1"/>
  <c r="AA29" i="11" s="1"/>
  <c r="P11" i="11"/>
  <c r="W11" i="11" s="1"/>
  <c r="X11" i="11" s="1"/>
  <c r="AA11" i="11" s="1"/>
  <c r="P36" i="11"/>
  <c r="W36" i="11" s="1"/>
  <c r="X36" i="11" s="1"/>
  <c r="AA36" i="11" s="1"/>
  <c r="X16" i="11"/>
  <c r="AA16" i="11" s="1"/>
  <c r="N81" i="11"/>
  <c r="P52" i="11"/>
  <c r="W52" i="11" s="1"/>
  <c r="X52" i="11" s="1"/>
  <c r="AA52" i="11" s="1"/>
  <c r="R27" i="11"/>
  <c r="W27" i="11" s="1"/>
  <c r="X27" i="11" s="1"/>
  <c r="AA27" i="11" s="1"/>
  <c r="X12" i="11"/>
  <c r="AA12" i="11" s="1"/>
  <c r="X8" i="11"/>
  <c r="AA8" i="11" s="1"/>
  <c r="P63" i="11"/>
  <c r="W63" i="11"/>
  <c r="X63" i="11" s="1"/>
  <c r="AA63" i="11" s="1"/>
  <c r="R81" i="11"/>
  <c r="P67" i="11"/>
  <c r="W67" i="11" s="1"/>
  <c r="X67" i="11" s="1"/>
  <c r="AA67" i="11" s="1"/>
  <c r="X19" i="11"/>
  <c r="AA19" i="11" s="1"/>
  <c r="X15" i="11"/>
  <c r="AA15" i="11" s="1"/>
  <c r="P68" i="11"/>
  <c r="W68" i="11"/>
  <c r="X68" i="11" s="1"/>
  <c r="AA68" i="11" s="1"/>
  <c r="P13" i="11"/>
  <c r="W13" i="11" s="1"/>
  <c r="X13" i="11" s="1"/>
  <c r="AA13" i="11" s="1"/>
  <c r="P70" i="11"/>
  <c r="W70" i="11" s="1"/>
  <c r="X70" i="11" s="1"/>
  <c r="AA70" i="11" s="1"/>
  <c r="X22" i="11"/>
  <c r="AA22" i="11" s="1"/>
  <c r="P69" i="11"/>
  <c r="W69" i="11" s="1"/>
  <c r="X69" i="11" s="1"/>
  <c r="AA69" i="11" s="1"/>
  <c r="P54" i="11"/>
  <c r="W54" i="11" s="1"/>
  <c r="X54" i="11" s="1"/>
  <c r="AA54" i="11" s="1"/>
  <c r="O81" i="11"/>
  <c r="W6" i="11"/>
  <c r="P6" i="11"/>
  <c r="X7" i="11"/>
  <c r="AA7" i="11" s="1"/>
  <c r="P31" i="11"/>
  <c r="W31" i="11" s="1"/>
  <c r="X31" i="11" s="1"/>
  <c r="AA31" i="11" s="1"/>
  <c r="X24" i="11"/>
  <c r="AA24" i="11" s="1"/>
  <c r="R23" i="11"/>
  <c r="W23" i="11" s="1"/>
  <c r="X23" i="11" s="1"/>
  <c r="AA23" i="11" s="1"/>
  <c r="X18" i="11"/>
  <c r="AA18" i="11" s="1"/>
  <c r="X14" i="11"/>
  <c r="AA14" i="11" s="1"/>
  <c r="W81" i="11" l="1"/>
  <c r="P81" i="11"/>
  <c r="X6" i="11"/>
  <c r="AA6" i="11" l="1"/>
  <c r="AA81" i="11" s="1"/>
  <c r="X81" i="11"/>
  <c r="C172" i="10" l="1"/>
  <c r="C152" i="10"/>
  <c r="C145" i="10"/>
  <c r="C147" i="10" s="1"/>
  <c r="Z79" i="10"/>
  <c r="Y79" i="10"/>
  <c r="U79" i="10"/>
  <c r="T79" i="10"/>
  <c r="R79" i="10"/>
  <c r="Q79" i="10"/>
  <c r="L79" i="10"/>
  <c r="J79" i="10"/>
  <c r="I79" i="10"/>
  <c r="E79" i="10"/>
  <c r="W78" i="10"/>
  <c r="G78" i="10"/>
  <c r="N78" i="10" s="1"/>
  <c r="O77" i="10"/>
  <c r="N77" i="10"/>
  <c r="G77" i="10"/>
  <c r="P77" i="10" s="1"/>
  <c r="G76" i="10"/>
  <c r="G75" i="10"/>
  <c r="O75" i="10" s="1"/>
  <c r="G74" i="10"/>
  <c r="O74" i="10" s="1"/>
  <c r="O73" i="10"/>
  <c r="G73" i="10"/>
  <c r="N73" i="10" s="1"/>
  <c r="P72" i="10"/>
  <c r="W72" i="10" s="1"/>
  <c r="G72" i="10"/>
  <c r="N72" i="10" s="1"/>
  <c r="G71" i="10"/>
  <c r="N71" i="10" s="1"/>
  <c r="G70" i="10"/>
  <c r="P70" i="10" s="1"/>
  <c r="G69" i="10"/>
  <c r="V68" i="10"/>
  <c r="V79" i="10" s="1"/>
  <c r="G68" i="10"/>
  <c r="G67" i="10"/>
  <c r="S67" i="10" s="1"/>
  <c r="P66" i="10"/>
  <c r="G66" i="10"/>
  <c r="O66" i="10" s="1"/>
  <c r="G65" i="10"/>
  <c r="N65" i="10" s="1"/>
  <c r="G64" i="10"/>
  <c r="O64" i="10" s="1"/>
  <c r="G63" i="10"/>
  <c r="P62" i="10"/>
  <c r="G62" i="10"/>
  <c r="O62" i="10" s="1"/>
  <c r="O61" i="10"/>
  <c r="N61" i="10"/>
  <c r="G61" i="10"/>
  <c r="G60" i="10"/>
  <c r="O60" i="10" s="1"/>
  <c r="G59" i="10"/>
  <c r="G58" i="10"/>
  <c r="G57" i="10"/>
  <c r="O57" i="10" s="1"/>
  <c r="P57" i="10" s="1"/>
  <c r="O56" i="10"/>
  <c r="N56" i="10"/>
  <c r="G56" i="10"/>
  <c r="AD55" i="10"/>
  <c r="W55" i="10"/>
  <c r="G55" i="10"/>
  <c r="N55" i="10" s="1"/>
  <c r="AD54" i="10"/>
  <c r="G54" i="10"/>
  <c r="P53" i="10"/>
  <c r="G53" i="10"/>
  <c r="O53" i="10" s="1"/>
  <c r="W52" i="10"/>
  <c r="G52" i="10"/>
  <c r="N52" i="10" s="1"/>
  <c r="X52" i="10" s="1"/>
  <c r="AA52" i="10" s="1"/>
  <c r="P51" i="10"/>
  <c r="G51" i="10"/>
  <c r="O51" i="10" s="1"/>
  <c r="G50" i="10"/>
  <c r="O50" i="10" s="1"/>
  <c r="W49" i="10"/>
  <c r="G49" i="10"/>
  <c r="N49" i="10" s="1"/>
  <c r="X49" i="10" s="1"/>
  <c r="AA49" i="10" s="1"/>
  <c r="O48" i="10"/>
  <c r="N48" i="10"/>
  <c r="G48" i="10"/>
  <c r="O47" i="10"/>
  <c r="N47" i="10"/>
  <c r="H47" i="10"/>
  <c r="H79" i="10" s="1"/>
  <c r="G47" i="10"/>
  <c r="W46" i="10"/>
  <c r="X46" i="10" s="1"/>
  <c r="AA46" i="10" s="1"/>
  <c r="G46" i="10"/>
  <c r="N46" i="10" s="1"/>
  <c r="G45" i="10"/>
  <c r="N45" i="10" s="1"/>
  <c r="X45" i="10" s="1"/>
  <c r="AA45" i="10" s="1"/>
  <c r="O44" i="10"/>
  <c r="N44" i="10"/>
  <c r="G44" i="10"/>
  <c r="G43" i="10"/>
  <c r="O43" i="10" s="1"/>
  <c r="P41" i="10"/>
  <c r="G41" i="10"/>
  <c r="S41" i="10" s="1"/>
  <c r="G40" i="10"/>
  <c r="O40" i="10" s="1"/>
  <c r="O39" i="10"/>
  <c r="P39" i="10" s="1"/>
  <c r="N39" i="10"/>
  <c r="G39" i="10"/>
  <c r="S39" i="10" s="1"/>
  <c r="O38" i="10"/>
  <c r="P38" i="10" s="1"/>
  <c r="N38" i="10"/>
  <c r="G38" i="10"/>
  <c r="S38" i="10" s="1"/>
  <c r="G37" i="10"/>
  <c r="O37" i="10" s="1"/>
  <c r="P37" i="10" s="1"/>
  <c r="G36" i="10"/>
  <c r="S35" i="10"/>
  <c r="G35" i="10"/>
  <c r="G34" i="10"/>
  <c r="S34" i="10" s="1"/>
  <c r="M33" i="10"/>
  <c r="M79" i="10" s="1"/>
  <c r="G33" i="10"/>
  <c r="S33" i="10" s="1"/>
  <c r="G32" i="10"/>
  <c r="O32" i="10" s="1"/>
  <c r="P32" i="10" s="1"/>
  <c r="G31" i="10"/>
  <c r="O31" i="10" s="1"/>
  <c r="P31" i="10" s="1"/>
  <c r="G30" i="10"/>
  <c r="O30" i="10" s="1"/>
  <c r="P30" i="10" s="1"/>
  <c r="G29" i="10"/>
  <c r="O29" i="10" s="1"/>
  <c r="P29" i="10" s="1"/>
  <c r="G28" i="10"/>
  <c r="O28" i="10" s="1"/>
  <c r="P28" i="10" s="1"/>
  <c r="G27" i="10"/>
  <c r="O27" i="10" s="1"/>
  <c r="P27" i="10" s="1"/>
  <c r="G26" i="10"/>
  <c r="O26" i="10" s="1"/>
  <c r="P26" i="10" s="1"/>
  <c r="G25" i="10"/>
  <c r="O25" i="10" s="1"/>
  <c r="P25" i="10" s="1"/>
  <c r="G24" i="10"/>
  <c r="O24" i="10" s="1"/>
  <c r="G23" i="10"/>
  <c r="N23" i="10" s="1"/>
  <c r="S22" i="10"/>
  <c r="G22" i="10"/>
  <c r="N22" i="10" s="1"/>
  <c r="G21" i="10"/>
  <c r="N21" i="10" s="1"/>
  <c r="G20" i="10"/>
  <c r="N20" i="10" s="1"/>
  <c r="G19" i="10"/>
  <c r="N19" i="10" s="1"/>
  <c r="G18" i="10"/>
  <c r="N18" i="10" s="1"/>
  <c r="O17" i="10"/>
  <c r="N17" i="10"/>
  <c r="G17" i="10"/>
  <c r="G16" i="10"/>
  <c r="S16" i="10" s="1"/>
  <c r="G15" i="10"/>
  <c r="S15" i="10" s="1"/>
  <c r="O14" i="10"/>
  <c r="P14" i="10" s="1"/>
  <c r="G14" i="10"/>
  <c r="S14" i="10" s="1"/>
  <c r="O13" i="10"/>
  <c r="P13" i="10" s="1"/>
  <c r="W13" i="10" s="1"/>
  <c r="N13" i="10"/>
  <c r="G13" i="10"/>
  <c r="S13" i="10" s="1"/>
  <c r="G12" i="10"/>
  <c r="S12" i="10" s="1"/>
  <c r="G11" i="10"/>
  <c r="S11" i="10" s="1"/>
  <c r="O10" i="10"/>
  <c r="P10" i="10" s="1"/>
  <c r="G10" i="10"/>
  <c r="S10" i="10" s="1"/>
  <c r="O9" i="10"/>
  <c r="P9" i="10" s="1"/>
  <c r="W9" i="10" s="1"/>
  <c r="N9" i="10"/>
  <c r="G9" i="10"/>
  <c r="S9" i="10" s="1"/>
  <c r="G8" i="10"/>
  <c r="S8" i="10" s="1"/>
  <c r="G7" i="10"/>
  <c r="S7" i="10" s="1"/>
  <c r="O6" i="10"/>
  <c r="P6" i="10" s="1"/>
  <c r="G6" i="10"/>
  <c r="S6" i="10" s="1"/>
  <c r="O5" i="10"/>
  <c r="N5" i="10"/>
  <c r="G5" i="10"/>
  <c r="S5" i="10" s="1"/>
  <c r="G4" i="10"/>
  <c r="S4" i="10" s="1"/>
  <c r="N16" i="10" l="1"/>
  <c r="O19" i="10"/>
  <c r="W38" i="10"/>
  <c r="X38" i="10" s="1"/>
  <c r="AA38" i="10" s="1"/>
  <c r="N43" i="10"/>
  <c r="N50" i="10"/>
  <c r="N60" i="10"/>
  <c r="O4" i="10"/>
  <c r="P4" i="10" s="1"/>
  <c r="W4" i="10" s="1"/>
  <c r="N7" i="10"/>
  <c r="O8" i="10"/>
  <c r="P8" i="10" s="1"/>
  <c r="W8" i="10" s="1"/>
  <c r="N11" i="10"/>
  <c r="O12" i="10"/>
  <c r="P12" i="10" s="1"/>
  <c r="W12" i="10" s="1"/>
  <c r="N15" i="10"/>
  <c r="O16" i="10"/>
  <c r="P16" i="10" s="1"/>
  <c r="W16" i="10" s="1"/>
  <c r="O23" i="10"/>
  <c r="P23" i="10" s="1"/>
  <c r="N40" i="10"/>
  <c r="N64" i="10"/>
  <c r="O65" i="10"/>
  <c r="N70" i="10"/>
  <c r="O71" i="10"/>
  <c r="N74" i="10"/>
  <c r="N4" i="10"/>
  <c r="N8" i="10"/>
  <c r="X8" i="10" s="1"/>
  <c r="AA8" i="10" s="1"/>
  <c r="N12" i="10"/>
  <c r="X12" i="10" s="1"/>
  <c r="AA12" i="10" s="1"/>
  <c r="O21" i="10"/>
  <c r="P21" i="10" s="1"/>
  <c r="W21" i="10" s="1"/>
  <c r="X21" i="10" s="1"/>
  <c r="AA21" i="10" s="1"/>
  <c r="N41" i="10"/>
  <c r="N6" i="10"/>
  <c r="O7" i="10"/>
  <c r="P7" i="10" s="1"/>
  <c r="N10" i="10"/>
  <c r="O11" i="10"/>
  <c r="P11" i="10" s="1"/>
  <c r="N14" i="10"/>
  <c r="O15" i="10"/>
  <c r="P15" i="10" s="1"/>
  <c r="O18" i="10"/>
  <c r="P18" i="10" s="1"/>
  <c r="W18" i="10" s="1"/>
  <c r="X18" i="10" s="1"/>
  <c r="AA18" i="10" s="1"/>
  <c r="O20" i="10"/>
  <c r="O22" i="10"/>
  <c r="S23" i="10"/>
  <c r="X55" i="10"/>
  <c r="AA55" i="10" s="1"/>
  <c r="O70" i="10"/>
  <c r="W70" i="10" s="1"/>
  <c r="X70" i="10" s="1"/>
  <c r="AA70" i="10" s="1"/>
  <c r="X78" i="10"/>
  <c r="AA78" i="10" s="1"/>
  <c r="X6" i="10"/>
  <c r="AA6" i="10" s="1"/>
  <c r="W11" i="10"/>
  <c r="X11" i="10" s="1"/>
  <c r="AA11" i="10" s="1"/>
  <c r="X14" i="10"/>
  <c r="AA14" i="10" s="1"/>
  <c r="W15" i="10"/>
  <c r="X15" i="10" s="1"/>
  <c r="AA15" i="10" s="1"/>
  <c r="W6" i="10"/>
  <c r="X9" i="10"/>
  <c r="AA9" i="10" s="1"/>
  <c r="W10" i="10"/>
  <c r="X10" i="10" s="1"/>
  <c r="AA10" i="10" s="1"/>
  <c r="X13" i="10"/>
  <c r="AA13" i="10" s="1"/>
  <c r="W14" i="10"/>
  <c r="S21" i="10"/>
  <c r="P24" i="10"/>
  <c r="P61" i="10"/>
  <c r="W61" i="10" s="1"/>
  <c r="X61" i="10" s="1"/>
  <c r="AA61" i="10" s="1"/>
  <c r="N24" i="10"/>
  <c r="O33" i="10"/>
  <c r="N33" i="10"/>
  <c r="W39" i="10"/>
  <c r="X39" i="10" s="1"/>
  <c r="AA39" i="10" s="1"/>
  <c r="P40" i="10"/>
  <c r="W40" i="10" s="1"/>
  <c r="X40" i="10" s="1"/>
  <c r="AA40" i="10" s="1"/>
  <c r="P48" i="10"/>
  <c r="W48" i="10" s="1"/>
  <c r="X48" i="10" s="1"/>
  <c r="AA48" i="10" s="1"/>
  <c r="O54" i="10"/>
  <c r="N54" i="10"/>
  <c r="G79" i="10"/>
  <c r="P50" i="10"/>
  <c r="W50" i="10" s="1"/>
  <c r="X50" i="10" s="1"/>
  <c r="AA50" i="10" s="1"/>
  <c r="W57" i="10"/>
  <c r="W60" i="10"/>
  <c r="X60" i="10" s="1"/>
  <c r="AA60" i="10" s="1"/>
  <c r="O67" i="10"/>
  <c r="N67" i="10"/>
  <c r="P19" i="10"/>
  <c r="P20" i="10"/>
  <c r="W20" i="10" s="1"/>
  <c r="X20" i="10" s="1"/>
  <c r="AA20" i="10" s="1"/>
  <c r="P5" i="10"/>
  <c r="P17" i="10"/>
  <c r="W17" i="10" s="1"/>
  <c r="X17" i="10" s="1"/>
  <c r="AA17" i="10" s="1"/>
  <c r="S18" i="10"/>
  <c r="S19" i="10"/>
  <c r="S20" i="10"/>
  <c r="W23" i="10"/>
  <c r="X23" i="10" s="1"/>
  <c r="AA23" i="10" s="1"/>
  <c r="N25" i="10"/>
  <c r="N26" i="10"/>
  <c r="N27" i="10"/>
  <c r="N28" i="10"/>
  <c r="N29" i="10"/>
  <c r="N30" i="10"/>
  <c r="N31" i="10"/>
  <c r="N32" i="10"/>
  <c r="O34" i="10"/>
  <c r="N34" i="10"/>
  <c r="O35" i="10"/>
  <c r="N35" i="10"/>
  <c r="O36" i="10"/>
  <c r="N36" i="10"/>
  <c r="N37" i="10"/>
  <c r="W41" i="10"/>
  <c r="X41" i="10" s="1"/>
  <c r="AA41" i="10" s="1"/>
  <c r="W51" i="10"/>
  <c r="P56" i="10"/>
  <c r="W56" i="10" s="1"/>
  <c r="X56" i="10" s="1"/>
  <c r="AA56" i="10" s="1"/>
  <c r="O58" i="10"/>
  <c r="N58" i="10"/>
  <c r="W62" i="10"/>
  <c r="W66" i="10"/>
  <c r="O68" i="10"/>
  <c r="N68" i="10"/>
  <c r="X72" i="10"/>
  <c r="AA72" i="10" s="1"/>
  <c r="P75" i="10"/>
  <c r="W75" i="10" s="1"/>
  <c r="O59" i="10"/>
  <c r="N59" i="10"/>
  <c r="O63" i="10"/>
  <c r="N63" i="10"/>
  <c r="P65" i="10"/>
  <c r="W65" i="10" s="1"/>
  <c r="X65" i="10" s="1"/>
  <c r="AA65" i="10" s="1"/>
  <c r="O69" i="10"/>
  <c r="N69" i="10"/>
  <c r="P71" i="10"/>
  <c r="W71" i="10" s="1"/>
  <c r="X71" i="10" s="1"/>
  <c r="AA71" i="10" s="1"/>
  <c r="P22" i="10"/>
  <c r="W22" i="10" s="1"/>
  <c r="X22" i="10" s="1"/>
  <c r="AA22" i="10" s="1"/>
  <c r="S25" i="10"/>
  <c r="W25" i="10" s="1"/>
  <c r="S26" i="10"/>
  <c r="W26" i="10" s="1"/>
  <c r="S27" i="10"/>
  <c r="W27" i="10" s="1"/>
  <c r="S28" i="10"/>
  <c r="W28" i="10" s="1"/>
  <c r="S29" i="10"/>
  <c r="W29" i="10" s="1"/>
  <c r="S30" i="10"/>
  <c r="W30" i="10" s="1"/>
  <c r="S32" i="10"/>
  <c r="W32" i="10" s="1"/>
  <c r="W37" i="10"/>
  <c r="P44" i="10"/>
  <c r="W44" i="10" s="1"/>
  <c r="X44" i="10" s="1"/>
  <c r="AA44" i="10" s="1"/>
  <c r="W53" i="10"/>
  <c r="W73" i="10"/>
  <c r="X73" i="10" s="1"/>
  <c r="AA73" i="10" s="1"/>
  <c r="P74" i="10"/>
  <c r="W74" i="10" s="1"/>
  <c r="X74" i="10" s="1"/>
  <c r="AA74" i="10" s="1"/>
  <c r="O76" i="10"/>
  <c r="N76" i="10"/>
  <c r="W77" i="10"/>
  <c r="X77" i="10" s="1"/>
  <c r="AA77" i="10" s="1"/>
  <c r="P43" i="10"/>
  <c r="W43" i="10" s="1"/>
  <c r="X43" i="10" s="1"/>
  <c r="P47" i="10"/>
  <c r="W47" i="10" s="1"/>
  <c r="X47" i="10" s="1"/>
  <c r="AA47" i="10" s="1"/>
  <c r="N51" i="10"/>
  <c r="N53" i="10"/>
  <c r="N57" i="10"/>
  <c r="X57" i="10" s="1"/>
  <c r="AA57" i="10" s="1"/>
  <c r="P60" i="10"/>
  <c r="N62" i="10"/>
  <c r="P64" i="10"/>
  <c r="W64" i="10" s="1"/>
  <c r="X64" i="10" s="1"/>
  <c r="AA64" i="10" s="1"/>
  <c r="N66" i="10"/>
  <c r="P73" i="10"/>
  <c r="N75" i="10"/>
  <c r="W19" i="10" l="1"/>
  <c r="X19" i="10" s="1"/>
  <c r="AA19" i="10" s="1"/>
  <c r="X62" i="10"/>
  <c r="AA62" i="10" s="1"/>
  <c r="X51" i="10"/>
  <c r="AA51" i="10" s="1"/>
  <c r="X32" i="10"/>
  <c r="AA32" i="10" s="1"/>
  <c r="X28" i="10"/>
  <c r="AA28" i="10" s="1"/>
  <c r="O79" i="10"/>
  <c r="W7" i="10"/>
  <c r="X7" i="10" s="1"/>
  <c r="AA7" i="10" s="1"/>
  <c r="X4" i="10"/>
  <c r="AA4" i="10" s="1"/>
  <c r="X16" i="10"/>
  <c r="AA16" i="10" s="1"/>
  <c r="X37" i="10"/>
  <c r="AA37" i="10" s="1"/>
  <c r="P35" i="10"/>
  <c r="W35" i="10" s="1"/>
  <c r="X35" i="10" s="1"/>
  <c r="AA35" i="10" s="1"/>
  <c r="S31" i="10"/>
  <c r="W31" i="10" s="1"/>
  <c r="X31" i="10" s="1"/>
  <c r="AA31" i="10" s="1"/>
  <c r="X27" i="10"/>
  <c r="AA27" i="10" s="1"/>
  <c r="W5" i="10"/>
  <c r="N42" i="10"/>
  <c r="N79" i="10" s="1"/>
  <c r="X75" i="10"/>
  <c r="AA75" i="10" s="1"/>
  <c r="AA43" i="10"/>
  <c r="S58" i="10"/>
  <c r="X30" i="10"/>
  <c r="AA30" i="10" s="1"/>
  <c r="X26" i="10"/>
  <c r="AA26" i="10" s="1"/>
  <c r="P67" i="10"/>
  <c r="W67" i="10" s="1"/>
  <c r="X67" i="10" s="1"/>
  <c r="AA67" i="10" s="1"/>
  <c r="P54" i="10"/>
  <c r="W54" i="10" s="1"/>
  <c r="X54" i="10" s="1"/>
  <c r="AA54" i="10" s="1"/>
  <c r="S24" i="10"/>
  <c r="W24" i="10" s="1"/>
  <c r="X24" i="10" s="1"/>
  <c r="AA24" i="10" s="1"/>
  <c r="P76" i="10"/>
  <c r="W76" i="10"/>
  <c r="X76" i="10" s="1"/>
  <c r="AA76" i="10" s="1"/>
  <c r="P59" i="10"/>
  <c r="W59" i="10"/>
  <c r="X59" i="10" s="1"/>
  <c r="AA59" i="10" s="1"/>
  <c r="X66" i="10"/>
  <c r="AA66" i="10" s="1"/>
  <c r="X53" i="10"/>
  <c r="AA53" i="10" s="1"/>
  <c r="P69" i="10"/>
  <c r="W69" i="10"/>
  <c r="X69" i="10" s="1"/>
  <c r="AA69" i="10" s="1"/>
  <c r="P63" i="10"/>
  <c r="W63" i="10"/>
  <c r="X63" i="10" s="1"/>
  <c r="AA63" i="10" s="1"/>
  <c r="P68" i="10"/>
  <c r="W68" i="10"/>
  <c r="X68" i="10" s="1"/>
  <c r="AA68" i="10" s="1"/>
  <c r="P58" i="10"/>
  <c r="W58" i="10"/>
  <c r="X58" i="10" s="1"/>
  <c r="AA58" i="10" s="1"/>
  <c r="P36" i="10"/>
  <c r="W36" i="10"/>
  <c r="X36" i="10" s="1"/>
  <c r="AA36" i="10" s="1"/>
  <c r="P34" i="10"/>
  <c r="W34" i="10" s="1"/>
  <c r="X34" i="10" s="1"/>
  <c r="AA34" i="10" s="1"/>
  <c r="X29" i="10"/>
  <c r="AA29" i="10" s="1"/>
  <c r="X25" i="10"/>
  <c r="AA25" i="10" s="1"/>
  <c r="P33" i="10"/>
  <c r="W33" i="10" s="1"/>
  <c r="X33" i="10" s="1"/>
  <c r="AA33" i="10" s="1"/>
  <c r="P79" i="10" l="1"/>
  <c r="X79" i="10"/>
  <c r="W79" i="10"/>
  <c r="X5" i="10"/>
  <c r="S79" i="10"/>
  <c r="AA5" i="10" l="1"/>
  <c r="AA79" i="10" s="1"/>
  <c r="X42" i="10"/>
  <c r="C164" i="9" l="1"/>
  <c r="C144" i="9"/>
  <c r="C137" i="9"/>
  <c r="C139" i="9" s="1"/>
  <c r="Z71" i="9"/>
  <c r="Y71" i="9"/>
  <c r="U71" i="9"/>
  <c r="T71" i="9"/>
  <c r="R71" i="9"/>
  <c r="Q71" i="9"/>
  <c r="L71" i="9"/>
  <c r="J71" i="9"/>
  <c r="I71" i="9"/>
  <c r="H71" i="9"/>
  <c r="E71" i="9"/>
  <c r="G70" i="9"/>
  <c r="P70" i="9" s="1"/>
  <c r="G69" i="9"/>
  <c r="O69" i="9" s="1"/>
  <c r="P69" i="9" s="1"/>
  <c r="G68" i="9"/>
  <c r="G67" i="9"/>
  <c r="N67" i="9" s="1"/>
  <c r="G66" i="9"/>
  <c r="O66" i="9" s="1"/>
  <c r="P65" i="9"/>
  <c r="W65" i="9" s="1"/>
  <c r="G65" i="9"/>
  <c r="N65" i="9" s="1"/>
  <c r="G64" i="9"/>
  <c r="N64" i="9" s="1"/>
  <c r="G63" i="9"/>
  <c r="P63" i="9" s="1"/>
  <c r="G62" i="9"/>
  <c r="O62" i="9" s="1"/>
  <c r="P62" i="9" s="1"/>
  <c r="V61" i="9"/>
  <c r="V71" i="9" s="1"/>
  <c r="G61" i="9"/>
  <c r="O61" i="9" s="1"/>
  <c r="P61" i="9" s="1"/>
  <c r="G60" i="9"/>
  <c r="O60" i="9" s="1"/>
  <c r="P60" i="9" s="1"/>
  <c r="G59" i="9"/>
  <c r="G58" i="9"/>
  <c r="N58" i="9" s="1"/>
  <c r="G57" i="9"/>
  <c r="N57" i="9" s="1"/>
  <c r="G56" i="9"/>
  <c r="O56" i="9" s="1"/>
  <c r="P56" i="9" s="1"/>
  <c r="W56" i="9" s="1"/>
  <c r="G55" i="9"/>
  <c r="G54" i="9"/>
  <c r="N54" i="9" s="1"/>
  <c r="G53" i="9"/>
  <c r="O53" i="9" s="1"/>
  <c r="G52" i="9"/>
  <c r="O52" i="9" s="1"/>
  <c r="P52" i="9" s="1"/>
  <c r="G51" i="9"/>
  <c r="G50" i="9"/>
  <c r="N50" i="9" s="1"/>
  <c r="G49" i="9"/>
  <c r="N49" i="9" s="1"/>
  <c r="S49" i="9" s="1"/>
  <c r="G48" i="9"/>
  <c r="O48" i="9" s="1"/>
  <c r="G47" i="9"/>
  <c r="O47" i="9" s="1"/>
  <c r="P47" i="9" s="1"/>
  <c r="W46" i="9"/>
  <c r="G46" i="9"/>
  <c r="N46" i="9" s="1"/>
  <c r="X46" i="9" s="1"/>
  <c r="AA46" i="9" s="1"/>
  <c r="G45" i="9"/>
  <c r="O45" i="9" s="1"/>
  <c r="P45" i="9" s="1"/>
  <c r="W45" i="9" s="1"/>
  <c r="G44" i="9"/>
  <c r="W43" i="9"/>
  <c r="G43" i="9"/>
  <c r="N43" i="9" s="1"/>
  <c r="G42" i="9"/>
  <c r="G41" i="9"/>
  <c r="N41" i="9" s="1"/>
  <c r="W40" i="9"/>
  <c r="G40" i="9"/>
  <c r="N40" i="9" s="1"/>
  <c r="X40" i="9" s="1"/>
  <c r="AA40" i="9" s="1"/>
  <c r="G39" i="9"/>
  <c r="N39" i="9" s="1"/>
  <c r="W38" i="9"/>
  <c r="G38" i="9"/>
  <c r="N38" i="9" s="1"/>
  <c r="G37" i="9"/>
  <c r="N37" i="9" s="1"/>
  <c r="P36" i="9"/>
  <c r="G36" i="9"/>
  <c r="S36" i="9" s="1"/>
  <c r="G35" i="9"/>
  <c r="O35" i="9" s="1"/>
  <c r="P35" i="9" s="1"/>
  <c r="G34" i="9"/>
  <c r="O34" i="9" s="1"/>
  <c r="P34" i="9" s="1"/>
  <c r="G33" i="9"/>
  <c r="O33" i="9" s="1"/>
  <c r="P33" i="9" s="1"/>
  <c r="G32" i="9"/>
  <c r="G31" i="9"/>
  <c r="N31" i="9" s="1"/>
  <c r="G30" i="9"/>
  <c r="N30" i="9" s="1"/>
  <c r="M29" i="9"/>
  <c r="M71" i="9" s="1"/>
  <c r="G29" i="9"/>
  <c r="O29" i="9" s="1"/>
  <c r="G28" i="9"/>
  <c r="G27" i="9"/>
  <c r="S27" i="9" s="1"/>
  <c r="G26" i="9"/>
  <c r="S26" i="9" s="1"/>
  <c r="G25" i="9"/>
  <c r="S25" i="9" s="1"/>
  <c r="G24" i="9"/>
  <c r="S24" i="9" s="1"/>
  <c r="G23" i="9"/>
  <c r="O23" i="9" s="1"/>
  <c r="P23" i="9" s="1"/>
  <c r="G22" i="9"/>
  <c r="O22" i="9" s="1"/>
  <c r="P22" i="9" s="1"/>
  <c r="G21" i="9"/>
  <c r="O21" i="9" s="1"/>
  <c r="S20" i="9"/>
  <c r="G20" i="9"/>
  <c r="O20" i="9" s="1"/>
  <c r="G19" i="9"/>
  <c r="O19" i="9" s="1"/>
  <c r="P19" i="9" s="1"/>
  <c r="G18" i="9"/>
  <c r="O18" i="9" s="1"/>
  <c r="G17" i="9"/>
  <c r="O17" i="9" s="1"/>
  <c r="G16" i="9"/>
  <c r="O16" i="9" s="1"/>
  <c r="N15" i="9"/>
  <c r="G15" i="9"/>
  <c r="O15" i="9" s="1"/>
  <c r="G14" i="9"/>
  <c r="O14" i="9" s="1"/>
  <c r="G13" i="9"/>
  <c r="O13" i="9" s="1"/>
  <c r="G12" i="9"/>
  <c r="O12" i="9" s="1"/>
  <c r="G11" i="9"/>
  <c r="O11" i="9" s="1"/>
  <c r="G10" i="9"/>
  <c r="O10" i="9" s="1"/>
  <c r="N9" i="9"/>
  <c r="G9" i="9"/>
  <c r="O9" i="9" s="1"/>
  <c r="G8" i="9"/>
  <c r="O8" i="9" s="1"/>
  <c r="N7" i="9"/>
  <c r="G7" i="9"/>
  <c r="O7" i="9" s="1"/>
  <c r="G6" i="9"/>
  <c r="O6" i="9" s="1"/>
  <c r="G5" i="9"/>
  <c r="N5" i="9" s="1"/>
  <c r="G4" i="9"/>
  <c r="O4" i="9" s="1"/>
  <c r="N11" i="9" l="1"/>
  <c r="N13" i="9"/>
  <c r="W47" i="9"/>
  <c r="O57" i="9"/>
  <c r="O31" i="9"/>
  <c r="X38" i="9"/>
  <c r="AA38" i="9" s="1"/>
  <c r="W52" i="9"/>
  <c r="W61" i="9"/>
  <c r="O64" i="9"/>
  <c r="P64" i="9" s="1"/>
  <c r="O30" i="9"/>
  <c r="P30" i="9" s="1"/>
  <c r="O37" i="9"/>
  <c r="P37" i="9" s="1"/>
  <c r="W37" i="9" s="1"/>
  <c r="X37" i="9" s="1"/>
  <c r="AA37" i="9" s="1"/>
  <c r="O39" i="9"/>
  <c r="P39" i="9" s="1"/>
  <c r="W39" i="9" s="1"/>
  <c r="X39" i="9" s="1"/>
  <c r="AA39" i="9" s="1"/>
  <c r="O41" i="9"/>
  <c r="O49" i="9"/>
  <c r="O54" i="9"/>
  <c r="P54" i="9" s="1"/>
  <c r="N56" i="9"/>
  <c r="X56" i="9" s="1"/>
  <c r="AA56" i="9" s="1"/>
  <c r="N8" i="9"/>
  <c r="N66" i="9"/>
  <c r="N63" i="9"/>
  <c r="O67" i="9"/>
  <c r="P67" i="9" s="1"/>
  <c r="W67" i="9" s="1"/>
  <c r="X67" i="9" s="1"/>
  <c r="AA67" i="9" s="1"/>
  <c r="N70" i="9"/>
  <c r="N4" i="9"/>
  <c r="N6" i="9"/>
  <c r="N10" i="9"/>
  <c r="N12" i="9"/>
  <c r="N14" i="9"/>
  <c r="P20" i="9"/>
  <c r="W20" i="9" s="1"/>
  <c r="N36" i="9"/>
  <c r="N48" i="9"/>
  <c r="N53" i="9"/>
  <c r="O58" i="9"/>
  <c r="P58" i="9" s="1"/>
  <c r="N60" i="9"/>
  <c r="N61" i="9"/>
  <c r="N62" i="9"/>
  <c r="O63" i="9"/>
  <c r="W63" i="9" s="1"/>
  <c r="X65" i="9"/>
  <c r="AA65" i="9" s="1"/>
  <c r="O70" i="9"/>
  <c r="X43" i="9"/>
  <c r="AA43" i="9" s="1"/>
  <c r="N45" i="9"/>
  <c r="X45" i="9" s="1"/>
  <c r="AA45" i="9" s="1"/>
  <c r="O50" i="9"/>
  <c r="P50" i="9" s="1"/>
  <c r="N52" i="9"/>
  <c r="S60" i="9"/>
  <c r="W60" i="9" s="1"/>
  <c r="W62" i="9"/>
  <c r="P6" i="9"/>
  <c r="P10" i="9"/>
  <c r="P12" i="9"/>
  <c r="P16" i="9"/>
  <c r="P17" i="9"/>
  <c r="P9" i="9"/>
  <c r="P13" i="9"/>
  <c r="P18" i="9"/>
  <c r="P4" i="9"/>
  <c r="P8" i="9"/>
  <c r="P14" i="9"/>
  <c r="W14" i="9" s="1"/>
  <c r="X14" i="9" s="1"/>
  <c r="AA14" i="9" s="1"/>
  <c r="P7" i="9"/>
  <c r="P11" i="9"/>
  <c r="P15" i="9"/>
  <c r="W15" i="9" s="1"/>
  <c r="X15" i="9" s="1"/>
  <c r="AA15" i="9" s="1"/>
  <c r="S16" i="9"/>
  <c r="S18" i="9"/>
  <c r="W18" i="9" s="1"/>
  <c r="O51" i="9"/>
  <c r="N51" i="9"/>
  <c r="O55" i="9"/>
  <c r="N55" i="9"/>
  <c r="O59" i="9"/>
  <c r="N59" i="9"/>
  <c r="S4" i="9"/>
  <c r="G71" i="9"/>
  <c r="S5" i="9"/>
  <c r="S6" i="9"/>
  <c r="S7" i="9"/>
  <c r="S8" i="9"/>
  <c r="W8" i="9" s="1"/>
  <c r="X8" i="9" s="1"/>
  <c r="AA8" i="9" s="1"/>
  <c r="S9" i="9"/>
  <c r="S10" i="9"/>
  <c r="S11" i="9"/>
  <c r="S12" i="9"/>
  <c r="S13" i="9"/>
  <c r="S14" i="9"/>
  <c r="N16" i="9"/>
  <c r="N17" i="9"/>
  <c r="N18" i="9"/>
  <c r="N19" i="9"/>
  <c r="N21" i="9"/>
  <c r="N23" i="9"/>
  <c r="P29" i="9"/>
  <c r="O32" i="9"/>
  <c r="N32" i="9"/>
  <c r="N33" i="9"/>
  <c r="N34" i="9"/>
  <c r="N35" i="9"/>
  <c r="O42" i="9"/>
  <c r="N42" i="9"/>
  <c r="P49" i="9"/>
  <c r="W49" i="9" s="1"/>
  <c r="X49" i="9" s="1"/>
  <c r="AA49" i="9" s="1"/>
  <c r="P53" i="9"/>
  <c r="W53" i="9" s="1"/>
  <c r="X53" i="9" s="1"/>
  <c r="AA53" i="9" s="1"/>
  <c r="P57" i="9"/>
  <c r="W57" i="9" s="1"/>
  <c r="X57" i="9" s="1"/>
  <c r="AA57" i="9" s="1"/>
  <c r="W64" i="9"/>
  <c r="X64" i="9" s="1"/>
  <c r="AA64" i="9" s="1"/>
  <c r="O68" i="9"/>
  <c r="N68" i="9"/>
  <c r="N69" i="9"/>
  <c r="S17" i="9"/>
  <c r="P48" i="9"/>
  <c r="W48" i="9" s="1"/>
  <c r="X48" i="9" s="1"/>
  <c r="AA48" i="9" s="1"/>
  <c r="P21" i="9"/>
  <c r="W21" i="9" s="1"/>
  <c r="O24" i="9"/>
  <c r="N24" i="9"/>
  <c r="O25" i="9"/>
  <c r="N25" i="9"/>
  <c r="O26" i="9"/>
  <c r="N26" i="9"/>
  <c r="O27" i="9"/>
  <c r="N27" i="9"/>
  <c r="O28" i="9"/>
  <c r="N28" i="9"/>
  <c r="N29" i="9"/>
  <c r="S29" i="9"/>
  <c r="S33" i="9"/>
  <c r="S34" i="9"/>
  <c r="W34" i="9" s="1"/>
  <c r="W35" i="9"/>
  <c r="W36" i="9"/>
  <c r="X36" i="9" s="1"/>
  <c r="AA36" i="9" s="1"/>
  <c r="P66" i="9"/>
  <c r="W66" i="9" s="1"/>
  <c r="X66" i="9" s="1"/>
  <c r="AA66" i="9" s="1"/>
  <c r="W69" i="9"/>
  <c r="W70" i="9"/>
  <c r="X70" i="9" s="1"/>
  <c r="AA70" i="9" s="1"/>
  <c r="O44" i="9"/>
  <c r="N44" i="9"/>
  <c r="O5" i="9"/>
  <c r="N20" i="9"/>
  <c r="S21" i="9"/>
  <c r="N22" i="9"/>
  <c r="S23" i="9"/>
  <c r="W23" i="9" s="1"/>
  <c r="P31" i="9"/>
  <c r="W31" i="9" s="1"/>
  <c r="X31" i="9" s="1"/>
  <c r="AA31" i="9" s="1"/>
  <c r="W33" i="9"/>
  <c r="P41" i="9"/>
  <c r="W41" i="9" s="1"/>
  <c r="X41" i="9" s="1"/>
  <c r="AA41" i="9" s="1"/>
  <c r="N47" i="9"/>
  <c r="S30" i="9"/>
  <c r="W30" i="9" s="1"/>
  <c r="X30" i="9" s="1"/>
  <c r="AA30" i="9" s="1"/>
  <c r="W7" i="9" l="1"/>
  <c r="X7" i="9" s="1"/>
  <c r="AA7" i="9" s="1"/>
  <c r="W16" i="9"/>
  <c r="W17" i="9"/>
  <c r="X17" i="9" s="1"/>
  <c r="AA17" i="9" s="1"/>
  <c r="W50" i="9"/>
  <c r="X50" i="9" s="1"/>
  <c r="AA50" i="9" s="1"/>
  <c r="X47" i="9"/>
  <c r="AA47" i="9" s="1"/>
  <c r="W58" i="9"/>
  <c r="X58" i="9" s="1"/>
  <c r="AA58" i="9" s="1"/>
  <c r="W9" i="9"/>
  <c r="X9" i="9" s="1"/>
  <c r="AA9" i="9" s="1"/>
  <c r="X52" i="9"/>
  <c r="AA52" i="9" s="1"/>
  <c r="X61" i="9"/>
  <c r="AA61" i="9" s="1"/>
  <c r="X63" i="9"/>
  <c r="AA63" i="9" s="1"/>
  <c r="X16" i="9"/>
  <c r="AA16" i="9" s="1"/>
  <c r="W12" i="9"/>
  <c r="X12" i="9" s="1"/>
  <c r="AA12" i="9" s="1"/>
  <c r="X62" i="9"/>
  <c r="AA62" i="9" s="1"/>
  <c r="X20" i="9"/>
  <c r="AA20" i="9" s="1"/>
  <c r="W11" i="9"/>
  <c r="X11" i="9" s="1"/>
  <c r="AA11" i="9" s="1"/>
  <c r="W4" i="9"/>
  <c r="X4" i="9" s="1"/>
  <c r="AA4" i="9" s="1"/>
  <c r="W13" i="9"/>
  <c r="X13" i="9" s="1"/>
  <c r="AA13" i="9" s="1"/>
  <c r="W10" i="9"/>
  <c r="X10" i="9" s="1"/>
  <c r="AA10" i="9" s="1"/>
  <c r="W54" i="9"/>
  <c r="X54" i="9" s="1"/>
  <c r="AA54" i="9" s="1"/>
  <c r="W29" i="9"/>
  <c r="X29" i="9" s="1"/>
  <c r="AA29" i="9" s="1"/>
  <c r="W6" i="9"/>
  <c r="X6" i="9" s="1"/>
  <c r="AA6" i="9" s="1"/>
  <c r="X60" i="9"/>
  <c r="AA60" i="9" s="1"/>
  <c r="X21" i="9"/>
  <c r="AA21" i="9" s="1"/>
  <c r="P27" i="9"/>
  <c r="W27" i="9" s="1"/>
  <c r="X27" i="9" s="1"/>
  <c r="AA27" i="9" s="1"/>
  <c r="X69" i="9"/>
  <c r="AA69" i="9" s="1"/>
  <c r="X33" i="9"/>
  <c r="AA33" i="9" s="1"/>
  <c r="S19" i="9"/>
  <c r="W19" i="9" s="1"/>
  <c r="X19" i="9" s="1"/>
  <c r="AA19" i="9" s="1"/>
  <c r="P51" i="9"/>
  <c r="W51" i="9" s="1"/>
  <c r="X51" i="9" s="1"/>
  <c r="AA51" i="9" s="1"/>
  <c r="W44" i="9"/>
  <c r="X44" i="9" s="1"/>
  <c r="AA44" i="9" s="1"/>
  <c r="P44" i="9"/>
  <c r="S28" i="9"/>
  <c r="X18" i="9"/>
  <c r="AA18" i="9" s="1"/>
  <c r="W55" i="9"/>
  <c r="X55" i="9" s="1"/>
  <c r="AA55" i="9" s="1"/>
  <c r="P55" i="9"/>
  <c r="N71" i="9"/>
  <c r="X34" i="9"/>
  <c r="AA34" i="9" s="1"/>
  <c r="P25" i="9"/>
  <c r="W25" i="9" s="1"/>
  <c r="X25" i="9" s="1"/>
  <c r="AA25" i="9" s="1"/>
  <c r="S22" i="9"/>
  <c r="W22" i="9" s="1"/>
  <c r="X22" i="9" s="1"/>
  <c r="AA22" i="9" s="1"/>
  <c r="O71" i="9"/>
  <c r="P5" i="9"/>
  <c r="W5" i="9" s="1"/>
  <c r="P28" i="9"/>
  <c r="P26" i="9"/>
  <c r="W26" i="9" s="1"/>
  <c r="X26" i="9" s="1"/>
  <c r="AA26" i="9" s="1"/>
  <c r="P24" i="9"/>
  <c r="W24" i="9" s="1"/>
  <c r="X24" i="9" s="1"/>
  <c r="AA24" i="9" s="1"/>
  <c r="P68" i="9"/>
  <c r="W68" i="9" s="1"/>
  <c r="X68" i="9" s="1"/>
  <c r="AA68" i="9" s="1"/>
  <c r="P42" i="9"/>
  <c r="W42" i="9" s="1"/>
  <c r="X42" i="9" s="1"/>
  <c r="AA42" i="9" s="1"/>
  <c r="X35" i="9"/>
  <c r="AA35" i="9" s="1"/>
  <c r="P32" i="9"/>
  <c r="W32" i="9" s="1"/>
  <c r="X32" i="9" s="1"/>
  <c r="AA32" i="9" s="1"/>
  <c r="X23" i="9"/>
  <c r="AA23" i="9" s="1"/>
  <c r="P59" i="9"/>
  <c r="W59" i="9" s="1"/>
  <c r="X59" i="9" s="1"/>
  <c r="AA59" i="9" s="1"/>
  <c r="W28" i="9" l="1"/>
  <c r="X28" i="9" s="1"/>
  <c r="AA28" i="9" s="1"/>
  <c r="W71" i="9"/>
  <c r="X5" i="9"/>
  <c r="S71" i="9"/>
  <c r="P71" i="9"/>
  <c r="X71" i="9" l="1"/>
  <c r="AA5" i="9"/>
  <c r="AA71" i="9" s="1"/>
  <c r="C159" i="7" l="1"/>
  <c r="C139" i="7"/>
  <c r="C132" i="7"/>
  <c r="C134" i="7" s="1"/>
  <c r="Z66" i="7"/>
  <c r="Y66" i="7"/>
  <c r="V66" i="7"/>
  <c r="U66" i="7"/>
  <c r="T66" i="7"/>
  <c r="R66" i="7"/>
  <c r="Q66" i="7"/>
  <c r="L66" i="7"/>
  <c r="J66" i="7"/>
  <c r="I66" i="7"/>
  <c r="H66" i="7"/>
  <c r="E66" i="7"/>
  <c r="G65" i="7"/>
  <c r="P65" i="7" s="1"/>
  <c r="W64" i="7"/>
  <c r="G64" i="7"/>
  <c r="N64" i="7" s="1"/>
  <c r="X64" i="7" s="1"/>
  <c r="AA64" i="7" s="1"/>
  <c r="G63" i="7"/>
  <c r="O63" i="7" s="1"/>
  <c r="W62" i="7"/>
  <c r="G62" i="7"/>
  <c r="O62" i="7" s="1"/>
  <c r="P62" i="7" s="1"/>
  <c r="P61" i="7"/>
  <c r="W61" i="7" s="1"/>
  <c r="G61" i="7"/>
  <c r="N61" i="7" s="1"/>
  <c r="G60" i="7"/>
  <c r="O60" i="7" s="1"/>
  <c r="G59" i="7"/>
  <c r="W58" i="7"/>
  <c r="G58" i="7"/>
  <c r="N58" i="7" s="1"/>
  <c r="X58" i="7" s="1"/>
  <c r="AA58" i="7" s="1"/>
  <c r="V57" i="7"/>
  <c r="G57" i="7"/>
  <c r="O57" i="7" s="1"/>
  <c r="P57" i="7" s="1"/>
  <c r="G56" i="7"/>
  <c r="S56" i="7" s="1"/>
  <c r="G55" i="7"/>
  <c r="O55" i="7" s="1"/>
  <c r="P55" i="7" s="1"/>
  <c r="G54" i="7"/>
  <c r="O53" i="7"/>
  <c r="G53" i="7"/>
  <c r="N53" i="7" s="1"/>
  <c r="G52" i="7"/>
  <c r="O52" i="7" s="1"/>
  <c r="G51" i="7"/>
  <c r="O51" i="7" s="1"/>
  <c r="P51" i="7" s="1"/>
  <c r="G50" i="7"/>
  <c r="G49" i="7"/>
  <c r="O49" i="7" s="1"/>
  <c r="P49" i="7" s="1"/>
  <c r="G48" i="7"/>
  <c r="N48" i="7" s="1"/>
  <c r="G47" i="7"/>
  <c r="O47" i="7" s="1"/>
  <c r="P47" i="7" s="1"/>
  <c r="G46" i="7"/>
  <c r="O46" i="7" s="1"/>
  <c r="P46" i="7" s="1"/>
  <c r="G45" i="7"/>
  <c r="P44" i="7"/>
  <c r="W44" i="7" s="1"/>
  <c r="G44" i="7"/>
  <c r="N44" i="7" s="1"/>
  <c r="X44" i="7" s="1"/>
  <c r="AA44" i="7" s="1"/>
  <c r="G43" i="7"/>
  <c r="O43" i="7" s="1"/>
  <c r="P43" i="7" s="1"/>
  <c r="G42" i="7"/>
  <c r="G41" i="7"/>
  <c r="O41" i="7" s="1"/>
  <c r="O40" i="7"/>
  <c r="N40" i="7"/>
  <c r="G39" i="7"/>
  <c r="W38" i="7"/>
  <c r="G38" i="7"/>
  <c r="N38" i="7" s="1"/>
  <c r="X38" i="7" s="1"/>
  <c r="AA38" i="7" s="1"/>
  <c r="W37" i="7"/>
  <c r="G37" i="7"/>
  <c r="N37" i="7" s="1"/>
  <c r="X37" i="7" s="1"/>
  <c r="AA37" i="7" s="1"/>
  <c r="G36" i="7"/>
  <c r="O36" i="7" s="1"/>
  <c r="P36" i="7" s="1"/>
  <c r="P35" i="7"/>
  <c r="G35" i="7"/>
  <c r="N35" i="7" s="1"/>
  <c r="O34" i="7"/>
  <c r="G34" i="7"/>
  <c r="N34" i="7" s="1"/>
  <c r="G33" i="7"/>
  <c r="N33" i="7" s="1"/>
  <c r="G32" i="7"/>
  <c r="N32" i="7" s="1"/>
  <c r="G31" i="7"/>
  <c r="N31" i="7" s="1"/>
  <c r="G30" i="7"/>
  <c r="S30" i="7" s="1"/>
  <c r="M29" i="7"/>
  <c r="G29" i="7"/>
  <c r="S29" i="7" s="1"/>
  <c r="G28" i="7"/>
  <c r="O28" i="7" s="1"/>
  <c r="G27" i="7"/>
  <c r="S27" i="7" s="1"/>
  <c r="O26" i="7"/>
  <c r="N26" i="7"/>
  <c r="G26" i="7"/>
  <c r="S26" i="7" s="1"/>
  <c r="G25" i="7"/>
  <c r="S25" i="7" s="1"/>
  <c r="G24" i="7"/>
  <c r="S24" i="7" s="1"/>
  <c r="G23" i="7"/>
  <c r="S23" i="7" s="1"/>
  <c r="O22" i="7"/>
  <c r="N22" i="7"/>
  <c r="S22" i="7" s="1"/>
  <c r="G22" i="7"/>
  <c r="G21" i="7"/>
  <c r="S21" i="7" s="1"/>
  <c r="G20" i="7"/>
  <c r="N20" i="7" s="1"/>
  <c r="S20" i="7" s="1"/>
  <c r="G19" i="7"/>
  <c r="N19" i="7" s="1"/>
  <c r="S19" i="7" s="1"/>
  <c r="O18" i="7"/>
  <c r="P18" i="7" s="1"/>
  <c r="G18" i="7"/>
  <c r="N18" i="7" s="1"/>
  <c r="G17" i="7"/>
  <c r="N17" i="7" s="1"/>
  <c r="O16" i="7"/>
  <c r="N16" i="7"/>
  <c r="G16" i="7"/>
  <c r="G15" i="7"/>
  <c r="O15" i="7" s="1"/>
  <c r="P15" i="7" s="1"/>
  <c r="G14" i="7"/>
  <c r="S14" i="7" s="1"/>
  <c r="G13" i="7"/>
  <c r="S13" i="7" s="1"/>
  <c r="G12" i="7"/>
  <c r="O12" i="7" s="1"/>
  <c r="G11" i="7"/>
  <c r="S11" i="7" s="1"/>
  <c r="G10" i="7"/>
  <c r="N10" i="7" s="1"/>
  <c r="G9" i="7"/>
  <c r="N9" i="7" s="1"/>
  <c r="G8" i="7"/>
  <c r="N8" i="7" s="1"/>
  <c r="G7" i="7"/>
  <c r="N7" i="7" s="1"/>
  <c r="S6" i="7"/>
  <c r="O6" i="7"/>
  <c r="P6" i="7" s="1"/>
  <c r="G6" i="7"/>
  <c r="N6" i="7" s="1"/>
  <c r="G5" i="7"/>
  <c r="S5" i="7" s="1"/>
  <c r="S4" i="7"/>
  <c r="O4" i="7"/>
  <c r="G4" i="7"/>
  <c r="N4" i="7" s="1"/>
  <c r="N29" i="7" l="1"/>
  <c r="O32" i="7"/>
  <c r="N11" i="7"/>
  <c r="N15" i="7"/>
  <c r="S15" i="7" s="1"/>
  <c r="W15" i="7" s="1"/>
  <c r="X15" i="7" s="1"/>
  <c r="AA15" i="7" s="1"/>
  <c r="N21" i="7"/>
  <c r="N25" i="7"/>
  <c r="O48" i="7"/>
  <c r="N57" i="7"/>
  <c r="S9" i="7"/>
  <c r="N14" i="7"/>
  <c r="O19" i="7"/>
  <c r="P19" i="7" s="1"/>
  <c r="W19" i="7" s="1"/>
  <c r="X19" i="7" s="1"/>
  <c r="AA19" i="7" s="1"/>
  <c r="O25" i="7"/>
  <c r="P25" i="7" s="1"/>
  <c r="O11" i="7"/>
  <c r="P11" i="7" s="1"/>
  <c r="O21" i="7"/>
  <c r="S7" i="7"/>
  <c r="O14" i="7"/>
  <c r="M66" i="7"/>
  <c r="N43" i="7"/>
  <c r="W47" i="7"/>
  <c r="N52" i="7"/>
  <c r="N56" i="7"/>
  <c r="N60" i="7"/>
  <c r="N65" i="7"/>
  <c r="N13" i="7"/>
  <c r="N24" i="7"/>
  <c r="N28" i="7"/>
  <c r="S28" i="7" s="1"/>
  <c r="N30" i="7"/>
  <c r="N41" i="7"/>
  <c r="S8" i="7"/>
  <c r="O10" i="7"/>
  <c r="W10" i="7" s="1"/>
  <c r="X10" i="7" s="1"/>
  <c r="AA10" i="7" s="1"/>
  <c r="O13" i="7"/>
  <c r="P13" i="7" s="1"/>
  <c r="W13" i="7" s="1"/>
  <c r="X13" i="7" s="1"/>
  <c r="AA13" i="7" s="1"/>
  <c r="O17" i="7"/>
  <c r="O20" i="7"/>
  <c r="N23" i="7"/>
  <c r="O24" i="7"/>
  <c r="P24" i="7" s="1"/>
  <c r="W24" i="7" s="1"/>
  <c r="X24" i="7" s="1"/>
  <c r="AA24" i="7" s="1"/>
  <c r="N27" i="7"/>
  <c r="O29" i="7"/>
  <c r="P29" i="7" s="1"/>
  <c r="O30" i="7"/>
  <c r="O31" i="7"/>
  <c r="P31" i="7" s="1"/>
  <c r="W31" i="7" s="1"/>
  <c r="X31" i="7" s="1"/>
  <c r="AA31" i="7" s="1"/>
  <c r="O33" i="7"/>
  <c r="P33" i="7" s="1"/>
  <c r="W43" i="7"/>
  <c r="N49" i="7"/>
  <c r="N51" i="7"/>
  <c r="X51" i="7" s="1"/>
  <c r="AA51" i="7" s="1"/>
  <c r="O56" i="7"/>
  <c r="P56" i="7" s="1"/>
  <c r="N63" i="7"/>
  <c r="O65" i="7"/>
  <c r="O8" i="7"/>
  <c r="O23" i="7"/>
  <c r="O27" i="7"/>
  <c r="W51" i="7"/>
  <c r="W57" i="7"/>
  <c r="X57" i="7" s="1"/>
  <c r="AA57" i="7" s="1"/>
  <c r="N62" i="7"/>
  <c r="X62" i="7" s="1"/>
  <c r="AA62" i="7" s="1"/>
  <c r="P12" i="7"/>
  <c r="W12" i="7" s="1"/>
  <c r="P40" i="7"/>
  <c r="W40" i="7" s="1"/>
  <c r="X40" i="7" s="1"/>
  <c r="AA40" i="7" s="1"/>
  <c r="O42" i="7"/>
  <c r="N42" i="7"/>
  <c r="O50" i="7"/>
  <c r="N50" i="7"/>
  <c r="X61" i="7"/>
  <c r="AA61" i="7" s="1"/>
  <c r="G66" i="7"/>
  <c r="N5" i="7"/>
  <c r="P14" i="7"/>
  <c r="W14" i="7" s="1"/>
  <c r="X14" i="7" s="1"/>
  <c r="AA14" i="7" s="1"/>
  <c r="P23" i="7"/>
  <c r="W23" i="7" s="1"/>
  <c r="X23" i="7" s="1"/>
  <c r="AA23" i="7" s="1"/>
  <c r="P32" i="7"/>
  <c r="W52" i="7"/>
  <c r="X52" i="7" s="1"/>
  <c r="AA52" i="7" s="1"/>
  <c r="P52" i="7"/>
  <c r="O54" i="7"/>
  <c r="N54" i="7"/>
  <c r="W63" i="7"/>
  <c r="X63" i="7" s="1"/>
  <c r="AA63" i="7" s="1"/>
  <c r="P63" i="7"/>
  <c r="O5" i="7"/>
  <c r="P16" i="7"/>
  <c r="W16" i="7" s="1"/>
  <c r="X16" i="7" s="1"/>
  <c r="AA16" i="7" s="1"/>
  <c r="N36" i="7"/>
  <c r="P41" i="7"/>
  <c r="W41" i="7" s="1"/>
  <c r="X41" i="7" s="1"/>
  <c r="AA41" i="7" s="1"/>
  <c r="W55" i="7"/>
  <c r="P59" i="7"/>
  <c r="O59" i="7"/>
  <c r="W65" i="7"/>
  <c r="W6" i="7"/>
  <c r="X6" i="7" s="1"/>
  <c r="AA6" i="7" s="1"/>
  <c r="W25" i="7"/>
  <c r="X25" i="7" s="1"/>
  <c r="AA25" i="7" s="1"/>
  <c r="O39" i="7"/>
  <c r="N39" i="7"/>
  <c r="P60" i="7"/>
  <c r="W60" i="7" s="1"/>
  <c r="X60" i="7" s="1"/>
  <c r="AA60" i="7" s="1"/>
  <c r="P4" i="7"/>
  <c r="W4" i="7" s="1"/>
  <c r="X4" i="7" s="1"/>
  <c r="AA4" i="7" s="1"/>
  <c r="P21" i="7"/>
  <c r="W21" i="7" s="1"/>
  <c r="X21" i="7" s="1"/>
  <c r="AA21" i="7" s="1"/>
  <c r="P27" i="7"/>
  <c r="W27" i="7" s="1"/>
  <c r="X27" i="7" s="1"/>
  <c r="AA27" i="7" s="1"/>
  <c r="W49" i="7"/>
  <c r="X49" i="7" s="1"/>
  <c r="AA49" i="7" s="1"/>
  <c r="N55" i="7"/>
  <c r="X55" i="7" s="1"/>
  <c r="AA55" i="7" s="1"/>
  <c r="O7" i="7"/>
  <c r="O9" i="7"/>
  <c r="N12" i="7"/>
  <c r="W11" i="7"/>
  <c r="P17" i="7"/>
  <c r="P20" i="7"/>
  <c r="W20" i="7" s="1"/>
  <c r="X20" i="7" s="1"/>
  <c r="AA20" i="7" s="1"/>
  <c r="P22" i="7"/>
  <c r="W22" i="7" s="1"/>
  <c r="X22" i="7" s="1"/>
  <c r="AA22" i="7" s="1"/>
  <c r="P26" i="7"/>
  <c r="W26" i="7" s="1"/>
  <c r="X26" i="7" s="1"/>
  <c r="AA26" i="7" s="1"/>
  <c r="P28" i="7"/>
  <c r="W28" i="7" s="1"/>
  <c r="X28" i="7" s="1"/>
  <c r="AA28" i="7" s="1"/>
  <c r="W29" i="7"/>
  <c r="X29" i="7" s="1"/>
  <c r="AA29" i="7" s="1"/>
  <c r="P34" i="7"/>
  <c r="W34" i="7" s="1"/>
  <c r="X34" i="7" s="1"/>
  <c r="AA34" i="7" s="1"/>
  <c r="S35" i="7"/>
  <c r="W35" i="7" s="1"/>
  <c r="X35" i="7" s="1"/>
  <c r="AA35" i="7" s="1"/>
  <c r="W36" i="7"/>
  <c r="O45" i="7"/>
  <c r="N45" i="7"/>
  <c r="N46" i="7"/>
  <c r="N47" i="7"/>
  <c r="P53" i="7"/>
  <c r="W53" i="7" s="1"/>
  <c r="X53" i="7" s="1"/>
  <c r="AA53" i="7" s="1"/>
  <c r="W56" i="7"/>
  <c r="X56" i="7" s="1"/>
  <c r="AA56" i="7" s="1"/>
  <c r="N59" i="7"/>
  <c r="S32" i="7"/>
  <c r="S33" i="7"/>
  <c r="W33" i="7" s="1"/>
  <c r="X33" i="7" s="1"/>
  <c r="AA33" i="7" s="1"/>
  <c r="S17" i="7"/>
  <c r="S18" i="7"/>
  <c r="W18" i="7" s="1"/>
  <c r="X18" i="7" s="1"/>
  <c r="AA18" i="7" s="1"/>
  <c r="X11" i="7" l="1"/>
  <c r="AA11" i="7" s="1"/>
  <c r="P48" i="7"/>
  <c r="W48" i="7" s="1"/>
  <c r="X48" i="7" s="1"/>
  <c r="AA48" i="7" s="1"/>
  <c r="X47" i="7"/>
  <c r="AA47" i="7" s="1"/>
  <c r="X65" i="7"/>
  <c r="AA65" i="7" s="1"/>
  <c r="P30" i="7"/>
  <c r="W30" i="7" s="1"/>
  <c r="X30" i="7" s="1"/>
  <c r="AA30" i="7" s="1"/>
  <c r="X43" i="7"/>
  <c r="AA43" i="7" s="1"/>
  <c r="W17" i="7"/>
  <c r="X17" i="7" s="1"/>
  <c r="AA17" i="7" s="1"/>
  <c r="P8" i="7"/>
  <c r="W8" i="7" s="1"/>
  <c r="X8" i="7" s="1"/>
  <c r="AA8" i="7" s="1"/>
  <c r="W59" i="7"/>
  <c r="W32" i="7"/>
  <c r="X32" i="7" s="1"/>
  <c r="AA32" i="7" s="1"/>
  <c r="P9" i="7"/>
  <c r="W9" i="7" s="1"/>
  <c r="X9" i="7" s="1"/>
  <c r="AA9" i="7" s="1"/>
  <c r="P45" i="7"/>
  <c r="W45" i="7" s="1"/>
  <c r="X45" i="7" s="1"/>
  <c r="AA45" i="7" s="1"/>
  <c r="P54" i="7"/>
  <c r="W54" i="7" s="1"/>
  <c r="X54" i="7" s="1"/>
  <c r="AA54" i="7" s="1"/>
  <c r="N66" i="7"/>
  <c r="X36" i="7"/>
  <c r="AA36" i="7" s="1"/>
  <c r="P7" i="7"/>
  <c r="W7" i="7" s="1"/>
  <c r="X7" i="7" s="1"/>
  <c r="AA7" i="7" s="1"/>
  <c r="O66" i="7"/>
  <c r="P5" i="7"/>
  <c r="P50" i="7"/>
  <c r="W50" i="7" s="1"/>
  <c r="X50" i="7" s="1"/>
  <c r="AA50" i="7" s="1"/>
  <c r="X59" i="7"/>
  <c r="AA59" i="7" s="1"/>
  <c r="S46" i="7"/>
  <c r="W46" i="7" s="1"/>
  <c r="X46" i="7" s="1"/>
  <c r="AA46" i="7" s="1"/>
  <c r="X12" i="7"/>
  <c r="AA12" i="7" s="1"/>
  <c r="P39" i="7"/>
  <c r="W39" i="7" s="1"/>
  <c r="X39" i="7" s="1"/>
  <c r="AA39" i="7" s="1"/>
  <c r="P42" i="7"/>
  <c r="W42" i="7" s="1"/>
  <c r="X42" i="7" s="1"/>
  <c r="AA42" i="7" s="1"/>
  <c r="P66" i="7" l="1"/>
  <c r="W5" i="7"/>
  <c r="S66" i="7"/>
  <c r="W66" i="7" l="1"/>
  <c r="X5" i="7"/>
  <c r="X66" i="7" l="1"/>
  <c r="AA5" i="7"/>
  <c r="AA66" i="7" s="1"/>
  <c r="C157" i="6" l="1"/>
  <c r="C137" i="6"/>
  <c r="C130" i="6"/>
  <c r="C132" i="6" s="1"/>
  <c r="Z64" i="6"/>
  <c r="Y64" i="6"/>
  <c r="V64" i="6"/>
  <c r="U64" i="6"/>
  <c r="T64" i="6"/>
  <c r="R64" i="6"/>
  <c r="Q64" i="6"/>
  <c r="M64" i="6"/>
  <c r="L64" i="6"/>
  <c r="J64" i="6"/>
  <c r="I64" i="6"/>
  <c r="E64" i="6"/>
  <c r="G63" i="6"/>
  <c r="O63" i="6" s="1"/>
  <c r="W62" i="6"/>
  <c r="G62" i="6"/>
  <c r="N62" i="6" s="1"/>
  <c r="X62" i="6" s="1"/>
  <c r="AA62" i="6" s="1"/>
  <c r="G61" i="6"/>
  <c r="O61" i="6" s="1"/>
  <c r="P61" i="6" s="1"/>
  <c r="G60" i="6"/>
  <c r="N60" i="6" s="1"/>
  <c r="G59" i="6"/>
  <c r="O59" i="6" s="1"/>
  <c r="P59" i="6" s="1"/>
  <c r="G58" i="6"/>
  <c r="N58" i="6" s="1"/>
  <c r="G57" i="6"/>
  <c r="O57" i="6" s="1"/>
  <c r="W56" i="6"/>
  <c r="G56" i="6"/>
  <c r="N56" i="6" s="1"/>
  <c r="G55" i="6"/>
  <c r="O55" i="6" s="1"/>
  <c r="G54" i="6"/>
  <c r="S54" i="6" s="1"/>
  <c r="G53" i="6"/>
  <c r="N53" i="6" s="1"/>
  <c r="O52" i="6"/>
  <c r="P52" i="6" s="1"/>
  <c r="N52" i="6"/>
  <c r="N51" i="6"/>
  <c r="G51" i="6"/>
  <c r="O51" i="6" s="1"/>
  <c r="G50" i="6"/>
  <c r="N50" i="6" s="1"/>
  <c r="G49" i="6"/>
  <c r="O49" i="6" s="1"/>
  <c r="O48" i="6"/>
  <c r="P48" i="6" s="1"/>
  <c r="G48" i="6"/>
  <c r="N48" i="6" s="1"/>
  <c r="H47" i="6"/>
  <c r="H64" i="6" s="1"/>
  <c r="G47" i="6"/>
  <c r="O47" i="6" s="1"/>
  <c r="P47" i="6" s="1"/>
  <c r="G46" i="6"/>
  <c r="O46" i="6" s="1"/>
  <c r="P46" i="6" s="1"/>
  <c r="G45" i="6"/>
  <c r="N45" i="6" s="1"/>
  <c r="O44" i="6"/>
  <c r="P44" i="6" s="1"/>
  <c r="G44" i="6"/>
  <c r="N44" i="6" s="1"/>
  <c r="O43" i="6"/>
  <c r="P43" i="6" s="1"/>
  <c r="N43" i="6"/>
  <c r="G43" i="6"/>
  <c r="G42" i="6"/>
  <c r="N42" i="6" s="1"/>
  <c r="P41" i="6"/>
  <c r="N41" i="6"/>
  <c r="G41" i="6"/>
  <c r="O41" i="6" s="1"/>
  <c r="G40" i="6"/>
  <c r="N40" i="6" s="1"/>
  <c r="N39" i="6"/>
  <c r="G39" i="6"/>
  <c r="O39" i="6" s="1"/>
  <c r="G38" i="6"/>
  <c r="N38" i="6" s="1"/>
  <c r="O37" i="6"/>
  <c r="P37" i="6" s="1"/>
  <c r="W37" i="6" s="1"/>
  <c r="X37" i="6" s="1"/>
  <c r="AA37" i="6" s="1"/>
  <c r="N37" i="6"/>
  <c r="G36" i="6"/>
  <c r="N36" i="6" s="1"/>
  <c r="W35" i="6"/>
  <c r="G35" i="6"/>
  <c r="N35" i="6" s="1"/>
  <c r="X35" i="6" s="1"/>
  <c r="AA35" i="6" s="1"/>
  <c r="W34" i="6"/>
  <c r="G34" i="6"/>
  <c r="N34" i="6" s="1"/>
  <c r="X34" i="6" s="1"/>
  <c r="AA34" i="6" s="1"/>
  <c r="G33" i="6"/>
  <c r="N33" i="6" s="1"/>
  <c r="G32" i="6"/>
  <c r="N32" i="6" s="1"/>
  <c r="G31" i="6"/>
  <c r="O31" i="6" s="1"/>
  <c r="P31" i="6" s="1"/>
  <c r="G30" i="6"/>
  <c r="O30" i="6" s="1"/>
  <c r="P30" i="6" s="1"/>
  <c r="G29" i="6"/>
  <c r="N29" i="6" s="1"/>
  <c r="G28" i="6"/>
  <c r="N28" i="6" s="1"/>
  <c r="O27" i="6"/>
  <c r="M27" i="6"/>
  <c r="G27" i="6"/>
  <c r="S27" i="6" s="1"/>
  <c r="G26" i="6"/>
  <c r="O26" i="6" s="1"/>
  <c r="P26" i="6" s="1"/>
  <c r="G25" i="6"/>
  <c r="O25" i="6" s="1"/>
  <c r="P25" i="6" s="1"/>
  <c r="G24" i="6"/>
  <c r="O24" i="6" s="1"/>
  <c r="P24" i="6" s="1"/>
  <c r="G23" i="6"/>
  <c r="O23" i="6" s="1"/>
  <c r="G22" i="6"/>
  <c r="O22" i="6" s="1"/>
  <c r="P22" i="6" s="1"/>
  <c r="P21" i="6"/>
  <c r="N21" i="6"/>
  <c r="G21" i="6"/>
  <c r="O21" i="6" s="1"/>
  <c r="G20" i="6"/>
  <c r="O20" i="6" s="1"/>
  <c r="P20" i="6" s="1"/>
  <c r="N19" i="6"/>
  <c r="G19" i="6"/>
  <c r="O19" i="6" s="1"/>
  <c r="G18" i="6"/>
  <c r="O18" i="6" s="1"/>
  <c r="P18" i="6" s="1"/>
  <c r="O17" i="6"/>
  <c r="P17" i="6" s="1"/>
  <c r="G17" i="6"/>
  <c r="N17" i="6" s="1"/>
  <c r="G16" i="6"/>
  <c r="N16" i="6" s="1"/>
  <c r="S16" i="6" s="1"/>
  <c r="O15" i="6"/>
  <c r="G15" i="6"/>
  <c r="N15" i="6" s="1"/>
  <c r="G14" i="6"/>
  <c r="N14" i="6" s="1"/>
  <c r="G13" i="6"/>
  <c r="O13" i="6" s="1"/>
  <c r="G12" i="6"/>
  <c r="N12" i="6" s="1"/>
  <c r="S11" i="6"/>
  <c r="O11" i="6"/>
  <c r="G11" i="6"/>
  <c r="N11" i="6" s="1"/>
  <c r="G10" i="6"/>
  <c r="N10" i="6" s="1"/>
  <c r="G9" i="6"/>
  <c r="N9" i="6" s="1"/>
  <c r="G8" i="6"/>
  <c r="S8" i="6" s="1"/>
  <c r="G7" i="6"/>
  <c r="S6" i="6"/>
  <c r="G6" i="6"/>
  <c r="G5" i="6"/>
  <c r="S5" i="6" s="1"/>
  <c r="G4" i="6"/>
  <c r="S4" i="6" s="1"/>
  <c r="O10" i="6" l="1"/>
  <c r="W10" i="6" s="1"/>
  <c r="X10" i="6" s="1"/>
  <c r="AA10" i="6" s="1"/>
  <c r="N26" i="6"/>
  <c r="O12" i="6"/>
  <c r="N18" i="6"/>
  <c r="N22" i="6"/>
  <c r="N24" i="6"/>
  <c r="O40" i="6"/>
  <c r="P40" i="6" s="1"/>
  <c r="N47" i="6"/>
  <c r="N57" i="6"/>
  <c r="N59" i="6"/>
  <c r="O16" i="6"/>
  <c r="P16" i="6" s="1"/>
  <c r="W16" i="6" s="1"/>
  <c r="X16" i="6" s="1"/>
  <c r="AA16" i="6" s="1"/>
  <c r="N31" i="6"/>
  <c r="O33" i="6"/>
  <c r="P33" i="6" s="1"/>
  <c r="O36" i="6"/>
  <c r="P36" i="6" s="1"/>
  <c r="N54" i="6"/>
  <c r="N46" i="6"/>
  <c r="P57" i="6"/>
  <c r="P49" i="6"/>
  <c r="W49" i="6" s="1"/>
  <c r="P13" i="6"/>
  <c r="W13" i="6" s="1"/>
  <c r="W39" i="6"/>
  <c r="P39" i="6"/>
  <c r="N13" i="6"/>
  <c r="O14" i="6"/>
  <c r="P14" i="6" s="1"/>
  <c r="W14" i="6" s="1"/>
  <c r="X14" i="6" s="1"/>
  <c r="AA14" i="6" s="1"/>
  <c r="S15" i="6"/>
  <c r="N20" i="6"/>
  <c r="N23" i="6"/>
  <c r="N25" i="6"/>
  <c r="N30" i="6"/>
  <c r="W33" i="6"/>
  <c r="O38" i="6"/>
  <c r="O42" i="6"/>
  <c r="P42" i="6" s="1"/>
  <c r="N49" i="6"/>
  <c r="W57" i="6"/>
  <c r="N61" i="6"/>
  <c r="N63" i="6"/>
  <c r="X39" i="6"/>
  <c r="AA39" i="6" s="1"/>
  <c r="W52" i="6"/>
  <c r="S14" i="6"/>
  <c r="N27" i="6"/>
  <c r="S32" i="6"/>
  <c r="N55" i="6"/>
  <c r="X57" i="6"/>
  <c r="AA57" i="6" s="1"/>
  <c r="P63" i="6"/>
  <c r="W63" i="6" s="1"/>
  <c r="X63" i="6" s="1"/>
  <c r="AA63" i="6" s="1"/>
  <c r="X52" i="6"/>
  <c r="AA52" i="6" s="1"/>
  <c r="X56" i="6"/>
  <c r="AA56" i="6" s="1"/>
  <c r="O4" i="6"/>
  <c r="N4" i="6"/>
  <c r="O6" i="6"/>
  <c r="N6" i="6"/>
  <c r="G64" i="6"/>
  <c r="O5" i="6"/>
  <c r="N5" i="6"/>
  <c r="S7" i="6"/>
  <c r="O7" i="6"/>
  <c r="N7" i="6"/>
  <c r="N8" i="6"/>
  <c r="O9" i="6"/>
  <c r="W17" i="6"/>
  <c r="S19" i="6"/>
  <c r="O50" i="6"/>
  <c r="O53" i="6"/>
  <c r="O58" i="6"/>
  <c r="O8" i="6"/>
  <c r="P19" i="6"/>
  <c r="W19" i="6" s="1"/>
  <c r="X19" i="6" s="1"/>
  <c r="AA19" i="6" s="1"/>
  <c r="S20" i="6"/>
  <c r="W20" i="6" s="1"/>
  <c r="X20" i="6" s="1"/>
  <c r="AA20" i="6" s="1"/>
  <c r="P23" i="6"/>
  <c r="P27" i="6"/>
  <c r="W27" i="6" s="1"/>
  <c r="O28" i="6"/>
  <c r="O29" i="6"/>
  <c r="W31" i="6"/>
  <c r="X33" i="6"/>
  <c r="AA33" i="6" s="1"/>
  <c r="W46" i="6"/>
  <c r="X46" i="6" s="1"/>
  <c r="AA46" i="6" s="1"/>
  <c r="W47" i="6"/>
  <c r="P51" i="6"/>
  <c r="W51" i="6" s="1"/>
  <c r="X51" i="6" s="1"/>
  <c r="AA51" i="6" s="1"/>
  <c r="P15" i="6"/>
  <c r="W15" i="6" s="1"/>
  <c r="X15" i="6" s="1"/>
  <c r="AA15" i="6" s="1"/>
  <c r="S26" i="6"/>
  <c r="W26" i="6" s="1"/>
  <c r="X26" i="6" s="1"/>
  <c r="AA26" i="6" s="1"/>
  <c r="S43" i="6"/>
  <c r="W43" i="6" s="1"/>
  <c r="X43" i="6" s="1"/>
  <c r="AA43" i="6" s="1"/>
  <c r="W59" i="6"/>
  <c r="X59" i="6" s="1"/>
  <c r="AA59" i="6" s="1"/>
  <c r="W61" i="6"/>
  <c r="X61" i="6" s="1"/>
  <c r="AA61" i="6" s="1"/>
  <c r="W40" i="6"/>
  <c r="X40" i="6" s="1"/>
  <c r="AA40" i="6" s="1"/>
  <c r="W48" i="6"/>
  <c r="X48" i="6" s="1"/>
  <c r="AA48" i="6" s="1"/>
  <c r="O60" i="6"/>
  <c r="S9" i="6"/>
  <c r="P11" i="6"/>
  <c r="W11" i="6" s="1"/>
  <c r="X11" i="6" s="1"/>
  <c r="AA11" i="6" s="1"/>
  <c r="X17" i="6"/>
  <c r="AA17" i="6" s="1"/>
  <c r="S21" i="6"/>
  <c r="W21" i="6" s="1"/>
  <c r="X21" i="6" s="1"/>
  <c r="AA21" i="6" s="1"/>
  <c r="S28" i="6"/>
  <c r="O32" i="6"/>
  <c r="W36" i="6"/>
  <c r="X36" i="6" s="1"/>
  <c r="AA36" i="6" s="1"/>
  <c r="W41" i="6"/>
  <c r="X41" i="6" s="1"/>
  <c r="AA41" i="6" s="1"/>
  <c r="W44" i="6"/>
  <c r="X44" i="6" s="1"/>
  <c r="AA44" i="6" s="1"/>
  <c r="O45" i="6"/>
  <c r="P55" i="6"/>
  <c r="W55" i="6" s="1"/>
  <c r="X55" i="6" s="1"/>
  <c r="AA55" i="6" s="1"/>
  <c r="S18" i="6"/>
  <c r="W18" i="6" s="1"/>
  <c r="S22" i="6"/>
  <c r="W22" i="6" s="1"/>
  <c r="X22" i="6" s="1"/>
  <c r="AA22" i="6" s="1"/>
  <c r="S23" i="6"/>
  <c r="S24" i="6"/>
  <c r="W24" i="6" s="1"/>
  <c r="X24" i="6" s="1"/>
  <c r="AA24" i="6" s="1"/>
  <c r="S25" i="6"/>
  <c r="W25" i="6" s="1"/>
  <c r="S30" i="6"/>
  <c r="W30" i="6" s="1"/>
  <c r="X30" i="6" s="1"/>
  <c r="AA30" i="6" s="1"/>
  <c r="O54" i="6"/>
  <c r="P12" i="6" l="1"/>
  <c r="W12" i="6"/>
  <c r="X12" i="6" s="1"/>
  <c r="AA12" i="6" s="1"/>
  <c r="X18" i="6"/>
  <c r="AA18" i="6" s="1"/>
  <c r="X31" i="6"/>
  <c r="AA31" i="6" s="1"/>
  <c r="X47" i="6"/>
  <c r="AA47" i="6" s="1"/>
  <c r="X49" i="6"/>
  <c r="AA49" i="6" s="1"/>
  <c r="X25" i="6"/>
  <c r="AA25" i="6" s="1"/>
  <c r="X27" i="6"/>
  <c r="AA27" i="6" s="1"/>
  <c r="P38" i="6"/>
  <c r="W38" i="6"/>
  <c r="X38" i="6" s="1"/>
  <c r="AA38" i="6" s="1"/>
  <c r="X13" i="6"/>
  <c r="AA13" i="6" s="1"/>
  <c r="W23" i="6"/>
  <c r="X23" i="6" s="1"/>
  <c r="AA23" i="6" s="1"/>
  <c r="W42" i="6"/>
  <c r="X42" i="6" s="1"/>
  <c r="AA42" i="6" s="1"/>
  <c r="S64" i="6"/>
  <c r="P28" i="6"/>
  <c r="W28" i="6" s="1"/>
  <c r="X28" i="6" s="1"/>
  <c r="AA28" i="6" s="1"/>
  <c r="P6" i="6"/>
  <c r="W6" i="6" s="1"/>
  <c r="X6" i="6" s="1"/>
  <c r="AA6" i="6" s="1"/>
  <c r="P60" i="6"/>
  <c r="W60" i="6" s="1"/>
  <c r="X60" i="6" s="1"/>
  <c r="AA60" i="6" s="1"/>
  <c r="P45" i="6"/>
  <c r="W45" i="6" s="1"/>
  <c r="X45" i="6" s="1"/>
  <c r="AA45" i="6" s="1"/>
  <c r="P58" i="6"/>
  <c r="W58" i="6" s="1"/>
  <c r="X58" i="6" s="1"/>
  <c r="AA58" i="6" s="1"/>
  <c r="P9" i="6"/>
  <c r="W9" i="6" s="1"/>
  <c r="X9" i="6" s="1"/>
  <c r="AA9" i="6" s="1"/>
  <c r="N64" i="6"/>
  <c r="P4" i="6"/>
  <c r="W4" i="6" s="1"/>
  <c r="X4" i="6" s="1"/>
  <c r="AA4" i="6" s="1"/>
  <c r="P54" i="6"/>
  <c r="W54" i="6" s="1"/>
  <c r="X54" i="6" s="1"/>
  <c r="AA54" i="6" s="1"/>
  <c r="P32" i="6"/>
  <c r="W32" i="6" s="1"/>
  <c r="X32" i="6" s="1"/>
  <c r="AA32" i="6" s="1"/>
  <c r="P50" i="6"/>
  <c r="W50" i="6" s="1"/>
  <c r="X50" i="6" s="1"/>
  <c r="AA50" i="6" s="1"/>
  <c r="P7" i="6"/>
  <c r="W7" i="6" s="1"/>
  <c r="X7" i="6" s="1"/>
  <c r="AA7" i="6" s="1"/>
  <c r="P8" i="6"/>
  <c r="W8" i="6"/>
  <c r="X8" i="6" s="1"/>
  <c r="AA8" i="6" s="1"/>
  <c r="P29" i="6"/>
  <c r="W29" i="6" s="1"/>
  <c r="X29" i="6" s="1"/>
  <c r="AA29" i="6" s="1"/>
  <c r="P53" i="6"/>
  <c r="W53" i="6" s="1"/>
  <c r="X53" i="6" s="1"/>
  <c r="AA53" i="6" s="1"/>
  <c r="P5" i="6"/>
  <c r="W5" i="6" s="1"/>
  <c r="O64" i="6"/>
  <c r="W64" i="6" l="1"/>
  <c r="X5" i="6"/>
  <c r="P64" i="6"/>
  <c r="X64" i="6" l="1"/>
  <c r="AA5" i="6"/>
  <c r="AA64" i="6" s="1"/>
  <c r="C155" i="5" l="1"/>
  <c r="C135" i="5"/>
  <c r="C128" i="5"/>
  <c r="C130" i="5" s="1"/>
  <c r="Z62" i="5"/>
  <c r="Y62" i="5"/>
  <c r="V62" i="5"/>
  <c r="U62" i="5"/>
  <c r="T62" i="5"/>
  <c r="R62" i="5"/>
  <c r="Q62" i="5"/>
  <c r="L62" i="5"/>
  <c r="J62" i="5"/>
  <c r="I62" i="5"/>
  <c r="H62" i="5"/>
  <c r="E62" i="5"/>
  <c r="G61" i="5"/>
  <c r="P61" i="5" s="1"/>
  <c r="W60" i="5"/>
  <c r="G60" i="5"/>
  <c r="N60" i="5" s="1"/>
  <c r="X60" i="5" s="1"/>
  <c r="AA60" i="5" s="1"/>
  <c r="P59" i="5"/>
  <c r="W59" i="5" s="1"/>
  <c r="G59" i="5"/>
  <c r="N59" i="5" s="1"/>
  <c r="G58" i="5"/>
  <c r="O58" i="5" s="1"/>
  <c r="P58" i="5" s="1"/>
  <c r="W58" i="5" s="1"/>
  <c r="G57" i="5"/>
  <c r="G56" i="5"/>
  <c r="N56" i="5" s="1"/>
  <c r="G55" i="5"/>
  <c r="W54" i="5"/>
  <c r="G54" i="5"/>
  <c r="N54" i="5" s="1"/>
  <c r="X54" i="5" s="1"/>
  <c r="AA54" i="5" s="1"/>
  <c r="O53" i="5"/>
  <c r="G53" i="5"/>
  <c r="N53" i="5" s="1"/>
  <c r="G52" i="5"/>
  <c r="P51" i="5"/>
  <c r="W51" i="5" s="1"/>
  <c r="N51" i="5"/>
  <c r="G51" i="5"/>
  <c r="O51" i="5" s="1"/>
  <c r="O50" i="5"/>
  <c r="P50" i="5" s="1"/>
  <c r="W50" i="5" s="1"/>
  <c r="N50" i="5"/>
  <c r="G49" i="5"/>
  <c r="G48" i="5"/>
  <c r="O48" i="5" s="1"/>
  <c r="P48" i="5" s="1"/>
  <c r="W48" i="5" s="1"/>
  <c r="G47" i="5"/>
  <c r="N47" i="5" s="1"/>
  <c r="G46" i="5"/>
  <c r="O46" i="5" s="1"/>
  <c r="G45" i="5"/>
  <c r="N45" i="5" s="1"/>
  <c r="G44" i="5"/>
  <c r="O44" i="5" s="1"/>
  <c r="P44" i="5" s="1"/>
  <c r="G43" i="5"/>
  <c r="G42" i="5"/>
  <c r="N42" i="5" s="1"/>
  <c r="S42" i="5" s="1"/>
  <c r="G41" i="5"/>
  <c r="O41" i="5" s="1"/>
  <c r="G40" i="5"/>
  <c r="N40" i="5" s="1"/>
  <c r="G39" i="5"/>
  <c r="O39" i="5" s="1"/>
  <c r="P39" i="5" s="1"/>
  <c r="W39" i="5" s="1"/>
  <c r="G38" i="5"/>
  <c r="G37" i="5"/>
  <c r="O37" i="5" s="1"/>
  <c r="O36" i="5"/>
  <c r="P36" i="5" s="1"/>
  <c r="N36" i="5"/>
  <c r="G35" i="5"/>
  <c r="W34" i="5"/>
  <c r="G34" i="5"/>
  <c r="N34" i="5" s="1"/>
  <c r="X34" i="5" s="1"/>
  <c r="AA34" i="5" s="1"/>
  <c r="W33" i="5"/>
  <c r="G33" i="5"/>
  <c r="N33" i="5" s="1"/>
  <c r="X33" i="5" s="1"/>
  <c r="AA33" i="5" s="1"/>
  <c r="P32" i="5"/>
  <c r="W32" i="5" s="1"/>
  <c r="G32" i="5"/>
  <c r="O32" i="5" s="1"/>
  <c r="G31" i="5"/>
  <c r="G30" i="5"/>
  <c r="N30" i="5" s="1"/>
  <c r="S29" i="5"/>
  <c r="G29" i="5"/>
  <c r="N29" i="5" s="1"/>
  <c r="G28" i="5"/>
  <c r="O28" i="5" s="1"/>
  <c r="P28" i="5" s="1"/>
  <c r="G27" i="5"/>
  <c r="S27" i="5" s="1"/>
  <c r="M26" i="5"/>
  <c r="M62" i="5" s="1"/>
  <c r="G26" i="5"/>
  <c r="G25" i="5"/>
  <c r="N25" i="5" s="1"/>
  <c r="S25" i="5" s="1"/>
  <c r="G24" i="5"/>
  <c r="G23" i="5"/>
  <c r="N23" i="5" s="1"/>
  <c r="G22" i="5"/>
  <c r="O22" i="5" s="1"/>
  <c r="G21" i="5"/>
  <c r="N21" i="5" s="1"/>
  <c r="G20" i="5"/>
  <c r="O20" i="5" s="1"/>
  <c r="G19" i="5"/>
  <c r="N19" i="5" s="1"/>
  <c r="S19" i="5" s="1"/>
  <c r="G18" i="5"/>
  <c r="N18" i="5" s="1"/>
  <c r="S18" i="5" s="1"/>
  <c r="S17" i="5"/>
  <c r="G17" i="5"/>
  <c r="N17" i="5" s="1"/>
  <c r="G16" i="5"/>
  <c r="O16" i="5" s="1"/>
  <c r="G15" i="5"/>
  <c r="O15" i="5" s="1"/>
  <c r="P15" i="5" s="1"/>
  <c r="O14" i="5"/>
  <c r="G14" i="5"/>
  <c r="S14" i="5" s="1"/>
  <c r="G13" i="5"/>
  <c r="S13" i="5" s="1"/>
  <c r="G12" i="5"/>
  <c r="G11" i="5"/>
  <c r="S11" i="5" s="1"/>
  <c r="G10" i="5"/>
  <c r="N10" i="5" s="1"/>
  <c r="G9" i="5"/>
  <c r="G8" i="5"/>
  <c r="N8" i="5" s="1"/>
  <c r="O7" i="5"/>
  <c r="P7" i="5" s="1"/>
  <c r="N7" i="5"/>
  <c r="G7" i="5"/>
  <c r="S7" i="5" s="1"/>
  <c r="G6" i="5"/>
  <c r="S6" i="5" s="1"/>
  <c r="G5" i="5"/>
  <c r="O5" i="5" s="1"/>
  <c r="P5" i="5" s="1"/>
  <c r="G4" i="5"/>
  <c r="S4" i="5" s="1"/>
  <c r="N6" i="5" l="1"/>
  <c r="N16" i="5"/>
  <c r="N28" i="5"/>
  <c r="N37" i="5"/>
  <c r="N61" i="5"/>
  <c r="N5" i="5"/>
  <c r="O6" i="5"/>
  <c r="P6" i="5" s="1"/>
  <c r="N11" i="5"/>
  <c r="N15" i="5"/>
  <c r="S15" i="5" s="1"/>
  <c r="N27" i="5"/>
  <c r="O40" i="5"/>
  <c r="P40" i="5" s="1"/>
  <c r="W40" i="5" s="1"/>
  <c r="X40" i="5" s="1"/>
  <c r="AA40" i="5" s="1"/>
  <c r="N46" i="5"/>
  <c r="N48" i="5"/>
  <c r="X48" i="5" s="1"/>
  <c r="AA48" i="5" s="1"/>
  <c r="O61" i="5"/>
  <c r="W61" i="5" s="1"/>
  <c r="O11" i="5"/>
  <c r="P11" i="5" s="1"/>
  <c r="N14" i="5"/>
  <c r="O27" i="5"/>
  <c r="P27" i="5" s="1"/>
  <c r="W44" i="5"/>
  <c r="N4" i="5"/>
  <c r="S23" i="5"/>
  <c r="O4" i="5"/>
  <c r="P4" i="5" s="1"/>
  <c r="O8" i="5"/>
  <c r="P8" i="5" s="1"/>
  <c r="O10" i="5"/>
  <c r="W10" i="5" s="1"/>
  <c r="X10" i="5" s="1"/>
  <c r="AA10" i="5" s="1"/>
  <c r="O13" i="5"/>
  <c r="W15" i="5"/>
  <c r="X15" i="5" s="1"/>
  <c r="AA15" i="5" s="1"/>
  <c r="W27" i="5"/>
  <c r="X27" i="5" s="1"/>
  <c r="AA27" i="5" s="1"/>
  <c r="N41" i="5"/>
  <c r="O45" i="5"/>
  <c r="O56" i="5"/>
  <c r="N13" i="5"/>
  <c r="S21" i="5"/>
  <c r="O30" i="5"/>
  <c r="S8" i="5"/>
  <c r="X51" i="5"/>
  <c r="AA51" i="5" s="1"/>
  <c r="X61" i="5"/>
  <c r="AA61" i="5" s="1"/>
  <c r="P20" i="5"/>
  <c r="W20" i="5" s="1"/>
  <c r="P13" i="5"/>
  <c r="W13" i="5" s="1"/>
  <c r="X13" i="5" s="1"/>
  <c r="AA13" i="5" s="1"/>
  <c r="P30" i="5"/>
  <c r="W30" i="5"/>
  <c r="X30" i="5" s="1"/>
  <c r="AA30" i="5" s="1"/>
  <c r="W7" i="5"/>
  <c r="X7" i="5" s="1"/>
  <c r="AA7" i="5" s="1"/>
  <c r="O31" i="5"/>
  <c r="S31" i="5"/>
  <c r="N31" i="5"/>
  <c r="W4" i="5"/>
  <c r="X4" i="5" s="1"/>
  <c r="AA4" i="5" s="1"/>
  <c r="P14" i="5"/>
  <c r="W14" i="5" s="1"/>
  <c r="X14" i="5" s="1"/>
  <c r="AA14" i="5" s="1"/>
  <c r="O18" i="5"/>
  <c r="S26" i="5"/>
  <c r="O26" i="5"/>
  <c r="N26" i="5"/>
  <c r="P37" i="5"/>
  <c r="W37" i="5" s="1"/>
  <c r="P53" i="5"/>
  <c r="W53" i="5" s="1"/>
  <c r="X53" i="5" s="1"/>
  <c r="AA53" i="5" s="1"/>
  <c r="P55" i="5"/>
  <c r="O55" i="5"/>
  <c r="N55" i="5"/>
  <c r="P56" i="5"/>
  <c r="W56" i="5" s="1"/>
  <c r="X56" i="5" s="1"/>
  <c r="AA56" i="5" s="1"/>
  <c r="N9" i="5"/>
  <c r="O9" i="5"/>
  <c r="N20" i="5"/>
  <c r="S20" i="5"/>
  <c r="P22" i="5"/>
  <c r="N43" i="5"/>
  <c r="O43" i="5"/>
  <c r="S9" i="5"/>
  <c r="N24" i="5"/>
  <c r="S24" i="5"/>
  <c r="O24" i="5"/>
  <c r="O12" i="5"/>
  <c r="N12" i="5"/>
  <c r="N22" i="5"/>
  <c r="S22" i="5"/>
  <c r="N35" i="5"/>
  <c r="O35" i="5"/>
  <c r="N38" i="5"/>
  <c r="O38" i="5"/>
  <c r="O49" i="5"/>
  <c r="N49" i="5"/>
  <c r="S52" i="5"/>
  <c r="O52" i="5"/>
  <c r="N52" i="5"/>
  <c r="N57" i="5"/>
  <c r="O57" i="5"/>
  <c r="X59" i="5"/>
  <c r="AA59" i="5" s="1"/>
  <c r="O29" i="5"/>
  <c r="N39" i="5"/>
  <c r="X39" i="5" s="1"/>
  <c r="AA39" i="5" s="1"/>
  <c r="N44" i="5"/>
  <c r="X44" i="5" s="1"/>
  <c r="AA44" i="5" s="1"/>
  <c r="X50" i="5"/>
  <c r="AA50" i="5" s="1"/>
  <c r="N58" i="5"/>
  <c r="X58" i="5" s="1"/>
  <c r="AA58" i="5" s="1"/>
  <c r="W28" i="5"/>
  <c r="X28" i="5" s="1"/>
  <c r="AA28" i="5" s="1"/>
  <c r="G62" i="5"/>
  <c r="S5" i="5"/>
  <c r="P16" i="5"/>
  <c r="W16" i="5" s="1"/>
  <c r="X16" i="5" s="1"/>
  <c r="AA16" i="5" s="1"/>
  <c r="O17" i="5"/>
  <c r="O19" i="5"/>
  <c r="O21" i="5"/>
  <c r="O23" i="5"/>
  <c r="O25" i="5"/>
  <c r="N32" i="5"/>
  <c r="X32" i="5" s="1"/>
  <c r="AA32" i="5" s="1"/>
  <c r="W36" i="5"/>
  <c r="X36" i="5" s="1"/>
  <c r="AA36" i="5" s="1"/>
  <c r="P41" i="5"/>
  <c r="W41" i="5" s="1"/>
  <c r="O42" i="5"/>
  <c r="P46" i="5"/>
  <c r="W46" i="5" s="1"/>
  <c r="X46" i="5" s="1"/>
  <c r="AA46" i="5" s="1"/>
  <c r="O47" i="5"/>
  <c r="W11" i="5" l="1"/>
  <c r="X11" i="5" s="1"/>
  <c r="AA11" i="5" s="1"/>
  <c r="W6" i="5"/>
  <c r="X6" i="5" s="1"/>
  <c r="AA6" i="5" s="1"/>
  <c r="W45" i="5"/>
  <c r="X45" i="5" s="1"/>
  <c r="AA45" i="5" s="1"/>
  <c r="X41" i="5"/>
  <c r="AA41" i="5" s="1"/>
  <c r="P45" i="5"/>
  <c r="W22" i="5"/>
  <c r="X37" i="5"/>
  <c r="AA37" i="5" s="1"/>
  <c r="X20" i="5"/>
  <c r="AA20" i="5" s="1"/>
  <c r="O62" i="5"/>
  <c r="W55" i="5"/>
  <c r="X55" i="5" s="1"/>
  <c r="AA55" i="5" s="1"/>
  <c r="S62" i="5"/>
  <c r="W5" i="5"/>
  <c r="P12" i="5"/>
  <c r="W12" i="5"/>
  <c r="X12" i="5" s="1"/>
  <c r="AA12" i="5" s="1"/>
  <c r="P49" i="5"/>
  <c r="W49" i="5" s="1"/>
  <c r="X49" i="5" s="1"/>
  <c r="AA49" i="5" s="1"/>
  <c r="P35" i="5"/>
  <c r="W35" i="5" s="1"/>
  <c r="X35" i="5" s="1"/>
  <c r="AA35" i="5" s="1"/>
  <c r="P18" i="5"/>
  <c r="W18" i="5" s="1"/>
  <c r="X18" i="5" s="1"/>
  <c r="AA18" i="5" s="1"/>
  <c r="P17" i="5"/>
  <c r="W17" i="5" s="1"/>
  <c r="X17" i="5" s="1"/>
  <c r="AA17" i="5" s="1"/>
  <c r="P26" i="5"/>
  <c r="W26" i="5" s="1"/>
  <c r="X26" i="5" s="1"/>
  <c r="AA26" i="5" s="1"/>
  <c r="P31" i="5"/>
  <c r="W31" i="5" s="1"/>
  <c r="X31" i="5" s="1"/>
  <c r="AA31" i="5" s="1"/>
  <c r="W8" i="5"/>
  <c r="X8" i="5" s="1"/>
  <c r="AA8" i="5" s="1"/>
  <c r="P21" i="5"/>
  <c r="W21" i="5" s="1"/>
  <c r="X21" i="5" s="1"/>
  <c r="AA21" i="5" s="1"/>
  <c r="P24" i="5"/>
  <c r="W24" i="5" s="1"/>
  <c r="X24" i="5" s="1"/>
  <c r="AA24" i="5" s="1"/>
  <c r="P9" i="5"/>
  <c r="P42" i="5"/>
  <c r="W42" i="5" s="1"/>
  <c r="X42" i="5" s="1"/>
  <c r="AA42" i="5" s="1"/>
  <c r="P19" i="5"/>
  <c r="W19" i="5" s="1"/>
  <c r="X19" i="5" s="1"/>
  <c r="AA19" i="5" s="1"/>
  <c r="X22" i="5"/>
  <c r="AA22" i="5" s="1"/>
  <c r="P43" i="5"/>
  <c r="W43" i="5" s="1"/>
  <c r="X43" i="5" s="1"/>
  <c r="AA43" i="5" s="1"/>
  <c r="P25" i="5"/>
  <c r="W25" i="5" s="1"/>
  <c r="X25" i="5" s="1"/>
  <c r="AA25" i="5" s="1"/>
  <c r="P29" i="5"/>
  <c r="W29" i="5" s="1"/>
  <c r="X29" i="5" s="1"/>
  <c r="AA29" i="5" s="1"/>
  <c r="P52" i="5"/>
  <c r="W52" i="5" s="1"/>
  <c r="X52" i="5" s="1"/>
  <c r="AA52" i="5" s="1"/>
  <c r="P47" i="5"/>
  <c r="W47" i="5" s="1"/>
  <c r="X47" i="5" s="1"/>
  <c r="AA47" i="5" s="1"/>
  <c r="P23" i="5"/>
  <c r="W23" i="5" s="1"/>
  <c r="X23" i="5" s="1"/>
  <c r="AA23" i="5" s="1"/>
  <c r="P57" i="5"/>
  <c r="W57" i="5" s="1"/>
  <c r="X57" i="5" s="1"/>
  <c r="AA57" i="5" s="1"/>
  <c r="P38" i="5"/>
  <c r="W38" i="5" s="1"/>
  <c r="X38" i="5" s="1"/>
  <c r="AA38" i="5" s="1"/>
  <c r="N62" i="5"/>
  <c r="P62" i="5" l="1"/>
  <c r="X5" i="5"/>
  <c r="W9" i="5"/>
  <c r="X9" i="5" s="1"/>
  <c r="AA9" i="5" s="1"/>
  <c r="X62" i="5" l="1"/>
  <c r="AA5" i="5"/>
  <c r="AA62" i="5" s="1"/>
  <c r="W62" i="5"/>
  <c r="C160" i="4" l="1"/>
  <c r="C140" i="4"/>
  <c r="C133" i="4"/>
  <c r="C135" i="4" s="1"/>
  <c r="Z67" i="4"/>
  <c r="Y67" i="4"/>
  <c r="V67" i="4"/>
  <c r="U67" i="4"/>
  <c r="T67" i="4"/>
  <c r="R67" i="4"/>
  <c r="Q67" i="4"/>
  <c r="L67" i="4"/>
  <c r="J67" i="4"/>
  <c r="I67" i="4"/>
  <c r="E67" i="4"/>
  <c r="W66" i="4"/>
  <c r="G66" i="4"/>
  <c r="N66" i="4" s="1"/>
  <c r="W65" i="4"/>
  <c r="G65" i="4"/>
  <c r="N65" i="4" s="1"/>
  <c r="G64" i="4"/>
  <c r="G63" i="4"/>
  <c r="N63" i="4" s="1"/>
  <c r="W62" i="4"/>
  <c r="G62" i="4"/>
  <c r="N62" i="4" s="1"/>
  <c r="G61" i="4"/>
  <c r="N61" i="4" s="1"/>
  <c r="N60" i="4"/>
  <c r="G60" i="4"/>
  <c r="O60" i="4" s="1"/>
  <c r="G59" i="4"/>
  <c r="N59" i="4" s="1"/>
  <c r="W58" i="4"/>
  <c r="N58" i="4"/>
  <c r="G58" i="4"/>
  <c r="G57" i="4"/>
  <c r="O57" i="4" s="1"/>
  <c r="P57" i="4" s="1"/>
  <c r="G56" i="4"/>
  <c r="O56" i="4" s="1"/>
  <c r="P56" i="4" s="1"/>
  <c r="G55" i="4"/>
  <c r="O54" i="4"/>
  <c r="N54" i="4"/>
  <c r="G53" i="4"/>
  <c r="O53" i="4" s="1"/>
  <c r="P53" i="4" s="1"/>
  <c r="G52" i="4"/>
  <c r="O51" i="4"/>
  <c r="P51" i="4" s="1"/>
  <c r="N51" i="4"/>
  <c r="G50" i="4"/>
  <c r="G49" i="4"/>
  <c r="G48" i="4"/>
  <c r="N48" i="4" s="1"/>
  <c r="N47" i="4"/>
  <c r="G47" i="4"/>
  <c r="O47" i="4" s="1"/>
  <c r="N46" i="4"/>
  <c r="G46" i="4"/>
  <c r="O46" i="4" s="1"/>
  <c r="P46" i="4" s="1"/>
  <c r="G45" i="4"/>
  <c r="O45" i="4" s="1"/>
  <c r="P45" i="4" s="1"/>
  <c r="G44" i="4"/>
  <c r="H43" i="4"/>
  <c r="H67" i="4" s="1"/>
  <c r="G43" i="4"/>
  <c r="N43" i="4" s="1"/>
  <c r="O42" i="4"/>
  <c r="G42" i="4"/>
  <c r="N42" i="4" s="1"/>
  <c r="G41" i="4"/>
  <c r="O41" i="4" s="1"/>
  <c r="G40" i="4"/>
  <c r="O40" i="4" s="1"/>
  <c r="P40" i="4" s="1"/>
  <c r="G39" i="4"/>
  <c r="O38" i="4"/>
  <c r="N38" i="4"/>
  <c r="N37" i="4"/>
  <c r="G37" i="4"/>
  <c r="O37" i="4" s="1"/>
  <c r="P37" i="4" s="1"/>
  <c r="W36" i="4"/>
  <c r="G36" i="4"/>
  <c r="N36" i="4" s="1"/>
  <c r="X36" i="4" s="1"/>
  <c r="AA36" i="4" s="1"/>
  <c r="W35" i="4"/>
  <c r="G35" i="4"/>
  <c r="N35" i="4" s="1"/>
  <c r="X35" i="4" s="1"/>
  <c r="AA35" i="4" s="1"/>
  <c r="G34" i="4"/>
  <c r="O34" i="4" s="1"/>
  <c r="G33" i="4"/>
  <c r="G32" i="4"/>
  <c r="G31" i="4"/>
  <c r="G30" i="4"/>
  <c r="N30" i="4" s="1"/>
  <c r="G29" i="4"/>
  <c r="N29" i="4" s="1"/>
  <c r="G28" i="4"/>
  <c r="O28" i="4" s="1"/>
  <c r="O27" i="4"/>
  <c r="G27" i="4"/>
  <c r="S27" i="4" s="1"/>
  <c r="N26" i="4"/>
  <c r="M26" i="4"/>
  <c r="M67" i="4" s="1"/>
  <c r="G26" i="4"/>
  <c r="S26" i="4" s="1"/>
  <c r="G25" i="4"/>
  <c r="N25" i="4" s="1"/>
  <c r="S25" i="4" s="1"/>
  <c r="P24" i="4"/>
  <c r="O24" i="4"/>
  <c r="G24" i="4"/>
  <c r="N24" i="4" s="1"/>
  <c r="G23" i="4"/>
  <c r="N23" i="4" s="1"/>
  <c r="O22" i="4"/>
  <c r="G22" i="4"/>
  <c r="N22" i="4" s="1"/>
  <c r="G21" i="4"/>
  <c r="N21" i="4" s="1"/>
  <c r="G20" i="4"/>
  <c r="N20" i="4" s="1"/>
  <c r="G19" i="4"/>
  <c r="N19" i="4" s="1"/>
  <c r="S19" i="4" s="1"/>
  <c r="G18" i="4"/>
  <c r="N18" i="4" s="1"/>
  <c r="O17" i="4"/>
  <c r="G17" i="4"/>
  <c r="N17" i="4" s="1"/>
  <c r="G16" i="4"/>
  <c r="O16" i="4" s="1"/>
  <c r="N15" i="4"/>
  <c r="S15" i="4" s="1"/>
  <c r="G15" i="4"/>
  <c r="O15" i="4" s="1"/>
  <c r="G14" i="4"/>
  <c r="S14" i="4" s="1"/>
  <c r="O13" i="4"/>
  <c r="P13" i="4" s="1"/>
  <c r="N13" i="4"/>
  <c r="G13" i="4"/>
  <c r="S13" i="4" s="1"/>
  <c r="N12" i="4"/>
  <c r="G12" i="4"/>
  <c r="O12" i="4" s="1"/>
  <c r="P12" i="4" s="1"/>
  <c r="N11" i="4"/>
  <c r="G11" i="4"/>
  <c r="O11" i="4" s="1"/>
  <c r="P11" i="4" s="1"/>
  <c r="O10" i="4"/>
  <c r="W10" i="4" s="1"/>
  <c r="G10" i="4"/>
  <c r="N10" i="4" s="1"/>
  <c r="G9" i="4"/>
  <c r="N9" i="4" s="1"/>
  <c r="O8" i="4"/>
  <c r="G8" i="4"/>
  <c r="N8" i="4" s="1"/>
  <c r="G7" i="4"/>
  <c r="O7" i="4" s="1"/>
  <c r="N6" i="4"/>
  <c r="G6" i="4"/>
  <c r="S6" i="4" s="1"/>
  <c r="G5" i="4"/>
  <c r="S5" i="4" s="1"/>
  <c r="O4" i="4"/>
  <c r="N4" i="4"/>
  <c r="G4" i="4"/>
  <c r="N7" i="4" l="1"/>
  <c r="W12" i="4"/>
  <c r="N16" i="4"/>
  <c r="O21" i="4"/>
  <c r="P21" i="4" s="1"/>
  <c r="O23" i="4"/>
  <c r="N28" i="4"/>
  <c r="O30" i="4"/>
  <c r="S56" i="4"/>
  <c r="W56" i="4" s="1"/>
  <c r="O9" i="4"/>
  <c r="O19" i="4"/>
  <c r="N27" i="4"/>
  <c r="N34" i="4"/>
  <c r="N41" i="4"/>
  <c r="O63" i="4"/>
  <c r="X62" i="4"/>
  <c r="AA62" i="4" s="1"/>
  <c r="P15" i="4"/>
  <c r="W15" i="4" s="1"/>
  <c r="X15" i="4" s="1"/>
  <c r="AA15" i="4" s="1"/>
  <c r="N5" i="4"/>
  <c r="O6" i="4"/>
  <c r="P6" i="4" s="1"/>
  <c r="W6" i="4" s="1"/>
  <c r="X6" i="4" s="1"/>
  <c r="AA6" i="4" s="1"/>
  <c r="X10" i="4"/>
  <c r="AA10" i="4" s="1"/>
  <c r="S11" i="4"/>
  <c r="W11" i="4" s="1"/>
  <c r="N14" i="4"/>
  <c r="O18" i="4"/>
  <c r="O20" i="4"/>
  <c r="P20" i="4" s="1"/>
  <c r="O25" i="4"/>
  <c r="P25" i="4" s="1"/>
  <c r="W25" i="4" s="1"/>
  <c r="X25" i="4" s="1"/>
  <c r="AA25" i="4" s="1"/>
  <c r="O26" i="4"/>
  <c r="P26" i="4" s="1"/>
  <c r="O29" i="4"/>
  <c r="P29" i="4" s="1"/>
  <c r="W37" i="4"/>
  <c r="X37" i="4" s="1"/>
  <c r="AA37" i="4" s="1"/>
  <c r="N45" i="4"/>
  <c r="N53" i="4"/>
  <c r="W57" i="4"/>
  <c r="P63" i="4"/>
  <c r="W63" i="4" s="1"/>
  <c r="X63" i="4" s="1"/>
  <c r="AA63" i="4" s="1"/>
  <c r="X11" i="4"/>
  <c r="AA11" i="4" s="1"/>
  <c r="O5" i="4"/>
  <c r="P5" i="4" s="1"/>
  <c r="W5" i="4" s="1"/>
  <c r="O14" i="4"/>
  <c r="P14" i="4" s="1"/>
  <c r="W26" i="4"/>
  <c r="X26" i="4" s="1"/>
  <c r="AA26" i="4" s="1"/>
  <c r="W40" i="4"/>
  <c r="O43" i="4"/>
  <c r="W45" i="4"/>
  <c r="O48" i="4"/>
  <c r="W53" i="4"/>
  <c r="O61" i="4"/>
  <c r="P61" i="4" s="1"/>
  <c r="X12" i="4"/>
  <c r="AA12" i="4" s="1"/>
  <c r="P9" i="4"/>
  <c r="X5" i="4"/>
  <c r="AA5" i="4" s="1"/>
  <c r="S18" i="4"/>
  <c r="O32" i="4"/>
  <c r="N32" i="4"/>
  <c r="S32" i="4"/>
  <c r="P42" i="4"/>
  <c r="W42" i="4" s="1"/>
  <c r="X42" i="4" s="1"/>
  <c r="AA42" i="4" s="1"/>
  <c r="O44" i="4"/>
  <c r="N44" i="4"/>
  <c r="X51" i="4"/>
  <c r="AA51" i="4" s="1"/>
  <c r="P41" i="4"/>
  <c r="W41" i="4" s="1"/>
  <c r="X41" i="4" s="1"/>
  <c r="AA41" i="4" s="1"/>
  <c r="O52" i="4"/>
  <c r="N52" i="4"/>
  <c r="X65" i="4"/>
  <c r="AA65" i="4" s="1"/>
  <c r="X66" i="4"/>
  <c r="AA66" i="4" s="1"/>
  <c r="P4" i="4"/>
  <c r="P8" i="4"/>
  <c r="W8" i="4" s="1"/>
  <c r="X8" i="4" s="1"/>
  <c r="AA8" i="4" s="1"/>
  <c r="P17" i="4"/>
  <c r="P38" i="4"/>
  <c r="W38" i="4" s="1"/>
  <c r="X38" i="4" s="1"/>
  <c r="AA38" i="4" s="1"/>
  <c r="O50" i="4"/>
  <c r="N50" i="4"/>
  <c r="P54" i="4"/>
  <c r="W54" i="4" s="1"/>
  <c r="X54" i="4" s="1"/>
  <c r="AA54" i="4" s="1"/>
  <c r="P16" i="4"/>
  <c r="W16" i="4" s="1"/>
  <c r="X16" i="4" s="1"/>
  <c r="AA16" i="4" s="1"/>
  <c r="P27" i="4"/>
  <c r="W27" i="4"/>
  <c r="X27" i="4" s="1"/>
  <c r="AA27" i="4" s="1"/>
  <c r="O33" i="4"/>
  <c r="N33" i="4"/>
  <c r="S46" i="4"/>
  <c r="W46" i="4" s="1"/>
  <c r="X46" i="4" s="1"/>
  <c r="AA46" i="4" s="1"/>
  <c r="O49" i="4"/>
  <c r="N49" i="4"/>
  <c r="P7" i="4"/>
  <c r="W7" i="4" s="1"/>
  <c r="X7" i="4" s="1"/>
  <c r="AA7" i="4" s="1"/>
  <c r="S8" i="4"/>
  <c r="W13" i="4"/>
  <c r="X13" i="4" s="1"/>
  <c r="AA13" i="4" s="1"/>
  <c r="P18" i="4"/>
  <c r="W18" i="4" s="1"/>
  <c r="X18" i="4" s="1"/>
  <c r="AA18" i="4" s="1"/>
  <c r="P22" i="4"/>
  <c r="P34" i="4"/>
  <c r="W34" i="4" s="1"/>
  <c r="P43" i="4"/>
  <c r="P47" i="4"/>
  <c r="W47" i="4" s="1"/>
  <c r="X47" i="4" s="1"/>
  <c r="AA47" i="4" s="1"/>
  <c r="O64" i="4"/>
  <c r="N64" i="4"/>
  <c r="P28" i="4"/>
  <c r="W28" i="4" s="1"/>
  <c r="X28" i="4" s="1"/>
  <c r="AA28" i="4" s="1"/>
  <c r="O31" i="4"/>
  <c r="N31" i="4"/>
  <c r="W51" i="4"/>
  <c r="P59" i="4"/>
  <c r="O59" i="4"/>
  <c r="W59" i="4" s="1"/>
  <c r="X59" i="4" s="1"/>
  <c r="AA59" i="4" s="1"/>
  <c r="S9" i="4"/>
  <c r="G67" i="4"/>
  <c r="S4" i="4"/>
  <c r="W14" i="4"/>
  <c r="X14" i="4" s="1"/>
  <c r="AA14" i="4" s="1"/>
  <c r="P19" i="4"/>
  <c r="W19" i="4" s="1"/>
  <c r="X19" i="4" s="1"/>
  <c r="AA19" i="4" s="1"/>
  <c r="P23" i="4"/>
  <c r="P30" i="4"/>
  <c r="W30" i="4" s="1"/>
  <c r="X30" i="4" s="1"/>
  <c r="AA30" i="4" s="1"/>
  <c r="O39" i="4"/>
  <c r="N39" i="4"/>
  <c r="N40" i="4"/>
  <c r="X40" i="4" s="1"/>
  <c r="AA40" i="4" s="1"/>
  <c r="P48" i="4"/>
  <c r="W48" i="4" s="1"/>
  <c r="X48" i="4" s="1"/>
  <c r="AA48" i="4" s="1"/>
  <c r="O55" i="4"/>
  <c r="N55" i="4"/>
  <c r="N56" i="4"/>
  <c r="X56" i="4" s="1"/>
  <c r="AA56" i="4" s="1"/>
  <c r="N57" i="4"/>
  <c r="X57" i="4" s="1"/>
  <c r="AA57" i="4" s="1"/>
  <c r="X58" i="4"/>
  <c r="AA58" i="4" s="1"/>
  <c r="P60" i="4"/>
  <c r="W60" i="4" s="1"/>
  <c r="X60" i="4" s="1"/>
  <c r="AA60" i="4" s="1"/>
  <c r="W61" i="4"/>
  <c r="X61" i="4" s="1"/>
  <c r="AA61" i="4" s="1"/>
  <c r="S17" i="4"/>
  <c r="S20" i="4"/>
  <c r="S21" i="4"/>
  <c r="S22" i="4"/>
  <c r="S23" i="4"/>
  <c r="S24" i="4"/>
  <c r="W24" i="4" s="1"/>
  <c r="X24" i="4" s="1"/>
  <c r="AA24" i="4" s="1"/>
  <c r="S29" i="4"/>
  <c r="W43" i="4" l="1"/>
  <c r="X43" i="4" s="1"/>
  <c r="AA43" i="4" s="1"/>
  <c r="X34" i="4"/>
  <c r="AA34" i="4" s="1"/>
  <c r="W20" i="4"/>
  <c r="X20" i="4" s="1"/>
  <c r="AA20" i="4" s="1"/>
  <c r="X45" i="4"/>
  <c r="AA45" i="4" s="1"/>
  <c r="W29" i="4"/>
  <c r="X29" i="4" s="1"/>
  <c r="AA29" i="4" s="1"/>
  <c r="W23" i="4"/>
  <c r="X23" i="4" s="1"/>
  <c r="AA23" i="4" s="1"/>
  <c r="W21" i="4"/>
  <c r="X21" i="4" s="1"/>
  <c r="AA21" i="4" s="1"/>
  <c r="X53" i="4"/>
  <c r="AA53" i="4" s="1"/>
  <c r="W22" i="4"/>
  <c r="X22" i="4" s="1"/>
  <c r="AA22" i="4" s="1"/>
  <c r="W17" i="4"/>
  <c r="X17" i="4" s="1"/>
  <c r="AA17" i="4" s="1"/>
  <c r="O67" i="4"/>
  <c r="W9" i="4"/>
  <c r="X9" i="4" s="1"/>
  <c r="AA9" i="4" s="1"/>
  <c r="P52" i="4"/>
  <c r="W52" i="4" s="1"/>
  <c r="X52" i="4" s="1"/>
  <c r="AA52" i="4" s="1"/>
  <c r="P39" i="4"/>
  <c r="W39" i="4" s="1"/>
  <c r="X39" i="4" s="1"/>
  <c r="AA39" i="4" s="1"/>
  <c r="S67" i="4"/>
  <c r="W31" i="4"/>
  <c r="X31" i="4" s="1"/>
  <c r="AA31" i="4" s="1"/>
  <c r="P31" i="4"/>
  <c r="W4" i="4"/>
  <c r="P50" i="4"/>
  <c r="W50" i="4" s="1"/>
  <c r="X50" i="4" s="1"/>
  <c r="AA50" i="4" s="1"/>
  <c r="P32" i="4"/>
  <c r="W32" i="4" s="1"/>
  <c r="X32" i="4" s="1"/>
  <c r="AA32" i="4" s="1"/>
  <c r="P55" i="4"/>
  <c r="W55" i="4" s="1"/>
  <c r="X55" i="4" s="1"/>
  <c r="AA55" i="4" s="1"/>
  <c r="P64" i="4"/>
  <c r="W64" i="4" s="1"/>
  <c r="X64" i="4" s="1"/>
  <c r="AA64" i="4" s="1"/>
  <c r="P49" i="4"/>
  <c r="W49" i="4" s="1"/>
  <c r="X49" i="4" s="1"/>
  <c r="AA49" i="4" s="1"/>
  <c r="P33" i="4"/>
  <c r="W33" i="4" s="1"/>
  <c r="X33" i="4" s="1"/>
  <c r="AA33" i="4" s="1"/>
  <c r="N67" i="4"/>
  <c r="P44" i="4"/>
  <c r="W44" i="4" s="1"/>
  <c r="X44" i="4" s="1"/>
  <c r="AA44" i="4" s="1"/>
  <c r="P67" i="4" l="1"/>
  <c r="W67" i="4"/>
  <c r="X4" i="4"/>
  <c r="X67" i="4" l="1"/>
  <c r="AA4" i="4"/>
  <c r="AA67" i="4" s="1"/>
  <c r="C158" i="3" l="1"/>
  <c r="C138" i="3"/>
  <c r="C131" i="3"/>
  <c r="C133" i="3" s="1"/>
  <c r="Z65" i="3"/>
  <c r="Y65" i="3"/>
  <c r="V65" i="3"/>
  <c r="U65" i="3"/>
  <c r="T65" i="3"/>
  <c r="R65" i="3"/>
  <c r="Q65" i="3"/>
  <c r="L65" i="3"/>
  <c r="J65" i="3"/>
  <c r="I65" i="3"/>
  <c r="H65" i="3"/>
  <c r="E65" i="3"/>
  <c r="W64" i="3"/>
  <c r="N64" i="3"/>
  <c r="G64" i="3"/>
  <c r="W63" i="3"/>
  <c r="G63" i="3"/>
  <c r="N63" i="3" s="1"/>
  <c r="X63" i="3" s="1"/>
  <c r="AA63" i="3" s="1"/>
  <c r="G62" i="3"/>
  <c r="O62" i="3" s="1"/>
  <c r="P62" i="3" s="1"/>
  <c r="W61" i="3"/>
  <c r="G61" i="3"/>
  <c r="N61" i="3" s="1"/>
  <c r="X61" i="3" s="1"/>
  <c r="AA61" i="3" s="1"/>
  <c r="G60" i="3"/>
  <c r="O60" i="3" s="1"/>
  <c r="P60" i="3" s="1"/>
  <c r="G59" i="3"/>
  <c r="N59" i="3" s="1"/>
  <c r="G58" i="3"/>
  <c r="P58" i="3" s="1"/>
  <c r="W57" i="3"/>
  <c r="G57" i="3"/>
  <c r="N57" i="3" s="1"/>
  <c r="O56" i="3"/>
  <c r="P56" i="3" s="1"/>
  <c r="G56" i="3"/>
  <c r="N56" i="3" s="1"/>
  <c r="O55" i="3"/>
  <c r="P55" i="3" s="1"/>
  <c r="G55" i="3"/>
  <c r="S55" i="3" s="1"/>
  <c r="G54" i="3"/>
  <c r="P53" i="3"/>
  <c r="W53" i="3" s="1"/>
  <c r="O53" i="3"/>
  <c r="N53" i="3"/>
  <c r="G52" i="3"/>
  <c r="O52" i="3" s="1"/>
  <c r="G51" i="3"/>
  <c r="G50" i="3"/>
  <c r="O50" i="3" s="1"/>
  <c r="P50" i="3" s="1"/>
  <c r="O49" i="3"/>
  <c r="G49" i="3"/>
  <c r="N49" i="3" s="1"/>
  <c r="O48" i="3"/>
  <c r="P48" i="3" s="1"/>
  <c r="G48" i="3"/>
  <c r="N48" i="3" s="1"/>
  <c r="G47" i="3"/>
  <c r="P46" i="3"/>
  <c r="G46" i="3"/>
  <c r="O46" i="3" s="1"/>
  <c r="G45" i="3"/>
  <c r="O45" i="3" s="1"/>
  <c r="P45" i="3" s="1"/>
  <c r="G44" i="3"/>
  <c r="N44" i="3" s="1"/>
  <c r="G43" i="3"/>
  <c r="N43" i="3" s="1"/>
  <c r="G42" i="3"/>
  <c r="P41" i="3"/>
  <c r="G41" i="3"/>
  <c r="O41" i="3" s="1"/>
  <c r="O40" i="3"/>
  <c r="G40" i="3"/>
  <c r="N40" i="3" s="1"/>
  <c r="O39" i="3"/>
  <c r="N39" i="3"/>
  <c r="N38" i="3"/>
  <c r="G38" i="3"/>
  <c r="O38" i="3" s="1"/>
  <c r="P38" i="3" s="1"/>
  <c r="W37" i="3"/>
  <c r="G37" i="3"/>
  <c r="N37" i="3" s="1"/>
  <c r="X37" i="3" s="1"/>
  <c r="AA37" i="3" s="1"/>
  <c r="W36" i="3"/>
  <c r="G36" i="3"/>
  <c r="N36" i="3" s="1"/>
  <c r="X36" i="3" s="1"/>
  <c r="AA36" i="3" s="1"/>
  <c r="G35" i="3"/>
  <c r="S35" i="3" s="1"/>
  <c r="G34" i="3"/>
  <c r="G33" i="3"/>
  <c r="O33" i="3" s="1"/>
  <c r="G32" i="3"/>
  <c r="O32" i="3" s="1"/>
  <c r="P32" i="3" s="1"/>
  <c r="O31" i="3"/>
  <c r="G31" i="3"/>
  <c r="N31" i="3" s="1"/>
  <c r="O30" i="3"/>
  <c r="P30" i="3" s="1"/>
  <c r="N30" i="3"/>
  <c r="G30" i="3"/>
  <c r="O29" i="3"/>
  <c r="P29" i="3" s="1"/>
  <c r="N29" i="3"/>
  <c r="G29" i="3"/>
  <c r="S29" i="3" s="1"/>
  <c r="G28" i="3"/>
  <c r="S28" i="3" s="1"/>
  <c r="M27" i="3"/>
  <c r="G27" i="3"/>
  <c r="S27" i="3" s="1"/>
  <c r="G26" i="3"/>
  <c r="N26" i="3" s="1"/>
  <c r="S26" i="3" s="1"/>
  <c r="O25" i="3"/>
  <c r="G25" i="3"/>
  <c r="N25" i="3" s="1"/>
  <c r="G24" i="3"/>
  <c r="N24" i="3" s="1"/>
  <c r="O23" i="3"/>
  <c r="G23" i="3"/>
  <c r="N23" i="3" s="1"/>
  <c r="G22" i="3"/>
  <c r="N22" i="3" s="1"/>
  <c r="G21" i="3"/>
  <c r="N21" i="3" s="1"/>
  <c r="G20" i="3"/>
  <c r="N20" i="3" s="1"/>
  <c r="G19" i="3"/>
  <c r="N19" i="3" s="1"/>
  <c r="S19" i="3" s="1"/>
  <c r="G18" i="3"/>
  <c r="N18" i="3" s="1"/>
  <c r="S18" i="3" s="1"/>
  <c r="O17" i="3"/>
  <c r="G17" i="3"/>
  <c r="N17" i="3" s="1"/>
  <c r="G16" i="3"/>
  <c r="O16" i="3" s="1"/>
  <c r="N15" i="3"/>
  <c r="G15" i="3"/>
  <c r="O15" i="3" s="1"/>
  <c r="P15" i="3" s="1"/>
  <c r="M14" i="3"/>
  <c r="M65" i="3" s="1"/>
  <c r="G14" i="3"/>
  <c r="N14" i="3" s="1"/>
  <c r="G13" i="3"/>
  <c r="N13" i="3" s="1"/>
  <c r="G12" i="3"/>
  <c r="O12" i="3" s="1"/>
  <c r="G11" i="3"/>
  <c r="N11" i="3" s="1"/>
  <c r="O10" i="3"/>
  <c r="G10" i="3"/>
  <c r="N10" i="3" s="1"/>
  <c r="AC9" i="3"/>
  <c r="G9" i="3"/>
  <c r="O9" i="3" s="1"/>
  <c r="P9" i="3" s="1"/>
  <c r="S8" i="3"/>
  <c r="G8" i="3"/>
  <c r="O8" i="3" s="1"/>
  <c r="P8" i="3" s="1"/>
  <c r="G7" i="3"/>
  <c r="N7" i="3" s="1"/>
  <c r="G6" i="3"/>
  <c r="S6" i="3" s="1"/>
  <c r="O5" i="3"/>
  <c r="G5" i="3"/>
  <c r="S5" i="3" s="1"/>
  <c r="G4" i="3"/>
  <c r="O4" i="3" s="1"/>
  <c r="O28" i="3" l="1"/>
  <c r="P28" i="3" s="1"/>
  <c r="N8" i="3"/>
  <c r="O19" i="3"/>
  <c r="P19" i="3" s="1"/>
  <c r="W19" i="3" s="1"/>
  <c r="X19" i="3" s="1"/>
  <c r="AA19" i="3" s="1"/>
  <c r="O35" i="3"/>
  <c r="P35" i="3" s="1"/>
  <c r="O43" i="3"/>
  <c r="P43" i="3" s="1"/>
  <c r="N45" i="3"/>
  <c r="N4" i="3"/>
  <c r="O21" i="3"/>
  <c r="P21" i="3" s="1"/>
  <c r="N6" i="3"/>
  <c r="N5" i="3"/>
  <c r="O6" i="3"/>
  <c r="P6" i="3" s="1"/>
  <c r="W6" i="3" s="1"/>
  <c r="X6" i="3" s="1"/>
  <c r="AA6" i="3" s="1"/>
  <c r="S12" i="3"/>
  <c r="W12" i="3" s="1"/>
  <c r="N27" i="3"/>
  <c r="N33" i="3"/>
  <c r="N46" i="3"/>
  <c r="N55" i="3"/>
  <c r="N62" i="3"/>
  <c r="P52" i="3"/>
  <c r="W52" i="3" s="1"/>
  <c r="W8" i="3"/>
  <c r="X8" i="3" s="1"/>
  <c r="AA8" i="3" s="1"/>
  <c r="O13" i="3"/>
  <c r="N16" i="3"/>
  <c r="O18" i="3"/>
  <c r="O20" i="3"/>
  <c r="O22" i="3"/>
  <c r="P22" i="3" s="1"/>
  <c r="O24" i="3"/>
  <c r="O26" i="3"/>
  <c r="W26" i="3" s="1"/>
  <c r="X26" i="3" s="1"/>
  <c r="AA26" i="3" s="1"/>
  <c r="W28" i="3"/>
  <c r="W29" i="3"/>
  <c r="X29" i="3" s="1"/>
  <c r="AA29" i="3" s="1"/>
  <c r="N32" i="3"/>
  <c r="N52" i="3"/>
  <c r="W55" i="3"/>
  <c r="N58" i="3"/>
  <c r="O59" i="3"/>
  <c r="W48" i="3"/>
  <c r="X48" i="3" s="1"/>
  <c r="AA48" i="3" s="1"/>
  <c r="S13" i="3"/>
  <c r="N28" i="3"/>
  <c r="N35" i="3"/>
  <c r="P39" i="3"/>
  <c r="W39" i="3" s="1"/>
  <c r="X39" i="3" s="1"/>
  <c r="AA39" i="3" s="1"/>
  <c r="N41" i="3"/>
  <c r="O44" i="3"/>
  <c r="N50" i="3"/>
  <c r="X50" i="3" s="1"/>
  <c r="AA50" i="3" s="1"/>
  <c r="X57" i="3"/>
  <c r="AA57" i="3" s="1"/>
  <c r="O58" i="3"/>
  <c r="W58" i="3" s="1"/>
  <c r="X64" i="3"/>
  <c r="AA64" i="3" s="1"/>
  <c r="W30" i="3"/>
  <c r="X30" i="3" s="1"/>
  <c r="AA30" i="3" s="1"/>
  <c r="W43" i="3"/>
  <c r="X43" i="3" s="1"/>
  <c r="AA43" i="3" s="1"/>
  <c r="W56" i="3"/>
  <c r="X56" i="3" s="1"/>
  <c r="AA56" i="3" s="1"/>
  <c r="P12" i="3"/>
  <c r="X55" i="3"/>
  <c r="AA55" i="3" s="1"/>
  <c r="P16" i="3"/>
  <c r="W16" i="3" s="1"/>
  <c r="X16" i="3" s="1"/>
  <c r="AA16" i="3" s="1"/>
  <c r="O54" i="3"/>
  <c r="N54" i="3"/>
  <c r="G65" i="3"/>
  <c r="S4" i="3"/>
  <c r="O7" i="3"/>
  <c r="S10" i="3"/>
  <c r="O11" i="3"/>
  <c r="W11" i="3" s="1"/>
  <c r="X11" i="3" s="1"/>
  <c r="AA11" i="3" s="1"/>
  <c r="N12" i="3"/>
  <c r="S15" i="3"/>
  <c r="W15" i="3" s="1"/>
  <c r="X15" i="3" s="1"/>
  <c r="AA15" i="3" s="1"/>
  <c r="P20" i="3"/>
  <c r="P24" i="3"/>
  <c r="P31" i="3"/>
  <c r="W31" i="3" s="1"/>
  <c r="X31" i="3" s="1"/>
  <c r="AA31" i="3" s="1"/>
  <c r="P33" i="3"/>
  <c r="W33" i="3" s="1"/>
  <c r="X33" i="3" s="1"/>
  <c r="AA33" i="3" s="1"/>
  <c r="W41" i="3"/>
  <c r="O47" i="3"/>
  <c r="N47" i="3"/>
  <c r="W49" i="3"/>
  <c r="X49" i="3" s="1"/>
  <c r="AA49" i="3" s="1"/>
  <c r="P49" i="3"/>
  <c r="X53" i="3"/>
  <c r="AA53" i="3" s="1"/>
  <c r="P18" i="3"/>
  <c r="W18" i="3" s="1"/>
  <c r="X18" i="3" s="1"/>
  <c r="AA18" i="3" s="1"/>
  <c r="P26" i="3"/>
  <c r="W38" i="3"/>
  <c r="X38" i="3" s="1"/>
  <c r="AA38" i="3" s="1"/>
  <c r="P40" i="3"/>
  <c r="W40" i="3" s="1"/>
  <c r="X40" i="3" s="1"/>
  <c r="AA40" i="3" s="1"/>
  <c r="W50" i="3"/>
  <c r="W62" i="3"/>
  <c r="X62" i="3" s="1"/>
  <c r="AA62" i="3" s="1"/>
  <c r="P4" i="3"/>
  <c r="W4" i="3" s="1"/>
  <c r="P5" i="3"/>
  <c r="W5" i="3" s="1"/>
  <c r="X5" i="3" s="1"/>
  <c r="AA5" i="3" s="1"/>
  <c r="N9" i="3"/>
  <c r="P10" i="3"/>
  <c r="P17" i="3"/>
  <c r="P25" i="3"/>
  <c r="O42" i="3"/>
  <c r="N42" i="3"/>
  <c r="P44" i="3"/>
  <c r="W44" i="3" s="1"/>
  <c r="X44" i="3" s="1"/>
  <c r="AA44" i="3" s="1"/>
  <c r="P59" i="3"/>
  <c r="W59" i="3" s="1"/>
  <c r="X59" i="3" s="1"/>
  <c r="AA59" i="3" s="1"/>
  <c r="S9" i="3"/>
  <c r="W9" i="3" s="1"/>
  <c r="S14" i="3"/>
  <c r="O14" i="3"/>
  <c r="P23" i="3"/>
  <c r="X28" i="3"/>
  <c r="AA28" i="3" s="1"/>
  <c r="P34" i="3"/>
  <c r="O34" i="3"/>
  <c r="N34" i="3"/>
  <c r="X41" i="3"/>
  <c r="AA41" i="3" s="1"/>
  <c r="W46" i="3"/>
  <c r="O51" i="3"/>
  <c r="N51" i="3"/>
  <c r="W60" i="3"/>
  <c r="O27" i="3"/>
  <c r="S32" i="3"/>
  <c r="W32" i="3" s="1"/>
  <c r="X32" i="3" s="1"/>
  <c r="AA32" i="3" s="1"/>
  <c r="S45" i="3"/>
  <c r="W45" i="3" s="1"/>
  <c r="X45" i="3" s="1"/>
  <c r="AA45" i="3" s="1"/>
  <c r="S17" i="3"/>
  <c r="W17" i="3" s="1"/>
  <c r="X17" i="3" s="1"/>
  <c r="AA17" i="3" s="1"/>
  <c r="S20" i="3"/>
  <c r="S21" i="3"/>
  <c r="S22" i="3"/>
  <c r="S23" i="3"/>
  <c r="S24" i="3"/>
  <c r="S25" i="3"/>
  <c r="N60" i="3"/>
  <c r="W35" i="3" l="1"/>
  <c r="X35" i="3" s="1"/>
  <c r="AA35" i="3" s="1"/>
  <c r="W20" i="3"/>
  <c r="X20" i="3" s="1"/>
  <c r="AA20" i="3" s="1"/>
  <c r="X46" i="3"/>
  <c r="AA46" i="3" s="1"/>
  <c r="X52" i="3"/>
  <c r="AA52" i="3" s="1"/>
  <c r="W22" i="3"/>
  <c r="X22" i="3" s="1"/>
  <c r="AA22" i="3" s="1"/>
  <c r="W25" i="3"/>
  <c r="X25" i="3" s="1"/>
  <c r="AA25" i="3" s="1"/>
  <c r="W23" i="3"/>
  <c r="X23" i="3" s="1"/>
  <c r="AA23" i="3" s="1"/>
  <c r="P13" i="3"/>
  <c r="W13" i="3" s="1"/>
  <c r="X13" i="3" s="1"/>
  <c r="AA13" i="3" s="1"/>
  <c r="X58" i="3"/>
  <c r="AA58" i="3" s="1"/>
  <c r="W34" i="3"/>
  <c r="X34" i="3" s="1"/>
  <c r="AA34" i="3" s="1"/>
  <c r="W10" i="3"/>
  <c r="X10" i="3" s="1"/>
  <c r="AA10" i="3" s="1"/>
  <c r="W24" i="3"/>
  <c r="X24" i="3" s="1"/>
  <c r="AA24" i="3" s="1"/>
  <c r="W21" i="3"/>
  <c r="X21" i="3" s="1"/>
  <c r="AA21" i="3" s="1"/>
  <c r="P14" i="3"/>
  <c r="W14" i="3" s="1"/>
  <c r="X14" i="3" s="1"/>
  <c r="AA14" i="3" s="1"/>
  <c r="N65" i="3"/>
  <c r="P42" i="3"/>
  <c r="W42" i="3"/>
  <c r="P54" i="3"/>
  <c r="W54" i="3" s="1"/>
  <c r="X54" i="3" s="1"/>
  <c r="AA54" i="3" s="1"/>
  <c r="X60" i="3"/>
  <c r="AA60" i="3" s="1"/>
  <c r="P47" i="3"/>
  <c r="W47" i="3" s="1"/>
  <c r="X47" i="3" s="1"/>
  <c r="AA47" i="3" s="1"/>
  <c r="X12" i="3"/>
  <c r="AA12" i="3" s="1"/>
  <c r="S65" i="3"/>
  <c r="P27" i="3"/>
  <c r="W27" i="3" s="1"/>
  <c r="X27" i="3" s="1"/>
  <c r="AA27" i="3" s="1"/>
  <c r="X4" i="3"/>
  <c r="X42" i="3"/>
  <c r="AA42" i="3" s="1"/>
  <c r="X9" i="3"/>
  <c r="AA9" i="3" s="1"/>
  <c r="P7" i="3"/>
  <c r="W7" i="3"/>
  <c r="X7" i="3" s="1"/>
  <c r="AA7" i="3" s="1"/>
  <c r="P51" i="3"/>
  <c r="W51" i="3"/>
  <c r="X51" i="3" s="1"/>
  <c r="AA51" i="3" s="1"/>
  <c r="O65" i="3"/>
  <c r="P65" i="3" l="1"/>
  <c r="W65" i="3"/>
  <c r="X65" i="3"/>
  <c r="AA4" i="3"/>
  <c r="AA65" i="3" s="1"/>
  <c r="C141" i="2" l="1"/>
  <c r="C121" i="2"/>
  <c r="C114" i="2"/>
  <c r="C116" i="2" s="1"/>
  <c r="Z66" i="2"/>
  <c r="Y66" i="2"/>
  <c r="V66" i="2"/>
  <c r="U66" i="2"/>
  <c r="T66" i="2"/>
  <c r="R66" i="2"/>
  <c r="Q66" i="2"/>
  <c r="H66" i="2"/>
  <c r="E66" i="2"/>
  <c r="W65" i="2"/>
  <c r="G65" i="2"/>
  <c r="N65" i="2" s="1"/>
  <c r="W64" i="2"/>
  <c r="G64" i="2"/>
  <c r="N64" i="2" s="1"/>
  <c r="G63" i="2"/>
  <c r="O63" i="2" s="1"/>
  <c r="P63" i="2" s="1"/>
  <c r="W62" i="2"/>
  <c r="G62" i="2"/>
  <c r="N62" i="2" s="1"/>
  <c r="G61" i="2"/>
  <c r="O61" i="2" s="1"/>
  <c r="P61" i="2" s="1"/>
  <c r="G60" i="2"/>
  <c r="G59" i="2"/>
  <c r="P59" i="2" s="1"/>
  <c r="W58" i="2"/>
  <c r="G58" i="2"/>
  <c r="N58" i="2" s="1"/>
  <c r="G57" i="2"/>
  <c r="O57" i="2" s="1"/>
  <c r="P57" i="2" s="1"/>
  <c r="G56" i="2"/>
  <c r="S56" i="2" s="1"/>
  <c r="O55" i="2"/>
  <c r="G55" i="2"/>
  <c r="N55" i="2" s="1"/>
  <c r="N54" i="2"/>
  <c r="G53" i="2"/>
  <c r="N53" i="2" s="1"/>
  <c r="O52" i="2"/>
  <c r="N52" i="2"/>
  <c r="G52" i="2"/>
  <c r="G51" i="2"/>
  <c r="O51" i="2" s="1"/>
  <c r="P51" i="2" s="1"/>
  <c r="W51" i="2" s="1"/>
  <c r="G50" i="2"/>
  <c r="G49" i="2"/>
  <c r="O49" i="2" s="1"/>
  <c r="P49" i="2" s="1"/>
  <c r="G48" i="2"/>
  <c r="N48" i="2" s="1"/>
  <c r="O48" i="2" s="1"/>
  <c r="G47" i="2"/>
  <c r="O47" i="2" s="1"/>
  <c r="P47" i="2" s="1"/>
  <c r="G46" i="2"/>
  <c r="N46" i="2" s="1"/>
  <c r="G45" i="2"/>
  <c r="G44" i="2"/>
  <c r="N44" i="2" s="1"/>
  <c r="S44" i="2" s="1"/>
  <c r="O43" i="2"/>
  <c r="G43" i="2"/>
  <c r="N43" i="2" s="1"/>
  <c r="G42" i="2"/>
  <c r="O42" i="2" s="1"/>
  <c r="G41" i="2"/>
  <c r="N41" i="2" s="1"/>
  <c r="O41" i="2" s="1"/>
  <c r="P41" i="2" s="1"/>
  <c r="G40" i="2"/>
  <c r="N40" i="2" s="1"/>
  <c r="O39" i="2"/>
  <c r="P39" i="2" s="1"/>
  <c r="N39" i="2"/>
  <c r="G38" i="2"/>
  <c r="O38" i="2" s="1"/>
  <c r="P38" i="2" s="1"/>
  <c r="W37" i="2"/>
  <c r="G37" i="2"/>
  <c r="N37" i="2" s="1"/>
  <c r="X37" i="2" s="1"/>
  <c r="AA37" i="2" s="1"/>
  <c r="W36" i="2"/>
  <c r="G36" i="2"/>
  <c r="N36" i="2" s="1"/>
  <c r="X36" i="2" s="1"/>
  <c r="AA36" i="2" s="1"/>
  <c r="G35" i="2"/>
  <c r="S35" i="2" s="1"/>
  <c r="G34" i="2"/>
  <c r="S34" i="2" s="1"/>
  <c r="O33" i="2"/>
  <c r="G33" i="2"/>
  <c r="N33" i="2" s="1"/>
  <c r="P33" i="2" s="1"/>
  <c r="G32" i="2"/>
  <c r="O32" i="2" s="1"/>
  <c r="P32" i="2" s="1"/>
  <c r="G31" i="2"/>
  <c r="O31" i="2" s="1"/>
  <c r="P31" i="2" s="1"/>
  <c r="G30" i="2"/>
  <c r="N30" i="2" s="1"/>
  <c r="G29" i="2"/>
  <c r="N29" i="2" s="1"/>
  <c r="O29" i="2" s="1"/>
  <c r="G28" i="2"/>
  <c r="S28" i="2" s="1"/>
  <c r="O27" i="2"/>
  <c r="G27" i="2"/>
  <c r="N27" i="2" s="1"/>
  <c r="M26" i="2"/>
  <c r="G26" i="2"/>
  <c r="O26" i="2" s="1"/>
  <c r="P26" i="2" s="1"/>
  <c r="G25" i="2"/>
  <c r="N25" i="2" s="1"/>
  <c r="S25" i="2" s="1"/>
  <c r="G24" i="2"/>
  <c r="N24" i="2" s="1"/>
  <c r="G23" i="2"/>
  <c r="S23" i="2" s="1"/>
  <c r="G22" i="2"/>
  <c r="S22" i="2" s="1"/>
  <c r="G21" i="2"/>
  <c r="S21" i="2" s="1"/>
  <c r="G20" i="2"/>
  <c r="S20" i="2" s="1"/>
  <c r="G19" i="2"/>
  <c r="N19" i="2" s="1"/>
  <c r="S19" i="2" s="1"/>
  <c r="G18" i="2"/>
  <c r="N18" i="2" s="1"/>
  <c r="G17" i="2"/>
  <c r="O17" i="2" s="1"/>
  <c r="P17" i="2" s="1"/>
  <c r="G16" i="2"/>
  <c r="N16" i="2" s="1"/>
  <c r="G15" i="2"/>
  <c r="N15" i="2" s="1"/>
  <c r="S15" i="2" s="1"/>
  <c r="S14" i="2"/>
  <c r="G14" i="2"/>
  <c r="G13" i="2"/>
  <c r="O13" i="2" s="1"/>
  <c r="P13" i="2" s="1"/>
  <c r="G12" i="2"/>
  <c r="O12" i="2" s="1"/>
  <c r="P12" i="2" s="1"/>
  <c r="W11" i="2"/>
  <c r="G11" i="2"/>
  <c r="N11" i="2" s="1"/>
  <c r="G10" i="2"/>
  <c r="N10" i="2" s="1"/>
  <c r="G9" i="2"/>
  <c r="S9" i="2" s="1"/>
  <c r="G8" i="2"/>
  <c r="S8" i="2" s="1"/>
  <c r="M7" i="2"/>
  <c r="G7" i="2"/>
  <c r="S7" i="2" s="1"/>
  <c r="S6" i="2"/>
  <c r="O6" i="2"/>
  <c r="N6" i="2"/>
  <c r="S5" i="2"/>
  <c r="O5" i="2"/>
  <c r="P5" i="2" s="1"/>
  <c r="N5" i="2"/>
  <c r="G4" i="2"/>
  <c r="C159" i="1"/>
  <c r="C139" i="1"/>
  <c r="C132" i="1"/>
  <c r="C134" i="1" s="1"/>
  <c r="Z66" i="1"/>
  <c r="Y66" i="1"/>
  <c r="V66" i="1"/>
  <c r="U66" i="1"/>
  <c r="T66" i="1"/>
  <c r="R66" i="1"/>
  <c r="Q66" i="1"/>
  <c r="H66" i="1"/>
  <c r="E66" i="1"/>
  <c r="W65" i="1"/>
  <c r="G65" i="1"/>
  <c r="N65" i="1" s="1"/>
  <c r="W64" i="1"/>
  <c r="G64" i="1"/>
  <c r="N64" i="1" s="1"/>
  <c r="G63" i="1"/>
  <c r="W62" i="1"/>
  <c r="G62" i="1"/>
  <c r="N62" i="1" s="1"/>
  <c r="G61" i="1"/>
  <c r="O60" i="1"/>
  <c r="P60" i="1" s="1"/>
  <c r="G60" i="1"/>
  <c r="N60" i="1" s="1"/>
  <c r="G59" i="1"/>
  <c r="N59" i="1" s="1"/>
  <c r="W58" i="1"/>
  <c r="G58" i="1"/>
  <c r="N58" i="1" s="1"/>
  <c r="X58" i="1" s="1"/>
  <c r="AA58" i="1" s="1"/>
  <c r="G57" i="1"/>
  <c r="O57" i="1" s="1"/>
  <c r="G56" i="1"/>
  <c r="S56" i="1" s="1"/>
  <c r="G55" i="1"/>
  <c r="O55" i="1" s="1"/>
  <c r="P55" i="1" s="1"/>
  <c r="N54" i="1"/>
  <c r="O54" i="1" s="1"/>
  <c r="G53" i="1"/>
  <c r="N53" i="1" s="1"/>
  <c r="G52" i="1"/>
  <c r="O52" i="1" s="1"/>
  <c r="P52" i="1" s="1"/>
  <c r="W52" i="1" s="1"/>
  <c r="G51" i="1"/>
  <c r="G50" i="1"/>
  <c r="N50" i="1" s="1"/>
  <c r="G49" i="1"/>
  <c r="O49" i="1" s="1"/>
  <c r="G48" i="1"/>
  <c r="N48" i="1" s="1"/>
  <c r="O48" i="1" s="1"/>
  <c r="P48" i="1" s="1"/>
  <c r="G47" i="1"/>
  <c r="G46" i="1"/>
  <c r="N46" i="1" s="1"/>
  <c r="S46" i="1" s="1"/>
  <c r="O45" i="1"/>
  <c r="P45" i="1" s="1"/>
  <c r="G45" i="1"/>
  <c r="N45" i="1" s="1"/>
  <c r="G44" i="1"/>
  <c r="N44" i="1" s="1"/>
  <c r="S44" i="1" s="1"/>
  <c r="G43" i="1"/>
  <c r="O43" i="1" s="1"/>
  <c r="G42" i="1"/>
  <c r="O42" i="1" s="1"/>
  <c r="P42" i="1" s="1"/>
  <c r="G41" i="1"/>
  <c r="N41" i="1" s="1"/>
  <c r="G40" i="1"/>
  <c r="N40" i="1" s="1"/>
  <c r="O40" i="1" s="1"/>
  <c r="O39" i="1"/>
  <c r="N39" i="1"/>
  <c r="G38" i="1"/>
  <c r="W37" i="1"/>
  <c r="G37" i="1"/>
  <c r="N37" i="1" s="1"/>
  <c r="X37" i="1" s="1"/>
  <c r="AA37" i="1" s="1"/>
  <c r="W36" i="1"/>
  <c r="G36" i="1"/>
  <c r="N36" i="1" s="1"/>
  <c r="X36" i="1" s="1"/>
  <c r="AA36" i="1" s="1"/>
  <c r="G35" i="1"/>
  <c r="S35" i="1" s="1"/>
  <c r="G34" i="1"/>
  <c r="S34" i="1" s="1"/>
  <c r="G33" i="1"/>
  <c r="O33" i="1" s="1"/>
  <c r="G32" i="1"/>
  <c r="G31" i="1"/>
  <c r="G30" i="1"/>
  <c r="N30" i="1" s="1"/>
  <c r="G29" i="1"/>
  <c r="N29" i="1" s="1"/>
  <c r="G28" i="1"/>
  <c r="S28" i="1" s="1"/>
  <c r="G27" i="1"/>
  <c r="S27" i="1" s="1"/>
  <c r="M26" i="1"/>
  <c r="G26" i="1"/>
  <c r="S26" i="1" s="1"/>
  <c r="G25" i="1"/>
  <c r="N25" i="1" s="1"/>
  <c r="S25" i="1" s="1"/>
  <c r="G24" i="1"/>
  <c r="N24" i="1" s="1"/>
  <c r="O24" i="1" s="1"/>
  <c r="G23" i="1"/>
  <c r="N23" i="1" s="1"/>
  <c r="G22" i="1"/>
  <c r="N22" i="1" s="1"/>
  <c r="G21" i="1"/>
  <c r="N21" i="1" s="1"/>
  <c r="G20" i="1"/>
  <c r="N20" i="1" s="1"/>
  <c r="G19" i="1"/>
  <c r="N19" i="1" s="1"/>
  <c r="S19" i="1" s="1"/>
  <c r="G18" i="1"/>
  <c r="N18" i="1" s="1"/>
  <c r="S18" i="1" s="1"/>
  <c r="G17" i="1"/>
  <c r="N17" i="1" s="1"/>
  <c r="G16" i="1"/>
  <c r="N16" i="1" s="1"/>
  <c r="O16" i="1" s="1"/>
  <c r="G15" i="1"/>
  <c r="N15" i="1" s="1"/>
  <c r="S15" i="1" s="1"/>
  <c r="G14" i="1"/>
  <c r="S14" i="1" s="1"/>
  <c r="G13" i="1"/>
  <c r="S13" i="1" s="1"/>
  <c r="G12" i="1"/>
  <c r="S12" i="1" s="1"/>
  <c r="W11" i="1"/>
  <c r="G11" i="1"/>
  <c r="N11" i="1" s="1"/>
  <c r="G10" i="1"/>
  <c r="S10" i="1" s="1"/>
  <c r="G9" i="1"/>
  <c r="S9" i="1" s="1"/>
  <c r="G8" i="1"/>
  <c r="S8" i="1" s="1"/>
  <c r="M7" i="1"/>
  <c r="G7" i="1"/>
  <c r="S7" i="1" s="1"/>
  <c r="S6" i="1"/>
  <c r="O6" i="1"/>
  <c r="N6" i="1"/>
  <c r="S5" i="1"/>
  <c r="O5" i="1"/>
  <c r="P5" i="1" s="1"/>
  <c r="N5" i="1"/>
  <c r="G4" i="1"/>
  <c r="S4" i="1" s="1"/>
  <c r="O20" i="1" l="1"/>
  <c r="N34" i="1"/>
  <c r="N43" i="1"/>
  <c r="O53" i="1"/>
  <c r="O56" i="1"/>
  <c r="P56" i="1" s="1"/>
  <c r="N7" i="1"/>
  <c r="N12" i="1"/>
  <c r="O8" i="1"/>
  <c r="P8" i="1" s="1"/>
  <c r="X11" i="1"/>
  <c r="AA11" i="1" s="1"/>
  <c r="W5" i="1"/>
  <c r="X5" i="1" s="1"/>
  <c r="AA5" i="1" s="1"/>
  <c r="O7" i="1"/>
  <c r="P7" i="1" s="1"/>
  <c r="N13" i="1"/>
  <c r="O18" i="1"/>
  <c r="P18" i="1" s="1"/>
  <c r="W18" i="1" s="1"/>
  <c r="X18" i="1" s="1"/>
  <c r="AA18" i="1" s="1"/>
  <c r="O26" i="1"/>
  <c r="P26" i="1" s="1"/>
  <c r="N35" i="1"/>
  <c r="N55" i="1"/>
  <c r="O59" i="1"/>
  <c r="O35" i="1"/>
  <c r="P35" i="1" s="1"/>
  <c r="W55" i="1"/>
  <c r="P59" i="1"/>
  <c r="O13" i="1"/>
  <c r="P13" i="1" s="1"/>
  <c r="M66" i="1"/>
  <c r="N8" i="1"/>
  <c r="O12" i="1"/>
  <c r="P12" i="1" s="1"/>
  <c r="W12" i="1" s="1"/>
  <c r="X12" i="1" s="1"/>
  <c r="AA12" i="1" s="1"/>
  <c r="O22" i="1"/>
  <c r="O34" i="1"/>
  <c r="P34" i="1" s="1"/>
  <c r="N52" i="1"/>
  <c r="X52" i="1" s="1"/>
  <c r="AA52" i="1" s="1"/>
  <c r="O17" i="1"/>
  <c r="P17" i="1" s="1"/>
  <c r="W42" i="1"/>
  <c r="O50" i="1"/>
  <c r="P50" i="1" s="1"/>
  <c r="G66" i="1"/>
  <c r="N9" i="1"/>
  <c r="O10" i="1"/>
  <c r="P10" i="1" s="1"/>
  <c r="W10" i="1" s="1"/>
  <c r="N14" i="1"/>
  <c r="O23" i="1"/>
  <c r="P23" i="1" s="1"/>
  <c r="N27" i="1"/>
  <c r="N28" i="1"/>
  <c r="N33" i="1"/>
  <c r="P33" i="1" s="1"/>
  <c r="W33" i="1" s="1"/>
  <c r="O44" i="1"/>
  <c r="P44" i="1" s="1"/>
  <c r="N49" i="1"/>
  <c r="P54" i="1"/>
  <c r="W54" i="1" s="1"/>
  <c r="X54" i="1" s="1"/>
  <c r="AA54" i="1" s="1"/>
  <c r="N57" i="1"/>
  <c r="N10" i="1"/>
  <c r="O21" i="1"/>
  <c r="P21" i="1" s="1"/>
  <c r="O9" i="1"/>
  <c r="P9" i="1" s="1"/>
  <c r="O14" i="1"/>
  <c r="P14" i="1" s="1"/>
  <c r="N26" i="1"/>
  <c r="O27" i="1"/>
  <c r="O28" i="1"/>
  <c r="P28" i="1" s="1"/>
  <c r="N56" i="1"/>
  <c r="X62" i="1"/>
  <c r="AA62" i="1" s="1"/>
  <c r="O10" i="2"/>
  <c r="P10" i="2" s="1"/>
  <c r="N42" i="2"/>
  <c r="O53" i="2"/>
  <c r="P53" i="2" s="1"/>
  <c r="S10" i="2"/>
  <c r="N9" i="2"/>
  <c r="X11" i="2"/>
  <c r="AA11" i="2" s="1"/>
  <c r="X58" i="2"/>
  <c r="AA58" i="2" s="1"/>
  <c r="G66" i="2"/>
  <c r="N8" i="2"/>
  <c r="O9" i="2"/>
  <c r="P9" i="2" s="1"/>
  <c r="S17" i="2"/>
  <c r="W17" i="2" s="1"/>
  <c r="N28" i="2"/>
  <c r="N34" i="2"/>
  <c r="N35" i="2"/>
  <c r="N49" i="2"/>
  <c r="X49" i="2" s="1"/>
  <c r="AA49" i="2" s="1"/>
  <c r="N59" i="2"/>
  <c r="N7" i="2"/>
  <c r="O8" i="2"/>
  <c r="P8" i="2" s="1"/>
  <c r="S13" i="2"/>
  <c r="W13" i="2" s="1"/>
  <c r="O28" i="2"/>
  <c r="P28" i="2" s="1"/>
  <c r="O34" i="2"/>
  <c r="P34" i="2" s="1"/>
  <c r="O35" i="2"/>
  <c r="P35" i="2" s="1"/>
  <c r="N51" i="2"/>
  <c r="X51" i="2" s="1"/>
  <c r="AA51" i="2" s="1"/>
  <c r="N56" i="2"/>
  <c r="N57" i="2"/>
  <c r="O59" i="2"/>
  <c r="W59" i="2" s="1"/>
  <c r="X59" i="2" s="1"/>
  <c r="AA59" i="2" s="1"/>
  <c r="W61" i="2"/>
  <c r="W5" i="2"/>
  <c r="O7" i="2"/>
  <c r="P7" i="2" s="1"/>
  <c r="W7" i="2" s="1"/>
  <c r="W33" i="2"/>
  <c r="X33" i="2" s="1"/>
  <c r="AA33" i="2" s="1"/>
  <c r="O56" i="2"/>
  <c r="P56" i="2" s="1"/>
  <c r="N63" i="2"/>
  <c r="O46" i="2"/>
  <c r="S46" i="2"/>
  <c r="X5" i="2"/>
  <c r="AA5" i="2" s="1"/>
  <c r="X7" i="2"/>
  <c r="AA7" i="2" s="1"/>
  <c r="O18" i="2"/>
  <c r="S18" i="2"/>
  <c r="S24" i="2"/>
  <c r="O30" i="2"/>
  <c r="N31" i="2"/>
  <c r="N32" i="2"/>
  <c r="N38" i="2"/>
  <c r="W39" i="2"/>
  <c r="W41" i="2"/>
  <c r="X41" i="2" s="1"/>
  <c r="AA41" i="2" s="1"/>
  <c r="P42" i="2"/>
  <c r="W42" i="2" s="1"/>
  <c r="X42" i="2" s="1"/>
  <c r="AA42" i="2" s="1"/>
  <c r="O44" i="2"/>
  <c r="O45" i="2"/>
  <c r="N45" i="2"/>
  <c r="N47" i="2"/>
  <c r="W28" i="2"/>
  <c r="X28" i="2" s="1"/>
  <c r="AA28" i="2" s="1"/>
  <c r="O40" i="2"/>
  <c r="P55" i="2"/>
  <c r="W55" i="2" s="1"/>
  <c r="X55" i="2" s="1"/>
  <c r="AA55" i="2" s="1"/>
  <c r="N4" i="2"/>
  <c r="P6" i="2"/>
  <c r="W6" i="2" s="1"/>
  <c r="X6" i="2" s="1"/>
  <c r="AA6" i="2" s="1"/>
  <c r="N12" i="2"/>
  <c r="O4" i="2"/>
  <c r="W10" i="2"/>
  <c r="X10" i="2" s="1"/>
  <c r="AA10" i="2" s="1"/>
  <c r="O19" i="2"/>
  <c r="S31" i="2"/>
  <c r="W31" i="2" s="1"/>
  <c r="W32" i="2"/>
  <c r="W38" i="2"/>
  <c r="W43" i="2"/>
  <c r="X43" i="2" s="1"/>
  <c r="AA43" i="2" s="1"/>
  <c r="W47" i="2"/>
  <c r="P48" i="2"/>
  <c r="W48" i="2" s="1"/>
  <c r="X48" i="2" s="1"/>
  <c r="AA48" i="2" s="1"/>
  <c r="O50" i="2"/>
  <c r="N50" i="2"/>
  <c r="X65" i="2"/>
  <c r="AA65" i="2" s="1"/>
  <c r="X64" i="2"/>
  <c r="AA64" i="2" s="1"/>
  <c r="S4" i="2"/>
  <c r="X39" i="2"/>
  <c r="AA39" i="2" s="1"/>
  <c r="S12" i="2"/>
  <c r="W12" i="2" s="1"/>
  <c r="N13" i="2"/>
  <c r="O14" i="2"/>
  <c r="N14" i="2"/>
  <c r="O15" i="2"/>
  <c r="O16" i="2"/>
  <c r="N17" i="2"/>
  <c r="M19" i="2"/>
  <c r="M66" i="2" s="1"/>
  <c r="O20" i="2"/>
  <c r="N20" i="2"/>
  <c r="O21" i="2"/>
  <c r="N21" i="2"/>
  <c r="O22" i="2"/>
  <c r="N22" i="2"/>
  <c r="O23" i="2"/>
  <c r="N23" i="2"/>
  <c r="O24" i="2"/>
  <c r="O25" i="2"/>
  <c r="N26" i="2"/>
  <c r="S26" i="2"/>
  <c r="W26" i="2" s="1"/>
  <c r="P27" i="2"/>
  <c r="P29" i="2"/>
  <c r="W29" i="2" s="1"/>
  <c r="X29" i="2" s="1"/>
  <c r="AA29" i="2" s="1"/>
  <c r="W34" i="2"/>
  <c r="X34" i="2" s="1"/>
  <c r="AA34" i="2" s="1"/>
  <c r="P43" i="2"/>
  <c r="W49" i="2"/>
  <c r="P52" i="2"/>
  <c r="W52" i="2" s="1"/>
  <c r="X52" i="2" s="1"/>
  <c r="AA52" i="2" s="1"/>
  <c r="P54" i="2"/>
  <c r="O54" i="2"/>
  <c r="W57" i="2"/>
  <c r="O60" i="2"/>
  <c r="N60" i="2"/>
  <c r="N61" i="2"/>
  <c r="X62" i="2"/>
  <c r="AA62" i="2" s="1"/>
  <c r="W63" i="2"/>
  <c r="X63" i="2" s="1"/>
  <c r="AA63" i="2" s="1"/>
  <c r="S27" i="2"/>
  <c r="W27" i="2" s="1"/>
  <c r="X27" i="2" s="1"/>
  <c r="AA27" i="2" s="1"/>
  <c r="X64" i="1"/>
  <c r="AA64" i="1" s="1"/>
  <c r="X65" i="1"/>
  <c r="AA65" i="1" s="1"/>
  <c r="P16" i="1"/>
  <c r="W16" i="1" s="1"/>
  <c r="X16" i="1" s="1"/>
  <c r="AA16" i="1" s="1"/>
  <c r="P24" i="1"/>
  <c r="W7" i="1"/>
  <c r="O31" i="1"/>
  <c r="N31" i="1"/>
  <c r="O29" i="1"/>
  <c r="P49" i="1"/>
  <c r="W49" i="1" s="1"/>
  <c r="X49" i="1" s="1"/>
  <c r="AA49" i="1" s="1"/>
  <c r="O4" i="1"/>
  <c r="O15" i="1"/>
  <c r="S31" i="1"/>
  <c r="W34" i="1"/>
  <c r="X34" i="1" s="1"/>
  <c r="AA34" i="1" s="1"/>
  <c r="P57" i="1"/>
  <c r="W57" i="1" s="1"/>
  <c r="O61" i="1"/>
  <c r="N61" i="1"/>
  <c r="O32" i="1"/>
  <c r="N32" i="1"/>
  <c r="O38" i="1"/>
  <c r="N38" i="1"/>
  <c r="P39" i="1"/>
  <c r="W39" i="1" s="1"/>
  <c r="X39" i="1" s="1"/>
  <c r="AA39" i="1" s="1"/>
  <c r="P43" i="1"/>
  <c r="W43" i="1" s="1"/>
  <c r="X43" i="1" s="1"/>
  <c r="AA43" i="1" s="1"/>
  <c r="O46" i="1"/>
  <c r="O47" i="1"/>
  <c r="N47" i="1"/>
  <c r="O51" i="1"/>
  <c r="N51" i="1"/>
  <c r="N4" i="1"/>
  <c r="P6" i="1"/>
  <c r="W6" i="1" s="1"/>
  <c r="X6" i="1" s="1"/>
  <c r="AA6" i="1" s="1"/>
  <c r="O19" i="1"/>
  <c r="P22" i="1"/>
  <c r="O30" i="1"/>
  <c r="P40" i="1"/>
  <c r="W40" i="1" s="1"/>
  <c r="X40" i="1" s="1"/>
  <c r="AA40" i="1" s="1"/>
  <c r="W45" i="1"/>
  <c r="X45" i="1" s="1"/>
  <c r="AA45" i="1" s="1"/>
  <c r="W48" i="1"/>
  <c r="X48" i="1" s="1"/>
  <c r="AA48" i="1" s="1"/>
  <c r="W50" i="1"/>
  <c r="X50" i="1" s="1"/>
  <c r="AA50" i="1" s="1"/>
  <c r="P53" i="1"/>
  <c r="W53" i="1" s="1"/>
  <c r="X53" i="1" s="1"/>
  <c r="AA53" i="1" s="1"/>
  <c r="O63" i="1"/>
  <c r="N63" i="1"/>
  <c r="P20" i="1"/>
  <c r="O25" i="1"/>
  <c r="O41" i="1"/>
  <c r="N42" i="1"/>
  <c r="W60" i="1"/>
  <c r="X60" i="1" s="1"/>
  <c r="AA60" i="1" s="1"/>
  <c r="S17" i="1"/>
  <c r="S20" i="1"/>
  <c r="S21" i="1"/>
  <c r="S22" i="1"/>
  <c r="S23" i="1"/>
  <c r="S24" i="1"/>
  <c r="W24" i="1" s="1"/>
  <c r="X24" i="1" s="1"/>
  <c r="AA24" i="1" s="1"/>
  <c r="W8" i="1" l="1"/>
  <c r="X8" i="1" s="1"/>
  <c r="AA8" i="1" s="1"/>
  <c r="X33" i="1"/>
  <c r="AA33" i="1" s="1"/>
  <c r="X7" i="1"/>
  <c r="AA7" i="1" s="1"/>
  <c r="W26" i="1"/>
  <c r="X26" i="1" s="1"/>
  <c r="AA26" i="1" s="1"/>
  <c r="X57" i="1"/>
  <c r="AA57" i="1" s="1"/>
  <c r="W35" i="1"/>
  <c r="X35" i="1" s="1"/>
  <c r="AA35" i="1" s="1"/>
  <c r="W56" i="1"/>
  <c r="X56" i="1" s="1"/>
  <c r="AA56" i="1" s="1"/>
  <c r="X42" i="1"/>
  <c r="AA42" i="1" s="1"/>
  <c r="X55" i="1"/>
  <c r="AA55" i="1" s="1"/>
  <c r="W21" i="1"/>
  <c r="X21" i="1" s="1"/>
  <c r="AA21" i="1" s="1"/>
  <c r="W13" i="1"/>
  <c r="X13" i="1" s="1"/>
  <c r="AA13" i="1" s="1"/>
  <c r="W17" i="1"/>
  <c r="X17" i="1" s="1"/>
  <c r="AA17" i="1" s="1"/>
  <c r="W20" i="1"/>
  <c r="X20" i="1" s="1"/>
  <c r="AA20" i="1" s="1"/>
  <c r="W14" i="1"/>
  <c r="X14" i="1" s="1"/>
  <c r="AA14" i="1" s="1"/>
  <c r="W23" i="1"/>
  <c r="X23" i="1" s="1"/>
  <c r="AA23" i="1" s="1"/>
  <c r="W59" i="1"/>
  <c r="X59" i="1" s="1"/>
  <c r="AA59" i="1" s="1"/>
  <c r="P27" i="1"/>
  <c r="W27" i="1" s="1"/>
  <c r="X27" i="1" s="1"/>
  <c r="AA27" i="1" s="1"/>
  <c r="S66" i="1"/>
  <c r="X10" i="1"/>
  <c r="AA10" i="1" s="1"/>
  <c r="W9" i="1"/>
  <c r="X9" i="1" s="1"/>
  <c r="AA9" i="1" s="1"/>
  <c r="W28" i="1"/>
  <c r="X28" i="1" s="1"/>
  <c r="AA28" i="1" s="1"/>
  <c r="W44" i="1"/>
  <c r="X44" i="1" s="1"/>
  <c r="AA44" i="1" s="1"/>
  <c r="X61" i="2"/>
  <c r="AA61" i="2" s="1"/>
  <c r="W53" i="2"/>
  <c r="X53" i="2" s="1"/>
  <c r="AA53" i="2" s="1"/>
  <c r="X32" i="2"/>
  <c r="AA32" i="2" s="1"/>
  <c r="X57" i="2"/>
  <c r="AA57" i="2" s="1"/>
  <c r="X12" i="2"/>
  <c r="AA12" i="2" s="1"/>
  <c r="W56" i="2"/>
  <c r="X56" i="2" s="1"/>
  <c r="AA56" i="2" s="1"/>
  <c r="X38" i="2"/>
  <c r="AA38" i="2" s="1"/>
  <c r="W54" i="2"/>
  <c r="X54" i="2" s="1"/>
  <c r="AA54" i="2" s="1"/>
  <c r="X47" i="2"/>
  <c r="AA47" i="2" s="1"/>
  <c r="W35" i="2"/>
  <c r="X35" i="2" s="1"/>
  <c r="AA35" i="2" s="1"/>
  <c r="W8" i="2"/>
  <c r="X8" i="2" s="1"/>
  <c r="AA8" i="2" s="1"/>
  <c r="W9" i="2"/>
  <c r="X9" i="2" s="1"/>
  <c r="AA9" i="2" s="1"/>
  <c r="P24" i="2"/>
  <c r="W24" i="2" s="1"/>
  <c r="X24" i="2" s="1"/>
  <c r="AA24" i="2" s="1"/>
  <c r="X26" i="2"/>
  <c r="AA26" i="2" s="1"/>
  <c r="P20" i="2"/>
  <c r="W20" i="2" s="1"/>
  <c r="X20" i="2" s="1"/>
  <c r="AA20" i="2" s="1"/>
  <c r="P16" i="2"/>
  <c r="W16" i="2" s="1"/>
  <c r="X16" i="2" s="1"/>
  <c r="AA16" i="2" s="1"/>
  <c r="P14" i="2"/>
  <c r="W14" i="2" s="1"/>
  <c r="X14" i="2" s="1"/>
  <c r="AA14" i="2" s="1"/>
  <c r="P44" i="2"/>
  <c r="W44" i="2" s="1"/>
  <c r="X44" i="2" s="1"/>
  <c r="AA44" i="2" s="1"/>
  <c r="P30" i="2"/>
  <c r="W30" i="2" s="1"/>
  <c r="X30" i="2" s="1"/>
  <c r="AA30" i="2" s="1"/>
  <c r="S66" i="2"/>
  <c r="P40" i="2"/>
  <c r="W40" i="2" s="1"/>
  <c r="X40" i="2" s="1"/>
  <c r="AA40" i="2" s="1"/>
  <c r="P46" i="2"/>
  <c r="W46" i="2" s="1"/>
  <c r="X46" i="2" s="1"/>
  <c r="AA46" i="2" s="1"/>
  <c r="P45" i="2"/>
  <c r="W45" i="2" s="1"/>
  <c r="X45" i="2" s="1"/>
  <c r="AA45" i="2" s="1"/>
  <c r="P22" i="2"/>
  <c r="W22" i="2" s="1"/>
  <c r="X22" i="2" s="1"/>
  <c r="AA22" i="2" s="1"/>
  <c r="P60" i="2"/>
  <c r="W60" i="2" s="1"/>
  <c r="X60" i="2" s="1"/>
  <c r="AA60" i="2" s="1"/>
  <c r="P25" i="2"/>
  <c r="W25" i="2" s="1"/>
  <c r="X25" i="2" s="1"/>
  <c r="AA25" i="2" s="1"/>
  <c r="P15" i="2"/>
  <c r="W15" i="2" s="1"/>
  <c r="X15" i="2" s="1"/>
  <c r="AA15" i="2" s="1"/>
  <c r="X13" i="2"/>
  <c r="AA13" i="2" s="1"/>
  <c r="N66" i="2"/>
  <c r="P23" i="2"/>
  <c r="W23" i="2" s="1"/>
  <c r="X23" i="2" s="1"/>
  <c r="AA23" i="2" s="1"/>
  <c r="P21" i="2"/>
  <c r="W21" i="2" s="1"/>
  <c r="X21" i="2" s="1"/>
  <c r="AA21" i="2" s="1"/>
  <c r="X17" i="2"/>
  <c r="AA17" i="2" s="1"/>
  <c r="P50" i="2"/>
  <c r="W50" i="2" s="1"/>
  <c r="X50" i="2" s="1"/>
  <c r="AA50" i="2" s="1"/>
  <c r="P19" i="2"/>
  <c r="W19" i="2" s="1"/>
  <c r="X19" i="2" s="1"/>
  <c r="AA19" i="2" s="1"/>
  <c r="O66" i="2"/>
  <c r="P4" i="2"/>
  <c r="W4" i="2" s="1"/>
  <c r="X4" i="2" s="1"/>
  <c r="X31" i="2"/>
  <c r="AA31" i="2" s="1"/>
  <c r="P18" i="2"/>
  <c r="W18" i="2" s="1"/>
  <c r="X18" i="2" s="1"/>
  <c r="AA18" i="2" s="1"/>
  <c r="P30" i="1"/>
  <c r="W30" i="1" s="1"/>
  <c r="X30" i="1" s="1"/>
  <c r="AA30" i="1" s="1"/>
  <c r="P46" i="1"/>
  <c r="W46" i="1" s="1"/>
  <c r="X46" i="1" s="1"/>
  <c r="AA46" i="1" s="1"/>
  <c r="P38" i="1"/>
  <c r="W38" i="1" s="1"/>
  <c r="X38" i="1" s="1"/>
  <c r="AA38" i="1" s="1"/>
  <c r="W22" i="1"/>
  <c r="X22" i="1" s="1"/>
  <c r="AA22" i="1" s="1"/>
  <c r="P29" i="1"/>
  <c r="W29" i="1" s="1"/>
  <c r="X29" i="1" s="1"/>
  <c r="AA29" i="1" s="1"/>
  <c r="P63" i="1"/>
  <c r="W63" i="1" s="1"/>
  <c r="X63" i="1" s="1"/>
  <c r="AA63" i="1" s="1"/>
  <c r="P51" i="1"/>
  <c r="W51" i="1" s="1"/>
  <c r="X51" i="1" s="1"/>
  <c r="AA51" i="1" s="1"/>
  <c r="O66" i="1"/>
  <c r="P4" i="1"/>
  <c r="W4" i="1" s="1"/>
  <c r="P32" i="1"/>
  <c r="W32" i="1" s="1"/>
  <c r="X32" i="1" s="1"/>
  <c r="AA32" i="1" s="1"/>
  <c r="P15" i="1"/>
  <c r="W15" i="1" s="1"/>
  <c r="X15" i="1" s="1"/>
  <c r="AA15" i="1" s="1"/>
  <c r="P41" i="1"/>
  <c r="W41" i="1" s="1"/>
  <c r="X41" i="1" s="1"/>
  <c r="AA41" i="1" s="1"/>
  <c r="P25" i="1"/>
  <c r="W25" i="1" s="1"/>
  <c r="X25" i="1" s="1"/>
  <c r="AA25" i="1" s="1"/>
  <c r="P19" i="1"/>
  <c r="W19" i="1" s="1"/>
  <c r="X19" i="1" s="1"/>
  <c r="AA19" i="1" s="1"/>
  <c r="N66" i="1"/>
  <c r="P47" i="1"/>
  <c r="W47" i="1" s="1"/>
  <c r="X47" i="1" s="1"/>
  <c r="AA47" i="1" s="1"/>
  <c r="P61" i="1"/>
  <c r="W61" i="1" s="1"/>
  <c r="X61" i="1" s="1"/>
  <c r="AA61" i="1" s="1"/>
  <c r="P31" i="1"/>
  <c r="W31" i="1" s="1"/>
  <c r="X31" i="1" s="1"/>
  <c r="AA31" i="1" s="1"/>
  <c r="X66" i="2" l="1"/>
  <c r="AA4" i="2"/>
  <c r="AA66" i="2" s="1"/>
  <c r="W66" i="2"/>
  <c r="P66" i="2"/>
  <c r="W66" i="1"/>
  <c r="X4" i="1"/>
  <c r="P66" i="1"/>
  <c r="AA4" i="1" l="1"/>
  <c r="AA66" i="1" s="1"/>
  <c r="X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17" authorId="0" shapeId="0" xr:uid="{B6F950B8-C1DC-47B5-BABF-430F77BFD0E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credito compensar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3" authorId="0" shapeId="0" xr:uid="{FDAB7EDA-6047-40D4-A48D-19467DE352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BASE PARA APLICAR RETENCION EN LA FUENTE 3.647.000</t>
        </r>
      </text>
    </comment>
  </commentList>
</comments>
</file>

<file path=xl/sharedStrings.xml><?xml version="1.0" encoding="utf-8"?>
<sst xmlns="http://schemas.openxmlformats.org/spreadsheetml/2006/main" count="1997" uniqueCount="172">
  <si>
    <t>PLANILLA DE NOMINA EXSIS SOFTWARE DE ENERO DE 2015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</si>
  <si>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</si>
  <si>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</si>
  <si>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</si>
  <si>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</si>
  <si>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</si>
  <si>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</si>
  <si>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</si>
  <si>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</si>
  <si>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</si>
  <si>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</si>
  <si>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</si>
  <si>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SALDOS PENDIENTES</t>
  </si>
  <si>
    <t>HORAS EXTRAS</t>
  </si>
  <si>
    <t>VACACIONES ANTICIPADAS</t>
  </si>
  <si>
    <t>Bonos</t>
  </si>
  <si>
    <t>Auxilios</t>
  </si>
  <si>
    <t>Devengos</t>
  </si>
  <si>
    <t>Salud</t>
  </si>
  <si>
    <t>Pensiòn</t>
  </si>
  <si>
    <t>Cooperativa</t>
  </si>
  <si>
    <t>AJUSTE RETENCION  ENERO</t>
  </si>
  <si>
    <t>1% FONDO DE SOLIDARIDA</t>
  </si>
  <si>
    <t>RETENCION</t>
  </si>
  <si>
    <t>CUENTA AFC</t>
  </si>
  <si>
    <t>Descuento por Prestamos</t>
  </si>
  <si>
    <t>Total Deducciones</t>
  </si>
  <si>
    <t>TOTAL A PAGAR</t>
  </si>
  <si>
    <t>AUX.COMUNICACION</t>
  </si>
  <si>
    <t>AJUSTE INT/CESAN</t>
  </si>
  <si>
    <t>NETO A PAGAR ENERO</t>
  </si>
  <si>
    <t>ALBERTO ALBEIRO ALMARIO VALBUENA</t>
  </si>
  <si>
    <t>NOMINA</t>
  </si>
  <si>
    <t>ANA LUCIA ARBELAEZ BARBOSA</t>
  </si>
  <si>
    <t>ANDRES HERRERA MALDONADO</t>
  </si>
  <si>
    <t>ANGELA ENITH RODRIGUEZ MORENO</t>
  </si>
  <si>
    <t>AURORA VARGAS MORENO</t>
  </si>
  <si>
    <t>CARLOS ANDRES ALVAREZ RAMIREZ</t>
  </si>
  <si>
    <t>CARMEN ALEIDA QUINTERO REYES</t>
  </si>
  <si>
    <t>CARLOS BASTOS</t>
  </si>
  <si>
    <t>DIANA YINETH MONTERO</t>
  </si>
  <si>
    <t>EDGAR ALEXANDER ESPINOSA</t>
  </si>
  <si>
    <t>GUSTAVO IGNACIO MAGGI WULFF</t>
  </si>
  <si>
    <t>HECTOR GERMAN CHAPARRO RODRIGUEZ</t>
  </si>
  <si>
    <t>JAIME CARLOS SANMARTIN DAZA</t>
  </si>
  <si>
    <t>JIMMY ALEXANDER CIFUENTES</t>
  </si>
  <si>
    <t>JUAN CAMILO MENDIETA SILVA</t>
  </si>
  <si>
    <t>JUAN RAMON BELTRAN ALFARO</t>
  </si>
  <si>
    <t>LEONEL SIERRA MARTINEZ</t>
  </si>
  <si>
    <t>LUDWIG JOHAN LARROTA ROJAS</t>
  </si>
  <si>
    <t>LUIS ALFONSO ROZO SABOGAL</t>
  </si>
  <si>
    <t xml:space="preserve">LUIS DANIEL HERRERA MALDONADO </t>
  </si>
  <si>
    <t>LUIS EDUARDO SANCHEZ VALBUENA</t>
  </si>
  <si>
    <t>LUIS IVAN GONZALEZ SANTIAGO</t>
  </si>
  <si>
    <t>MANUELA RODRIGUEZ BENITEZ</t>
  </si>
  <si>
    <t>MANUEL EDUARDO HERNANDEZ RODRIGUEZ</t>
  </si>
  <si>
    <t xml:space="preserve">NYDIA CASTILBLANCO MARIN </t>
  </si>
  <si>
    <t>SANTIAGO AGUILAR LOPEZ</t>
  </si>
  <si>
    <t>SERGIO BAYARDO CARDONA</t>
  </si>
  <si>
    <t>TICSIANA LORENA CARRILLO</t>
  </si>
  <si>
    <t>EXSIS</t>
  </si>
  <si>
    <t>ANA MARCELA PEÑA MURALLAS</t>
  </si>
  <si>
    <t>ATHALA VENEGAS RIVAS</t>
  </si>
  <si>
    <t>CARLOS ERNESTO SAENZ VEGA</t>
  </si>
  <si>
    <t>CLAUDIA PATRICIA VILLLANUEVA MOSQUERA</t>
  </si>
  <si>
    <t>CRISTHIAN FELIPE GUERRERO PINEROS</t>
  </si>
  <si>
    <t>DAVID ENRIQUE MAHECHA SARMIENTO</t>
  </si>
  <si>
    <t>DAVID OBREGON SANCHEZ</t>
  </si>
  <si>
    <t>DIEGO MAURICIO ORTIZ PARADA</t>
  </si>
  <si>
    <t>EDWIIN HUMBERTO BUENO ALFONSO</t>
  </si>
  <si>
    <t>EDWAR CAMILO LONDOÑO SANCHEZ</t>
  </si>
  <si>
    <t>GERARDO ENRIQUE MENDEZ RAIGOSO</t>
  </si>
  <si>
    <t>GERSON CESPEDES GOMEZ</t>
  </si>
  <si>
    <t>JAVIER FERNANDO SANABRIA BELTRAN</t>
  </si>
  <si>
    <t>JOHANN ARLEY BRIÑEZ TRIANA</t>
  </si>
  <si>
    <t>JHON DAVID CARVAJAL</t>
  </si>
  <si>
    <t>JONATHAN MEZA SANTOS</t>
  </si>
  <si>
    <t>JOSMAN ALEXANDER KOOP SANTA</t>
  </si>
  <si>
    <t>JUAN CAMILO LARA LEON</t>
  </si>
  <si>
    <t>KATTYA ALEXANDRA PEÑA NIETO</t>
  </si>
  <si>
    <t>LUISA FERNANDA GALINDO HIGUERA</t>
  </si>
  <si>
    <t>MANUEL FERNANDO MENDEZ CARDOSO</t>
  </si>
  <si>
    <t>MAIRA ALEJANDRA CLARO ROPERO</t>
  </si>
  <si>
    <t>MARIA SULDERYK BERMUDEZ ESCUDERO</t>
  </si>
  <si>
    <t>MARIA TRANSITO PULIDO PARRA</t>
  </si>
  <si>
    <t>MIGUEL ANGEL JIMENEZ NUÑEZ</t>
  </si>
  <si>
    <t>MIGUEL SEBASTIAN JIMENEZ</t>
  </si>
  <si>
    <t>NELSON JAVIER PINZON LOPEZ</t>
  </si>
  <si>
    <t>NESTOR FABIAN CASTILLO ROZO</t>
  </si>
  <si>
    <t>OSCAR HERNAN PEREZ VILLALOBOS</t>
  </si>
  <si>
    <t>OSCAR IVAN VIVAS REINOSO</t>
  </si>
  <si>
    <t xml:space="preserve">PEDRO LUIS CORTES SANCHEZ </t>
  </si>
  <si>
    <t>PASANTE</t>
  </si>
  <si>
    <t>SANTIAGO ALVAREZ PORRAS</t>
  </si>
  <si>
    <t xml:space="preserve">SANTIAGO JIMENEZ PEDRAZA </t>
  </si>
  <si>
    <t>SERGIO ALEXIS RODRIGUEZ VASQUEZ</t>
  </si>
  <si>
    <t>TOTALES</t>
  </si>
  <si>
    <t>PLANILLA DE NOMINA EXSIS SOFTWARE DE FEBRERO DE 2015</t>
  </si>
  <si>
    <t>Auxilio de Comunicación</t>
  </si>
  <si>
    <t>+</t>
  </si>
  <si>
    <t>PLANILLA DE NOMINA EXSIS SOFTWARE DE MARZO DE 2015</t>
  </si>
  <si>
    <t>PRESTAMOS</t>
  </si>
  <si>
    <t>ANGELA LILIANA SAENZ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</si>
  <si>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</si>
  <si>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HEILLER GARCIA ARIAS</t>
  </si>
  <si>
    <t>LUIS EDUARDO CHACON</t>
  </si>
  <si>
    <t>PLANILLA DE NOMINA EXSIS SOFTWARE DE ABRIL DE 2015</t>
  </si>
  <si>
    <t>AJUSTE</t>
  </si>
  <si>
    <t>EDWIN  ALEXANDER SILVA LOPEZ</t>
  </si>
  <si>
    <t>ROGER BARRIOS AMOROCHO</t>
  </si>
  <si>
    <t>CAROLINA JARAMILLO DAVILA</t>
  </si>
  <si>
    <t>GUILLERMO ISRAEL AFRICANO GARZON</t>
  </si>
  <si>
    <t>JESSICA PAOLA NEGRETE MONTES</t>
  </si>
  <si>
    <t>SANDRA MILENA APARICIO</t>
  </si>
  <si>
    <t>Auxilio comunicación</t>
  </si>
  <si>
    <t>ADRIANA CUELLAR JIMENEZ</t>
  </si>
  <si>
    <t>YULIETH MILENA SANDOVAL MARTINEZ</t>
  </si>
  <si>
    <t>PLANILLA DE NOMINA EXSIS SOFTWARE DE MAYO DE 2015</t>
  </si>
  <si>
    <t>SALDOS PENDIENTES-PRIMA</t>
  </si>
  <si>
    <t>ELYANY MARCELA GARZON MORENO</t>
  </si>
  <si>
    <t>ILBA ELENA MONTES DURANGO</t>
  </si>
  <si>
    <t>SERGIO BAYARDO CORDOBA</t>
  </si>
  <si>
    <t>JULIAN DAVID LOZANO CARDOZO</t>
  </si>
  <si>
    <t>PLANILLA DE NOMINA EXSIS SOFTWARE DE JUNIO DE 2015</t>
  </si>
  <si>
    <t>PLANILLA DE NOMINA EXSIS SOFTWARE DE JULIO DE 2015</t>
  </si>
  <si>
    <t>JENNY HAIDEE QUITIAN RINCON</t>
  </si>
  <si>
    <t>JULIAN ANDRES RAMIREZ CELIS</t>
  </si>
  <si>
    <t>ORLANDO SUAREZ LABOTON</t>
  </si>
  <si>
    <t>LUIS ERNESTO RODRIGUEZ ALDANA</t>
  </si>
  <si>
    <t>PLANILLA DE NOMINA EXSIS SOFTWARE DE SEPTIEMBRE DE 2015</t>
  </si>
  <si>
    <t>ANGELA ENITH RODRGUEZ MORENO</t>
  </si>
  <si>
    <t>JAIRO ALDERRAMA ROZO</t>
  </si>
  <si>
    <t>ROBERTO JOSE DUQUE DIASGRANADOS</t>
  </si>
  <si>
    <t>ANDREA TATIANA ACEVEDO CASTAÑEDA</t>
  </si>
  <si>
    <t>DULIETH SANCHEZ PINTO</t>
  </si>
  <si>
    <t>JEAN JAVIER ORTIZ HENAO</t>
  </si>
  <si>
    <t>LEIDY XIMENA CIFUENTES OSPINA</t>
  </si>
  <si>
    <t>TULIO ESTEBAN JIMENEZ VILLANUEVA</t>
  </si>
  <si>
    <t>PLANILLA DE NOMINA EXSIS SOFTWARE DE OCTUBRE DE 2015</t>
  </si>
  <si>
    <t>BONIFICACION</t>
  </si>
  <si>
    <t>CARLOS ALBERTO ESPINOSA BELTRAN</t>
  </si>
  <si>
    <t>EDGAR IVAN MALDONADO PEREZ</t>
  </si>
  <si>
    <t>JOHANA KARINA PELAEZ PUENTES</t>
  </si>
  <si>
    <t>LILIANA DEL PILAR HERNANDEZ BAEZ</t>
  </si>
  <si>
    <t>MARIA CECILIA BUITRAGO</t>
  </si>
  <si>
    <t>OSCAR JAVIER GONZALEZ HERRERA</t>
  </si>
  <si>
    <t>ALEXANDRA BEATRIZ WADSKIER MARTINEZ</t>
  </si>
  <si>
    <t>ARIANA VALENTINA JIMENEZ PEDRAZA</t>
  </si>
  <si>
    <t>CINDY VIVIANA MENDOZA VILLATE</t>
  </si>
  <si>
    <t>VERONICA HERRAN VARON</t>
  </si>
  <si>
    <t>PLANILLA DE NOMINA EXSIS SOFTWARE DE NOVIEMBRE DE 2015</t>
  </si>
  <si>
    <t>ANTICIPOS/ PREPAGADA</t>
  </si>
  <si>
    <t>ALBA MARY BAEZ DUARTE</t>
  </si>
  <si>
    <t>ANGELA VIVIANA ACOSTA ZAMUNDIO</t>
  </si>
  <si>
    <t>JUAN CAMILO MOYA MUÑOZ</t>
  </si>
  <si>
    <t>VINCETL HERNANDO GUERRERO MENDEZ</t>
  </si>
  <si>
    <t>PLANILLA DE NOMINA EXSIS SOFTWARE DE DICIEMBRE DE 2015</t>
  </si>
  <si>
    <t>PRIMA PENDIENTE</t>
  </si>
  <si>
    <t>ALEJANDRO TOVAR ALVARADO</t>
  </si>
  <si>
    <t>HAROLD STEVEN  ARENAS CHAVEZ</t>
  </si>
  <si>
    <t>MANUEL ANDRES BENAVIDEZ DIAZ</t>
  </si>
  <si>
    <t>WILLIAM JOSE VIVAS ESCALANTE</t>
  </si>
  <si>
    <t>BRENDA AGUACIA BENITEZ</t>
  </si>
  <si>
    <t xml:space="preserve">NOMINA </t>
  </si>
  <si>
    <t xml:space="preserve">JEISON GABRIEL MARTINEZ BUSTOS </t>
  </si>
  <si>
    <t>LORENA PINZON CRUZ</t>
  </si>
  <si>
    <t>RONALD ANTONY ROJAS FORIGUA</t>
  </si>
  <si>
    <t>CESANTIAS</t>
  </si>
  <si>
    <t>INT/CESANTIAS</t>
  </si>
  <si>
    <t>VACCAIONES</t>
  </si>
  <si>
    <t>PRIMA</t>
  </si>
  <si>
    <t>PLANILLA DE NOMINA EXSIS SOFTWARE DE AGOSTO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</si>
</sst>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6" formatCode="_-[$$-240A]\ * #,##0_ ;_-[$$-240A]\ * \-#,##0\ ;_-[$$-240A]\ * &quot;-&quot;_ ;_-@_ "/>
    <numFmt numFmtId="167" formatCode="_(&quot;€&quot;* #,##0.00_);_(&quot;€&quot;* \(#,##0.00\);_(&quot;€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8"/>
      <color rgb="FF222222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b/>
      <sz val="7"/>
      <color rgb="FFFF0000"/>
      <name val="Arial Narrow"/>
      <family val="2"/>
    </font>
    <font>
      <b/>
      <sz val="7"/>
      <color theme="5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45"/>
    </xf>
    <xf numFmtId="0" fontId="2" fillId="0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5" fontId="2" fillId="2" borderId="6" xfId="2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textRotation="45"/>
    </xf>
    <xf numFmtId="0" fontId="5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5" fontId="5" fillId="2" borderId="6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/>
    </xf>
    <xf numFmtId="166" fontId="5" fillId="0" borderId="6" xfId="0" applyNumberFormat="1" applyFont="1" applyFill="1" applyBorder="1" applyAlignment="1">
      <alignment horizontal="center" vertical="center"/>
    </xf>
    <xf numFmtId="165" fontId="5" fillId="0" borderId="6" xfId="2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textRotation="45"/>
    </xf>
    <xf numFmtId="3" fontId="5" fillId="0" borderId="6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5" fontId="2" fillId="2" borderId="6" xfId="2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" fontId="3" fillId="2" borderId="0" xfId="0" applyNumberFormat="1" applyFont="1" applyFill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165" fontId="9" fillId="2" borderId="0" xfId="2" applyNumberFormat="1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5" fontId="9" fillId="2" borderId="0" xfId="2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165" fontId="3" fillId="2" borderId="0" xfId="2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/>
    </xf>
    <xf numFmtId="3" fontId="3" fillId="2" borderId="0" xfId="2" applyNumberFormat="1" applyFont="1" applyFill="1" applyBorder="1" applyAlignment="1">
      <alignment horizontal="center" vertical="center"/>
    </xf>
    <xf numFmtId="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textRotation="45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 wrapText="1"/>
    </xf>
    <xf numFmtId="165" fontId="11" fillId="0" borderId="6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 textRotation="45"/>
    </xf>
    <xf numFmtId="0" fontId="6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65" fontId="6" fillId="0" borderId="0" xfId="2" applyNumberFormat="1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3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textRotation="45"/>
    </xf>
    <xf numFmtId="0" fontId="5" fillId="0" borderId="9" xfId="0" applyFont="1" applyFill="1" applyBorder="1" applyAlignment="1">
      <alignment horizontal="center" vertical="center" wrapText="1"/>
    </xf>
    <xf numFmtId="165" fontId="5" fillId="0" borderId="6" xfId="2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65" fontId="11" fillId="0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textRotation="45"/>
    </xf>
    <xf numFmtId="0" fontId="11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textRotation="45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3" fontId="11" fillId="0" borderId="6" xfId="0" applyNumberFormat="1" applyFont="1" applyFill="1" applyBorder="1" applyAlignment="1">
      <alignment horizontal="center" vertical="center"/>
    </xf>
    <xf numFmtId="166" fontId="11" fillId="0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3" fontId="12" fillId="2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textRotation="45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65" fontId="11" fillId="0" borderId="0" xfId="2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5" fontId="12" fillId="2" borderId="0" xfId="2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167" fontId="12" fillId="0" borderId="0" xfId="1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3" fontId="12" fillId="0" borderId="0" xfId="2" applyNumberFormat="1" applyFont="1" applyFill="1" applyBorder="1" applyAlignment="1">
      <alignment horizontal="center" vertical="center"/>
    </xf>
    <xf numFmtId="3" fontId="12" fillId="2" borderId="0" xfId="1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165" fontId="12" fillId="2" borderId="0" xfId="2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"/>
  <sheetViews>
    <sheetView workbookViewId="0">
      <selection activeCell="Y8" sqref="Y8:Z8"/>
    </sheetView>
  </sheetViews>
  <sheetFormatPr baseColWidth="10" defaultRowHeight="9" x14ac:dyDescent="0.25"/>
  <cols>
    <col min="1" max="1" width="10.5703125" style="4" customWidth="1"/>
    <col min="2" max="2" width="4.85546875" style="60" customWidth="1"/>
    <col min="3" max="3" width="29.5703125" style="57" customWidth="1"/>
    <col min="4" max="4" width="9.85546875" style="4" customWidth="1"/>
    <col min="5" max="5" width="11.85546875" style="58" customWidth="1"/>
    <col min="6" max="6" width="6.140625" style="58" customWidth="1"/>
    <col min="7" max="7" width="11.85546875" style="58" customWidth="1"/>
    <col min="8" max="8" width="9.42578125" style="58" customWidth="1"/>
    <col min="9" max="9" width="14.7109375" style="58" customWidth="1"/>
    <col min="10" max="10" width="15.42578125" style="58" customWidth="1"/>
    <col min="11" max="11" width="12.28515625" style="58" customWidth="1"/>
    <col min="12" max="12" width="9.5703125" style="58" customWidth="1"/>
    <col min="13" max="13" width="12.28515625" style="58" customWidth="1"/>
    <col min="14" max="14" width="12.5703125" style="58" customWidth="1"/>
    <col min="15" max="15" width="10.5703125" style="58" customWidth="1"/>
    <col min="16" max="16" width="10.140625" style="58" customWidth="1"/>
    <col min="17" max="17" width="8.42578125" style="58" customWidth="1"/>
    <col min="18" max="18" width="18.85546875" style="58" customWidth="1"/>
    <col min="19" max="19" width="9.7109375" style="58" customWidth="1"/>
    <col min="20" max="20" width="11.42578125" style="58"/>
    <col min="21" max="21" width="12.140625" style="58" customWidth="1"/>
    <col min="22" max="22" width="10.5703125" style="58" customWidth="1"/>
    <col min="23" max="23" width="12.42578125" style="58" customWidth="1"/>
    <col min="24" max="24" width="15.140625" style="4" customWidth="1"/>
    <col min="25" max="25" width="13.5703125" style="4" customWidth="1"/>
    <col min="26" max="26" width="13.140625" style="80" customWidth="1"/>
    <col min="27" max="27" width="15.7109375" style="4" customWidth="1"/>
    <col min="28" max="251" width="11.42578125" style="4"/>
    <col min="252" max="252" width="10.5703125" style="4" customWidth="1"/>
    <col min="253" max="253" width="4.85546875" style="4" customWidth="1"/>
    <col min="254" max="254" width="29.5703125" style="4" customWidth="1"/>
    <col min="255" max="255" width="9.85546875" style="4" customWidth="1"/>
    <col min="256" max="256" width="11.85546875" style="4" customWidth="1"/>
    <col min="257" max="257" width="6.140625" style="4" customWidth="1"/>
    <col min="258" max="258" width="11.85546875" style="4" customWidth="1"/>
    <col min="259" max="259" width="9.42578125" style="4" customWidth="1"/>
    <col min="260" max="260" width="14.7109375" style="4" customWidth="1"/>
    <col min="261" max="261" width="15.42578125" style="4" customWidth="1"/>
    <col min="262" max="262" width="12.28515625" style="4" customWidth="1"/>
    <col min="263" max="263" width="9.5703125" style="4" customWidth="1"/>
    <col min="264" max="264" width="12.28515625" style="4" customWidth="1"/>
    <col min="265" max="265" width="12.5703125" style="4" customWidth="1"/>
    <col min="266" max="266" width="10.5703125" style="4" customWidth="1"/>
    <col min="267" max="267" width="10.140625" style="4" customWidth="1"/>
    <col min="268" max="268" width="8.42578125" style="4" customWidth="1"/>
    <col min="269" max="269" width="18.85546875" style="4" customWidth="1"/>
    <col min="270" max="270" width="9.7109375" style="4" customWidth="1"/>
    <col min="271" max="271" width="11.42578125" style="4"/>
    <col min="272" max="272" width="12.140625" style="4" customWidth="1"/>
    <col min="273" max="273" width="10.5703125" style="4" customWidth="1"/>
    <col min="274" max="274" width="12.42578125" style="4" customWidth="1"/>
    <col min="275" max="275" width="15.140625" style="4" customWidth="1"/>
    <col min="276" max="276" width="13.5703125" style="4" customWidth="1"/>
    <col min="277" max="277" width="13.140625" style="4" customWidth="1"/>
    <col min="278" max="278" width="15.7109375" style="4" customWidth="1"/>
    <col min="279" max="279" width="28.7109375" style="4" bestFit="1" customWidth="1"/>
    <col min="280" max="280" width="15.5703125" style="4" customWidth="1"/>
    <col min="281" max="281" width="21.140625" style="4" customWidth="1"/>
    <col min="282" max="282" width="12.7109375" style="4" bestFit="1" customWidth="1"/>
    <col min="283" max="507" width="11.42578125" style="4"/>
    <col min="508" max="508" width="10.5703125" style="4" customWidth="1"/>
    <col min="509" max="509" width="4.85546875" style="4" customWidth="1"/>
    <col min="510" max="510" width="29.5703125" style="4" customWidth="1"/>
    <col min="511" max="511" width="9.85546875" style="4" customWidth="1"/>
    <col min="512" max="512" width="11.85546875" style="4" customWidth="1"/>
    <col min="513" max="513" width="6.140625" style="4" customWidth="1"/>
    <col min="514" max="514" width="11.85546875" style="4" customWidth="1"/>
    <col min="515" max="515" width="9.42578125" style="4" customWidth="1"/>
    <col min="516" max="516" width="14.7109375" style="4" customWidth="1"/>
    <col min="517" max="517" width="15.42578125" style="4" customWidth="1"/>
    <col min="518" max="518" width="12.28515625" style="4" customWidth="1"/>
    <col min="519" max="519" width="9.5703125" style="4" customWidth="1"/>
    <col min="520" max="520" width="12.28515625" style="4" customWidth="1"/>
    <col min="521" max="521" width="12.5703125" style="4" customWidth="1"/>
    <col min="522" max="522" width="10.5703125" style="4" customWidth="1"/>
    <col min="523" max="523" width="10.140625" style="4" customWidth="1"/>
    <col min="524" max="524" width="8.42578125" style="4" customWidth="1"/>
    <col min="525" max="525" width="18.85546875" style="4" customWidth="1"/>
    <col min="526" max="526" width="9.7109375" style="4" customWidth="1"/>
    <col min="527" max="527" width="11.42578125" style="4"/>
    <col min="528" max="528" width="12.140625" style="4" customWidth="1"/>
    <col min="529" max="529" width="10.5703125" style="4" customWidth="1"/>
    <col min="530" max="530" width="12.42578125" style="4" customWidth="1"/>
    <col min="531" max="531" width="15.140625" style="4" customWidth="1"/>
    <col min="532" max="532" width="13.5703125" style="4" customWidth="1"/>
    <col min="533" max="533" width="13.140625" style="4" customWidth="1"/>
    <col min="534" max="534" width="15.7109375" style="4" customWidth="1"/>
    <col min="535" max="535" width="28.7109375" style="4" bestFit="1" customWidth="1"/>
    <col min="536" max="536" width="15.5703125" style="4" customWidth="1"/>
    <col min="537" max="537" width="21.140625" style="4" customWidth="1"/>
    <col min="538" max="538" width="12.7109375" style="4" bestFit="1" customWidth="1"/>
    <col min="539" max="763" width="11.42578125" style="4"/>
    <col min="764" max="764" width="10.5703125" style="4" customWidth="1"/>
    <col min="765" max="765" width="4.85546875" style="4" customWidth="1"/>
    <col min="766" max="766" width="29.5703125" style="4" customWidth="1"/>
    <col min="767" max="767" width="9.85546875" style="4" customWidth="1"/>
    <col min="768" max="768" width="11.85546875" style="4" customWidth="1"/>
    <col min="769" max="769" width="6.140625" style="4" customWidth="1"/>
    <col min="770" max="770" width="11.85546875" style="4" customWidth="1"/>
    <col min="771" max="771" width="9.42578125" style="4" customWidth="1"/>
    <col min="772" max="772" width="14.7109375" style="4" customWidth="1"/>
    <col min="773" max="773" width="15.42578125" style="4" customWidth="1"/>
    <col min="774" max="774" width="12.28515625" style="4" customWidth="1"/>
    <col min="775" max="775" width="9.5703125" style="4" customWidth="1"/>
    <col min="776" max="776" width="12.28515625" style="4" customWidth="1"/>
    <col min="777" max="777" width="12.5703125" style="4" customWidth="1"/>
    <col min="778" max="778" width="10.5703125" style="4" customWidth="1"/>
    <col min="779" max="779" width="10.140625" style="4" customWidth="1"/>
    <col min="780" max="780" width="8.42578125" style="4" customWidth="1"/>
    <col min="781" max="781" width="18.85546875" style="4" customWidth="1"/>
    <col min="782" max="782" width="9.7109375" style="4" customWidth="1"/>
    <col min="783" max="783" width="11.42578125" style="4"/>
    <col min="784" max="784" width="12.140625" style="4" customWidth="1"/>
    <col min="785" max="785" width="10.5703125" style="4" customWidth="1"/>
    <col min="786" max="786" width="12.42578125" style="4" customWidth="1"/>
    <col min="787" max="787" width="15.140625" style="4" customWidth="1"/>
    <col min="788" max="788" width="13.5703125" style="4" customWidth="1"/>
    <col min="789" max="789" width="13.140625" style="4" customWidth="1"/>
    <col min="790" max="790" width="15.7109375" style="4" customWidth="1"/>
    <col min="791" max="791" width="28.7109375" style="4" bestFit="1" customWidth="1"/>
    <col min="792" max="792" width="15.5703125" style="4" customWidth="1"/>
    <col min="793" max="793" width="21.140625" style="4" customWidth="1"/>
    <col min="794" max="794" width="12.7109375" style="4" bestFit="1" customWidth="1"/>
    <col min="795" max="1019" width="11.42578125" style="4"/>
    <col min="1020" max="1020" width="10.5703125" style="4" customWidth="1"/>
    <col min="1021" max="1021" width="4.85546875" style="4" customWidth="1"/>
    <col min="1022" max="1022" width="29.5703125" style="4" customWidth="1"/>
    <col min="1023" max="1023" width="9.85546875" style="4" customWidth="1"/>
    <col min="1024" max="1024" width="11.85546875" style="4" customWidth="1"/>
    <col min="1025" max="1025" width="6.140625" style="4" customWidth="1"/>
    <col min="1026" max="1026" width="11.85546875" style="4" customWidth="1"/>
    <col min="1027" max="1027" width="9.42578125" style="4" customWidth="1"/>
    <col min="1028" max="1028" width="14.7109375" style="4" customWidth="1"/>
    <col min="1029" max="1029" width="15.42578125" style="4" customWidth="1"/>
    <col min="1030" max="1030" width="12.28515625" style="4" customWidth="1"/>
    <col min="1031" max="1031" width="9.5703125" style="4" customWidth="1"/>
    <col min="1032" max="1032" width="12.28515625" style="4" customWidth="1"/>
    <col min="1033" max="1033" width="12.5703125" style="4" customWidth="1"/>
    <col min="1034" max="1034" width="10.5703125" style="4" customWidth="1"/>
    <col min="1035" max="1035" width="10.140625" style="4" customWidth="1"/>
    <col min="1036" max="1036" width="8.42578125" style="4" customWidth="1"/>
    <col min="1037" max="1037" width="18.85546875" style="4" customWidth="1"/>
    <col min="1038" max="1038" width="9.7109375" style="4" customWidth="1"/>
    <col min="1039" max="1039" width="11.42578125" style="4"/>
    <col min="1040" max="1040" width="12.140625" style="4" customWidth="1"/>
    <col min="1041" max="1041" width="10.5703125" style="4" customWidth="1"/>
    <col min="1042" max="1042" width="12.42578125" style="4" customWidth="1"/>
    <col min="1043" max="1043" width="15.140625" style="4" customWidth="1"/>
    <col min="1044" max="1044" width="13.5703125" style="4" customWidth="1"/>
    <col min="1045" max="1045" width="13.140625" style="4" customWidth="1"/>
    <col min="1046" max="1046" width="15.7109375" style="4" customWidth="1"/>
    <col min="1047" max="1047" width="28.7109375" style="4" bestFit="1" customWidth="1"/>
    <col min="1048" max="1048" width="15.5703125" style="4" customWidth="1"/>
    <col min="1049" max="1049" width="21.140625" style="4" customWidth="1"/>
    <col min="1050" max="1050" width="12.7109375" style="4" bestFit="1" customWidth="1"/>
    <col min="1051" max="1275" width="11.42578125" style="4"/>
    <col min="1276" max="1276" width="10.5703125" style="4" customWidth="1"/>
    <col min="1277" max="1277" width="4.85546875" style="4" customWidth="1"/>
    <col min="1278" max="1278" width="29.5703125" style="4" customWidth="1"/>
    <col min="1279" max="1279" width="9.85546875" style="4" customWidth="1"/>
    <col min="1280" max="1280" width="11.85546875" style="4" customWidth="1"/>
    <col min="1281" max="1281" width="6.140625" style="4" customWidth="1"/>
    <col min="1282" max="1282" width="11.85546875" style="4" customWidth="1"/>
    <col min="1283" max="1283" width="9.42578125" style="4" customWidth="1"/>
    <col min="1284" max="1284" width="14.7109375" style="4" customWidth="1"/>
    <col min="1285" max="1285" width="15.42578125" style="4" customWidth="1"/>
    <col min="1286" max="1286" width="12.28515625" style="4" customWidth="1"/>
    <col min="1287" max="1287" width="9.5703125" style="4" customWidth="1"/>
    <col min="1288" max="1288" width="12.28515625" style="4" customWidth="1"/>
    <col min="1289" max="1289" width="12.5703125" style="4" customWidth="1"/>
    <col min="1290" max="1290" width="10.5703125" style="4" customWidth="1"/>
    <col min="1291" max="1291" width="10.140625" style="4" customWidth="1"/>
    <col min="1292" max="1292" width="8.42578125" style="4" customWidth="1"/>
    <col min="1293" max="1293" width="18.85546875" style="4" customWidth="1"/>
    <col min="1294" max="1294" width="9.7109375" style="4" customWidth="1"/>
    <col min="1295" max="1295" width="11.42578125" style="4"/>
    <col min="1296" max="1296" width="12.140625" style="4" customWidth="1"/>
    <col min="1297" max="1297" width="10.5703125" style="4" customWidth="1"/>
    <col min="1298" max="1298" width="12.42578125" style="4" customWidth="1"/>
    <col min="1299" max="1299" width="15.140625" style="4" customWidth="1"/>
    <col min="1300" max="1300" width="13.5703125" style="4" customWidth="1"/>
    <col min="1301" max="1301" width="13.140625" style="4" customWidth="1"/>
    <col min="1302" max="1302" width="15.7109375" style="4" customWidth="1"/>
    <col min="1303" max="1303" width="28.7109375" style="4" bestFit="1" customWidth="1"/>
    <col min="1304" max="1304" width="15.5703125" style="4" customWidth="1"/>
    <col min="1305" max="1305" width="21.140625" style="4" customWidth="1"/>
    <col min="1306" max="1306" width="12.7109375" style="4" bestFit="1" customWidth="1"/>
    <col min="1307" max="1531" width="11.42578125" style="4"/>
    <col min="1532" max="1532" width="10.5703125" style="4" customWidth="1"/>
    <col min="1533" max="1533" width="4.85546875" style="4" customWidth="1"/>
    <col min="1534" max="1534" width="29.5703125" style="4" customWidth="1"/>
    <col min="1535" max="1535" width="9.85546875" style="4" customWidth="1"/>
    <col min="1536" max="1536" width="11.85546875" style="4" customWidth="1"/>
    <col min="1537" max="1537" width="6.140625" style="4" customWidth="1"/>
    <col min="1538" max="1538" width="11.85546875" style="4" customWidth="1"/>
    <col min="1539" max="1539" width="9.42578125" style="4" customWidth="1"/>
    <col min="1540" max="1540" width="14.7109375" style="4" customWidth="1"/>
    <col min="1541" max="1541" width="15.42578125" style="4" customWidth="1"/>
    <col min="1542" max="1542" width="12.28515625" style="4" customWidth="1"/>
    <col min="1543" max="1543" width="9.5703125" style="4" customWidth="1"/>
    <col min="1544" max="1544" width="12.28515625" style="4" customWidth="1"/>
    <col min="1545" max="1545" width="12.5703125" style="4" customWidth="1"/>
    <col min="1546" max="1546" width="10.5703125" style="4" customWidth="1"/>
    <col min="1547" max="1547" width="10.140625" style="4" customWidth="1"/>
    <col min="1548" max="1548" width="8.42578125" style="4" customWidth="1"/>
    <col min="1549" max="1549" width="18.85546875" style="4" customWidth="1"/>
    <col min="1550" max="1550" width="9.7109375" style="4" customWidth="1"/>
    <col min="1551" max="1551" width="11.42578125" style="4"/>
    <col min="1552" max="1552" width="12.140625" style="4" customWidth="1"/>
    <col min="1553" max="1553" width="10.5703125" style="4" customWidth="1"/>
    <col min="1554" max="1554" width="12.42578125" style="4" customWidth="1"/>
    <col min="1555" max="1555" width="15.140625" style="4" customWidth="1"/>
    <col min="1556" max="1556" width="13.5703125" style="4" customWidth="1"/>
    <col min="1557" max="1557" width="13.140625" style="4" customWidth="1"/>
    <col min="1558" max="1558" width="15.7109375" style="4" customWidth="1"/>
    <col min="1559" max="1559" width="28.7109375" style="4" bestFit="1" customWidth="1"/>
    <col min="1560" max="1560" width="15.5703125" style="4" customWidth="1"/>
    <col min="1561" max="1561" width="21.140625" style="4" customWidth="1"/>
    <col min="1562" max="1562" width="12.7109375" style="4" bestFit="1" customWidth="1"/>
    <col min="1563" max="1787" width="11.42578125" style="4"/>
    <col min="1788" max="1788" width="10.5703125" style="4" customWidth="1"/>
    <col min="1789" max="1789" width="4.85546875" style="4" customWidth="1"/>
    <col min="1790" max="1790" width="29.5703125" style="4" customWidth="1"/>
    <col min="1791" max="1791" width="9.85546875" style="4" customWidth="1"/>
    <col min="1792" max="1792" width="11.85546875" style="4" customWidth="1"/>
    <col min="1793" max="1793" width="6.140625" style="4" customWidth="1"/>
    <col min="1794" max="1794" width="11.85546875" style="4" customWidth="1"/>
    <col min="1795" max="1795" width="9.42578125" style="4" customWidth="1"/>
    <col min="1796" max="1796" width="14.7109375" style="4" customWidth="1"/>
    <col min="1797" max="1797" width="15.42578125" style="4" customWidth="1"/>
    <col min="1798" max="1798" width="12.28515625" style="4" customWidth="1"/>
    <col min="1799" max="1799" width="9.5703125" style="4" customWidth="1"/>
    <col min="1800" max="1800" width="12.28515625" style="4" customWidth="1"/>
    <col min="1801" max="1801" width="12.5703125" style="4" customWidth="1"/>
    <col min="1802" max="1802" width="10.5703125" style="4" customWidth="1"/>
    <col min="1803" max="1803" width="10.140625" style="4" customWidth="1"/>
    <col min="1804" max="1804" width="8.42578125" style="4" customWidth="1"/>
    <col min="1805" max="1805" width="18.85546875" style="4" customWidth="1"/>
    <col min="1806" max="1806" width="9.7109375" style="4" customWidth="1"/>
    <col min="1807" max="1807" width="11.42578125" style="4"/>
    <col min="1808" max="1808" width="12.140625" style="4" customWidth="1"/>
    <col min="1809" max="1809" width="10.5703125" style="4" customWidth="1"/>
    <col min="1810" max="1810" width="12.42578125" style="4" customWidth="1"/>
    <col min="1811" max="1811" width="15.140625" style="4" customWidth="1"/>
    <col min="1812" max="1812" width="13.5703125" style="4" customWidth="1"/>
    <col min="1813" max="1813" width="13.140625" style="4" customWidth="1"/>
    <col min="1814" max="1814" width="15.7109375" style="4" customWidth="1"/>
    <col min="1815" max="1815" width="28.7109375" style="4" bestFit="1" customWidth="1"/>
    <col min="1816" max="1816" width="15.5703125" style="4" customWidth="1"/>
    <col min="1817" max="1817" width="21.140625" style="4" customWidth="1"/>
    <col min="1818" max="1818" width="12.7109375" style="4" bestFit="1" customWidth="1"/>
    <col min="1819" max="2043" width="11.42578125" style="4"/>
    <col min="2044" max="2044" width="10.5703125" style="4" customWidth="1"/>
    <col min="2045" max="2045" width="4.85546875" style="4" customWidth="1"/>
    <col min="2046" max="2046" width="29.5703125" style="4" customWidth="1"/>
    <col min="2047" max="2047" width="9.85546875" style="4" customWidth="1"/>
    <col min="2048" max="2048" width="11.85546875" style="4" customWidth="1"/>
    <col min="2049" max="2049" width="6.140625" style="4" customWidth="1"/>
    <col min="2050" max="2050" width="11.85546875" style="4" customWidth="1"/>
    <col min="2051" max="2051" width="9.42578125" style="4" customWidth="1"/>
    <col min="2052" max="2052" width="14.7109375" style="4" customWidth="1"/>
    <col min="2053" max="2053" width="15.42578125" style="4" customWidth="1"/>
    <col min="2054" max="2054" width="12.28515625" style="4" customWidth="1"/>
    <col min="2055" max="2055" width="9.5703125" style="4" customWidth="1"/>
    <col min="2056" max="2056" width="12.28515625" style="4" customWidth="1"/>
    <col min="2057" max="2057" width="12.5703125" style="4" customWidth="1"/>
    <col min="2058" max="2058" width="10.5703125" style="4" customWidth="1"/>
    <col min="2059" max="2059" width="10.140625" style="4" customWidth="1"/>
    <col min="2060" max="2060" width="8.42578125" style="4" customWidth="1"/>
    <col min="2061" max="2061" width="18.85546875" style="4" customWidth="1"/>
    <col min="2062" max="2062" width="9.7109375" style="4" customWidth="1"/>
    <col min="2063" max="2063" width="11.42578125" style="4"/>
    <col min="2064" max="2064" width="12.140625" style="4" customWidth="1"/>
    <col min="2065" max="2065" width="10.5703125" style="4" customWidth="1"/>
    <col min="2066" max="2066" width="12.42578125" style="4" customWidth="1"/>
    <col min="2067" max="2067" width="15.140625" style="4" customWidth="1"/>
    <col min="2068" max="2068" width="13.5703125" style="4" customWidth="1"/>
    <col min="2069" max="2069" width="13.140625" style="4" customWidth="1"/>
    <col min="2070" max="2070" width="15.7109375" style="4" customWidth="1"/>
    <col min="2071" max="2071" width="28.7109375" style="4" bestFit="1" customWidth="1"/>
    <col min="2072" max="2072" width="15.5703125" style="4" customWidth="1"/>
    <col min="2073" max="2073" width="21.140625" style="4" customWidth="1"/>
    <col min="2074" max="2074" width="12.7109375" style="4" bestFit="1" customWidth="1"/>
    <col min="2075" max="2299" width="11.42578125" style="4"/>
    <col min="2300" max="2300" width="10.5703125" style="4" customWidth="1"/>
    <col min="2301" max="2301" width="4.85546875" style="4" customWidth="1"/>
    <col min="2302" max="2302" width="29.5703125" style="4" customWidth="1"/>
    <col min="2303" max="2303" width="9.85546875" style="4" customWidth="1"/>
    <col min="2304" max="2304" width="11.85546875" style="4" customWidth="1"/>
    <col min="2305" max="2305" width="6.140625" style="4" customWidth="1"/>
    <col min="2306" max="2306" width="11.85546875" style="4" customWidth="1"/>
    <col min="2307" max="2307" width="9.42578125" style="4" customWidth="1"/>
    <col min="2308" max="2308" width="14.7109375" style="4" customWidth="1"/>
    <col min="2309" max="2309" width="15.42578125" style="4" customWidth="1"/>
    <col min="2310" max="2310" width="12.28515625" style="4" customWidth="1"/>
    <col min="2311" max="2311" width="9.5703125" style="4" customWidth="1"/>
    <col min="2312" max="2312" width="12.28515625" style="4" customWidth="1"/>
    <col min="2313" max="2313" width="12.5703125" style="4" customWidth="1"/>
    <col min="2314" max="2314" width="10.5703125" style="4" customWidth="1"/>
    <col min="2315" max="2315" width="10.140625" style="4" customWidth="1"/>
    <col min="2316" max="2316" width="8.42578125" style="4" customWidth="1"/>
    <col min="2317" max="2317" width="18.85546875" style="4" customWidth="1"/>
    <col min="2318" max="2318" width="9.7109375" style="4" customWidth="1"/>
    <col min="2319" max="2319" width="11.42578125" style="4"/>
    <col min="2320" max="2320" width="12.140625" style="4" customWidth="1"/>
    <col min="2321" max="2321" width="10.5703125" style="4" customWidth="1"/>
    <col min="2322" max="2322" width="12.42578125" style="4" customWidth="1"/>
    <col min="2323" max="2323" width="15.140625" style="4" customWidth="1"/>
    <col min="2324" max="2324" width="13.5703125" style="4" customWidth="1"/>
    <col min="2325" max="2325" width="13.140625" style="4" customWidth="1"/>
    <col min="2326" max="2326" width="15.7109375" style="4" customWidth="1"/>
    <col min="2327" max="2327" width="28.7109375" style="4" bestFit="1" customWidth="1"/>
    <col min="2328" max="2328" width="15.5703125" style="4" customWidth="1"/>
    <col min="2329" max="2329" width="21.140625" style="4" customWidth="1"/>
    <col min="2330" max="2330" width="12.7109375" style="4" bestFit="1" customWidth="1"/>
    <col min="2331" max="2555" width="11.42578125" style="4"/>
    <col min="2556" max="2556" width="10.5703125" style="4" customWidth="1"/>
    <col min="2557" max="2557" width="4.85546875" style="4" customWidth="1"/>
    <col min="2558" max="2558" width="29.5703125" style="4" customWidth="1"/>
    <col min="2559" max="2559" width="9.85546875" style="4" customWidth="1"/>
    <col min="2560" max="2560" width="11.85546875" style="4" customWidth="1"/>
    <col min="2561" max="2561" width="6.140625" style="4" customWidth="1"/>
    <col min="2562" max="2562" width="11.85546875" style="4" customWidth="1"/>
    <col min="2563" max="2563" width="9.42578125" style="4" customWidth="1"/>
    <col min="2564" max="2564" width="14.7109375" style="4" customWidth="1"/>
    <col min="2565" max="2565" width="15.42578125" style="4" customWidth="1"/>
    <col min="2566" max="2566" width="12.28515625" style="4" customWidth="1"/>
    <col min="2567" max="2567" width="9.5703125" style="4" customWidth="1"/>
    <col min="2568" max="2568" width="12.28515625" style="4" customWidth="1"/>
    <col min="2569" max="2569" width="12.5703125" style="4" customWidth="1"/>
    <col min="2570" max="2570" width="10.5703125" style="4" customWidth="1"/>
    <col min="2571" max="2571" width="10.140625" style="4" customWidth="1"/>
    <col min="2572" max="2572" width="8.42578125" style="4" customWidth="1"/>
    <col min="2573" max="2573" width="18.85546875" style="4" customWidth="1"/>
    <col min="2574" max="2574" width="9.7109375" style="4" customWidth="1"/>
    <col min="2575" max="2575" width="11.42578125" style="4"/>
    <col min="2576" max="2576" width="12.140625" style="4" customWidth="1"/>
    <col min="2577" max="2577" width="10.5703125" style="4" customWidth="1"/>
    <col min="2578" max="2578" width="12.42578125" style="4" customWidth="1"/>
    <col min="2579" max="2579" width="15.140625" style="4" customWidth="1"/>
    <col min="2580" max="2580" width="13.5703125" style="4" customWidth="1"/>
    <col min="2581" max="2581" width="13.140625" style="4" customWidth="1"/>
    <col min="2582" max="2582" width="15.7109375" style="4" customWidth="1"/>
    <col min="2583" max="2583" width="28.7109375" style="4" bestFit="1" customWidth="1"/>
    <col min="2584" max="2584" width="15.5703125" style="4" customWidth="1"/>
    <col min="2585" max="2585" width="21.140625" style="4" customWidth="1"/>
    <col min="2586" max="2586" width="12.7109375" style="4" bestFit="1" customWidth="1"/>
    <col min="2587" max="2811" width="11.42578125" style="4"/>
    <col min="2812" max="2812" width="10.5703125" style="4" customWidth="1"/>
    <col min="2813" max="2813" width="4.85546875" style="4" customWidth="1"/>
    <col min="2814" max="2814" width="29.5703125" style="4" customWidth="1"/>
    <col min="2815" max="2815" width="9.85546875" style="4" customWidth="1"/>
    <col min="2816" max="2816" width="11.85546875" style="4" customWidth="1"/>
    <col min="2817" max="2817" width="6.140625" style="4" customWidth="1"/>
    <col min="2818" max="2818" width="11.85546875" style="4" customWidth="1"/>
    <col min="2819" max="2819" width="9.42578125" style="4" customWidth="1"/>
    <col min="2820" max="2820" width="14.7109375" style="4" customWidth="1"/>
    <col min="2821" max="2821" width="15.42578125" style="4" customWidth="1"/>
    <col min="2822" max="2822" width="12.28515625" style="4" customWidth="1"/>
    <col min="2823" max="2823" width="9.5703125" style="4" customWidth="1"/>
    <col min="2824" max="2824" width="12.28515625" style="4" customWidth="1"/>
    <col min="2825" max="2825" width="12.5703125" style="4" customWidth="1"/>
    <col min="2826" max="2826" width="10.5703125" style="4" customWidth="1"/>
    <col min="2827" max="2827" width="10.140625" style="4" customWidth="1"/>
    <col min="2828" max="2828" width="8.42578125" style="4" customWidth="1"/>
    <col min="2829" max="2829" width="18.85546875" style="4" customWidth="1"/>
    <col min="2830" max="2830" width="9.7109375" style="4" customWidth="1"/>
    <col min="2831" max="2831" width="11.42578125" style="4"/>
    <col min="2832" max="2832" width="12.140625" style="4" customWidth="1"/>
    <col min="2833" max="2833" width="10.5703125" style="4" customWidth="1"/>
    <col min="2834" max="2834" width="12.42578125" style="4" customWidth="1"/>
    <col min="2835" max="2835" width="15.140625" style="4" customWidth="1"/>
    <col min="2836" max="2836" width="13.5703125" style="4" customWidth="1"/>
    <col min="2837" max="2837" width="13.140625" style="4" customWidth="1"/>
    <col min="2838" max="2838" width="15.7109375" style="4" customWidth="1"/>
    <col min="2839" max="2839" width="28.7109375" style="4" bestFit="1" customWidth="1"/>
    <col min="2840" max="2840" width="15.5703125" style="4" customWidth="1"/>
    <col min="2841" max="2841" width="21.140625" style="4" customWidth="1"/>
    <col min="2842" max="2842" width="12.7109375" style="4" bestFit="1" customWidth="1"/>
    <col min="2843" max="3067" width="11.42578125" style="4"/>
    <col min="3068" max="3068" width="10.5703125" style="4" customWidth="1"/>
    <col min="3069" max="3069" width="4.85546875" style="4" customWidth="1"/>
    <col min="3070" max="3070" width="29.5703125" style="4" customWidth="1"/>
    <col min="3071" max="3071" width="9.85546875" style="4" customWidth="1"/>
    <col min="3072" max="3072" width="11.85546875" style="4" customWidth="1"/>
    <col min="3073" max="3073" width="6.140625" style="4" customWidth="1"/>
    <col min="3074" max="3074" width="11.85546875" style="4" customWidth="1"/>
    <col min="3075" max="3075" width="9.42578125" style="4" customWidth="1"/>
    <col min="3076" max="3076" width="14.7109375" style="4" customWidth="1"/>
    <col min="3077" max="3077" width="15.42578125" style="4" customWidth="1"/>
    <col min="3078" max="3078" width="12.28515625" style="4" customWidth="1"/>
    <col min="3079" max="3079" width="9.5703125" style="4" customWidth="1"/>
    <col min="3080" max="3080" width="12.28515625" style="4" customWidth="1"/>
    <col min="3081" max="3081" width="12.5703125" style="4" customWidth="1"/>
    <col min="3082" max="3082" width="10.5703125" style="4" customWidth="1"/>
    <col min="3083" max="3083" width="10.140625" style="4" customWidth="1"/>
    <col min="3084" max="3084" width="8.42578125" style="4" customWidth="1"/>
    <col min="3085" max="3085" width="18.85546875" style="4" customWidth="1"/>
    <col min="3086" max="3086" width="9.7109375" style="4" customWidth="1"/>
    <col min="3087" max="3087" width="11.42578125" style="4"/>
    <col min="3088" max="3088" width="12.140625" style="4" customWidth="1"/>
    <col min="3089" max="3089" width="10.5703125" style="4" customWidth="1"/>
    <col min="3090" max="3090" width="12.42578125" style="4" customWidth="1"/>
    <col min="3091" max="3091" width="15.140625" style="4" customWidth="1"/>
    <col min="3092" max="3092" width="13.5703125" style="4" customWidth="1"/>
    <col min="3093" max="3093" width="13.140625" style="4" customWidth="1"/>
    <col min="3094" max="3094" width="15.7109375" style="4" customWidth="1"/>
    <col min="3095" max="3095" width="28.7109375" style="4" bestFit="1" customWidth="1"/>
    <col min="3096" max="3096" width="15.5703125" style="4" customWidth="1"/>
    <col min="3097" max="3097" width="21.140625" style="4" customWidth="1"/>
    <col min="3098" max="3098" width="12.7109375" style="4" bestFit="1" customWidth="1"/>
    <col min="3099" max="3323" width="11.42578125" style="4"/>
    <col min="3324" max="3324" width="10.5703125" style="4" customWidth="1"/>
    <col min="3325" max="3325" width="4.85546875" style="4" customWidth="1"/>
    <col min="3326" max="3326" width="29.5703125" style="4" customWidth="1"/>
    <col min="3327" max="3327" width="9.85546875" style="4" customWidth="1"/>
    <col min="3328" max="3328" width="11.85546875" style="4" customWidth="1"/>
    <col min="3329" max="3329" width="6.140625" style="4" customWidth="1"/>
    <col min="3330" max="3330" width="11.85546875" style="4" customWidth="1"/>
    <col min="3331" max="3331" width="9.42578125" style="4" customWidth="1"/>
    <col min="3332" max="3332" width="14.7109375" style="4" customWidth="1"/>
    <col min="3333" max="3333" width="15.42578125" style="4" customWidth="1"/>
    <col min="3334" max="3334" width="12.28515625" style="4" customWidth="1"/>
    <col min="3335" max="3335" width="9.5703125" style="4" customWidth="1"/>
    <col min="3336" max="3336" width="12.28515625" style="4" customWidth="1"/>
    <col min="3337" max="3337" width="12.5703125" style="4" customWidth="1"/>
    <col min="3338" max="3338" width="10.5703125" style="4" customWidth="1"/>
    <col min="3339" max="3339" width="10.140625" style="4" customWidth="1"/>
    <col min="3340" max="3340" width="8.42578125" style="4" customWidth="1"/>
    <col min="3341" max="3341" width="18.85546875" style="4" customWidth="1"/>
    <col min="3342" max="3342" width="9.7109375" style="4" customWidth="1"/>
    <col min="3343" max="3343" width="11.42578125" style="4"/>
    <col min="3344" max="3344" width="12.140625" style="4" customWidth="1"/>
    <col min="3345" max="3345" width="10.5703125" style="4" customWidth="1"/>
    <col min="3346" max="3346" width="12.42578125" style="4" customWidth="1"/>
    <col min="3347" max="3347" width="15.140625" style="4" customWidth="1"/>
    <col min="3348" max="3348" width="13.5703125" style="4" customWidth="1"/>
    <col min="3349" max="3349" width="13.140625" style="4" customWidth="1"/>
    <col min="3350" max="3350" width="15.7109375" style="4" customWidth="1"/>
    <col min="3351" max="3351" width="28.7109375" style="4" bestFit="1" customWidth="1"/>
    <col min="3352" max="3352" width="15.5703125" style="4" customWidth="1"/>
    <col min="3353" max="3353" width="21.140625" style="4" customWidth="1"/>
    <col min="3354" max="3354" width="12.7109375" style="4" bestFit="1" customWidth="1"/>
    <col min="3355" max="3579" width="11.42578125" style="4"/>
    <col min="3580" max="3580" width="10.5703125" style="4" customWidth="1"/>
    <col min="3581" max="3581" width="4.85546875" style="4" customWidth="1"/>
    <col min="3582" max="3582" width="29.5703125" style="4" customWidth="1"/>
    <col min="3583" max="3583" width="9.85546875" style="4" customWidth="1"/>
    <col min="3584" max="3584" width="11.85546875" style="4" customWidth="1"/>
    <col min="3585" max="3585" width="6.140625" style="4" customWidth="1"/>
    <col min="3586" max="3586" width="11.85546875" style="4" customWidth="1"/>
    <col min="3587" max="3587" width="9.42578125" style="4" customWidth="1"/>
    <col min="3588" max="3588" width="14.7109375" style="4" customWidth="1"/>
    <col min="3589" max="3589" width="15.42578125" style="4" customWidth="1"/>
    <col min="3590" max="3590" width="12.28515625" style="4" customWidth="1"/>
    <col min="3591" max="3591" width="9.5703125" style="4" customWidth="1"/>
    <col min="3592" max="3592" width="12.28515625" style="4" customWidth="1"/>
    <col min="3593" max="3593" width="12.5703125" style="4" customWidth="1"/>
    <col min="3594" max="3594" width="10.5703125" style="4" customWidth="1"/>
    <col min="3595" max="3595" width="10.140625" style="4" customWidth="1"/>
    <col min="3596" max="3596" width="8.42578125" style="4" customWidth="1"/>
    <col min="3597" max="3597" width="18.85546875" style="4" customWidth="1"/>
    <col min="3598" max="3598" width="9.7109375" style="4" customWidth="1"/>
    <col min="3599" max="3599" width="11.42578125" style="4"/>
    <col min="3600" max="3600" width="12.140625" style="4" customWidth="1"/>
    <col min="3601" max="3601" width="10.5703125" style="4" customWidth="1"/>
    <col min="3602" max="3602" width="12.42578125" style="4" customWidth="1"/>
    <col min="3603" max="3603" width="15.140625" style="4" customWidth="1"/>
    <col min="3604" max="3604" width="13.5703125" style="4" customWidth="1"/>
    <col min="3605" max="3605" width="13.140625" style="4" customWidth="1"/>
    <col min="3606" max="3606" width="15.7109375" style="4" customWidth="1"/>
    <col min="3607" max="3607" width="28.7109375" style="4" bestFit="1" customWidth="1"/>
    <col min="3608" max="3608" width="15.5703125" style="4" customWidth="1"/>
    <col min="3609" max="3609" width="21.140625" style="4" customWidth="1"/>
    <col min="3610" max="3610" width="12.7109375" style="4" bestFit="1" customWidth="1"/>
    <col min="3611" max="3835" width="11.42578125" style="4"/>
    <col min="3836" max="3836" width="10.5703125" style="4" customWidth="1"/>
    <col min="3837" max="3837" width="4.85546875" style="4" customWidth="1"/>
    <col min="3838" max="3838" width="29.5703125" style="4" customWidth="1"/>
    <col min="3839" max="3839" width="9.85546875" style="4" customWidth="1"/>
    <col min="3840" max="3840" width="11.85546875" style="4" customWidth="1"/>
    <col min="3841" max="3841" width="6.140625" style="4" customWidth="1"/>
    <col min="3842" max="3842" width="11.85546875" style="4" customWidth="1"/>
    <col min="3843" max="3843" width="9.42578125" style="4" customWidth="1"/>
    <col min="3844" max="3844" width="14.7109375" style="4" customWidth="1"/>
    <col min="3845" max="3845" width="15.42578125" style="4" customWidth="1"/>
    <col min="3846" max="3846" width="12.28515625" style="4" customWidth="1"/>
    <col min="3847" max="3847" width="9.5703125" style="4" customWidth="1"/>
    <col min="3848" max="3848" width="12.28515625" style="4" customWidth="1"/>
    <col min="3849" max="3849" width="12.5703125" style="4" customWidth="1"/>
    <col min="3850" max="3850" width="10.5703125" style="4" customWidth="1"/>
    <col min="3851" max="3851" width="10.140625" style="4" customWidth="1"/>
    <col min="3852" max="3852" width="8.42578125" style="4" customWidth="1"/>
    <col min="3853" max="3853" width="18.85546875" style="4" customWidth="1"/>
    <col min="3854" max="3854" width="9.7109375" style="4" customWidth="1"/>
    <col min="3855" max="3855" width="11.42578125" style="4"/>
    <col min="3856" max="3856" width="12.140625" style="4" customWidth="1"/>
    <col min="3857" max="3857" width="10.5703125" style="4" customWidth="1"/>
    <col min="3858" max="3858" width="12.42578125" style="4" customWidth="1"/>
    <col min="3859" max="3859" width="15.140625" style="4" customWidth="1"/>
    <col min="3860" max="3860" width="13.5703125" style="4" customWidth="1"/>
    <col min="3861" max="3861" width="13.140625" style="4" customWidth="1"/>
    <col min="3862" max="3862" width="15.7109375" style="4" customWidth="1"/>
    <col min="3863" max="3863" width="28.7109375" style="4" bestFit="1" customWidth="1"/>
    <col min="3864" max="3864" width="15.5703125" style="4" customWidth="1"/>
    <col min="3865" max="3865" width="21.140625" style="4" customWidth="1"/>
    <col min="3866" max="3866" width="12.7109375" style="4" bestFit="1" customWidth="1"/>
    <col min="3867" max="4091" width="11.42578125" style="4"/>
    <col min="4092" max="4092" width="10.5703125" style="4" customWidth="1"/>
    <col min="4093" max="4093" width="4.85546875" style="4" customWidth="1"/>
    <col min="4094" max="4094" width="29.5703125" style="4" customWidth="1"/>
    <col min="4095" max="4095" width="9.85546875" style="4" customWidth="1"/>
    <col min="4096" max="4096" width="11.85546875" style="4" customWidth="1"/>
    <col min="4097" max="4097" width="6.140625" style="4" customWidth="1"/>
    <col min="4098" max="4098" width="11.85546875" style="4" customWidth="1"/>
    <col min="4099" max="4099" width="9.42578125" style="4" customWidth="1"/>
    <col min="4100" max="4100" width="14.7109375" style="4" customWidth="1"/>
    <col min="4101" max="4101" width="15.42578125" style="4" customWidth="1"/>
    <col min="4102" max="4102" width="12.28515625" style="4" customWidth="1"/>
    <col min="4103" max="4103" width="9.5703125" style="4" customWidth="1"/>
    <col min="4104" max="4104" width="12.28515625" style="4" customWidth="1"/>
    <col min="4105" max="4105" width="12.5703125" style="4" customWidth="1"/>
    <col min="4106" max="4106" width="10.5703125" style="4" customWidth="1"/>
    <col min="4107" max="4107" width="10.140625" style="4" customWidth="1"/>
    <col min="4108" max="4108" width="8.42578125" style="4" customWidth="1"/>
    <col min="4109" max="4109" width="18.85546875" style="4" customWidth="1"/>
    <col min="4110" max="4110" width="9.7109375" style="4" customWidth="1"/>
    <col min="4111" max="4111" width="11.42578125" style="4"/>
    <col min="4112" max="4112" width="12.140625" style="4" customWidth="1"/>
    <col min="4113" max="4113" width="10.5703125" style="4" customWidth="1"/>
    <col min="4114" max="4114" width="12.42578125" style="4" customWidth="1"/>
    <col min="4115" max="4115" width="15.140625" style="4" customWidth="1"/>
    <col min="4116" max="4116" width="13.5703125" style="4" customWidth="1"/>
    <col min="4117" max="4117" width="13.140625" style="4" customWidth="1"/>
    <col min="4118" max="4118" width="15.7109375" style="4" customWidth="1"/>
    <col min="4119" max="4119" width="28.7109375" style="4" bestFit="1" customWidth="1"/>
    <col min="4120" max="4120" width="15.5703125" style="4" customWidth="1"/>
    <col min="4121" max="4121" width="21.140625" style="4" customWidth="1"/>
    <col min="4122" max="4122" width="12.7109375" style="4" bestFit="1" customWidth="1"/>
    <col min="4123" max="4347" width="11.42578125" style="4"/>
    <col min="4348" max="4348" width="10.5703125" style="4" customWidth="1"/>
    <col min="4349" max="4349" width="4.85546875" style="4" customWidth="1"/>
    <col min="4350" max="4350" width="29.5703125" style="4" customWidth="1"/>
    <col min="4351" max="4351" width="9.85546875" style="4" customWidth="1"/>
    <col min="4352" max="4352" width="11.85546875" style="4" customWidth="1"/>
    <col min="4353" max="4353" width="6.140625" style="4" customWidth="1"/>
    <col min="4354" max="4354" width="11.85546875" style="4" customWidth="1"/>
    <col min="4355" max="4355" width="9.42578125" style="4" customWidth="1"/>
    <col min="4356" max="4356" width="14.7109375" style="4" customWidth="1"/>
    <col min="4357" max="4357" width="15.42578125" style="4" customWidth="1"/>
    <col min="4358" max="4358" width="12.28515625" style="4" customWidth="1"/>
    <col min="4359" max="4359" width="9.5703125" style="4" customWidth="1"/>
    <col min="4360" max="4360" width="12.28515625" style="4" customWidth="1"/>
    <col min="4361" max="4361" width="12.5703125" style="4" customWidth="1"/>
    <col min="4362" max="4362" width="10.5703125" style="4" customWidth="1"/>
    <col min="4363" max="4363" width="10.140625" style="4" customWidth="1"/>
    <col min="4364" max="4364" width="8.42578125" style="4" customWidth="1"/>
    <col min="4365" max="4365" width="18.85546875" style="4" customWidth="1"/>
    <col min="4366" max="4366" width="9.7109375" style="4" customWidth="1"/>
    <col min="4367" max="4367" width="11.42578125" style="4"/>
    <col min="4368" max="4368" width="12.140625" style="4" customWidth="1"/>
    <col min="4369" max="4369" width="10.5703125" style="4" customWidth="1"/>
    <col min="4370" max="4370" width="12.42578125" style="4" customWidth="1"/>
    <col min="4371" max="4371" width="15.140625" style="4" customWidth="1"/>
    <col min="4372" max="4372" width="13.5703125" style="4" customWidth="1"/>
    <col min="4373" max="4373" width="13.140625" style="4" customWidth="1"/>
    <col min="4374" max="4374" width="15.7109375" style="4" customWidth="1"/>
    <col min="4375" max="4375" width="28.7109375" style="4" bestFit="1" customWidth="1"/>
    <col min="4376" max="4376" width="15.5703125" style="4" customWidth="1"/>
    <col min="4377" max="4377" width="21.140625" style="4" customWidth="1"/>
    <col min="4378" max="4378" width="12.7109375" style="4" bestFit="1" customWidth="1"/>
    <col min="4379" max="4603" width="11.42578125" style="4"/>
    <col min="4604" max="4604" width="10.5703125" style="4" customWidth="1"/>
    <col min="4605" max="4605" width="4.85546875" style="4" customWidth="1"/>
    <col min="4606" max="4606" width="29.5703125" style="4" customWidth="1"/>
    <col min="4607" max="4607" width="9.85546875" style="4" customWidth="1"/>
    <col min="4608" max="4608" width="11.85546875" style="4" customWidth="1"/>
    <col min="4609" max="4609" width="6.140625" style="4" customWidth="1"/>
    <col min="4610" max="4610" width="11.85546875" style="4" customWidth="1"/>
    <col min="4611" max="4611" width="9.42578125" style="4" customWidth="1"/>
    <col min="4612" max="4612" width="14.7109375" style="4" customWidth="1"/>
    <col min="4613" max="4613" width="15.42578125" style="4" customWidth="1"/>
    <col min="4614" max="4614" width="12.28515625" style="4" customWidth="1"/>
    <col min="4615" max="4615" width="9.5703125" style="4" customWidth="1"/>
    <col min="4616" max="4616" width="12.28515625" style="4" customWidth="1"/>
    <col min="4617" max="4617" width="12.5703125" style="4" customWidth="1"/>
    <col min="4618" max="4618" width="10.5703125" style="4" customWidth="1"/>
    <col min="4619" max="4619" width="10.140625" style="4" customWidth="1"/>
    <col min="4620" max="4620" width="8.42578125" style="4" customWidth="1"/>
    <col min="4621" max="4621" width="18.85546875" style="4" customWidth="1"/>
    <col min="4622" max="4622" width="9.7109375" style="4" customWidth="1"/>
    <col min="4623" max="4623" width="11.42578125" style="4"/>
    <col min="4624" max="4624" width="12.140625" style="4" customWidth="1"/>
    <col min="4625" max="4625" width="10.5703125" style="4" customWidth="1"/>
    <col min="4626" max="4626" width="12.42578125" style="4" customWidth="1"/>
    <col min="4627" max="4627" width="15.140625" style="4" customWidth="1"/>
    <col min="4628" max="4628" width="13.5703125" style="4" customWidth="1"/>
    <col min="4629" max="4629" width="13.140625" style="4" customWidth="1"/>
    <col min="4630" max="4630" width="15.7109375" style="4" customWidth="1"/>
    <col min="4631" max="4631" width="28.7109375" style="4" bestFit="1" customWidth="1"/>
    <col min="4632" max="4632" width="15.5703125" style="4" customWidth="1"/>
    <col min="4633" max="4633" width="21.140625" style="4" customWidth="1"/>
    <col min="4634" max="4634" width="12.7109375" style="4" bestFit="1" customWidth="1"/>
    <col min="4635" max="4859" width="11.42578125" style="4"/>
    <col min="4860" max="4860" width="10.5703125" style="4" customWidth="1"/>
    <col min="4861" max="4861" width="4.85546875" style="4" customWidth="1"/>
    <col min="4862" max="4862" width="29.5703125" style="4" customWidth="1"/>
    <col min="4863" max="4863" width="9.85546875" style="4" customWidth="1"/>
    <col min="4864" max="4864" width="11.85546875" style="4" customWidth="1"/>
    <col min="4865" max="4865" width="6.140625" style="4" customWidth="1"/>
    <col min="4866" max="4866" width="11.85546875" style="4" customWidth="1"/>
    <col min="4867" max="4867" width="9.42578125" style="4" customWidth="1"/>
    <col min="4868" max="4868" width="14.7109375" style="4" customWidth="1"/>
    <col min="4869" max="4869" width="15.42578125" style="4" customWidth="1"/>
    <col min="4870" max="4870" width="12.28515625" style="4" customWidth="1"/>
    <col min="4871" max="4871" width="9.5703125" style="4" customWidth="1"/>
    <col min="4872" max="4872" width="12.28515625" style="4" customWidth="1"/>
    <col min="4873" max="4873" width="12.5703125" style="4" customWidth="1"/>
    <col min="4874" max="4874" width="10.5703125" style="4" customWidth="1"/>
    <col min="4875" max="4875" width="10.140625" style="4" customWidth="1"/>
    <col min="4876" max="4876" width="8.42578125" style="4" customWidth="1"/>
    <col min="4877" max="4877" width="18.85546875" style="4" customWidth="1"/>
    <col min="4878" max="4878" width="9.7109375" style="4" customWidth="1"/>
    <col min="4879" max="4879" width="11.42578125" style="4"/>
    <col min="4880" max="4880" width="12.140625" style="4" customWidth="1"/>
    <col min="4881" max="4881" width="10.5703125" style="4" customWidth="1"/>
    <col min="4882" max="4882" width="12.42578125" style="4" customWidth="1"/>
    <col min="4883" max="4883" width="15.140625" style="4" customWidth="1"/>
    <col min="4884" max="4884" width="13.5703125" style="4" customWidth="1"/>
    <col min="4885" max="4885" width="13.140625" style="4" customWidth="1"/>
    <col min="4886" max="4886" width="15.7109375" style="4" customWidth="1"/>
    <col min="4887" max="4887" width="28.7109375" style="4" bestFit="1" customWidth="1"/>
    <col min="4888" max="4888" width="15.5703125" style="4" customWidth="1"/>
    <col min="4889" max="4889" width="21.140625" style="4" customWidth="1"/>
    <col min="4890" max="4890" width="12.7109375" style="4" bestFit="1" customWidth="1"/>
    <col min="4891" max="5115" width="11.42578125" style="4"/>
    <col min="5116" max="5116" width="10.5703125" style="4" customWidth="1"/>
    <col min="5117" max="5117" width="4.85546875" style="4" customWidth="1"/>
    <col min="5118" max="5118" width="29.5703125" style="4" customWidth="1"/>
    <col min="5119" max="5119" width="9.85546875" style="4" customWidth="1"/>
    <col min="5120" max="5120" width="11.85546875" style="4" customWidth="1"/>
    <col min="5121" max="5121" width="6.140625" style="4" customWidth="1"/>
    <col min="5122" max="5122" width="11.85546875" style="4" customWidth="1"/>
    <col min="5123" max="5123" width="9.42578125" style="4" customWidth="1"/>
    <col min="5124" max="5124" width="14.7109375" style="4" customWidth="1"/>
    <col min="5125" max="5125" width="15.42578125" style="4" customWidth="1"/>
    <col min="5126" max="5126" width="12.28515625" style="4" customWidth="1"/>
    <col min="5127" max="5127" width="9.5703125" style="4" customWidth="1"/>
    <col min="5128" max="5128" width="12.28515625" style="4" customWidth="1"/>
    <col min="5129" max="5129" width="12.5703125" style="4" customWidth="1"/>
    <col min="5130" max="5130" width="10.5703125" style="4" customWidth="1"/>
    <col min="5131" max="5131" width="10.140625" style="4" customWidth="1"/>
    <col min="5132" max="5132" width="8.42578125" style="4" customWidth="1"/>
    <col min="5133" max="5133" width="18.85546875" style="4" customWidth="1"/>
    <col min="5134" max="5134" width="9.7109375" style="4" customWidth="1"/>
    <col min="5135" max="5135" width="11.42578125" style="4"/>
    <col min="5136" max="5136" width="12.140625" style="4" customWidth="1"/>
    <col min="5137" max="5137" width="10.5703125" style="4" customWidth="1"/>
    <col min="5138" max="5138" width="12.42578125" style="4" customWidth="1"/>
    <col min="5139" max="5139" width="15.140625" style="4" customWidth="1"/>
    <col min="5140" max="5140" width="13.5703125" style="4" customWidth="1"/>
    <col min="5141" max="5141" width="13.140625" style="4" customWidth="1"/>
    <col min="5142" max="5142" width="15.7109375" style="4" customWidth="1"/>
    <col min="5143" max="5143" width="28.7109375" style="4" bestFit="1" customWidth="1"/>
    <col min="5144" max="5144" width="15.5703125" style="4" customWidth="1"/>
    <col min="5145" max="5145" width="21.140625" style="4" customWidth="1"/>
    <col min="5146" max="5146" width="12.7109375" style="4" bestFit="1" customWidth="1"/>
    <col min="5147" max="5371" width="11.42578125" style="4"/>
    <col min="5372" max="5372" width="10.5703125" style="4" customWidth="1"/>
    <col min="5373" max="5373" width="4.85546875" style="4" customWidth="1"/>
    <col min="5374" max="5374" width="29.5703125" style="4" customWidth="1"/>
    <col min="5375" max="5375" width="9.85546875" style="4" customWidth="1"/>
    <col min="5376" max="5376" width="11.85546875" style="4" customWidth="1"/>
    <col min="5377" max="5377" width="6.140625" style="4" customWidth="1"/>
    <col min="5378" max="5378" width="11.85546875" style="4" customWidth="1"/>
    <col min="5379" max="5379" width="9.42578125" style="4" customWidth="1"/>
    <col min="5380" max="5380" width="14.7109375" style="4" customWidth="1"/>
    <col min="5381" max="5381" width="15.42578125" style="4" customWidth="1"/>
    <col min="5382" max="5382" width="12.28515625" style="4" customWidth="1"/>
    <col min="5383" max="5383" width="9.5703125" style="4" customWidth="1"/>
    <col min="5384" max="5384" width="12.28515625" style="4" customWidth="1"/>
    <col min="5385" max="5385" width="12.5703125" style="4" customWidth="1"/>
    <col min="5386" max="5386" width="10.5703125" style="4" customWidth="1"/>
    <col min="5387" max="5387" width="10.140625" style="4" customWidth="1"/>
    <col min="5388" max="5388" width="8.42578125" style="4" customWidth="1"/>
    <col min="5389" max="5389" width="18.85546875" style="4" customWidth="1"/>
    <col min="5390" max="5390" width="9.7109375" style="4" customWidth="1"/>
    <col min="5391" max="5391" width="11.42578125" style="4"/>
    <col min="5392" max="5392" width="12.140625" style="4" customWidth="1"/>
    <col min="5393" max="5393" width="10.5703125" style="4" customWidth="1"/>
    <col min="5394" max="5394" width="12.42578125" style="4" customWidth="1"/>
    <col min="5395" max="5395" width="15.140625" style="4" customWidth="1"/>
    <col min="5396" max="5396" width="13.5703125" style="4" customWidth="1"/>
    <col min="5397" max="5397" width="13.140625" style="4" customWidth="1"/>
    <col min="5398" max="5398" width="15.7109375" style="4" customWidth="1"/>
    <col min="5399" max="5399" width="28.7109375" style="4" bestFit="1" customWidth="1"/>
    <col min="5400" max="5400" width="15.5703125" style="4" customWidth="1"/>
    <col min="5401" max="5401" width="21.140625" style="4" customWidth="1"/>
    <col min="5402" max="5402" width="12.7109375" style="4" bestFit="1" customWidth="1"/>
    <col min="5403" max="5627" width="11.42578125" style="4"/>
    <col min="5628" max="5628" width="10.5703125" style="4" customWidth="1"/>
    <col min="5629" max="5629" width="4.85546875" style="4" customWidth="1"/>
    <col min="5630" max="5630" width="29.5703125" style="4" customWidth="1"/>
    <col min="5631" max="5631" width="9.85546875" style="4" customWidth="1"/>
    <col min="5632" max="5632" width="11.85546875" style="4" customWidth="1"/>
    <col min="5633" max="5633" width="6.140625" style="4" customWidth="1"/>
    <col min="5634" max="5634" width="11.85546875" style="4" customWidth="1"/>
    <col min="5635" max="5635" width="9.42578125" style="4" customWidth="1"/>
    <col min="5636" max="5636" width="14.7109375" style="4" customWidth="1"/>
    <col min="5637" max="5637" width="15.42578125" style="4" customWidth="1"/>
    <col min="5638" max="5638" width="12.28515625" style="4" customWidth="1"/>
    <col min="5639" max="5639" width="9.5703125" style="4" customWidth="1"/>
    <col min="5640" max="5640" width="12.28515625" style="4" customWidth="1"/>
    <col min="5641" max="5641" width="12.5703125" style="4" customWidth="1"/>
    <col min="5642" max="5642" width="10.5703125" style="4" customWidth="1"/>
    <col min="5643" max="5643" width="10.140625" style="4" customWidth="1"/>
    <col min="5644" max="5644" width="8.42578125" style="4" customWidth="1"/>
    <col min="5645" max="5645" width="18.85546875" style="4" customWidth="1"/>
    <col min="5646" max="5646" width="9.7109375" style="4" customWidth="1"/>
    <col min="5647" max="5647" width="11.42578125" style="4"/>
    <col min="5648" max="5648" width="12.140625" style="4" customWidth="1"/>
    <col min="5649" max="5649" width="10.5703125" style="4" customWidth="1"/>
    <col min="5650" max="5650" width="12.42578125" style="4" customWidth="1"/>
    <col min="5651" max="5651" width="15.140625" style="4" customWidth="1"/>
    <col min="5652" max="5652" width="13.5703125" style="4" customWidth="1"/>
    <col min="5653" max="5653" width="13.140625" style="4" customWidth="1"/>
    <col min="5654" max="5654" width="15.7109375" style="4" customWidth="1"/>
    <col min="5655" max="5655" width="28.7109375" style="4" bestFit="1" customWidth="1"/>
    <col min="5656" max="5656" width="15.5703125" style="4" customWidth="1"/>
    <col min="5657" max="5657" width="21.140625" style="4" customWidth="1"/>
    <col min="5658" max="5658" width="12.7109375" style="4" bestFit="1" customWidth="1"/>
    <col min="5659" max="5883" width="11.42578125" style="4"/>
    <col min="5884" max="5884" width="10.5703125" style="4" customWidth="1"/>
    <col min="5885" max="5885" width="4.85546875" style="4" customWidth="1"/>
    <col min="5886" max="5886" width="29.5703125" style="4" customWidth="1"/>
    <col min="5887" max="5887" width="9.85546875" style="4" customWidth="1"/>
    <col min="5888" max="5888" width="11.85546875" style="4" customWidth="1"/>
    <col min="5889" max="5889" width="6.140625" style="4" customWidth="1"/>
    <col min="5890" max="5890" width="11.85546875" style="4" customWidth="1"/>
    <col min="5891" max="5891" width="9.42578125" style="4" customWidth="1"/>
    <col min="5892" max="5892" width="14.7109375" style="4" customWidth="1"/>
    <col min="5893" max="5893" width="15.42578125" style="4" customWidth="1"/>
    <col min="5894" max="5894" width="12.28515625" style="4" customWidth="1"/>
    <col min="5895" max="5895" width="9.5703125" style="4" customWidth="1"/>
    <col min="5896" max="5896" width="12.28515625" style="4" customWidth="1"/>
    <col min="5897" max="5897" width="12.5703125" style="4" customWidth="1"/>
    <col min="5898" max="5898" width="10.5703125" style="4" customWidth="1"/>
    <col min="5899" max="5899" width="10.140625" style="4" customWidth="1"/>
    <col min="5900" max="5900" width="8.42578125" style="4" customWidth="1"/>
    <col min="5901" max="5901" width="18.85546875" style="4" customWidth="1"/>
    <col min="5902" max="5902" width="9.7109375" style="4" customWidth="1"/>
    <col min="5903" max="5903" width="11.42578125" style="4"/>
    <col min="5904" max="5904" width="12.140625" style="4" customWidth="1"/>
    <col min="5905" max="5905" width="10.5703125" style="4" customWidth="1"/>
    <col min="5906" max="5906" width="12.42578125" style="4" customWidth="1"/>
    <col min="5907" max="5907" width="15.140625" style="4" customWidth="1"/>
    <col min="5908" max="5908" width="13.5703125" style="4" customWidth="1"/>
    <col min="5909" max="5909" width="13.140625" style="4" customWidth="1"/>
    <col min="5910" max="5910" width="15.7109375" style="4" customWidth="1"/>
    <col min="5911" max="5911" width="28.7109375" style="4" bestFit="1" customWidth="1"/>
    <col min="5912" max="5912" width="15.5703125" style="4" customWidth="1"/>
    <col min="5913" max="5913" width="21.140625" style="4" customWidth="1"/>
    <col min="5914" max="5914" width="12.7109375" style="4" bestFit="1" customWidth="1"/>
    <col min="5915" max="6139" width="11.42578125" style="4"/>
    <col min="6140" max="6140" width="10.5703125" style="4" customWidth="1"/>
    <col min="6141" max="6141" width="4.85546875" style="4" customWidth="1"/>
    <col min="6142" max="6142" width="29.5703125" style="4" customWidth="1"/>
    <col min="6143" max="6143" width="9.85546875" style="4" customWidth="1"/>
    <col min="6144" max="6144" width="11.85546875" style="4" customWidth="1"/>
    <col min="6145" max="6145" width="6.140625" style="4" customWidth="1"/>
    <col min="6146" max="6146" width="11.85546875" style="4" customWidth="1"/>
    <col min="6147" max="6147" width="9.42578125" style="4" customWidth="1"/>
    <col min="6148" max="6148" width="14.7109375" style="4" customWidth="1"/>
    <col min="6149" max="6149" width="15.42578125" style="4" customWidth="1"/>
    <col min="6150" max="6150" width="12.28515625" style="4" customWidth="1"/>
    <col min="6151" max="6151" width="9.5703125" style="4" customWidth="1"/>
    <col min="6152" max="6152" width="12.28515625" style="4" customWidth="1"/>
    <col min="6153" max="6153" width="12.5703125" style="4" customWidth="1"/>
    <col min="6154" max="6154" width="10.5703125" style="4" customWidth="1"/>
    <col min="6155" max="6155" width="10.140625" style="4" customWidth="1"/>
    <col min="6156" max="6156" width="8.42578125" style="4" customWidth="1"/>
    <col min="6157" max="6157" width="18.85546875" style="4" customWidth="1"/>
    <col min="6158" max="6158" width="9.7109375" style="4" customWidth="1"/>
    <col min="6159" max="6159" width="11.42578125" style="4"/>
    <col min="6160" max="6160" width="12.140625" style="4" customWidth="1"/>
    <col min="6161" max="6161" width="10.5703125" style="4" customWidth="1"/>
    <col min="6162" max="6162" width="12.42578125" style="4" customWidth="1"/>
    <col min="6163" max="6163" width="15.140625" style="4" customWidth="1"/>
    <col min="6164" max="6164" width="13.5703125" style="4" customWidth="1"/>
    <col min="6165" max="6165" width="13.140625" style="4" customWidth="1"/>
    <col min="6166" max="6166" width="15.7109375" style="4" customWidth="1"/>
    <col min="6167" max="6167" width="28.7109375" style="4" bestFit="1" customWidth="1"/>
    <col min="6168" max="6168" width="15.5703125" style="4" customWidth="1"/>
    <col min="6169" max="6169" width="21.140625" style="4" customWidth="1"/>
    <col min="6170" max="6170" width="12.7109375" style="4" bestFit="1" customWidth="1"/>
    <col min="6171" max="6395" width="11.42578125" style="4"/>
    <col min="6396" max="6396" width="10.5703125" style="4" customWidth="1"/>
    <col min="6397" max="6397" width="4.85546875" style="4" customWidth="1"/>
    <col min="6398" max="6398" width="29.5703125" style="4" customWidth="1"/>
    <col min="6399" max="6399" width="9.85546875" style="4" customWidth="1"/>
    <col min="6400" max="6400" width="11.85546875" style="4" customWidth="1"/>
    <col min="6401" max="6401" width="6.140625" style="4" customWidth="1"/>
    <col min="6402" max="6402" width="11.85546875" style="4" customWidth="1"/>
    <col min="6403" max="6403" width="9.42578125" style="4" customWidth="1"/>
    <col min="6404" max="6404" width="14.7109375" style="4" customWidth="1"/>
    <col min="6405" max="6405" width="15.42578125" style="4" customWidth="1"/>
    <col min="6406" max="6406" width="12.28515625" style="4" customWidth="1"/>
    <col min="6407" max="6407" width="9.5703125" style="4" customWidth="1"/>
    <col min="6408" max="6408" width="12.28515625" style="4" customWidth="1"/>
    <col min="6409" max="6409" width="12.5703125" style="4" customWidth="1"/>
    <col min="6410" max="6410" width="10.5703125" style="4" customWidth="1"/>
    <col min="6411" max="6411" width="10.140625" style="4" customWidth="1"/>
    <col min="6412" max="6412" width="8.42578125" style="4" customWidth="1"/>
    <col min="6413" max="6413" width="18.85546875" style="4" customWidth="1"/>
    <col min="6414" max="6414" width="9.7109375" style="4" customWidth="1"/>
    <col min="6415" max="6415" width="11.42578125" style="4"/>
    <col min="6416" max="6416" width="12.140625" style="4" customWidth="1"/>
    <col min="6417" max="6417" width="10.5703125" style="4" customWidth="1"/>
    <col min="6418" max="6418" width="12.42578125" style="4" customWidth="1"/>
    <col min="6419" max="6419" width="15.140625" style="4" customWidth="1"/>
    <col min="6420" max="6420" width="13.5703125" style="4" customWidth="1"/>
    <col min="6421" max="6421" width="13.140625" style="4" customWidth="1"/>
    <col min="6422" max="6422" width="15.7109375" style="4" customWidth="1"/>
    <col min="6423" max="6423" width="28.7109375" style="4" bestFit="1" customWidth="1"/>
    <col min="6424" max="6424" width="15.5703125" style="4" customWidth="1"/>
    <col min="6425" max="6425" width="21.140625" style="4" customWidth="1"/>
    <col min="6426" max="6426" width="12.7109375" style="4" bestFit="1" customWidth="1"/>
    <col min="6427" max="6651" width="11.42578125" style="4"/>
    <col min="6652" max="6652" width="10.5703125" style="4" customWidth="1"/>
    <col min="6653" max="6653" width="4.85546875" style="4" customWidth="1"/>
    <col min="6654" max="6654" width="29.5703125" style="4" customWidth="1"/>
    <col min="6655" max="6655" width="9.85546875" style="4" customWidth="1"/>
    <col min="6656" max="6656" width="11.85546875" style="4" customWidth="1"/>
    <col min="6657" max="6657" width="6.140625" style="4" customWidth="1"/>
    <col min="6658" max="6658" width="11.85546875" style="4" customWidth="1"/>
    <col min="6659" max="6659" width="9.42578125" style="4" customWidth="1"/>
    <col min="6660" max="6660" width="14.7109375" style="4" customWidth="1"/>
    <col min="6661" max="6661" width="15.42578125" style="4" customWidth="1"/>
    <col min="6662" max="6662" width="12.28515625" style="4" customWidth="1"/>
    <col min="6663" max="6663" width="9.5703125" style="4" customWidth="1"/>
    <col min="6664" max="6664" width="12.28515625" style="4" customWidth="1"/>
    <col min="6665" max="6665" width="12.5703125" style="4" customWidth="1"/>
    <col min="6666" max="6666" width="10.5703125" style="4" customWidth="1"/>
    <col min="6667" max="6667" width="10.140625" style="4" customWidth="1"/>
    <col min="6668" max="6668" width="8.42578125" style="4" customWidth="1"/>
    <col min="6669" max="6669" width="18.85546875" style="4" customWidth="1"/>
    <col min="6670" max="6670" width="9.7109375" style="4" customWidth="1"/>
    <col min="6671" max="6671" width="11.42578125" style="4"/>
    <col min="6672" max="6672" width="12.140625" style="4" customWidth="1"/>
    <col min="6673" max="6673" width="10.5703125" style="4" customWidth="1"/>
    <col min="6674" max="6674" width="12.42578125" style="4" customWidth="1"/>
    <col min="6675" max="6675" width="15.140625" style="4" customWidth="1"/>
    <col min="6676" max="6676" width="13.5703125" style="4" customWidth="1"/>
    <col min="6677" max="6677" width="13.140625" style="4" customWidth="1"/>
    <col min="6678" max="6678" width="15.7109375" style="4" customWidth="1"/>
    <col min="6679" max="6679" width="28.7109375" style="4" bestFit="1" customWidth="1"/>
    <col min="6680" max="6680" width="15.5703125" style="4" customWidth="1"/>
    <col min="6681" max="6681" width="21.140625" style="4" customWidth="1"/>
    <col min="6682" max="6682" width="12.7109375" style="4" bestFit="1" customWidth="1"/>
    <col min="6683" max="6907" width="11.42578125" style="4"/>
    <col min="6908" max="6908" width="10.5703125" style="4" customWidth="1"/>
    <col min="6909" max="6909" width="4.85546875" style="4" customWidth="1"/>
    <col min="6910" max="6910" width="29.5703125" style="4" customWidth="1"/>
    <col min="6911" max="6911" width="9.85546875" style="4" customWidth="1"/>
    <col min="6912" max="6912" width="11.85546875" style="4" customWidth="1"/>
    <col min="6913" max="6913" width="6.140625" style="4" customWidth="1"/>
    <col min="6914" max="6914" width="11.85546875" style="4" customWidth="1"/>
    <col min="6915" max="6915" width="9.42578125" style="4" customWidth="1"/>
    <col min="6916" max="6916" width="14.7109375" style="4" customWidth="1"/>
    <col min="6917" max="6917" width="15.42578125" style="4" customWidth="1"/>
    <col min="6918" max="6918" width="12.28515625" style="4" customWidth="1"/>
    <col min="6919" max="6919" width="9.5703125" style="4" customWidth="1"/>
    <col min="6920" max="6920" width="12.28515625" style="4" customWidth="1"/>
    <col min="6921" max="6921" width="12.5703125" style="4" customWidth="1"/>
    <col min="6922" max="6922" width="10.5703125" style="4" customWidth="1"/>
    <col min="6923" max="6923" width="10.140625" style="4" customWidth="1"/>
    <col min="6924" max="6924" width="8.42578125" style="4" customWidth="1"/>
    <col min="6925" max="6925" width="18.85546875" style="4" customWidth="1"/>
    <col min="6926" max="6926" width="9.7109375" style="4" customWidth="1"/>
    <col min="6927" max="6927" width="11.42578125" style="4"/>
    <col min="6928" max="6928" width="12.140625" style="4" customWidth="1"/>
    <col min="6929" max="6929" width="10.5703125" style="4" customWidth="1"/>
    <col min="6930" max="6930" width="12.42578125" style="4" customWidth="1"/>
    <col min="6931" max="6931" width="15.140625" style="4" customWidth="1"/>
    <col min="6932" max="6932" width="13.5703125" style="4" customWidth="1"/>
    <col min="6933" max="6933" width="13.140625" style="4" customWidth="1"/>
    <col min="6934" max="6934" width="15.7109375" style="4" customWidth="1"/>
    <col min="6935" max="6935" width="28.7109375" style="4" bestFit="1" customWidth="1"/>
    <col min="6936" max="6936" width="15.5703125" style="4" customWidth="1"/>
    <col min="6937" max="6937" width="21.140625" style="4" customWidth="1"/>
    <col min="6938" max="6938" width="12.7109375" style="4" bestFit="1" customWidth="1"/>
    <col min="6939" max="7163" width="11.42578125" style="4"/>
    <col min="7164" max="7164" width="10.5703125" style="4" customWidth="1"/>
    <col min="7165" max="7165" width="4.85546875" style="4" customWidth="1"/>
    <col min="7166" max="7166" width="29.5703125" style="4" customWidth="1"/>
    <col min="7167" max="7167" width="9.85546875" style="4" customWidth="1"/>
    <col min="7168" max="7168" width="11.85546875" style="4" customWidth="1"/>
    <col min="7169" max="7169" width="6.140625" style="4" customWidth="1"/>
    <col min="7170" max="7170" width="11.85546875" style="4" customWidth="1"/>
    <col min="7171" max="7171" width="9.42578125" style="4" customWidth="1"/>
    <col min="7172" max="7172" width="14.7109375" style="4" customWidth="1"/>
    <col min="7173" max="7173" width="15.42578125" style="4" customWidth="1"/>
    <col min="7174" max="7174" width="12.28515625" style="4" customWidth="1"/>
    <col min="7175" max="7175" width="9.5703125" style="4" customWidth="1"/>
    <col min="7176" max="7176" width="12.28515625" style="4" customWidth="1"/>
    <col min="7177" max="7177" width="12.5703125" style="4" customWidth="1"/>
    <col min="7178" max="7178" width="10.5703125" style="4" customWidth="1"/>
    <col min="7179" max="7179" width="10.140625" style="4" customWidth="1"/>
    <col min="7180" max="7180" width="8.42578125" style="4" customWidth="1"/>
    <col min="7181" max="7181" width="18.85546875" style="4" customWidth="1"/>
    <col min="7182" max="7182" width="9.7109375" style="4" customWidth="1"/>
    <col min="7183" max="7183" width="11.42578125" style="4"/>
    <col min="7184" max="7184" width="12.140625" style="4" customWidth="1"/>
    <col min="7185" max="7185" width="10.5703125" style="4" customWidth="1"/>
    <col min="7186" max="7186" width="12.42578125" style="4" customWidth="1"/>
    <col min="7187" max="7187" width="15.140625" style="4" customWidth="1"/>
    <col min="7188" max="7188" width="13.5703125" style="4" customWidth="1"/>
    <col min="7189" max="7189" width="13.140625" style="4" customWidth="1"/>
    <col min="7190" max="7190" width="15.7109375" style="4" customWidth="1"/>
    <col min="7191" max="7191" width="28.7109375" style="4" bestFit="1" customWidth="1"/>
    <col min="7192" max="7192" width="15.5703125" style="4" customWidth="1"/>
    <col min="7193" max="7193" width="21.140625" style="4" customWidth="1"/>
    <col min="7194" max="7194" width="12.7109375" style="4" bestFit="1" customWidth="1"/>
    <col min="7195" max="7419" width="11.42578125" style="4"/>
    <col min="7420" max="7420" width="10.5703125" style="4" customWidth="1"/>
    <col min="7421" max="7421" width="4.85546875" style="4" customWidth="1"/>
    <col min="7422" max="7422" width="29.5703125" style="4" customWidth="1"/>
    <col min="7423" max="7423" width="9.85546875" style="4" customWidth="1"/>
    <col min="7424" max="7424" width="11.85546875" style="4" customWidth="1"/>
    <col min="7425" max="7425" width="6.140625" style="4" customWidth="1"/>
    <col min="7426" max="7426" width="11.85546875" style="4" customWidth="1"/>
    <col min="7427" max="7427" width="9.42578125" style="4" customWidth="1"/>
    <col min="7428" max="7428" width="14.7109375" style="4" customWidth="1"/>
    <col min="7429" max="7429" width="15.42578125" style="4" customWidth="1"/>
    <col min="7430" max="7430" width="12.28515625" style="4" customWidth="1"/>
    <col min="7431" max="7431" width="9.5703125" style="4" customWidth="1"/>
    <col min="7432" max="7432" width="12.28515625" style="4" customWidth="1"/>
    <col min="7433" max="7433" width="12.5703125" style="4" customWidth="1"/>
    <col min="7434" max="7434" width="10.5703125" style="4" customWidth="1"/>
    <col min="7435" max="7435" width="10.140625" style="4" customWidth="1"/>
    <col min="7436" max="7436" width="8.42578125" style="4" customWidth="1"/>
    <col min="7437" max="7437" width="18.85546875" style="4" customWidth="1"/>
    <col min="7438" max="7438" width="9.7109375" style="4" customWidth="1"/>
    <col min="7439" max="7439" width="11.42578125" style="4"/>
    <col min="7440" max="7440" width="12.140625" style="4" customWidth="1"/>
    <col min="7441" max="7441" width="10.5703125" style="4" customWidth="1"/>
    <col min="7442" max="7442" width="12.42578125" style="4" customWidth="1"/>
    <col min="7443" max="7443" width="15.140625" style="4" customWidth="1"/>
    <col min="7444" max="7444" width="13.5703125" style="4" customWidth="1"/>
    <col min="7445" max="7445" width="13.140625" style="4" customWidth="1"/>
    <col min="7446" max="7446" width="15.7109375" style="4" customWidth="1"/>
    <col min="7447" max="7447" width="28.7109375" style="4" bestFit="1" customWidth="1"/>
    <col min="7448" max="7448" width="15.5703125" style="4" customWidth="1"/>
    <col min="7449" max="7449" width="21.140625" style="4" customWidth="1"/>
    <col min="7450" max="7450" width="12.7109375" style="4" bestFit="1" customWidth="1"/>
    <col min="7451" max="7675" width="11.42578125" style="4"/>
    <col min="7676" max="7676" width="10.5703125" style="4" customWidth="1"/>
    <col min="7677" max="7677" width="4.85546875" style="4" customWidth="1"/>
    <col min="7678" max="7678" width="29.5703125" style="4" customWidth="1"/>
    <col min="7679" max="7679" width="9.85546875" style="4" customWidth="1"/>
    <col min="7680" max="7680" width="11.85546875" style="4" customWidth="1"/>
    <col min="7681" max="7681" width="6.140625" style="4" customWidth="1"/>
    <col min="7682" max="7682" width="11.85546875" style="4" customWidth="1"/>
    <col min="7683" max="7683" width="9.42578125" style="4" customWidth="1"/>
    <col min="7684" max="7684" width="14.7109375" style="4" customWidth="1"/>
    <col min="7685" max="7685" width="15.42578125" style="4" customWidth="1"/>
    <col min="7686" max="7686" width="12.28515625" style="4" customWidth="1"/>
    <col min="7687" max="7687" width="9.5703125" style="4" customWidth="1"/>
    <col min="7688" max="7688" width="12.28515625" style="4" customWidth="1"/>
    <col min="7689" max="7689" width="12.5703125" style="4" customWidth="1"/>
    <col min="7690" max="7690" width="10.5703125" style="4" customWidth="1"/>
    <col min="7691" max="7691" width="10.140625" style="4" customWidth="1"/>
    <col min="7692" max="7692" width="8.42578125" style="4" customWidth="1"/>
    <col min="7693" max="7693" width="18.85546875" style="4" customWidth="1"/>
    <col min="7694" max="7694" width="9.7109375" style="4" customWidth="1"/>
    <col min="7695" max="7695" width="11.42578125" style="4"/>
    <col min="7696" max="7696" width="12.140625" style="4" customWidth="1"/>
    <col min="7697" max="7697" width="10.5703125" style="4" customWidth="1"/>
    <col min="7698" max="7698" width="12.42578125" style="4" customWidth="1"/>
    <col min="7699" max="7699" width="15.140625" style="4" customWidth="1"/>
    <col min="7700" max="7700" width="13.5703125" style="4" customWidth="1"/>
    <col min="7701" max="7701" width="13.140625" style="4" customWidth="1"/>
    <col min="7702" max="7702" width="15.7109375" style="4" customWidth="1"/>
    <col min="7703" max="7703" width="28.7109375" style="4" bestFit="1" customWidth="1"/>
    <col min="7704" max="7704" width="15.5703125" style="4" customWidth="1"/>
    <col min="7705" max="7705" width="21.140625" style="4" customWidth="1"/>
    <col min="7706" max="7706" width="12.7109375" style="4" bestFit="1" customWidth="1"/>
    <col min="7707" max="7931" width="11.42578125" style="4"/>
    <col min="7932" max="7932" width="10.5703125" style="4" customWidth="1"/>
    <col min="7933" max="7933" width="4.85546875" style="4" customWidth="1"/>
    <col min="7934" max="7934" width="29.5703125" style="4" customWidth="1"/>
    <col min="7935" max="7935" width="9.85546875" style="4" customWidth="1"/>
    <col min="7936" max="7936" width="11.85546875" style="4" customWidth="1"/>
    <col min="7937" max="7937" width="6.140625" style="4" customWidth="1"/>
    <col min="7938" max="7938" width="11.85546875" style="4" customWidth="1"/>
    <col min="7939" max="7939" width="9.42578125" style="4" customWidth="1"/>
    <col min="7940" max="7940" width="14.7109375" style="4" customWidth="1"/>
    <col min="7941" max="7941" width="15.42578125" style="4" customWidth="1"/>
    <col min="7942" max="7942" width="12.28515625" style="4" customWidth="1"/>
    <col min="7943" max="7943" width="9.5703125" style="4" customWidth="1"/>
    <col min="7944" max="7944" width="12.28515625" style="4" customWidth="1"/>
    <col min="7945" max="7945" width="12.5703125" style="4" customWidth="1"/>
    <col min="7946" max="7946" width="10.5703125" style="4" customWidth="1"/>
    <col min="7947" max="7947" width="10.140625" style="4" customWidth="1"/>
    <col min="7948" max="7948" width="8.42578125" style="4" customWidth="1"/>
    <col min="7949" max="7949" width="18.85546875" style="4" customWidth="1"/>
    <col min="7950" max="7950" width="9.7109375" style="4" customWidth="1"/>
    <col min="7951" max="7951" width="11.42578125" style="4"/>
    <col min="7952" max="7952" width="12.140625" style="4" customWidth="1"/>
    <col min="7953" max="7953" width="10.5703125" style="4" customWidth="1"/>
    <col min="7954" max="7954" width="12.42578125" style="4" customWidth="1"/>
    <col min="7955" max="7955" width="15.140625" style="4" customWidth="1"/>
    <col min="7956" max="7956" width="13.5703125" style="4" customWidth="1"/>
    <col min="7957" max="7957" width="13.140625" style="4" customWidth="1"/>
    <col min="7958" max="7958" width="15.7109375" style="4" customWidth="1"/>
    <col min="7959" max="7959" width="28.7109375" style="4" bestFit="1" customWidth="1"/>
    <col min="7960" max="7960" width="15.5703125" style="4" customWidth="1"/>
    <col min="7961" max="7961" width="21.140625" style="4" customWidth="1"/>
    <col min="7962" max="7962" width="12.7109375" style="4" bestFit="1" customWidth="1"/>
    <col min="7963" max="8187" width="11.42578125" style="4"/>
    <col min="8188" max="8188" width="10.5703125" style="4" customWidth="1"/>
    <col min="8189" max="8189" width="4.85546875" style="4" customWidth="1"/>
    <col min="8190" max="8190" width="29.5703125" style="4" customWidth="1"/>
    <col min="8191" max="8191" width="9.85546875" style="4" customWidth="1"/>
    <col min="8192" max="8192" width="11.85546875" style="4" customWidth="1"/>
    <col min="8193" max="8193" width="6.140625" style="4" customWidth="1"/>
    <col min="8194" max="8194" width="11.85546875" style="4" customWidth="1"/>
    <col min="8195" max="8195" width="9.42578125" style="4" customWidth="1"/>
    <col min="8196" max="8196" width="14.7109375" style="4" customWidth="1"/>
    <col min="8197" max="8197" width="15.42578125" style="4" customWidth="1"/>
    <col min="8198" max="8198" width="12.28515625" style="4" customWidth="1"/>
    <col min="8199" max="8199" width="9.5703125" style="4" customWidth="1"/>
    <col min="8200" max="8200" width="12.28515625" style="4" customWidth="1"/>
    <col min="8201" max="8201" width="12.5703125" style="4" customWidth="1"/>
    <col min="8202" max="8202" width="10.5703125" style="4" customWidth="1"/>
    <col min="8203" max="8203" width="10.140625" style="4" customWidth="1"/>
    <col min="8204" max="8204" width="8.42578125" style="4" customWidth="1"/>
    <col min="8205" max="8205" width="18.85546875" style="4" customWidth="1"/>
    <col min="8206" max="8206" width="9.7109375" style="4" customWidth="1"/>
    <col min="8207" max="8207" width="11.42578125" style="4"/>
    <col min="8208" max="8208" width="12.140625" style="4" customWidth="1"/>
    <col min="8209" max="8209" width="10.5703125" style="4" customWidth="1"/>
    <col min="8210" max="8210" width="12.42578125" style="4" customWidth="1"/>
    <col min="8211" max="8211" width="15.140625" style="4" customWidth="1"/>
    <col min="8212" max="8212" width="13.5703125" style="4" customWidth="1"/>
    <col min="8213" max="8213" width="13.140625" style="4" customWidth="1"/>
    <col min="8214" max="8214" width="15.7109375" style="4" customWidth="1"/>
    <col min="8215" max="8215" width="28.7109375" style="4" bestFit="1" customWidth="1"/>
    <col min="8216" max="8216" width="15.5703125" style="4" customWidth="1"/>
    <col min="8217" max="8217" width="21.140625" style="4" customWidth="1"/>
    <col min="8218" max="8218" width="12.7109375" style="4" bestFit="1" customWidth="1"/>
    <col min="8219" max="8443" width="11.42578125" style="4"/>
    <col min="8444" max="8444" width="10.5703125" style="4" customWidth="1"/>
    <col min="8445" max="8445" width="4.85546875" style="4" customWidth="1"/>
    <col min="8446" max="8446" width="29.5703125" style="4" customWidth="1"/>
    <col min="8447" max="8447" width="9.85546875" style="4" customWidth="1"/>
    <col min="8448" max="8448" width="11.85546875" style="4" customWidth="1"/>
    <col min="8449" max="8449" width="6.140625" style="4" customWidth="1"/>
    <col min="8450" max="8450" width="11.85546875" style="4" customWidth="1"/>
    <col min="8451" max="8451" width="9.42578125" style="4" customWidth="1"/>
    <col min="8452" max="8452" width="14.7109375" style="4" customWidth="1"/>
    <col min="8453" max="8453" width="15.42578125" style="4" customWidth="1"/>
    <col min="8454" max="8454" width="12.28515625" style="4" customWidth="1"/>
    <col min="8455" max="8455" width="9.5703125" style="4" customWidth="1"/>
    <col min="8456" max="8456" width="12.28515625" style="4" customWidth="1"/>
    <col min="8457" max="8457" width="12.5703125" style="4" customWidth="1"/>
    <col min="8458" max="8458" width="10.5703125" style="4" customWidth="1"/>
    <col min="8459" max="8459" width="10.140625" style="4" customWidth="1"/>
    <col min="8460" max="8460" width="8.42578125" style="4" customWidth="1"/>
    <col min="8461" max="8461" width="18.85546875" style="4" customWidth="1"/>
    <col min="8462" max="8462" width="9.7109375" style="4" customWidth="1"/>
    <col min="8463" max="8463" width="11.42578125" style="4"/>
    <col min="8464" max="8464" width="12.140625" style="4" customWidth="1"/>
    <col min="8465" max="8465" width="10.5703125" style="4" customWidth="1"/>
    <col min="8466" max="8466" width="12.42578125" style="4" customWidth="1"/>
    <col min="8467" max="8467" width="15.140625" style="4" customWidth="1"/>
    <col min="8468" max="8468" width="13.5703125" style="4" customWidth="1"/>
    <col min="8469" max="8469" width="13.140625" style="4" customWidth="1"/>
    <col min="8470" max="8470" width="15.7109375" style="4" customWidth="1"/>
    <col min="8471" max="8471" width="28.7109375" style="4" bestFit="1" customWidth="1"/>
    <col min="8472" max="8472" width="15.5703125" style="4" customWidth="1"/>
    <col min="8473" max="8473" width="21.140625" style="4" customWidth="1"/>
    <col min="8474" max="8474" width="12.7109375" style="4" bestFit="1" customWidth="1"/>
    <col min="8475" max="8699" width="11.42578125" style="4"/>
    <col min="8700" max="8700" width="10.5703125" style="4" customWidth="1"/>
    <col min="8701" max="8701" width="4.85546875" style="4" customWidth="1"/>
    <col min="8702" max="8702" width="29.5703125" style="4" customWidth="1"/>
    <col min="8703" max="8703" width="9.85546875" style="4" customWidth="1"/>
    <col min="8704" max="8704" width="11.85546875" style="4" customWidth="1"/>
    <col min="8705" max="8705" width="6.140625" style="4" customWidth="1"/>
    <col min="8706" max="8706" width="11.85546875" style="4" customWidth="1"/>
    <col min="8707" max="8707" width="9.42578125" style="4" customWidth="1"/>
    <col min="8708" max="8708" width="14.7109375" style="4" customWidth="1"/>
    <col min="8709" max="8709" width="15.42578125" style="4" customWidth="1"/>
    <col min="8710" max="8710" width="12.28515625" style="4" customWidth="1"/>
    <col min="8711" max="8711" width="9.5703125" style="4" customWidth="1"/>
    <col min="8712" max="8712" width="12.28515625" style="4" customWidth="1"/>
    <col min="8713" max="8713" width="12.5703125" style="4" customWidth="1"/>
    <col min="8714" max="8714" width="10.5703125" style="4" customWidth="1"/>
    <col min="8715" max="8715" width="10.140625" style="4" customWidth="1"/>
    <col min="8716" max="8716" width="8.42578125" style="4" customWidth="1"/>
    <col min="8717" max="8717" width="18.85546875" style="4" customWidth="1"/>
    <col min="8718" max="8718" width="9.7109375" style="4" customWidth="1"/>
    <col min="8719" max="8719" width="11.42578125" style="4"/>
    <col min="8720" max="8720" width="12.140625" style="4" customWidth="1"/>
    <col min="8721" max="8721" width="10.5703125" style="4" customWidth="1"/>
    <col min="8722" max="8722" width="12.42578125" style="4" customWidth="1"/>
    <col min="8723" max="8723" width="15.140625" style="4" customWidth="1"/>
    <col min="8724" max="8724" width="13.5703125" style="4" customWidth="1"/>
    <col min="8725" max="8725" width="13.140625" style="4" customWidth="1"/>
    <col min="8726" max="8726" width="15.7109375" style="4" customWidth="1"/>
    <col min="8727" max="8727" width="28.7109375" style="4" bestFit="1" customWidth="1"/>
    <col min="8728" max="8728" width="15.5703125" style="4" customWidth="1"/>
    <col min="8729" max="8729" width="21.140625" style="4" customWidth="1"/>
    <col min="8730" max="8730" width="12.7109375" style="4" bestFit="1" customWidth="1"/>
    <col min="8731" max="8955" width="11.42578125" style="4"/>
    <col min="8956" max="8956" width="10.5703125" style="4" customWidth="1"/>
    <col min="8957" max="8957" width="4.85546875" style="4" customWidth="1"/>
    <col min="8958" max="8958" width="29.5703125" style="4" customWidth="1"/>
    <col min="8959" max="8959" width="9.85546875" style="4" customWidth="1"/>
    <col min="8960" max="8960" width="11.85546875" style="4" customWidth="1"/>
    <col min="8961" max="8961" width="6.140625" style="4" customWidth="1"/>
    <col min="8962" max="8962" width="11.85546875" style="4" customWidth="1"/>
    <col min="8963" max="8963" width="9.42578125" style="4" customWidth="1"/>
    <col min="8964" max="8964" width="14.7109375" style="4" customWidth="1"/>
    <col min="8965" max="8965" width="15.42578125" style="4" customWidth="1"/>
    <col min="8966" max="8966" width="12.28515625" style="4" customWidth="1"/>
    <col min="8967" max="8967" width="9.5703125" style="4" customWidth="1"/>
    <col min="8968" max="8968" width="12.28515625" style="4" customWidth="1"/>
    <col min="8969" max="8969" width="12.5703125" style="4" customWidth="1"/>
    <col min="8970" max="8970" width="10.5703125" style="4" customWidth="1"/>
    <col min="8971" max="8971" width="10.140625" style="4" customWidth="1"/>
    <col min="8972" max="8972" width="8.42578125" style="4" customWidth="1"/>
    <col min="8973" max="8973" width="18.85546875" style="4" customWidth="1"/>
    <col min="8974" max="8974" width="9.7109375" style="4" customWidth="1"/>
    <col min="8975" max="8975" width="11.42578125" style="4"/>
    <col min="8976" max="8976" width="12.140625" style="4" customWidth="1"/>
    <col min="8977" max="8977" width="10.5703125" style="4" customWidth="1"/>
    <col min="8978" max="8978" width="12.42578125" style="4" customWidth="1"/>
    <col min="8979" max="8979" width="15.140625" style="4" customWidth="1"/>
    <col min="8980" max="8980" width="13.5703125" style="4" customWidth="1"/>
    <col min="8981" max="8981" width="13.140625" style="4" customWidth="1"/>
    <col min="8982" max="8982" width="15.7109375" style="4" customWidth="1"/>
    <col min="8983" max="8983" width="28.7109375" style="4" bestFit="1" customWidth="1"/>
    <col min="8984" max="8984" width="15.5703125" style="4" customWidth="1"/>
    <col min="8985" max="8985" width="21.140625" style="4" customWidth="1"/>
    <col min="8986" max="8986" width="12.7109375" style="4" bestFit="1" customWidth="1"/>
    <col min="8987" max="9211" width="11.42578125" style="4"/>
    <col min="9212" max="9212" width="10.5703125" style="4" customWidth="1"/>
    <col min="9213" max="9213" width="4.85546875" style="4" customWidth="1"/>
    <col min="9214" max="9214" width="29.5703125" style="4" customWidth="1"/>
    <col min="9215" max="9215" width="9.85546875" style="4" customWidth="1"/>
    <col min="9216" max="9216" width="11.85546875" style="4" customWidth="1"/>
    <col min="9217" max="9217" width="6.140625" style="4" customWidth="1"/>
    <col min="9218" max="9218" width="11.85546875" style="4" customWidth="1"/>
    <col min="9219" max="9219" width="9.42578125" style="4" customWidth="1"/>
    <col min="9220" max="9220" width="14.7109375" style="4" customWidth="1"/>
    <col min="9221" max="9221" width="15.42578125" style="4" customWidth="1"/>
    <col min="9222" max="9222" width="12.28515625" style="4" customWidth="1"/>
    <col min="9223" max="9223" width="9.5703125" style="4" customWidth="1"/>
    <col min="9224" max="9224" width="12.28515625" style="4" customWidth="1"/>
    <col min="9225" max="9225" width="12.5703125" style="4" customWidth="1"/>
    <col min="9226" max="9226" width="10.5703125" style="4" customWidth="1"/>
    <col min="9227" max="9227" width="10.140625" style="4" customWidth="1"/>
    <col min="9228" max="9228" width="8.42578125" style="4" customWidth="1"/>
    <col min="9229" max="9229" width="18.85546875" style="4" customWidth="1"/>
    <col min="9230" max="9230" width="9.7109375" style="4" customWidth="1"/>
    <col min="9231" max="9231" width="11.42578125" style="4"/>
    <col min="9232" max="9232" width="12.140625" style="4" customWidth="1"/>
    <col min="9233" max="9233" width="10.5703125" style="4" customWidth="1"/>
    <col min="9234" max="9234" width="12.42578125" style="4" customWidth="1"/>
    <col min="9235" max="9235" width="15.140625" style="4" customWidth="1"/>
    <col min="9236" max="9236" width="13.5703125" style="4" customWidth="1"/>
    <col min="9237" max="9237" width="13.140625" style="4" customWidth="1"/>
    <col min="9238" max="9238" width="15.7109375" style="4" customWidth="1"/>
    <col min="9239" max="9239" width="28.7109375" style="4" bestFit="1" customWidth="1"/>
    <col min="9240" max="9240" width="15.5703125" style="4" customWidth="1"/>
    <col min="9241" max="9241" width="21.140625" style="4" customWidth="1"/>
    <col min="9242" max="9242" width="12.7109375" style="4" bestFit="1" customWidth="1"/>
    <col min="9243" max="9467" width="11.42578125" style="4"/>
    <col min="9468" max="9468" width="10.5703125" style="4" customWidth="1"/>
    <col min="9469" max="9469" width="4.85546875" style="4" customWidth="1"/>
    <col min="9470" max="9470" width="29.5703125" style="4" customWidth="1"/>
    <col min="9471" max="9471" width="9.85546875" style="4" customWidth="1"/>
    <col min="9472" max="9472" width="11.85546875" style="4" customWidth="1"/>
    <col min="9473" max="9473" width="6.140625" style="4" customWidth="1"/>
    <col min="9474" max="9474" width="11.85546875" style="4" customWidth="1"/>
    <col min="9475" max="9475" width="9.42578125" style="4" customWidth="1"/>
    <col min="9476" max="9476" width="14.7109375" style="4" customWidth="1"/>
    <col min="9477" max="9477" width="15.42578125" style="4" customWidth="1"/>
    <col min="9478" max="9478" width="12.28515625" style="4" customWidth="1"/>
    <col min="9479" max="9479" width="9.5703125" style="4" customWidth="1"/>
    <col min="9480" max="9480" width="12.28515625" style="4" customWidth="1"/>
    <col min="9481" max="9481" width="12.5703125" style="4" customWidth="1"/>
    <col min="9482" max="9482" width="10.5703125" style="4" customWidth="1"/>
    <col min="9483" max="9483" width="10.140625" style="4" customWidth="1"/>
    <col min="9484" max="9484" width="8.42578125" style="4" customWidth="1"/>
    <col min="9485" max="9485" width="18.85546875" style="4" customWidth="1"/>
    <col min="9486" max="9486" width="9.7109375" style="4" customWidth="1"/>
    <col min="9487" max="9487" width="11.42578125" style="4"/>
    <col min="9488" max="9488" width="12.140625" style="4" customWidth="1"/>
    <col min="9489" max="9489" width="10.5703125" style="4" customWidth="1"/>
    <col min="9490" max="9490" width="12.42578125" style="4" customWidth="1"/>
    <col min="9491" max="9491" width="15.140625" style="4" customWidth="1"/>
    <col min="9492" max="9492" width="13.5703125" style="4" customWidth="1"/>
    <col min="9493" max="9493" width="13.140625" style="4" customWidth="1"/>
    <col min="9494" max="9494" width="15.7109375" style="4" customWidth="1"/>
    <col min="9495" max="9495" width="28.7109375" style="4" bestFit="1" customWidth="1"/>
    <col min="9496" max="9496" width="15.5703125" style="4" customWidth="1"/>
    <col min="9497" max="9497" width="21.140625" style="4" customWidth="1"/>
    <col min="9498" max="9498" width="12.7109375" style="4" bestFit="1" customWidth="1"/>
    <col min="9499" max="9723" width="11.42578125" style="4"/>
    <col min="9724" max="9724" width="10.5703125" style="4" customWidth="1"/>
    <col min="9725" max="9725" width="4.85546875" style="4" customWidth="1"/>
    <col min="9726" max="9726" width="29.5703125" style="4" customWidth="1"/>
    <col min="9727" max="9727" width="9.85546875" style="4" customWidth="1"/>
    <col min="9728" max="9728" width="11.85546875" style="4" customWidth="1"/>
    <col min="9729" max="9729" width="6.140625" style="4" customWidth="1"/>
    <col min="9730" max="9730" width="11.85546875" style="4" customWidth="1"/>
    <col min="9731" max="9731" width="9.42578125" style="4" customWidth="1"/>
    <col min="9732" max="9732" width="14.7109375" style="4" customWidth="1"/>
    <col min="9733" max="9733" width="15.42578125" style="4" customWidth="1"/>
    <col min="9734" max="9734" width="12.28515625" style="4" customWidth="1"/>
    <col min="9735" max="9735" width="9.5703125" style="4" customWidth="1"/>
    <col min="9736" max="9736" width="12.28515625" style="4" customWidth="1"/>
    <col min="9737" max="9737" width="12.5703125" style="4" customWidth="1"/>
    <col min="9738" max="9738" width="10.5703125" style="4" customWidth="1"/>
    <col min="9739" max="9739" width="10.140625" style="4" customWidth="1"/>
    <col min="9740" max="9740" width="8.42578125" style="4" customWidth="1"/>
    <col min="9741" max="9741" width="18.85546875" style="4" customWidth="1"/>
    <col min="9742" max="9742" width="9.7109375" style="4" customWidth="1"/>
    <col min="9743" max="9743" width="11.42578125" style="4"/>
    <col min="9744" max="9744" width="12.140625" style="4" customWidth="1"/>
    <col min="9745" max="9745" width="10.5703125" style="4" customWidth="1"/>
    <col min="9746" max="9746" width="12.42578125" style="4" customWidth="1"/>
    <col min="9747" max="9747" width="15.140625" style="4" customWidth="1"/>
    <col min="9748" max="9748" width="13.5703125" style="4" customWidth="1"/>
    <col min="9749" max="9749" width="13.140625" style="4" customWidth="1"/>
    <col min="9750" max="9750" width="15.7109375" style="4" customWidth="1"/>
    <col min="9751" max="9751" width="28.7109375" style="4" bestFit="1" customWidth="1"/>
    <col min="9752" max="9752" width="15.5703125" style="4" customWidth="1"/>
    <col min="9753" max="9753" width="21.140625" style="4" customWidth="1"/>
    <col min="9754" max="9754" width="12.7109375" style="4" bestFit="1" customWidth="1"/>
    <col min="9755" max="9979" width="11.42578125" style="4"/>
    <col min="9980" max="9980" width="10.5703125" style="4" customWidth="1"/>
    <col min="9981" max="9981" width="4.85546875" style="4" customWidth="1"/>
    <col min="9982" max="9982" width="29.5703125" style="4" customWidth="1"/>
    <col min="9983" max="9983" width="9.85546875" style="4" customWidth="1"/>
    <col min="9984" max="9984" width="11.85546875" style="4" customWidth="1"/>
    <col min="9985" max="9985" width="6.140625" style="4" customWidth="1"/>
    <col min="9986" max="9986" width="11.85546875" style="4" customWidth="1"/>
    <col min="9987" max="9987" width="9.42578125" style="4" customWidth="1"/>
    <col min="9988" max="9988" width="14.7109375" style="4" customWidth="1"/>
    <col min="9989" max="9989" width="15.42578125" style="4" customWidth="1"/>
    <col min="9990" max="9990" width="12.28515625" style="4" customWidth="1"/>
    <col min="9991" max="9991" width="9.5703125" style="4" customWidth="1"/>
    <col min="9992" max="9992" width="12.28515625" style="4" customWidth="1"/>
    <col min="9993" max="9993" width="12.5703125" style="4" customWidth="1"/>
    <col min="9994" max="9994" width="10.5703125" style="4" customWidth="1"/>
    <col min="9995" max="9995" width="10.140625" style="4" customWidth="1"/>
    <col min="9996" max="9996" width="8.42578125" style="4" customWidth="1"/>
    <col min="9997" max="9997" width="18.85546875" style="4" customWidth="1"/>
    <col min="9998" max="9998" width="9.7109375" style="4" customWidth="1"/>
    <col min="9999" max="9999" width="11.42578125" style="4"/>
    <col min="10000" max="10000" width="12.140625" style="4" customWidth="1"/>
    <col min="10001" max="10001" width="10.5703125" style="4" customWidth="1"/>
    <col min="10002" max="10002" width="12.42578125" style="4" customWidth="1"/>
    <col min="10003" max="10003" width="15.140625" style="4" customWidth="1"/>
    <col min="10004" max="10004" width="13.5703125" style="4" customWidth="1"/>
    <col min="10005" max="10005" width="13.140625" style="4" customWidth="1"/>
    <col min="10006" max="10006" width="15.7109375" style="4" customWidth="1"/>
    <col min="10007" max="10007" width="28.7109375" style="4" bestFit="1" customWidth="1"/>
    <col min="10008" max="10008" width="15.5703125" style="4" customWidth="1"/>
    <col min="10009" max="10009" width="21.140625" style="4" customWidth="1"/>
    <col min="10010" max="10010" width="12.7109375" style="4" bestFit="1" customWidth="1"/>
    <col min="10011" max="10235" width="11.42578125" style="4"/>
    <col min="10236" max="10236" width="10.5703125" style="4" customWidth="1"/>
    <col min="10237" max="10237" width="4.85546875" style="4" customWidth="1"/>
    <col min="10238" max="10238" width="29.5703125" style="4" customWidth="1"/>
    <col min="10239" max="10239" width="9.85546875" style="4" customWidth="1"/>
    <col min="10240" max="10240" width="11.85546875" style="4" customWidth="1"/>
    <col min="10241" max="10241" width="6.140625" style="4" customWidth="1"/>
    <col min="10242" max="10242" width="11.85546875" style="4" customWidth="1"/>
    <col min="10243" max="10243" width="9.42578125" style="4" customWidth="1"/>
    <col min="10244" max="10244" width="14.7109375" style="4" customWidth="1"/>
    <col min="10245" max="10245" width="15.42578125" style="4" customWidth="1"/>
    <col min="10246" max="10246" width="12.28515625" style="4" customWidth="1"/>
    <col min="10247" max="10247" width="9.5703125" style="4" customWidth="1"/>
    <col min="10248" max="10248" width="12.28515625" style="4" customWidth="1"/>
    <col min="10249" max="10249" width="12.5703125" style="4" customWidth="1"/>
    <col min="10250" max="10250" width="10.5703125" style="4" customWidth="1"/>
    <col min="10251" max="10251" width="10.140625" style="4" customWidth="1"/>
    <col min="10252" max="10252" width="8.42578125" style="4" customWidth="1"/>
    <col min="10253" max="10253" width="18.85546875" style="4" customWidth="1"/>
    <col min="10254" max="10254" width="9.7109375" style="4" customWidth="1"/>
    <col min="10255" max="10255" width="11.42578125" style="4"/>
    <col min="10256" max="10256" width="12.140625" style="4" customWidth="1"/>
    <col min="10257" max="10257" width="10.5703125" style="4" customWidth="1"/>
    <col min="10258" max="10258" width="12.42578125" style="4" customWidth="1"/>
    <col min="10259" max="10259" width="15.140625" style="4" customWidth="1"/>
    <col min="10260" max="10260" width="13.5703125" style="4" customWidth="1"/>
    <col min="10261" max="10261" width="13.140625" style="4" customWidth="1"/>
    <col min="10262" max="10262" width="15.7109375" style="4" customWidth="1"/>
    <col min="10263" max="10263" width="28.7109375" style="4" bestFit="1" customWidth="1"/>
    <col min="10264" max="10264" width="15.5703125" style="4" customWidth="1"/>
    <col min="10265" max="10265" width="21.140625" style="4" customWidth="1"/>
    <col min="10266" max="10266" width="12.7109375" style="4" bestFit="1" customWidth="1"/>
    <col min="10267" max="10491" width="11.42578125" style="4"/>
    <col min="10492" max="10492" width="10.5703125" style="4" customWidth="1"/>
    <col min="10493" max="10493" width="4.85546875" style="4" customWidth="1"/>
    <col min="10494" max="10494" width="29.5703125" style="4" customWidth="1"/>
    <col min="10495" max="10495" width="9.85546875" style="4" customWidth="1"/>
    <col min="10496" max="10496" width="11.85546875" style="4" customWidth="1"/>
    <col min="10497" max="10497" width="6.140625" style="4" customWidth="1"/>
    <col min="10498" max="10498" width="11.85546875" style="4" customWidth="1"/>
    <col min="10499" max="10499" width="9.42578125" style="4" customWidth="1"/>
    <col min="10500" max="10500" width="14.7109375" style="4" customWidth="1"/>
    <col min="10501" max="10501" width="15.42578125" style="4" customWidth="1"/>
    <col min="10502" max="10502" width="12.28515625" style="4" customWidth="1"/>
    <col min="10503" max="10503" width="9.5703125" style="4" customWidth="1"/>
    <col min="10504" max="10504" width="12.28515625" style="4" customWidth="1"/>
    <col min="10505" max="10505" width="12.5703125" style="4" customWidth="1"/>
    <col min="10506" max="10506" width="10.5703125" style="4" customWidth="1"/>
    <col min="10507" max="10507" width="10.140625" style="4" customWidth="1"/>
    <col min="10508" max="10508" width="8.42578125" style="4" customWidth="1"/>
    <col min="10509" max="10509" width="18.85546875" style="4" customWidth="1"/>
    <col min="10510" max="10510" width="9.7109375" style="4" customWidth="1"/>
    <col min="10511" max="10511" width="11.42578125" style="4"/>
    <col min="10512" max="10512" width="12.140625" style="4" customWidth="1"/>
    <col min="10513" max="10513" width="10.5703125" style="4" customWidth="1"/>
    <col min="10514" max="10514" width="12.42578125" style="4" customWidth="1"/>
    <col min="10515" max="10515" width="15.140625" style="4" customWidth="1"/>
    <col min="10516" max="10516" width="13.5703125" style="4" customWidth="1"/>
    <col min="10517" max="10517" width="13.140625" style="4" customWidth="1"/>
    <col min="10518" max="10518" width="15.7109375" style="4" customWidth="1"/>
    <col min="10519" max="10519" width="28.7109375" style="4" bestFit="1" customWidth="1"/>
    <col min="10520" max="10520" width="15.5703125" style="4" customWidth="1"/>
    <col min="10521" max="10521" width="21.140625" style="4" customWidth="1"/>
    <col min="10522" max="10522" width="12.7109375" style="4" bestFit="1" customWidth="1"/>
    <col min="10523" max="10747" width="11.42578125" style="4"/>
    <col min="10748" max="10748" width="10.5703125" style="4" customWidth="1"/>
    <col min="10749" max="10749" width="4.85546875" style="4" customWidth="1"/>
    <col min="10750" max="10750" width="29.5703125" style="4" customWidth="1"/>
    <col min="10751" max="10751" width="9.85546875" style="4" customWidth="1"/>
    <col min="10752" max="10752" width="11.85546875" style="4" customWidth="1"/>
    <col min="10753" max="10753" width="6.140625" style="4" customWidth="1"/>
    <col min="10754" max="10754" width="11.85546875" style="4" customWidth="1"/>
    <col min="10755" max="10755" width="9.42578125" style="4" customWidth="1"/>
    <col min="10756" max="10756" width="14.7109375" style="4" customWidth="1"/>
    <col min="10757" max="10757" width="15.42578125" style="4" customWidth="1"/>
    <col min="10758" max="10758" width="12.28515625" style="4" customWidth="1"/>
    <col min="10759" max="10759" width="9.5703125" style="4" customWidth="1"/>
    <col min="10760" max="10760" width="12.28515625" style="4" customWidth="1"/>
    <col min="10761" max="10761" width="12.5703125" style="4" customWidth="1"/>
    <col min="10762" max="10762" width="10.5703125" style="4" customWidth="1"/>
    <col min="10763" max="10763" width="10.140625" style="4" customWidth="1"/>
    <col min="10764" max="10764" width="8.42578125" style="4" customWidth="1"/>
    <col min="10765" max="10765" width="18.85546875" style="4" customWidth="1"/>
    <col min="10766" max="10766" width="9.7109375" style="4" customWidth="1"/>
    <col min="10767" max="10767" width="11.42578125" style="4"/>
    <col min="10768" max="10768" width="12.140625" style="4" customWidth="1"/>
    <col min="10769" max="10769" width="10.5703125" style="4" customWidth="1"/>
    <col min="10770" max="10770" width="12.42578125" style="4" customWidth="1"/>
    <col min="10771" max="10771" width="15.140625" style="4" customWidth="1"/>
    <col min="10772" max="10772" width="13.5703125" style="4" customWidth="1"/>
    <col min="10773" max="10773" width="13.140625" style="4" customWidth="1"/>
    <col min="10774" max="10774" width="15.7109375" style="4" customWidth="1"/>
    <col min="10775" max="10775" width="28.7109375" style="4" bestFit="1" customWidth="1"/>
    <col min="10776" max="10776" width="15.5703125" style="4" customWidth="1"/>
    <col min="10777" max="10777" width="21.140625" style="4" customWidth="1"/>
    <col min="10778" max="10778" width="12.7109375" style="4" bestFit="1" customWidth="1"/>
    <col min="10779" max="11003" width="11.42578125" style="4"/>
    <col min="11004" max="11004" width="10.5703125" style="4" customWidth="1"/>
    <col min="11005" max="11005" width="4.85546875" style="4" customWidth="1"/>
    <col min="11006" max="11006" width="29.5703125" style="4" customWidth="1"/>
    <col min="11007" max="11007" width="9.85546875" style="4" customWidth="1"/>
    <col min="11008" max="11008" width="11.85546875" style="4" customWidth="1"/>
    <col min="11009" max="11009" width="6.140625" style="4" customWidth="1"/>
    <col min="11010" max="11010" width="11.85546875" style="4" customWidth="1"/>
    <col min="11011" max="11011" width="9.42578125" style="4" customWidth="1"/>
    <col min="11012" max="11012" width="14.7109375" style="4" customWidth="1"/>
    <col min="11013" max="11013" width="15.42578125" style="4" customWidth="1"/>
    <col min="11014" max="11014" width="12.28515625" style="4" customWidth="1"/>
    <col min="11015" max="11015" width="9.5703125" style="4" customWidth="1"/>
    <col min="11016" max="11016" width="12.28515625" style="4" customWidth="1"/>
    <col min="11017" max="11017" width="12.5703125" style="4" customWidth="1"/>
    <col min="11018" max="11018" width="10.5703125" style="4" customWidth="1"/>
    <col min="11019" max="11019" width="10.140625" style="4" customWidth="1"/>
    <col min="11020" max="11020" width="8.42578125" style="4" customWidth="1"/>
    <col min="11021" max="11021" width="18.85546875" style="4" customWidth="1"/>
    <col min="11022" max="11022" width="9.7109375" style="4" customWidth="1"/>
    <col min="11023" max="11023" width="11.42578125" style="4"/>
    <col min="11024" max="11024" width="12.140625" style="4" customWidth="1"/>
    <col min="11025" max="11025" width="10.5703125" style="4" customWidth="1"/>
    <col min="11026" max="11026" width="12.42578125" style="4" customWidth="1"/>
    <col min="11027" max="11027" width="15.140625" style="4" customWidth="1"/>
    <col min="11028" max="11028" width="13.5703125" style="4" customWidth="1"/>
    <col min="11029" max="11029" width="13.140625" style="4" customWidth="1"/>
    <col min="11030" max="11030" width="15.7109375" style="4" customWidth="1"/>
    <col min="11031" max="11031" width="28.7109375" style="4" bestFit="1" customWidth="1"/>
    <col min="11032" max="11032" width="15.5703125" style="4" customWidth="1"/>
    <col min="11033" max="11033" width="21.140625" style="4" customWidth="1"/>
    <col min="11034" max="11034" width="12.7109375" style="4" bestFit="1" customWidth="1"/>
    <col min="11035" max="11259" width="11.42578125" style="4"/>
    <col min="11260" max="11260" width="10.5703125" style="4" customWidth="1"/>
    <col min="11261" max="11261" width="4.85546875" style="4" customWidth="1"/>
    <col min="11262" max="11262" width="29.5703125" style="4" customWidth="1"/>
    <col min="11263" max="11263" width="9.85546875" style="4" customWidth="1"/>
    <col min="11264" max="11264" width="11.85546875" style="4" customWidth="1"/>
    <col min="11265" max="11265" width="6.140625" style="4" customWidth="1"/>
    <col min="11266" max="11266" width="11.85546875" style="4" customWidth="1"/>
    <col min="11267" max="11267" width="9.42578125" style="4" customWidth="1"/>
    <col min="11268" max="11268" width="14.7109375" style="4" customWidth="1"/>
    <col min="11269" max="11269" width="15.42578125" style="4" customWidth="1"/>
    <col min="11270" max="11270" width="12.28515625" style="4" customWidth="1"/>
    <col min="11271" max="11271" width="9.5703125" style="4" customWidth="1"/>
    <col min="11272" max="11272" width="12.28515625" style="4" customWidth="1"/>
    <col min="11273" max="11273" width="12.5703125" style="4" customWidth="1"/>
    <col min="11274" max="11274" width="10.5703125" style="4" customWidth="1"/>
    <col min="11275" max="11275" width="10.140625" style="4" customWidth="1"/>
    <col min="11276" max="11276" width="8.42578125" style="4" customWidth="1"/>
    <col min="11277" max="11277" width="18.85546875" style="4" customWidth="1"/>
    <col min="11278" max="11278" width="9.7109375" style="4" customWidth="1"/>
    <col min="11279" max="11279" width="11.42578125" style="4"/>
    <col min="11280" max="11280" width="12.140625" style="4" customWidth="1"/>
    <col min="11281" max="11281" width="10.5703125" style="4" customWidth="1"/>
    <col min="11282" max="11282" width="12.42578125" style="4" customWidth="1"/>
    <col min="11283" max="11283" width="15.140625" style="4" customWidth="1"/>
    <col min="11284" max="11284" width="13.5703125" style="4" customWidth="1"/>
    <col min="11285" max="11285" width="13.140625" style="4" customWidth="1"/>
    <col min="11286" max="11286" width="15.7109375" style="4" customWidth="1"/>
    <col min="11287" max="11287" width="28.7109375" style="4" bestFit="1" customWidth="1"/>
    <col min="11288" max="11288" width="15.5703125" style="4" customWidth="1"/>
    <col min="11289" max="11289" width="21.140625" style="4" customWidth="1"/>
    <col min="11290" max="11290" width="12.7109375" style="4" bestFit="1" customWidth="1"/>
    <col min="11291" max="11515" width="11.42578125" style="4"/>
    <col min="11516" max="11516" width="10.5703125" style="4" customWidth="1"/>
    <col min="11517" max="11517" width="4.85546875" style="4" customWidth="1"/>
    <col min="11518" max="11518" width="29.5703125" style="4" customWidth="1"/>
    <col min="11519" max="11519" width="9.85546875" style="4" customWidth="1"/>
    <col min="11520" max="11520" width="11.85546875" style="4" customWidth="1"/>
    <col min="11521" max="11521" width="6.140625" style="4" customWidth="1"/>
    <col min="11522" max="11522" width="11.85546875" style="4" customWidth="1"/>
    <col min="11523" max="11523" width="9.42578125" style="4" customWidth="1"/>
    <col min="11524" max="11524" width="14.7109375" style="4" customWidth="1"/>
    <col min="11525" max="11525" width="15.42578125" style="4" customWidth="1"/>
    <col min="11526" max="11526" width="12.28515625" style="4" customWidth="1"/>
    <col min="11527" max="11527" width="9.5703125" style="4" customWidth="1"/>
    <col min="11528" max="11528" width="12.28515625" style="4" customWidth="1"/>
    <col min="11529" max="11529" width="12.5703125" style="4" customWidth="1"/>
    <col min="11530" max="11530" width="10.5703125" style="4" customWidth="1"/>
    <col min="11531" max="11531" width="10.140625" style="4" customWidth="1"/>
    <col min="11532" max="11532" width="8.42578125" style="4" customWidth="1"/>
    <col min="11533" max="11533" width="18.85546875" style="4" customWidth="1"/>
    <col min="11534" max="11534" width="9.7109375" style="4" customWidth="1"/>
    <col min="11535" max="11535" width="11.42578125" style="4"/>
    <col min="11536" max="11536" width="12.140625" style="4" customWidth="1"/>
    <col min="11537" max="11537" width="10.5703125" style="4" customWidth="1"/>
    <col min="11538" max="11538" width="12.42578125" style="4" customWidth="1"/>
    <col min="11539" max="11539" width="15.140625" style="4" customWidth="1"/>
    <col min="11540" max="11540" width="13.5703125" style="4" customWidth="1"/>
    <col min="11541" max="11541" width="13.140625" style="4" customWidth="1"/>
    <col min="11542" max="11542" width="15.7109375" style="4" customWidth="1"/>
    <col min="11543" max="11543" width="28.7109375" style="4" bestFit="1" customWidth="1"/>
    <col min="11544" max="11544" width="15.5703125" style="4" customWidth="1"/>
    <col min="11545" max="11545" width="21.140625" style="4" customWidth="1"/>
    <col min="11546" max="11546" width="12.7109375" style="4" bestFit="1" customWidth="1"/>
    <col min="11547" max="11771" width="11.42578125" style="4"/>
    <col min="11772" max="11772" width="10.5703125" style="4" customWidth="1"/>
    <col min="11773" max="11773" width="4.85546875" style="4" customWidth="1"/>
    <col min="11774" max="11774" width="29.5703125" style="4" customWidth="1"/>
    <col min="11775" max="11775" width="9.85546875" style="4" customWidth="1"/>
    <col min="11776" max="11776" width="11.85546875" style="4" customWidth="1"/>
    <col min="11777" max="11777" width="6.140625" style="4" customWidth="1"/>
    <col min="11778" max="11778" width="11.85546875" style="4" customWidth="1"/>
    <col min="11779" max="11779" width="9.42578125" style="4" customWidth="1"/>
    <col min="11780" max="11780" width="14.7109375" style="4" customWidth="1"/>
    <col min="11781" max="11781" width="15.42578125" style="4" customWidth="1"/>
    <col min="11782" max="11782" width="12.28515625" style="4" customWidth="1"/>
    <col min="11783" max="11783" width="9.5703125" style="4" customWidth="1"/>
    <col min="11784" max="11784" width="12.28515625" style="4" customWidth="1"/>
    <col min="11785" max="11785" width="12.5703125" style="4" customWidth="1"/>
    <col min="11786" max="11786" width="10.5703125" style="4" customWidth="1"/>
    <col min="11787" max="11787" width="10.140625" style="4" customWidth="1"/>
    <col min="11788" max="11788" width="8.42578125" style="4" customWidth="1"/>
    <col min="11789" max="11789" width="18.85546875" style="4" customWidth="1"/>
    <col min="11790" max="11790" width="9.7109375" style="4" customWidth="1"/>
    <col min="11791" max="11791" width="11.42578125" style="4"/>
    <col min="11792" max="11792" width="12.140625" style="4" customWidth="1"/>
    <col min="11793" max="11793" width="10.5703125" style="4" customWidth="1"/>
    <col min="11794" max="11794" width="12.42578125" style="4" customWidth="1"/>
    <col min="11795" max="11795" width="15.140625" style="4" customWidth="1"/>
    <col min="11796" max="11796" width="13.5703125" style="4" customWidth="1"/>
    <col min="11797" max="11797" width="13.140625" style="4" customWidth="1"/>
    <col min="11798" max="11798" width="15.7109375" style="4" customWidth="1"/>
    <col min="11799" max="11799" width="28.7109375" style="4" bestFit="1" customWidth="1"/>
    <col min="11800" max="11800" width="15.5703125" style="4" customWidth="1"/>
    <col min="11801" max="11801" width="21.140625" style="4" customWidth="1"/>
    <col min="11802" max="11802" width="12.7109375" style="4" bestFit="1" customWidth="1"/>
    <col min="11803" max="12027" width="11.42578125" style="4"/>
    <col min="12028" max="12028" width="10.5703125" style="4" customWidth="1"/>
    <col min="12029" max="12029" width="4.85546875" style="4" customWidth="1"/>
    <col min="12030" max="12030" width="29.5703125" style="4" customWidth="1"/>
    <col min="12031" max="12031" width="9.85546875" style="4" customWidth="1"/>
    <col min="12032" max="12032" width="11.85546875" style="4" customWidth="1"/>
    <col min="12033" max="12033" width="6.140625" style="4" customWidth="1"/>
    <col min="12034" max="12034" width="11.85546875" style="4" customWidth="1"/>
    <col min="12035" max="12035" width="9.42578125" style="4" customWidth="1"/>
    <col min="12036" max="12036" width="14.7109375" style="4" customWidth="1"/>
    <col min="12037" max="12037" width="15.42578125" style="4" customWidth="1"/>
    <col min="12038" max="12038" width="12.28515625" style="4" customWidth="1"/>
    <col min="12039" max="12039" width="9.5703125" style="4" customWidth="1"/>
    <col min="12040" max="12040" width="12.28515625" style="4" customWidth="1"/>
    <col min="12041" max="12041" width="12.5703125" style="4" customWidth="1"/>
    <col min="12042" max="12042" width="10.5703125" style="4" customWidth="1"/>
    <col min="12043" max="12043" width="10.140625" style="4" customWidth="1"/>
    <col min="12044" max="12044" width="8.42578125" style="4" customWidth="1"/>
    <col min="12045" max="12045" width="18.85546875" style="4" customWidth="1"/>
    <col min="12046" max="12046" width="9.7109375" style="4" customWidth="1"/>
    <col min="12047" max="12047" width="11.42578125" style="4"/>
    <col min="12048" max="12048" width="12.140625" style="4" customWidth="1"/>
    <col min="12049" max="12049" width="10.5703125" style="4" customWidth="1"/>
    <col min="12050" max="12050" width="12.42578125" style="4" customWidth="1"/>
    <col min="12051" max="12051" width="15.140625" style="4" customWidth="1"/>
    <col min="12052" max="12052" width="13.5703125" style="4" customWidth="1"/>
    <col min="12053" max="12053" width="13.140625" style="4" customWidth="1"/>
    <col min="12054" max="12054" width="15.7109375" style="4" customWidth="1"/>
    <col min="12055" max="12055" width="28.7109375" style="4" bestFit="1" customWidth="1"/>
    <col min="12056" max="12056" width="15.5703125" style="4" customWidth="1"/>
    <col min="12057" max="12057" width="21.140625" style="4" customWidth="1"/>
    <col min="12058" max="12058" width="12.7109375" style="4" bestFit="1" customWidth="1"/>
    <col min="12059" max="12283" width="11.42578125" style="4"/>
    <col min="12284" max="12284" width="10.5703125" style="4" customWidth="1"/>
    <col min="12285" max="12285" width="4.85546875" style="4" customWidth="1"/>
    <col min="12286" max="12286" width="29.5703125" style="4" customWidth="1"/>
    <col min="12287" max="12287" width="9.85546875" style="4" customWidth="1"/>
    <col min="12288" max="12288" width="11.85546875" style="4" customWidth="1"/>
    <col min="12289" max="12289" width="6.140625" style="4" customWidth="1"/>
    <col min="12290" max="12290" width="11.85546875" style="4" customWidth="1"/>
    <col min="12291" max="12291" width="9.42578125" style="4" customWidth="1"/>
    <col min="12292" max="12292" width="14.7109375" style="4" customWidth="1"/>
    <col min="12293" max="12293" width="15.42578125" style="4" customWidth="1"/>
    <col min="12294" max="12294" width="12.28515625" style="4" customWidth="1"/>
    <col min="12295" max="12295" width="9.5703125" style="4" customWidth="1"/>
    <col min="12296" max="12296" width="12.28515625" style="4" customWidth="1"/>
    <col min="12297" max="12297" width="12.5703125" style="4" customWidth="1"/>
    <col min="12298" max="12298" width="10.5703125" style="4" customWidth="1"/>
    <col min="12299" max="12299" width="10.140625" style="4" customWidth="1"/>
    <col min="12300" max="12300" width="8.42578125" style="4" customWidth="1"/>
    <col min="12301" max="12301" width="18.85546875" style="4" customWidth="1"/>
    <col min="12302" max="12302" width="9.7109375" style="4" customWidth="1"/>
    <col min="12303" max="12303" width="11.42578125" style="4"/>
    <col min="12304" max="12304" width="12.140625" style="4" customWidth="1"/>
    <col min="12305" max="12305" width="10.5703125" style="4" customWidth="1"/>
    <col min="12306" max="12306" width="12.42578125" style="4" customWidth="1"/>
    <col min="12307" max="12307" width="15.140625" style="4" customWidth="1"/>
    <col min="12308" max="12308" width="13.5703125" style="4" customWidth="1"/>
    <col min="12309" max="12309" width="13.140625" style="4" customWidth="1"/>
    <col min="12310" max="12310" width="15.7109375" style="4" customWidth="1"/>
    <col min="12311" max="12311" width="28.7109375" style="4" bestFit="1" customWidth="1"/>
    <col min="12312" max="12312" width="15.5703125" style="4" customWidth="1"/>
    <col min="12313" max="12313" width="21.140625" style="4" customWidth="1"/>
    <col min="12314" max="12314" width="12.7109375" style="4" bestFit="1" customWidth="1"/>
    <col min="12315" max="12539" width="11.42578125" style="4"/>
    <col min="12540" max="12540" width="10.5703125" style="4" customWidth="1"/>
    <col min="12541" max="12541" width="4.85546875" style="4" customWidth="1"/>
    <col min="12542" max="12542" width="29.5703125" style="4" customWidth="1"/>
    <col min="12543" max="12543" width="9.85546875" style="4" customWidth="1"/>
    <col min="12544" max="12544" width="11.85546875" style="4" customWidth="1"/>
    <col min="12545" max="12545" width="6.140625" style="4" customWidth="1"/>
    <col min="12546" max="12546" width="11.85546875" style="4" customWidth="1"/>
    <col min="12547" max="12547" width="9.42578125" style="4" customWidth="1"/>
    <col min="12548" max="12548" width="14.7109375" style="4" customWidth="1"/>
    <col min="12549" max="12549" width="15.42578125" style="4" customWidth="1"/>
    <col min="12550" max="12550" width="12.28515625" style="4" customWidth="1"/>
    <col min="12551" max="12551" width="9.5703125" style="4" customWidth="1"/>
    <col min="12552" max="12552" width="12.28515625" style="4" customWidth="1"/>
    <col min="12553" max="12553" width="12.5703125" style="4" customWidth="1"/>
    <col min="12554" max="12554" width="10.5703125" style="4" customWidth="1"/>
    <col min="12555" max="12555" width="10.140625" style="4" customWidth="1"/>
    <col min="12556" max="12556" width="8.42578125" style="4" customWidth="1"/>
    <col min="12557" max="12557" width="18.85546875" style="4" customWidth="1"/>
    <col min="12558" max="12558" width="9.7109375" style="4" customWidth="1"/>
    <col min="12559" max="12559" width="11.42578125" style="4"/>
    <col min="12560" max="12560" width="12.140625" style="4" customWidth="1"/>
    <col min="12561" max="12561" width="10.5703125" style="4" customWidth="1"/>
    <col min="12562" max="12562" width="12.42578125" style="4" customWidth="1"/>
    <col min="12563" max="12563" width="15.140625" style="4" customWidth="1"/>
    <col min="12564" max="12564" width="13.5703125" style="4" customWidth="1"/>
    <col min="12565" max="12565" width="13.140625" style="4" customWidth="1"/>
    <col min="12566" max="12566" width="15.7109375" style="4" customWidth="1"/>
    <col min="12567" max="12567" width="28.7109375" style="4" bestFit="1" customWidth="1"/>
    <col min="12568" max="12568" width="15.5703125" style="4" customWidth="1"/>
    <col min="12569" max="12569" width="21.140625" style="4" customWidth="1"/>
    <col min="12570" max="12570" width="12.7109375" style="4" bestFit="1" customWidth="1"/>
    <col min="12571" max="12795" width="11.42578125" style="4"/>
    <col min="12796" max="12796" width="10.5703125" style="4" customWidth="1"/>
    <col min="12797" max="12797" width="4.85546875" style="4" customWidth="1"/>
    <col min="12798" max="12798" width="29.5703125" style="4" customWidth="1"/>
    <col min="12799" max="12799" width="9.85546875" style="4" customWidth="1"/>
    <col min="12800" max="12800" width="11.85546875" style="4" customWidth="1"/>
    <col min="12801" max="12801" width="6.140625" style="4" customWidth="1"/>
    <col min="12802" max="12802" width="11.85546875" style="4" customWidth="1"/>
    <col min="12803" max="12803" width="9.42578125" style="4" customWidth="1"/>
    <col min="12804" max="12804" width="14.7109375" style="4" customWidth="1"/>
    <col min="12805" max="12805" width="15.42578125" style="4" customWidth="1"/>
    <col min="12806" max="12806" width="12.28515625" style="4" customWidth="1"/>
    <col min="12807" max="12807" width="9.5703125" style="4" customWidth="1"/>
    <col min="12808" max="12808" width="12.28515625" style="4" customWidth="1"/>
    <col min="12809" max="12809" width="12.5703125" style="4" customWidth="1"/>
    <col min="12810" max="12810" width="10.5703125" style="4" customWidth="1"/>
    <col min="12811" max="12811" width="10.140625" style="4" customWidth="1"/>
    <col min="12812" max="12812" width="8.42578125" style="4" customWidth="1"/>
    <col min="12813" max="12813" width="18.85546875" style="4" customWidth="1"/>
    <col min="12814" max="12814" width="9.7109375" style="4" customWidth="1"/>
    <col min="12815" max="12815" width="11.42578125" style="4"/>
    <col min="12816" max="12816" width="12.140625" style="4" customWidth="1"/>
    <col min="12817" max="12817" width="10.5703125" style="4" customWidth="1"/>
    <col min="12818" max="12818" width="12.42578125" style="4" customWidth="1"/>
    <col min="12819" max="12819" width="15.140625" style="4" customWidth="1"/>
    <col min="12820" max="12820" width="13.5703125" style="4" customWidth="1"/>
    <col min="12821" max="12821" width="13.140625" style="4" customWidth="1"/>
    <col min="12822" max="12822" width="15.7109375" style="4" customWidth="1"/>
    <col min="12823" max="12823" width="28.7109375" style="4" bestFit="1" customWidth="1"/>
    <col min="12824" max="12824" width="15.5703125" style="4" customWidth="1"/>
    <col min="12825" max="12825" width="21.140625" style="4" customWidth="1"/>
    <col min="12826" max="12826" width="12.7109375" style="4" bestFit="1" customWidth="1"/>
    <col min="12827" max="13051" width="11.42578125" style="4"/>
    <col min="13052" max="13052" width="10.5703125" style="4" customWidth="1"/>
    <col min="13053" max="13053" width="4.85546875" style="4" customWidth="1"/>
    <col min="13054" max="13054" width="29.5703125" style="4" customWidth="1"/>
    <col min="13055" max="13055" width="9.85546875" style="4" customWidth="1"/>
    <col min="13056" max="13056" width="11.85546875" style="4" customWidth="1"/>
    <col min="13057" max="13057" width="6.140625" style="4" customWidth="1"/>
    <col min="13058" max="13058" width="11.85546875" style="4" customWidth="1"/>
    <col min="13059" max="13059" width="9.42578125" style="4" customWidth="1"/>
    <col min="13060" max="13060" width="14.7109375" style="4" customWidth="1"/>
    <col min="13061" max="13061" width="15.42578125" style="4" customWidth="1"/>
    <col min="13062" max="13062" width="12.28515625" style="4" customWidth="1"/>
    <col min="13063" max="13063" width="9.5703125" style="4" customWidth="1"/>
    <col min="13064" max="13064" width="12.28515625" style="4" customWidth="1"/>
    <col min="13065" max="13065" width="12.5703125" style="4" customWidth="1"/>
    <col min="13066" max="13066" width="10.5703125" style="4" customWidth="1"/>
    <col min="13067" max="13067" width="10.140625" style="4" customWidth="1"/>
    <col min="13068" max="13068" width="8.42578125" style="4" customWidth="1"/>
    <col min="13069" max="13069" width="18.85546875" style="4" customWidth="1"/>
    <col min="13070" max="13070" width="9.7109375" style="4" customWidth="1"/>
    <col min="13071" max="13071" width="11.42578125" style="4"/>
    <col min="13072" max="13072" width="12.140625" style="4" customWidth="1"/>
    <col min="13073" max="13073" width="10.5703125" style="4" customWidth="1"/>
    <col min="13074" max="13074" width="12.42578125" style="4" customWidth="1"/>
    <col min="13075" max="13075" width="15.140625" style="4" customWidth="1"/>
    <col min="13076" max="13076" width="13.5703125" style="4" customWidth="1"/>
    <col min="13077" max="13077" width="13.140625" style="4" customWidth="1"/>
    <col min="13078" max="13078" width="15.7109375" style="4" customWidth="1"/>
    <col min="13079" max="13079" width="28.7109375" style="4" bestFit="1" customWidth="1"/>
    <col min="13080" max="13080" width="15.5703125" style="4" customWidth="1"/>
    <col min="13081" max="13081" width="21.140625" style="4" customWidth="1"/>
    <col min="13082" max="13082" width="12.7109375" style="4" bestFit="1" customWidth="1"/>
    <col min="13083" max="13307" width="11.42578125" style="4"/>
    <col min="13308" max="13308" width="10.5703125" style="4" customWidth="1"/>
    <col min="13309" max="13309" width="4.85546875" style="4" customWidth="1"/>
    <col min="13310" max="13310" width="29.5703125" style="4" customWidth="1"/>
    <col min="13311" max="13311" width="9.85546875" style="4" customWidth="1"/>
    <col min="13312" max="13312" width="11.85546875" style="4" customWidth="1"/>
    <col min="13313" max="13313" width="6.140625" style="4" customWidth="1"/>
    <col min="13314" max="13314" width="11.85546875" style="4" customWidth="1"/>
    <col min="13315" max="13315" width="9.42578125" style="4" customWidth="1"/>
    <col min="13316" max="13316" width="14.7109375" style="4" customWidth="1"/>
    <col min="13317" max="13317" width="15.42578125" style="4" customWidth="1"/>
    <col min="13318" max="13318" width="12.28515625" style="4" customWidth="1"/>
    <col min="13319" max="13319" width="9.5703125" style="4" customWidth="1"/>
    <col min="13320" max="13320" width="12.28515625" style="4" customWidth="1"/>
    <col min="13321" max="13321" width="12.5703125" style="4" customWidth="1"/>
    <col min="13322" max="13322" width="10.5703125" style="4" customWidth="1"/>
    <col min="13323" max="13323" width="10.140625" style="4" customWidth="1"/>
    <col min="13324" max="13324" width="8.42578125" style="4" customWidth="1"/>
    <col min="13325" max="13325" width="18.85546875" style="4" customWidth="1"/>
    <col min="13326" max="13326" width="9.7109375" style="4" customWidth="1"/>
    <col min="13327" max="13327" width="11.42578125" style="4"/>
    <col min="13328" max="13328" width="12.140625" style="4" customWidth="1"/>
    <col min="13329" max="13329" width="10.5703125" style="4" customWidth="1"/>
    <col min="13330" max="13330" width="12.42578125" style="4" customWidth="1"/>
    <col min="13331" max="13331" width="15.140625" style="4" customWidth="1"/>
    <col min="13332" max="13332" width="13.5703125" style="4" customWidth="1"/>
    <col min="13333" max="13333" width="13.140625" style="4" customWidth="1"/>
    <col min="13334" max="13334" width="15.7109375" style="4" customWidth="1"/>
    <col min="13335" max="13335" width="28.7109375" style="4" bestFit="1" customWidth="1"/>
    <col min="13336" max="13336" width="15.5703125" style="4" customWidth="1"/>
    <col min="13337" max="13337" width="21.140625" style="4" customWidth="1"/>
    <col min="13338" max="13338" width="12.7109375" style="4" bestFit="1" customWidth="1"/>
    <col min="13339" max="13563" width="11.42578125" style="4"/>
    <col min="13564" max="13564" width="10.5703125" style="4" customWidth="1"/>
    <col min="13565" max="13565" width="4.85546875" style="4" customWidth="1"/>
    <col min="13566" max="13566" width="29.5703125" style="4" customWidth="1"/>
    <col min="13567" max="13567" width="9.85546875" style="4" customWidth="1"/>
    <col min="13568" max="13568" width="11.85546875" style="4" customWidth="1"/>
    <col min="13569" max="13569" width="6.140625" style="4" customWidth="1"/>
    <col min="13570" max="13570" width="11.85546875" style="4" customWidth="1"/>
    <col min="13571" max="13571" width="9.42578125" style="4" customWidth="1"/>
    <col min="13572" max="13572" width="14.7109375" style="4" customWidth="1"/>
    <col min="13573" max="13573" width="15.42578125" style="4" customWidth="1"/>
    <col min="13574" max="13574" width="12.28515625" style="4" customWidth="1"/>
    <col min="13575" max="13575" width="9.5703125" style="4" customWidth="1"/>
    <col min="13576" max="13576" width="12.28515625" style="4" customWidth="1"/>
    <col min="13577" max="13577" width="12.5703125" style="4" customWidth="1"/>
    <col min="13578" max="13578" width="10.5703125" style="4" customWidth="1"/>
    <col min="13579" max="13579" width="10.140625" style="4" customWidth="1"/>
    <col min="13580" max="13580" width="8.42578125" style="4" customWidth="1"/>
    <col min="13581" max="13581" width="18.85546875" style="4" customWidth="1"/>
    <col min="13582" max="13582" width="9.7109375" style="4" customWidth="1"/>
    <col min="13583" max="13583" width="11.42578125" style="4"/>
    <col min="13584" max="13584" width="12.140625" style="4" customWidth="1"/>
    <col min="13585" max="13585" width="10.5703125" style="4" customWidth="1"/>
    <col min="13586" max="13586" width="12.42578125" style="4" customWidth="1"/>
    <col min="13587" max="13587" width="15.140625" style="4" customWidth="1"/>
    <col min="13588" max="13588" width="13.5703125" style="4" customWidth="1"/>
    <col min="13589" max="13589" width="13.140625" style="4" customWidth="1"/>
    <col min="13590" max="13590" width="15.7109375" style="4" customWidth="1"/>
    <col min="13591" max="13591" width="28.7109375" style="4" bestFit="1" customWidth="1"/>
    <col min="13592" max="13592" width="15.5703125" style="4" customWidth="1"/>
    <col min="13593" max="13593" width="21.140625" style="4" customWidth="1"/>
    <col min="13594" max="13594" width="12.7109375" style="4" bestFit="1" customWidth="1"/>
    <col min="13595" max="13819" width="11.42578125" style="4"/>
    <col min="13820" max="13820" width="10.5703125" style="4" customWidth="1"/>
    <col min="13821" max="13821" width="4.85546875" style="4" customWidth="1"/>
    <col min="13822" max="13822" width="29.5703125" style="4" customWidth="1"/>
    <col min="13823" max="13823" width="9.85546875" style="4" customWidth="1"/>
    <col min="13824" max="13824" width="11.85546875" style="4" customWidth="1"/>
    <col min="13825" max="13825" width="6.140625" style="4" customWidth="1"/>
    <col min="13826" max="13826" width="11.85546875" style="4" customWidth="1"/>
    <col min="13827" max="13827" width="9.42578125" style="4" customWidth="1"/>
    <col min="13828" max="13828" width="14.7109375" style="4" customWidth="1"/>
    <col min="13829" max="13829" width="15.42578125" style="4" customWidth="1"/>
    <col min="13830" max="13830" width="12.28515625" style="4" customWidth="1"/>
    <col min="13831" max="13831" width="9.5703125" style="4" customWidth="1"/>
    <col min="13832" max="13832" width="12.28515625" style="4" customWidth="1"/>
    <col min="13833" max="13833" width="12.5703125" style="4" customWidth="1"/>
    <col min="13834" max="13834" width="10.5703125" style="4" customWidth="1"/>
    <col min="13835" max="13835" width="10.140625" style="4" customWidth="1"/>
    <col min="13836" max="13836" width="8.42578125" style="4" customWidth="1"/>
    <col min="13837" max="13837" width="18.85546875" style="4" customWidth="1"/>
    <col min="13838" max="13838" width="9.7109375" style="4" customWidth="1"/>
    <col min="13839" max="13839" width="11.42578125" style="4"/>
    <col min="13840" max="13840" width="12.140625" style="4" customWidth="1"/>
    <col min="13841" max="13841" width="10.5703125" style="4" customWidth="1"/>
    <col min="13842" max="13842" width="12.42578125" style="4" customWidth="1"/>
    <col min="13843" max="13843" width="15.140625" style="4" customWidth="1"/>
    <col min="13844" max="13844" width="13.5703125" style="4" customWidth="1"/>
    <col min="13845" max="13845" width="13.140625" style="4" customWidth="1"/>
    <col min="13846" max="13846" width="15.7109375" style="4" customWidth="1"/>
    <col min="13847" max="13847" width="28.7109375" style="4" bestFit="1" customWidth="1"/>
    <col min="13848" max="13848" width="15.5703125" style="4" customWidth="1"/>
    <col min="13849" max="13849" width="21.140625" style="4" customWidth="1"/>
    <col min="13850" max="13850" width="12.7109375" style="4" bestFit="1" customWidth="1"/>
    <col min="13851" max="14075" width="11.42578125" style="4"/>
    <col min="14076" max="14076" width="10.5703125" style="4" customWidth="1"/>
    <col min="14077" max="14077" width="4.85546875" style="4" customWidth="1"/>
    <col min="14078" max="14078" width="29.5703125" style="4" customWidth="1"/>
    <col min="14079" max="14079" width="9.85546875" style="4" customWidth="1"/>
    <col min="14080" max="14080" width="11.85546875" style="4" customWidth="1"/>
    <col min="14081" max="14081" width="6.140625" style="4" customWidth="1"/>
    <col min="14082" max="14082" width="11.85546875" style="4" customWidth="1"/>
    <col min="14083" max="14083" width="9.42578125" style="4" customWidth="1"/>
    <col min="14084" max="14084" width="14.7109375" style="4" customWidth="1"/>
    <col min="14085" max="14085" width="15.42578125" style="4" customWidth="1"/>
    <col min="14086" max="14086" width="12.28515625" style="4" customWidth="1"/>
    <col min="14087" max="14087" width="9.5703125" style="4" customWidth="1"/>
    <col min="14088" max="14088" width="12.28515625" style="4" customWidth="1"/>
    <col min="14089" max="14089" width="12.5703125" style="4" customWidth="1"/>
    <col min="14090" max="14090" width="10.5703125" style="4" customWidth="1"/>
    <col min="14091" max="14091" width="10.140625" style="4" customWidth="1"/>
    <col min="14092" max="14092" width="8.42578125" style="4" customWidth="1"/>
    <col min="14093" max="14093" width="18.85546875" style="4" customWidth="1"/>
    <col min="14094" max="14094" width="9.7109375" style="4" customWidth="1"/>
    <col min="14095" max="14095" width="11.42578125" style="4"/>
    <col min="14096" max="14096" width="12.140625" style="4" customWidth="1"/>
    <col min="14097" max="14097" width="10.5703125" style="4" customWidth="1"/>
    <col min="14098" max="14098" width="12.42578125" style="4" customWidth="1"/>
    <col min="14099" max="14099" width="15.140625" style="4" customWidth="1"/>
    <col min="14100" max="14100" width="13.5703125" style="4" customWidth="1"/>
    <col min="14101" max="14101" width="13.140625" style="4" customWidth="1"/>
    <col min="14102" max="14102" width="15.7109375" style="4" customWidth="1"/>
    <col min="14103" max="14103" width="28.7109375" style="4" bestFit="1" customWidth="1"/>
    <col min="14104" max="14104" width="15.5703125" style="4" customWidth="1"/>
    <col min="14105" max="14105" width="21.140625" style="4" customWidth="1"/>
    <col min="14106" max="14106" width="12.7109375" style="4" bestFit="1" customWidth="1"/>
    <col min="14107" max="14331" width="11.42578125" style="4"/>
    <col min="14332" max="14332" width="10.5703125" style="4" customWidth="1"/>
    <col min="14333" max="14333" width="4.85546875" style="4" customWidth="1"/>
    <col min="14334" max="14334" width="29.5703125" style="4" customWidth="1"/>
    <col min="14335" max="14335" width="9.85546875" style="4" customWidth="1"/>
    <col min="14336" max="14336" width="11.85546875" style="4" customWidth="1"/>
    <col min="14337" max="14337" width="6.140625" style="4" customWidth="1"/>
    <col min="14338" max="14338" width="11.85546875" style="4" customWidth="1"/>
    <col min="14339" max="14339" width="9.42578125" style="4" customWidth="1"/>
    <col min="14340" max="14340" width="14.7109375" style="4" customWidth="1"/>
    <col min="14341" max="14341" width="15.42578125" style="4" customWidth="1"/>
    <col min="14342" max="14342" width="12.28515625" style="4" customWidth="1"/>
    <col min="14343" max="14343" width="9.5703125" style="4" customWidth="1"/>
    <col min="14344" max="14344" width="12.28515625" style="4" customWidth="1"/>
    <col min="14345" max="14345" width="12.5703125" style="4" customWidth="1"/>
    <col min="14346" max="14346" width="10.5703125" style="4" customWidth="1"/>
    <col min="14347" max="14347" width="10.140625" style="4" customWidth="1"/>
    <col min="14348" max="14348" width="8.42578125" style="4" customWidth="1"/>
    <col min="14349" max="14349" width="18.85546875" style="4" customWidth="1"/>
    <col min="14350" max="14350" width="9.7109375" style="4" customWidth="1"/>
    <col min="14351" max="14351" width="11.42578125" style="4"/>
    <col min="14352" max="14352" width="12.140625" style="4" customWidth="1"/>
    <col min="14353" max="14353" width="10.5703125" style="4" customWidth="1"/>
    <col min="14354" max="14354" width="12.42578125" style="4" customWidth="1"/>
    <col min="14355" max="14355" width="15.140625" style="4" customWidth="1"/>
    <col min="14356" max="14356" width="13.5703125" style="4" customWidth="1"/>
    <col min="14357" max="14357" width="13.140625" style="4" customWidth="1"/>
    <col min="14358" max="14358" width="15.7109375" style="4" customWidth="1"/>
    <col min="14359" max="14359" width="28.7109375" style="4" bestFit="1" customWidth="1"/>
    <col min="14360" max="14360" width="15.5703125" style="4" customWidth="1"/>
    <col min="14361" max="14361" width="21.140625" style="4" customWidth="1"/>
    <col min="14362" max="14362" width="12.7109375" style="4" bestFit="1" customWidth="1"/>
    <col min="14363" max="14587" width="11.42578125" style="4"/>
    <col min="14588" max="14588" width="10.5703125" style="4" customWidth="1"/>
    <col min="14589" max="14589" width="4.85546875" style="4" customWidth="1"/>
    <col min="14590" max="14590" width="29.5703125" style="4" customWidth="1"/>
    <col min="14591" max="14591" width="9.85546875" style="4" customWidth="1"/>
    <col min="14592" max="14592" width="11.85546875" style="4" customWidth="1"/>
    <col min="14593" max="14593" width="6.140625" style="4" customWidth="1"/>
    <col min="14594" max="14594" width="11.85546875" style="4" customWidth="1"/>
    <col min="14595" max="14595" width="9.42578125" style="4" customWidth="1"/>
    <col min="14596" max="14596" width="14.7109375" style="4" customWidth="1"/>
    <col min="14597" max="14597" width="15.42578125" style="4" customWidth="1"/>
    <col min="14598" max="14598" width="12.28515625" style="4" customWidth="1"/>
    <col min="14599" max="14599" width="9.5703125" style="4" customWidth="1"/>
    <col min="14600" max="14600" width="12.28515625" style="4" customWidth="1"/>
    <col min="14601" max="14601" width="12.5703125" style="4" customWidth="1"/>
    <col min="14602" max="14602" width="10.5703125" style="4" customWidth="1"/>
    <col min="14603" max="14603" width="10.140625" style="4" customWidth="1"/>
    <col min="14604" max="14604" width="8.42578125" style="4" customWidth="1"/>
    <col min="14605" max="14605" width="18.85546875" style="4" customWidth="1"/>
    <col min="14606" max="14606" width="9.7109375" style="4" customWidth="1"/>
    <col min="14607" max="14607" width="11.42578125" style="4"/>
    <col min="14608" max="14608" width="12.140625" style="4" customWidth="1"/>
    <col min="14609" max="14609" width="10.5703125" style="4" customWidth="1"/>
    <col min="14610" max="14610" width="12.42578125" style="4" customWidth="1"/>
    <col min="14611" max="14611" width="15.140625" style="4" customWidth="1"/>
    <col min="14612" max="14612" width="13.5703125" style="4" customWidth="1"/>
    <col min="14613" max="14613" width="13.140625" style="4" customWidth="1"/>
    <col min="14614" max="14614" width="15.7109375" style="4" customWidth="1"/>
    <col min="14615" max="14615" width="28.7109375" style="4" bestFit="1" customWidth="1"/>
    <col min="14616" max="14616" width="15.5703125" style="4" customWidth="1"/>
    <col min="14617" max="14617" width="21.140625" style="4" customWidth="1"/>
    <col min="14618" max="14618" width="12.7109375" style="4" bestFit="1" customWidth="1"/>
    <col min="14619" max="14843" width="11.42578125" style="4"/>
    <col min="14844" max="14844" width="10.5703125" style="4" customWidth="1"/>
    <col min="14845" max="14845" width="4.85546875" style="4" customWidth="1"/>
    <col min="14846" max="14846" width="29.5703125" style="4" customWidth="1"/>
    <col min="14847" max="14847" width="9.85546875" style="4" customWidth="1"/>
    <col min="14848" max="14848" width="11.85546875" style="4" customWidth="1"/>
    <col min="14849" max="14849" width="6.140625" style="4" customWidth="1"/>
    <col min="14850" max="14850" width="11.85546875" style="4" customWidth="1"/>
    <col min="14851" max="14851" width="9.42578125" style="4" customWidth="1"/>
    <col min="14852" max="14852" width="14.7109375" style="4" customWidth="1"/>
    <col min="14853" max="14853" width="15.42578125" style="4" customWidth="1"/>
    <col min="14854" max="14854" width="12.28515625" style="4" customWidth="1"/>
    <col min="14855" max="14855" width="9.5703125" style="4" customWidth="1"/>
    <col min="14856" max="14856" width="12.28515625" style="4" customWidth="1"/>
    <col min="14857" max="14857" width="12.5703125" style="4" customWidth="1"/>
    <col min="14858" max="14858" width="10.5703125" style="4" customWidth="1"/>
    <col min="14859" max="14859" width="10.140625" style="4" customWidth="1"/>
    <col min="14860" max="14860" width="8.42578125" style="4" customWidth="1"/>
    <col min="14861" max="14861" width="18.85546875" style="4" customWidth="1"/>
    <col min="14862" max="14862" width="9.7109375" style="4" customWidth="1"/>
    <col min="14863" max="14863" width="11.42578125" style="4"/>
    <col min="14864" max="14864" width="12.140625" style="4" customWidth="1"/>
    <col min="14865" max="14865" width="10.5703125" style="4" customWidth="1"/>
    <col min="14866" max="14866" width="12.42578125" style="4" customWidth="1"/>
    <col min="14867" max="14867" width="15.140625" style="4" customWidth="1"/>
    <col min="14868" max="14868" width="13.5703125" style="4" customWidth="1"/>
    <col min="14869" max="14869" width="13.140625" style="4" customWidth="1"/>
    <col min="14870" max="14870" width="15.7109375" style="4" customWidth="1"/>
    <col min="14871" max="14871" width="28.7109375" style="4" bestFit="1" customWidth="1"/>
    <col min="14872" max="14872" width="15.5703125" style="4" customWidth="1"/>
    <col min="14873" max="14873" width="21.140625" style="4" customWidth="1"/>
    <col min="14874" max="14874" width="12.7109375" style="4" bestFit="1" customWidth="1"/>
    <col min="14875" max="15099" width="11.42578125" style="4"/>
    <col min="15100" max="15100" width="10.5703125" style="4" customWidth="1"/>
    <col min="15101" max="15101" width="4.85546875" style="4" customWidth="1"/>
    <col min="15102" max="15102" width="29.5703125" style="4" customWidth="1"/>
    <col min="15103" max="15103" width="9.85546875" style="4" customWidth="1"/>
    <col min="15104" max="15104" width="11.85546875" style="4" customWidth="1"/>
    <col min="15105" max="15105" width="6.140625" style="4" customWidth="1"/>
    <col min="15106" max="15106" width="11.85546875" style="4" customWidth="1"/>
    <col min="15107" max="15107" width="9.42578125" style="4" customWidth="1"/>
    <col min="15108" max="15108" width="14.7109375" style="4" customWidth="1"/>
    <col min="15109" max="15109" width="15.42578125" style="4" customWidth="1"/>
    <col min="15110" max="15110" width="12.28515625" style="4" customWidth="1"/>
    <col min="15111" max="15111" width="9.5703125" style="4" customWidth="1"/>
    <col min="15112" max="15112" width="12.28515625" style="4" customWidth="1"/>
    <col min="15113" max="15113" width="12.5703125" style="4" customWidth="1"/>
    <col min="15114" max="15114" width="10.5703125" style="4" customWidth="1"/>
    <col min="15115" max="15115" width="10.140625" style="4" customWidth="1"/>
    <col min="15116" max="15116" width="8.42578125" style="4" customWidth="1"/>
    <col min="15117" max="15117" width="18.85546875" style="4" customWidth="1"/>
    <col min="15118" max="15118" width="9.7109375" style="4" customWidth="1"/>
    <col min="15119" max="15119" width="11.42578125" style="4"/>
    <col min="15120" max="15120" width="12.140625" style="4" customWidth="1"/>
    <col min="15121" max="15121" width="10.5703125" style="4" customWidth="1"/>
    <col min="15122" max="15122" width="12.42578125" style="4" customWidth="1"/>
    <col min="15123" max="15123" width="15.140625" style="4" customWidth="1"/>
    <col min="15124" max="15124" width="13.5703125" style="4" customWidth="1"/>
    <col min="15125" max="15125" width="13.140625" style="4" customWidth="1"/>
    <col min="15126" max="15126" width="15.7109375" style="4" customWidth="1"/>
    <col min="15127" max="15127" width="28.7109375" style="4" bestFit="1" customWidth="1"/>
    <col min="15128" max="15128" width="15.5703125" style="4" customWidth="1"/>
    <col min="15129" max="15129" width="21.140625" style="4" customWidth="1"/>
    <col min="15130" max="15130" width="12.7109375" style="4" bestFit="1" customWidth="1"/>
    <col min="15131" max="15355" width="11.42578125" style="4"/>
    <col min="15356" max="15356" width="10.5703125" style="4" customWidth="1"/>
    <col min="15357" max="15357" width="4.85546875" style="4" customWidth="1"/>
    <col min="15358" max="15358" width="29.5703125" style="4" customWidth="1"/>
    <col min="15359" max="15359" width="9.85546875" style="4" customWidth="1"/>
    <col min="15360" max="15360" width="11.85546875" style="4" customWidth="1"/>
    <col min="15361" max="15361" width="6.140625" style="4" customWidth="1"/>
    <col min="15362" max="15362" width="11.85546875" style="4" customWidth="1"/>
    <col min="15363" max="15363" width="9.42578125" style="4" customWidth="1"/>
    <col min="15364" max="15364" width="14.7109375" style="4" customWidth="1"/>
    <col min="15365" max="15365" width="15.42578125" style="4" customWidth="1"/>
    <col min="15366" max="15366" width="12.28515625" style="4" customWidth="1"/>
    <col min="15367" max="15367" width="9.5703125" style="4" customWidth="1"/>
    <col min="15368" max="15368" width="12.28515625" style="4" customWidth="1"/>
    <col min="15369" max="15369" width="12.5703125" style="4" customWidth="1"/>
    <col min="15370" max="15370" width="10.5703125" style="4" customWidth="1"/>
    <col min="15371" max="15371" width="10.140625" style="4" customWidth="1"/>
    <col min="15372" max="15372" width="8.42578125" style="4" customWidth="1"/>
    <col min="15373" max="15373" width="18.85546875" style="4" customWidth="1"/>
    <col min="15374" max="15374" width="9.7109375" style="4" customWidth="1"/>
    <col min="15375" max="15375" width="11.42578125" style="4"/>
    <col min="15376" max="15376" width="12.140625" style="4" customWidth="1"/>
    <col min="15377" max="15377" width="10.5703125" style="4" customWidth="1"/>
    <col min="15378" max="15378" width="12.42578125" style="4" customWidth="1"/>
    <col min="15379" max="15379" width="15.140625" style="4" customWidth="1"/>
    <col min="15380" max="15380" width="13.5703125" style="4" customWidth="1"/>
    <col min="15381" max="15381" width="13.140625" style="4" customWidth="1"/>
    <col min="15382" max="15382" width="15.7109375" style="4" customWidth="1"/>
    <col min="15383" max="15383" width="28.7109375" style="4" bestFit="1" customWidth="1"/>
    <col min="15384" max="15384" width="15.5703125" style="4" customWidth="1"/>
    <col min="15385" max="15385" width="21.140625" style="4" customWidth="1"/>
    <col min="15386" max="15386" width="12.7109375" style="4" bestFit="1" customWidth="1"/>
    <col min="15387" max="15611" width="11.42578125" style="4"/>
    <col min="15612" max="15612" width="10.5703125" style="4" customWidth="1"/>
    <col min="15613" max="15613" width="4.85546875" style="4" customWidth="1"/>
    <col min="15614" max="15614" width="29.5703125" style="4" customWidth="1"/>
    <col min="15615" max="15615" width="9.85546875" style="4" customWidth="1"/>
    <col min="15616" max="15616" width="11.85546875" style="4" customWidth="1"/>
    <col min="15617" max="15617" width="6.140625" style="4" customWidth="1"/>
    <col min="15618" max="15618" width="11.85546875" style="4" customWidth="1"/>
    <col min="15619" max="15619" width="9.42578125" style="4" customWidth="1"/>
    <col min="15620" max="15620" width="14.7109375" style="4" customWidth="1"/>
    <col min="15621" max="15621" width="15.42578125" style="4" customWidth="1"/>
    <col min="15622" max="15622" width="12.28515625" style="4" customWidth="1"/>
    <col min="15623" max="15623" width="9.5703125" style="4" customWidth="1"/>
    <col min="15624" max="15624" width="12.28515625" style="4" customWidth="1"/>
    <col min="15625" max="15625" width="12.5703125" style="4" customWidth="1"/>
    <col min="15626" max="15626" width="10.5703125" style="4" customWidth="1"/>
    <col min="15627" max="15627" width="10.140625" style="4" customWidth="1"/>
    <col min="15628" max="15628" width="8.42578125" style="4" customWidth="1"/>
    <col min="15629" max="15629" width="18.85546875" style="4" customWidth="1"/>
    <col min="15630" max="15630" width="9.7109375" style="4" customWidth="1"/>
    <col min="15631" max="15631" width="11.42578125" style="4"/>
    <col min="15632" max="15632" width="12.140625" style="4" customWidth="1"/>
    <col min="15633" max="15633" width="10.5703125" style="4" customWidth="1"/>
    <col min="15634" max="15634" width="12.42578125" style="4" customWidth="1"/>
    <col min="15635" max="15635" width="15.140625" style="4" customWidth="1"/>
    <col min="15636" max="15636" width="13.5703125" style="4" customWidth="1"/>
    <col min="15637" max="15637" width="13.140625" style="4" customWidth="1"/>
    <col min="15638" max="15638" width="15.7109375" style="4" customWidth="1"/>
    <col min="15639" max="15639" width="28.7109375" style="4" bestFit="1" customWidth="1"/>
    <col min="15640" max="15640" width="15.5703125" style="4" customWidth="1"/>
    <col min="15641" max="15641" width="21.140625" style="4" customWidth="1"/>
    <col min="15642" max="15642" width="12.7109375" style="4" bestFit="1" customWidth="1"/>
    <col min="15643" max="15867" width="11.42578125" style="4"/>
    <col min="15868" max="15868" width="10.5703125" style="4" customWidth="1"/>
    <col min="15869" max="15869" width="4.85546875" style="4" customWidth="1"/>
    <col min="15870" max="15870" width="29.5703125" style="4" customWidth="1"/>
    <col min="15871" max="15871" width="9.85546875" style="4" customWidth="1"/>
    <col min="15872" max="15872" width="11.85546875" style="4" customWidth="1"/>
    <col min="15873" max="15873" width="6.140625" style="4" customWidth="1"/>
    <col min="15874" max="15874" width="11.85546875" style="4" customWidth="1"/>
    <col min="15875" max="15875" width="9.42578125" style="4" customWidth="1"/>
    <col min="15876" max="15876" width="14.7109375" style="4" customWidth="1"/>
    <col min="15877" max="15877" width="15.42578125" style="4" customWidth="1"/>
    <col min="15878" max="15878" width="12.28515625" style="4" customWidth="1"/>
    <col min="15879" max="15879" width="9.5703125" style="4" customWidth="1"/>
    <col min="15880" max="15880" width="12.28515625" style="4" customWidth="1"/>
    <col min="15881" max="15881" width="12.5703125" style="4" customWidth="1"/>
    <col min="15882" max="15882" width="10.5703125" style="4" customWidth="1"/>
    <col min="15883" max="15883" width="10.140625" style="4" customWidth="1"/>
    <col min="15884" max="15884" width="8.42578125" style="4" customWidth="1"/>
    <col min="15885" max="15885" width="18.85546875" style="4" customWidth="1"/>
    <col min="15886" max="15886" width="9.7109375" style="4" customWidth="1"/>
    <col min="15887" max="15887" width="11.42578125" style="4"/>
    <col min="15888" max="15888" width="12.140625" style="4" customWidth="1"/>
    <col min="15889" max="15889" width="10.5703125" style="4" customWidth="1"/>
    <col min="15890" max="15890" width="12.42578125" style="4" customWidth="1"/>
    <col min="15891" max="15891" width="15.140625" style="4" customWidth="1"/>
    <col min="15892" max="15892" width="13.5703125" style="4" customWidth="1"/>
    <col min="15893" max="15893" width="13.140625" style="4" customWidth="1"/>
    <col min="15894" max="15894" width="15.7109375" style="4" customWidth="1"/>
    <col min="15895" max="15895" width="28.7109375" style="4" bestFit="1" customWidth="1"/>
    <col min="15896" max="15896" width="15.5703125" style="4" customWidth="1"/>
    <col min="15897" max="15897" width="21.140625" style="4" customWidth="1"/>
    <col min="15898" max="15898" width="12.7109375" style="4" bestFit="1" customWidth="1"/>
    <col min="15899" max="16123" width="11.42578125" style="4"/>
    <col min="16124" max="16124" width="10.5703125" style="4" customWidth="1"/>
    <col min="16125" max="16125" width="4.85546875" style="4" customWidth="1"/>
    <col min="16126" max="16126" width="29.5703125" style="4" customWidth="1"/>
    <col min="16127" max="16127" width="9.85546875" style="4" customWidth="1"/>
    <col min="16128" max="16128" width="11.85546875" style="4" customWidth="1"/>
    <col min="16129" max="16129" width="6.140625" style="4" customWidth="1"/>
    <col min="16130" max="16130" width="11.85546875" style="4" customWidth="1"/>
    <col min="16131" max="16131" width="9.42578125" style="4" customWidth="1"/>
    <col min="16132" max="16132" width="14.7109375" style="4" customWidth="1"/>
    <col min="16133" max="16133" width="15.42578125" style="4" customWidth="1"/>
    <col min="16134" max="16134" width="12.28515625" style="4" customWidth="1"/>
    <col min="16135" max="16135" width="9.5703125" style="4" customWidth="1"/>
    <col min="16136" max="16136" width="12.28515625" style="4" customWidth="1"/>
    <col min="16137" max="16137" width="12.5703125" style="4" customWidth="1"/>
    <col min="16138" max="16138" width="10.5703125" style="4" customWidth="1"/>
    <col min="16139" max="16139" width="10.140625" style="4" customWidth="1"/>
    <col min="16140" max="16140" width="8.42578125" style="4" customWidth="1"/>
    <col min="16141" max="16141" width="18.85546875" style="4" customWidth="1"/>
    <col min="16142" max="16142" width="9.7109375" style="4" customWidth="1"/>
    <col min="16143" max="16143" width="11.42578125" style="4"/>
    <col min="16144" max="16144" width="12.140625" style="4" customWidth="1"/>
    <col min="16145" max="16145" width="10.5703125" style="4" customWidth="1"/>
    <col min="16146" max="16146" width="12.42578125" style="4" customWidth="1"/>
    <col min="16147" max="16147" width="15.140625" style="4" customWidth="1"/>
    <col min="16148" max="16148" width="13.5703125" style="4" customWidth="1"/>
    <col min="16149" max="16149" width="13.140625" style="4" customWidth="1"/>
    <col min="16150" max="16150" width="15.7109375" style="4" customWidth="1"/>
    <col min="16151" max="16151" width="28.7109375" style="4" bestFit="1" customWidth="1"/>
    <col min="16152" max="16152" width="15.5703125" style="4" customWidth="1"/>
    <col min="16153" max="16153" width="21.140625" style="4" customWidth="1"/>
    <col min="16154" max="16154" width="12.7109375" style="4" bestFit="1" customWidth="1"/>
    <col min="16155" max="16384" width="11.42578125" style="4"/>
  </cols>
  <sheetData>
    <row r="1" spans="1:27" ht="13.5" thickBot="1" x14ac:dyDescent="0.3">
      <c r="A1" s="1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1"/>
    </row>
    <row r="2" spans="1:27" ht="13.5" thickBot="1" x14ac:dyDescent="0.3">
      <c r="A2" s="1"/>
      <c r="B2" s="2"/>
      <c r="C2" s="5" t="s">
        <v>1</v>
      </c>
      <c r="D2" s="1"/>
      <c r="E2" s="6" t="s">
        <v>2</v>
      </c>
      <c r="F2" s="7"/>
      <c r="G2" s="7"/>
      <c r="H2" s="7"/>
      <c r="I2" s="7"/>
      <c r="J2" s="7"/>
      <c r="K2" s="7"/>
      <c r="L2" s="7"/>
      <c r="M2" s="7"/>
      <c r="N2" s="7"/>
      <c r="O2" s="6" t="s">
        <v>3</v>
      </c>
      <c r="P2" s="7"/>
      <c r="Q2" s="7"/>
      <c r="R2" s="7"/>
      <c r="S2" s="7"/>
      <c r="T2" s="7"/>
      <c r="U2" s="7"/>
      <c r="V2" s="7"/>
      <c r="W2" s="8"/>
      <c r="X2" s="9"/>
      <c r="Y2" s="9"/>
      <c r="Z2" s="10"/>
      <c r="AA2" s="9"/>
    </row>
    <row r="3" spans="1:27" ht="45" customHeight="1" x14ac:dyDescent="0.25">
      <c r="A3" s="11" t="s">
        <v>4</v>
      </c>
      <c r="B3" s="12" t="s">
        <v>5</v>
      </c>
      <c r="C3" s="13" t="s">
        <v>6</v>
      </c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4" t="s">
        <v>22</v>
      </c>
      <c r="T3" s="14" t="s">
        <v>23</v>
      </c>
      <c r="U3" s="14" t="s">
        <v>24</v>
      </c>
      <c r="V3" s="14" t="s">
        <v>25</v>
      </c>
      <c r="W3" s="14" t="s">
        <v>26</v>
      </c>
      <c r="X3" s="13" t="s">
        <v>27</v>
      </c>
      <c r="Y3" s="13" t="s">
        <v>28</v>
      </c>
      <c r="Z3" s="15" t="s">
        <v>29</v>
      </c>
      <c r="AA3" s="13" t="s">
        <v>30</v>
      </c>
    </row>
    <row r="4" spans="1:27" s="23" customFormat="1" ht="27.75" customHeight="1" x14ac:dyDescent="0.25">
      <c r="A4" s="16"/>
      <c r="B4" s="17">
        <v>1</v>
      </c>
      <c r="C4" s="18" t="s">
        <v>31</v>
      </c>
      <c r="D4" s="19" t="s">
        <v>32</v>
      </c>
      <c r="E4" s="20">
        <v>3750000</v>
      </c>
      <c r="F4" s="20">
        <v>30</v>
      </c>
      <c r="G4" s="20">
        <f>+E4/30*F4</f>
        <v>3750000</v>
      </c>
      <c r="H4" s="20"/>
      <c r="I4" s="20"/>
      <c r="J4" s="20"/>
      <c r="K4" s="20"/>
      <c r="L4" s="20"/>
      <c r="M4" s="20"/>
      <c r="N4" s="20">
        <f>SUM(G4:M4)</f>
        <v>3750000</v>
      </c>
      <c r="O4" s="20">
        <f>+G4*4%</f>
        <v>150000</v>
      </c>
      <c r="P4" s="20">
        <f>+O4</f>
        <v>150000</v>
      </c>
      <c r="Q4" s="20"/>
      <c r="R4" s="20">
        <v>0</v>
      </c>
      <c r="S4" s="20">
        <f>+G4*0.01</f>
        <v>37500</v>
      </c>
      <c r="T4" s="20">
        <v>0</v>
      </c>
      <c r="U4" s="20"/>
      <c r="V4" s="20"/>
      <c r="W4" s="20">
        <f t="shared" ref="W4:W63" si="0">SUM(O4:V4)</f>
        <v>337500</v>
      </c>
      <c r="X4" s="21">
        <f t="shared" ref="X4:X21" si="1">+N4-W4</f>
        <v>3412500</v>
      </c>
      <c r="Y4" s="21"/>
      <c r="Z4" s="22"/>
      <c r="AA4" s="21">
        <f>X4+Y4-Z4</f>
        <v>3412500</v>
      </c>
    </row>
    <row r="5" spans="1:27" s="23" customFormat="1" ht="12.75" x14ac:dyDescent="0.25">
      <c r="A5" s="16"/>
      <c r="B5" s="17">
        <v>2</v>
      </c>
      <c r="C5" s="18" t="s">
        <v>33</v>
      </c>
      <c r="D5" s="19" t="s">
        <v>32</v>
      </c>
      <c r="E5" s="20">
        <v>4911500</v>
      </c>
      <c r="F5" s="20">
        <v>30</v>
      </c>
      <c r="G5" s="20">
        <v>4911500</v>
      </c>
      <c r="H5" s="20"/>
      <c r="I5" s="20"/>
      <c r="J5" s="20"/>
      <c r="K5" s="20"/>
      <c r="L5" s="20"/>
      <c r="M5" s="20"/>
      <c r="N5" s="20">
        <f>SUM(G5:M5)</f>
        <v>4911500</v>
      </c>
      <c r="O5" s="20">
        <f>+G5*4%</f>
        <v>196460</v>
      </c>
      <c r="P5" s="20">
        <f>+O5</f>
        <v>196460</v>
      </c>
      <c r="Q5" s="20"/>
      <c r="R5" s="20">
        <v>27469</v>
      </c>
      <c r="S5" s="20">
        <f t="shared" ref="S5:S31" si="2">+G5*0.01</f>
        <v>49115</v>
      </c>
      <c r="T5" s="24">
        <v>84469</v>
      </c>
      <c r="U5" s="20"/>
      <c r="V5" s="20"/>
      <c r="W5" s="20">
        <f t="shared" si="0"/>
        <v>553973</v>
      </c>
      <c r="X5" s="21">
        <f t="shared" si="1"/>
        <v>4357527</v>
      </c>
      <c r="Y5" s="21"/>
      <c r="Z5" s="22"/>
      <c r="AA5" s="21">
        <f t="shared" ref="AA5:AA65" si="3">X5+Y5-Z5</f>
        <v>4357527</v>
      </c>
    </row>
    <row r="6" spans="1:27" s="23" customFormat="1" ht="12.75" x14ac:dyDescent="0.25">
      <c r="A6" s="16"/>
      <c r="B6" s="17">
        <v>3</v>
      </c>
      <c r="C6" s="18" t="s">
        <v>34</v>
      </c>
      <c r="D6" s="19" t="s">
        <v>32</v>
      </c>
      <c r="E6" s="20">
        <v>4180000</v>
      </c>
      <c r="F6" s="20">
        <v>30</v>
      </c>
      <c r="G6" s="20">
        <v>4180000</v>
      </c>
      <c r="H6" s="20"/>
      <c r="I6" s="20"/>
      <c r="J6" s="20"/>
      <c r="K6" s="20"/>
      <c r="L6" s="20"/>
      <c r="M6" s="20">
        <v>1881000</v>
      </c>
      <c r="N6" s="20">
        <f>SUM(G6:M6)</f>
        <v>6061000</v>
      </c>
      <c r="O6" s="20">
        <f>+G6*4%</f>
        <v>167200</v>
      </c>
      <c r="P6" s="20">
        <f>+O6</f>
        <v>167200</v>
      </c>
      <c r="Q6" s="20"/>
      <c r="R6" s="20">
        <v>31064</v>
      </c>
      <c r="S6" s="20">
        <f t="shared" si="2"/>
        <v>41800</v>
      </c>
      <c r="T6" s="24">
        <v>0</v>
      </c>
      <c r="U6" s="20"/>
      <c r="V6" s="20"/>
      <c r="W6" s="20">
        <f t="shared" si="0"/>
        <v>407264</v>
      </c>
      <c r="X6" s="21">
        <f t="shared" si="1"/>
        <v>5653736</v>
      </c>
      <c r="Y6" s="21"/>
      <c r="Z6" s="22"/>
      <c r="AA6" s="21">
        <f t="shared" si="3"/>
        <v>5653736</v>
      </c>
    </row>
    <row r="7" spans="1:27" s="23" customFormat="1" ht="22.5" customHeight="1" x14ac:dyDescent="0.25">
      <c r="A7" s="16"/>
      <c r="B7" s="17">
        <v>4</v>
      </c>
      <c r="C7" s="18" t="s">
        <v>35</v>
      </c>
      <c r="D7" s="19" t="s">
        <v>32</v>
      </c>
      <c r="E7" s="20">
        <v>4000000</v>
      </c>
      <c r="F7" s="20">
        <v>30</v>
      </c>
      <c r="G7" s="20">
        <f>+E7/30*F7</f>
        <v>4000000.0000000005</v>
      </c>
      <c r="H7" s="20"/>
      <c r="I7" s="20"/>
      <c r="J7" s="20"/>
      <c r="K7" s="20"/>
      <c r="L7" s="20"/>
      <c r="M7" s="20">
        <f>200000/30*F7</f>
        <v>200000</v>
      </c>
      <c r="N7" s="20">
        <f>SUM(G7:M7)</f>
        <v>4200000</v>
      </c>
      <c r="O7" s="20">
        <f>+G7*4%</f>
        <v>160000.00000000003</v>
      </c>
      <c r="P7" s="20">
        <f>+O7</f>
        <v>160000.00000000003</v>
      </c>
      <c r="Q7" s="20"/>
      <c r="R7" s="20">
        <v>31064</v>
      </c>
      <c r="S7" s="20">
        <f t="shared" si="2"/>
        <v>40000.000000000007</v>
      </c>
      <c r="T7" s="20">
        <v>31064</v>
      </c>
      <c r="U7" s="20"/>
      <c r="V7" s="20"/>
      <c r="W7" s="20">
        <f t="shared" si="0"/>
        <v>422128.00000000006</v>
      </c>
      <c r="X7" s="21">
        <f t="shared" si="1"/>
        <v>3777872</v>
      </c>
      <c r="Y7" s="21"/>
      <c r="Z7" s="22"/>
      <c r="AA7" s="21">
        <f t="shared" si="3"/>
        <v>3777872</v>
      </c>
    </row>
    <row r="8" spans="1:27" s="23" customFormat="1" ht="12.75" x14ac:dyDescent="0.25">
      <c r="A8" s="16"/>
      <c r="B8" s="17">
        <v>5</v>
      </c>
      <c r="C8" s="18" t="s">
        <v>36</v>
      </c>
      <c r="D8" s="19" t="s">
        <v>32</v>
      </c>
      <c r="E8" s="20">
        <v>4500000</v>
      </c>
      <c r="F8" s="20">
        <v>30</v>
      </c>
      <c r="G8" s="20">
        <f>E8/30*F8</f>
        <v>4500000</v>
      </c>
      <c r="H8" s="20"/>
      <c r="I8" s="20"/>
      <c r="J8" s="20"/>
      <c r="K8" s="20"/>
      <c r="L8" s="20"/>
      <c r="M8" s="20"/>
      <c r="N8" s="20">
        <f>G8+M8</f>
        <v>4500000</v>
      </c>
      <c r="O8" s="20">
        <f>G8*4%</f>
        <v>180000</v>
      </c>
      <c r="P8" s="20">
        <f>O8</f>
        <v>180000</v>
      </c>
      <c r="Q8" s="20"/>
      <c r="R8" s="20">
        <v>12752</v>
      </c>
      <c r="S8" s="20">
        <f>G8*1%</f>
        <v>45000</v>
      </c>
      <c r="T8" s="20">
        <v>98752</v>
      </c>
      <c r="U8" s="20"/>
      <c r="V8" s="20"/>
      <c r="W8" s="20">
        <f t="shared" si="0"/>
        <v>516504</v>
      </c>
      <c r="X8" s="21">
        <f>N8-W8</f>
        <v>3983496</v>
      </c>
      <c r="Y8" s="21"/>
      <c r="Z8" s="22"/>
      <c r="AA8" s="21">
        <f t="shared" si="3"/>
        <v>3983496</v>
      </c>
    </row>
    <row r="9" spans="1:27" s="23" customFormat="1" ht="22.5" customHeight="1" x14ac:dyDescent="0.25">
      <c r="A9" s="16"/>
      <c r="B9" s="17">
        <v>6</v>
      </c>
      <c r="C9" s="18" t="s">
        <v>37</v>
      </c>
      <c r="D9" s="19" t="s">
        <v>32</v>
      </c>
      <c r="E9" s="20">
        <v>4500000</v>
      </c>
      <c r="F9" s="20">
        <v>30</v>
      </c>
      <c r="G9" s="20">
        <f>E9/30*F9</f>
        <v>4500000</v>
      </c>
      <c r="H9" s="20"/>
      <c r="I9" s="20"/>
      <c r="J9" s="20"/>
      <c r="K9" s="20"/>
      <c r="L9" s="20"/>
      <c r="M9" s="20"/>
      <c r="N9" s="20">
        <f>G9+M9</f>
        <v>4500000</v>
      </c>
      <c r="O9" s="20">
        <f>G9*4%</f>
        <v>180000</v>
      </c>
      <c r="P9" s="20">
        <f>O9</f>
        <v>180000</v>
      </c>
      <c r="Q9" s="20"/>
      <c r="R9" s="20">
        <v>98752</v>
      </c>
      <c r="S9" s="20">
        <f>G9*1%</f>
        <v>45000</v>
      </c>
      <c r="T9" s="20">
        <v>98752</v>
      </c>
      <c r="U9" s="20"/>
      <c r="V9" s="20"/>
      <c r="W9" s="20">
        <f t="shared" si="0"/>
        <v>602504</v>
      </c>
      <c r="X9" s="21">
        <f>N9-W9</f>
        <v>3897496</v>
      </c>
      <c r="Y9" s="21">
        <v>90000</v>
      </c>
      <c r="Z9" s="22"/>
      <c r="AA9" s="21">
        <f t="shared" si="3"/>
        <v>3987496</v>
      </c>
    </row>
    <row r="10" spans="1:27" s="23" customFormat="1" ht="25.5" customHeight="1" x14ac:dyDescent="0.25">
      <c r="A10" s="16"/>
      <c r="B10" s="17">
        <v>7</v>
      </c>
      <c r="C10" s="25" t="s">
        <v>38</v>
      </c>
      <c r="D10" s="19" t="s">
        <v>32</v>
      </c>
      <c r="E10" s="20">
        <v>4800000</v>
      </c>
      <c r="F10" s="20">
        <v>30</v>
      </c>
      <c r="G10" s="20">
        <f>+E10/30*F10</f>
        <v>4800000</v>
      </c>
      <c r="H10" s="20"/>
      <c r="I10" s="20"/>
      <c r="J10" s="20"/>
      <c r="K10" s="20"/>
      <c r="L10" s="20"/>
      <c r="M10" s="20"/>
      <c r="N10" s="20">
        <f>SUM(G10:M10)</f>
        <v>4800000</v>
      </c>
      <c r="O10" s="20">
        <f>G10*4%</f>
        <v>192000</v>
      </c>
      <c r="P10" s="20">
        <f>+O10</f>
        <v>192000</v>
      </c>
      <c r="Q10" s="20"/>
      <c r="R10" s="20">
        <v>364</v>
      </c>
      <c r="S10" s="20">
        <f t="shared" si="2"/>
        <v>48000</v>
      </c>
      <c r="T10" s="20">
        <v>139364</v>
      </c>
      <c r="U10" s="20"/>
      <c r="V10" s="20"/>
      <c r="W10" s="20">
        <f t="shared" si="0"/>
        <v>571728</v>
      </c>
      <c r="X10" s="21">
        <f t="shared" si="1"/>
        <v>4228272</v>
      </c>
      <c r="Y10" s="21"/>
      <c r="Z10" s="22"/>
      <c r="AA10" s="21">
        <f t="shared" si="3"/>
        <v>4228272</v>
      </c>
    </row>
    <row r="11" spans="1:27" s="23" customFormat="1" ht="12.75" x14ac:dyDescent="0.25">
      <c r="A11" s="16"/>
      <c r="B11" s="17">
        <v>8</v>
      </c>
      <c r="C11" s="26" t="s">
        <v>39</v>
      </c>
      <c r="D11" s="27" t="s">
        <v>32</v>
      </c>
      <c r="E11" s="20">
        <v>5075000</v>
      </c>
      <c r="F11" s="20">
        <v>30</v>
      </c>
      <c r="G11" s="20">
        <f>+E11/30*F11</f>
        <v>5075000</v>
      </c>
      <c r="H11" s="20"/>
      <c r="I11" s="20"/>
      <c r="J11" s="20"/>
      <c r="K11" s="20"/>
      <c r="L11" s="20"/>
      <c r="M11" s="20"/>
      <c r="N11" s="20">
        <f>SUM(G11:M11)</f>
        <v>5075000</v>
      </c>
      <c r="O11" s="20">
        <v>160000</v>
      </c>
      <c r="P11" s="20">
        <v>160000</v>
      </c>
      <c r="Q11" s="20"/>
      <c r="R11" s="20">
        <v>95973</v>
      </c>
      <c r="S11" s="20">
        <v>40000</v>
      </c>
      <c r="T11" s="20">
        <v>104273</v>
      </c>
      <c r="U11" s="20"/>
      <c r="V11" s="20"/>
      <c r="W11" s="20">
        <f t="shared" si="0"/>
        <v>560246</v>
      </c>
      <c r="X11" s="21">
        <f t="shared" si="1"/>
        <v>4514754</v>
      </c>
      <c r="Y11" s="21"/>
      <c r="Z11" s="22">
        <v>116667</v>
      </c>
      <c r="AA11" s="21">
        <f t="shared" si="3"/>
        <v>4398087</v>
      </c>
    </row>
    <row r="12" spans="1:27" s="23" customFormat="1" ht="12.75" x14ac:dyDescent="0.25">
      <c r="A12" s="16"/>
      <c r="B12" s="17">
        <v>9</v>
      </c>
      <c r="C12" s="26" t="s">
        <v>40</v>
      </c>
      <c r="D12" s="27" t="s">
        <v>32</v>
      </c>
      <c r="E12" s="20">
        <v>3500000</v>
      </c>
      <c r="F12" s="20">
        <v>30</v>
      </c>
      <c r="G12" s="20">
        <f>+E12/30*F12</f>
        <v>3500000</v>
      </c>
      <c r="H12" s="20"/>
      <c r="I12" s="20"/>
      <c r="J12" s="20"/>
      <c r="K12" s="20"/>
      <c r="L12" s="20"/>
      <c r="M12" s="20">
        <v>500000</v>
      </c>
      <c r="N12" s="20">
        <f>G12+M12</f>
        <v>4000000</v>
      </c>
      <c r="O12" s="20">
        <f>G12*4%</f>
        <v>140000</v>
      </c>
      <c r="P12" s="20">
        <f>O12</f>
        <v>140000</v>
      </c>
      <c r="Q12" s="20"/>
      <c r="R12" s="20">
        <v>0</v>
      </c>
      <c r="S12" s="20">
        <f>G12*1%</f>
        <v>35000</v>
      </c>
      <c r="T12" s="20">
        <v>0</v>
      </c>
      <c r="U12" s="20"/>
      <c r="V12" s="20"/>
      <c r="W12" s="20">
        <f t="shared" si="0"/>
        <v>315000</v>
      </c>
      <c r="X12" s="21">
        <f t="shared" si="1"/>
        <v>3685000</v>
      </c>
      <c r="Y12" s="21"/>
      <c r="Z12" s="22">
        <v>32083</v>
      </c>
      <c r="AA12" s="21">
        <f t="shared" si="3"/>
        <v>3652917</v>
      </c>
    </row>
    <row r="13" spans="1:27" s="23" customFormat="1" ht="12.75" x14ac:dyDescent="0.25">
      <c r="A13" s="16"/>
      <c r="B13" s="17">
        <v>10</v>
      </c>
      <c r="C13" s="26" t="s">
        <v>41</v>
      </c>
      <c r="D13" s="27" t="s">
        <v>32</v>
      </c>
      <c r="E13" s="20">
        <v>3000000</v>
      </c>
      <c r="F13" s="20">
        <v>30</v>
      </c>
      <c r="G13" s="20">
        <f>+E13/30*F13</f>
        <v>3000000</v>
      </c>
      <c r="H13" s="20"/>
      <c r="I13" s="20"/>
      <c r="J13" s="20"/>
      <c r="K13" s="20"/>
      <c r="L13" s="20"/>
      <c r="M13" s="20"/>
      <c r="N13" s="20">
        <f>G13+M13</f>
        <v>3000000</v>
      </c>
      <c r="O13" s="20">
        <f>G13*4%</f>
        <v>120000</v>
      </c>
      <c r="P13" s="20">
        <f>O13</f>
        <v>120000</v>
      </c>
      <c r="Q13" s="20"/>
      <c r="R13" s="20">
        <v>0</v>
      </c>
      <c r="S13" s="20">
        <f>G13*1%</f>
        <v>30000</v>
      </c>
      <c r="T13" s="20">
        <v>0</v>
      </c>
      <c r="U13" s="20"/>
      <c r="V13" s="20"/>
      <c r="W13" s="20">
        <f t="shared" si="0"/>
        <v>270000</v>
      </c>
      <c r="X13" s="21">
        <f t="shared" si="1"/>
        <v>2730000</v>
      </c>
      <c r="Y13" s="21"/>
      <c r="Z13" s="22"/>
      <c r="AA13" s="21">
        <f t="shared" si="3"/>
        <v>2730000</v>
      </c>
    </row>
    <row r="14" spans="1:27" s="23" customFormat="1" ht="24.75" customHeight="1" x14ac:dyDescent="0.25">
      <c r="A14" s="16"/>
      <c r="B14" s="17">
        <v>11</v>
      </c>
      <c r="C14" s="18" t="s">
        <v>42</v>
      </c>
      <c r="D14" s="19" t="s">
        <v>32</v>
      </c>
      <c r="E14" s="20">
        <v>4410000</v>
      </c>
      <c r="F14" s="20">
        <v>30</v>
      </c>
      <c r="G14" s="20">
        <f>+E14/30*F14</f>
        <v>4410000</v>
      </c>
      <c r="H14" s="20"/>
      <c r="I14" s="20"/>
      <c r="J14" s="20"/>
      <c r="K14" s="20"/>
      <c r="L14" s="20"/>
      <c r="M14" s="20"/>
      <c r="N14" s="20">
        <f>SUM(G14:M14)</f>
        <v>4410000</v>
      </c>
      <c r="O14" s="20">
        <f>+G14*4%</f>
        <v>176400</v>
      </c>
      <c r="P14" s="20">
        <f>+O14</f>
        <v>176400</v>
      </c>
      <c r="Q14" s="20"/>
      <c r="R14" s="20">
        <v>18568</v>
      </c>
      <c r="S14" s="20">
        <f t="shared" si="2"/>
        <v>44100</v>
      </c>
      <c r="T14" s="24">
        <v>86568</v>
      </c>
      <c r="U14" s="20"/>
      <c r="V14" s="20"/>
      <c r="W14" s="20">
        <f t="shared" si="0"/>
        <v>502036</v>
      </c>
      <c r="X14" s="21">
        <f t="shared" si="1"/>
        <v>3907964</v>
      </c>
      <c r="Y14" s="21"/>
      <c r="Z14" s="22"/>
      <c r="AA14" s="21">
        <f t="shared" si="3"/>
        <v>3907964</v>
      </c>
    </row>
    <row r="15" spans="1:27" s="23" customFormat="1" ht="12.75" x14ac:dyDescent="0.25">
      <c r="A15" s="16"/>
      <c r="B15" s="17">
        <v>12</v>
      </c>
      <c r="C15" s="18" t="s">
        <v>43</v>
      </c>
      <c r="D15" s="19" t="s">
        <v>32</v>
      </c>
      <c r="E15" s="20">
        <v>4500000</v>
      </c>
      <c r="F15" s="20">
        <v>30</v>
      </c>
      <c r="G15" s="20">
        <f>E15/30*F15</f>
        <v>4500000</v>
      </c>
      <c r="H15" s="20"/>
      <c r="I15" s="20"/>
      <c r="J15" s="20"/>
      <c r="K15" s="20"/>
      <c r="L15" s="20"/>
      <c r="M15" s="20"/>
      <c r="N15" s="20">
        <f>G15</f>
        <v>4500000</v>
      </c>
      <c r="O15" s="20">
        <f>N15*4%</f>
        <v>180000</v>
      </c>
      <c r="P15" s="20">
        <f>+O15</f>
        <v>180000</v>
      </c>
      <c r="Q15" s="20"/>
      <c r="R15" s="20">
        <v>29752</v>
      </c>
      <c r="S15" s="20">
        <f>N15*1%</f>
        <v>45000</v>
      </c>
      <c r="T15" s="24">
        <v>98752</v>
      </c>
      <c r="U15" s="20"/>
      <c r="V15" s="20"/>
      <c r="W15" s="20">
        <f t="shared" si="0"/>
        <v>533504</v>
      </c>
      <c r="X15" s="21">
        <f>N15-W15</f>
        <v>3966496</v>
      </c>
      <c r="Y15" s="21"/>
      <c r="Z15" s="22"/>
      <c r="AA15" s="21">
        <f t="shared" si="3"/>
        <v>3966496</v>
      </c>
    </row>
    <row r="16" spans="1:27" s="23" customFormat="1" ht="12.75" x14ac:dyDescent="0.25">
      <c r="A16" s="16"/>
      <c r="B16" s="17">
        <v>13</v>
      </c>
      <c r="C16" s="18" t="s">
        <v>44</v>
      </c>
      <c r="D16" s="19" t="s">
        <v>32</v>
      </c>
      <c r="E16" s="20">
        <v>4500000</v>
      </c>
      <c r="F16" s="20">
        <v>30</v>
      </c>
      <c r="G16" s="20">
        <f>E16/30*F16</f>
        <v>4500000</v>
      </c>
      <c r="H16" s="20"/>
      <c r="I16" s="20"/>
      <c r="J16" s="20"/>
      <c r="K16" s="20"/>
      <c r="L16" s="20"/>
      <c r="M16" s="20"/>
      <c r="N16" s="20">
        <f>G16</f>
        <v>4500000</v>
      </c>
      <c r="O16" s="20">
        <f>N16*4%</f>
        <v>180000</v>
      </c>
      <c r="P16" s="20">
        <f>O16</f>
        <v>180000</v>
      </c>
      <c r="Q16" s="20"/>
      <c r="R16" s="20">
        <v>25752</v>
      </c>
      <c r="S16" s="20">
        <v>45000</v>
      </c>
      <c r="T16" s="24">
        <v>98752</v>
      </c>
      <c r="U16" s="20"/>
      <c r="V16" s="20"/>
      <c r="W16" s="20">
        <f t="shared" si="0"/>
        <v>529504</v>
      </c>
      <c r="X16" s="21">
        <f>N16-W16</f>
        <v>3970496</v>
      </c>
      <c r="Y16" s="21"/>
      <c r="Z16" s="22">
        <v>22934</v>
      </c>
      <c r="AA16" s="21">
        <f t="shared" si="3"/>
        <v>3947562</v>
      </c>
    </row>
    <row r="17" spans="1:27" s="35" customFormat="1" ht="12.75" x14ac:dyDescent="0.25">
      <c r="A17" s="16"/>
      <c r="B17" s="28">
        <v>14</v>
      </c>
      <c r="C17" s="29" t="s">
        <v>45</v>
      </c>
      <c r="D17" s="30" t="s">
        <v>32</v>
      </c>
      <c r="E17" s="31">
        <v>4180000</v>
      </c>
      <c r="F17" s="31">
        <v>30</v>
      </c>
      <c r="G17" s="31">
        <f>E17/30*F17</f>
        <v>4180000.0000000005</v>
      </c>
      <c r="H17" s="31"/>
      <c r="I17" s="31"/>
      <c r="J17" s="31"/>
      <c r="K17" s="31"/>
      <c r="L17" s="31"/>
      <c r="M17" s="31">
        <v>1515250</v>
      </c>
      <c r="N17" s="31">
        <f>SUM(G17:M17)</f>
        <v>5695250</v>
      </c>
      <c r="O17" s="31">
        <f>+G17*4%</f>
        <v>167200.00000000003</v>
      </c>
      <c r="P17" s="31">
        <f>+O17</f>
        <v>167200.00000000003</v>
      </c>
      <c r="Q17" s="31"/>
      <c r="R17" s="31">
        <v>2545</v>
      </c>
      <c r="S17" s="31">
        <f t="shared" si="2"/>
        <v>41800.000000000007</v>
      </c>
      <c r="T17" s="32">
        <v>2545</v>
      </c>
      <c r="U17" s="31">
        <v>800000</v>
      </c>
      <c r="V17" s="31">
        <v>884747</v>
      </c>
      <c r="W17" s="31">
        <f t="shared" si="0"/>
        <v>2066037</v>
      </c>
      <c r="X17" s="33">
        <f t="shared" si="1"/>
        <v>3629213</v>
      </c>
      <c r="Y17" s="33"/>
      <c r="Z17" s="34"/>
      <c r="AA17" s="33">
        <f t="shared" si="3"/>
        <v>3629213</v>
      </c>
    </row>
    <row r="18" spans="1:27" s="35" customFormat="1" ht="12.75" x14ac:dyDescent="0.25">
      <c r="A18" s="16"/>
      <c r="B18" s="28">
        <v>15</v>
      </c>
      <c r="C18" s="36" t="s">
        <v>46</v>
      </c>
      <c r="D18" s="30" t="s">
        <v>32</v>
      </c>
      <c r="E18" s="31">
        <v>4702500</v>
      </c>
      <c r="F18" s="31">
        <v>30</v>
      </c>
      <c r="G18" s="31">
        <f>E18/30*F18</f>
        <v>4702500</v>
      </c>
      <c r="H18" s="31"/>
      <c r="I18" s="31"/>
      <c r="J18" s="31"/>
      <c r="K18" s="31"/>
      <c r="L18" s="31"/>
      <c r="M18" s="31"/>
      <c r="N18" s="31">
        <f>SUM(G18:M18)</f>
        <v>4702500</v>
      </c>
      <c r="O18" s="31">
        <f>N18*4%</f>
        <v>188100</v>
      </c>
      <c r="P18" s="31">
        <f>+O18</f>
        <v>188100</v>
      </c>
      <c r="Q18" s="31"/>
      <c r="R18" s="31">
        <v>27165</v>
      </c>
      <c r="S18" s="31">
        <f>N18*1%</f>
        <v>47025</v>
      </c>
      <c r="T18" s="32">
        <v>126165</v>
      </c>
      <c r="U18" s="31"/>
      <c r="V18" s="31"/>
      <c r="W18" s="31">
        <f t="shared" si="0"/>
        <v>576555</v>
      </c>
      <c r="X18" s="33">
        <f>N18-W18</f>
        <v>4125945</v>
      </c>
      <c r="Y18" s="33"/>
      <c r="Z18" s="34"/>
      <c r="AA18" s="33">
        <f t="shared" si="3"/>
        <v>4125945</v>
      </c>
    </row>
    <row r="19" spans="1:27" s="35" customFormat="1" ht="23.25" customHeight="1" x14ac:dyDescent="0.25">
      <c r="A19" s="16"/>
      <c r="B19" s="28">
        <v>16</v>
      </c>
      <c r="C19" s="36" t="s">
        <v>47</v>
      </c>
      <c r="D19" s="30" t="s">
        <v>32</v>
      </c>
      <c r="E19" s="31">
        <v>4200000</v>
      </c>
      <c r="F19" s="31">
        <v>30</v>
      </c>
      <c r="G19" s="31">
        <f>+E19/30*F19</f>
        <v>4200000</v>
      </c>
      <c r="H19" s="31"/>
      <c r="I19" s="31"/>
      <c r="J19" s="31"/>
      <c r="K19" s="31"/>
      <c r="L19" s="31"/>
      <c r="M19" s="31"/>
      <c r="N19" s="31">
        <f>G19</f>
        <v>4200000</v>
      </c>
      <c r="O19" s="31">
        <f>N19*4%</f>
        <v>168000</v>
      </c>
      <c r="P19" s="31">
        <f>O19</f>
        <v>168000</v>
      </c>
      <c r="Q19" s="31"/>
      <c r="R19" s="31">
        <v>24139</v>
      </c>
      <c r="S19" s="31">
        <f>N19*1%</f>
        <v>42000</v>
      </c>
      <c r="T19" s="32">
        <v>58139</v>
      </c>
      <c r="U19" s="31"/>
      <c r="V19" s="31"/>
      <c r="W19" s="31">
        <f t="shared" si="0"/>
        <v>460278</v>
      </c>
      <c r="X19" s="33">
        <f>N19-W19</f>
        <v>3739722</v>
      </c>
      <c r="Y19" s="33"/>
      <c r="Z19" s="34">
        <v>44236</v>
      </c>
      <c r="AA19" s="33">
        <f t="shared" si="3"/>
        <v>3695486</v>
      </c>
    </row>
    <row r="20" spans="1:27" s="35" customFormat="1" ht="12.75" x14ac:dyDescent="0.25">
      <c r="A20" s="16"/>
      <c r="B20" s="28">
        <v>17</v>
      </c>
      <c r="C20" s="36" t="s">
        <v>48</v>
      </c>
      <c r="D20" s="30" t="s">
        <v>32</v>
      </c>
      <c r="E20" s="31">
        <v>4800000</v>
      </c>
      <c r="F20" s="31">
        <v>30</v>
      </c>
      <c r="G20" s="31">
        <f>+E20/30*F20</f>
        <v>4800000</v>
      </c>
      <c r="H20" s="31"/>
      <c r="I20" s="31"/>
      <c r="J20" s="31"/>
      <c r="K20" s="31"/>
      <c r="L20" s="31"/>
      <c r="M20" s="31"/>
      <c r="N20" s="31">
        <f>SUM(G20:M20)</f>
        <v>4800000</v>
      </c>
      <c r="O20" s="31">
        <f>+G20*4%</f>
        <v>192000</v>
      </c>
      <c r="P20" s="31">
        <f t="shared" ref="P20:P25" si="4">+O20</f>
        <v>192000</v>
      </c>
      <c r="Q20" s="31"/>
      <c r="R20" s="31">
        <v>24364</v>
      </c>
      <c r="S20" s="31">
        <f t="shared" si="2"/>
        <v>48000</v>
      </c>
      <c r="T20" s="31">
        <v>139364</v>
      </c>
      <c r="U20" s="31"/>
      <c r="V20" s="31"/>
      <c r="W20" s="31">
        <f t="shared" si="0"/>
        <v>595728</v>
      </c>
      <c r="X20" s="33">
        <f t="shared" si="1"/>
        <v>4204272</v>
      </c>
      <c r="Y20" s="33"/>
      <c r="Z20" s="34"/>
      <c r="AA20" s="33">
        <f t="shared" si="3"/>
        <v>4204272</v>
      </c>
    </row>
    <row r="21" spans="1:27" s="35" customFormat="1" ht="12.75" x14ac:dyDescent="0.25">
      <c r="A21" s="16"/>
      <c r="B21" s="28">
        <v>18</v>
      </c>
      <c r="C21" s="25" t="s">
        <v>49</v>
      </c>
      <c r="D21" s="30" t="s">
        <v>32</v>
      </c>
      <c r="E21" s="31">
        <v>3850000</v>
      </c>
      <c r="F21" s="31">
        <v>30</v>
      </c>
      <c r="G21" s="31">
        <f>+E21/30*F21</f>
        <v>3850000</v>
      </c>
      <c r="H21" s="31"/>
      <c r="I21" s="31"/>
      <c r="J21" s="31"/>
      <c r="K21" s="31"/>
      <c r="L21" s="31"/>
      <c r="M21" s="31"/>
      <c r="N21" s="31">
        <f>SUM(G21:M21)</f>
        <v>3850000</v>
      </c>
      <c r="O21" s="31">
        <f>+G21*4%</f>
        <v>154000</v>
      </c>
      <c r="P21" s="31">
        <f t="shared" si="4"/>
        <v>154000</v>
      </c>
      <c r="Q21" s="31"/>
      <c r="R21" s="31">
        <v>0</v>
      </c>
      <c r="S21" s="31">
        <f t="shared" si="2"/>
        <v>38500</v>
      </c>
      <c r="T21" s="31">
        <v>0</v>
      </c>
      <c r="U21" s="31"/>
      <c r="V21" s="31"/>
      <c r="W21" s="31">
        <f t="shared" si="0"/>
        <v>346500</v>
      </c>
      <c r="X21" s="33">
        <f t="shared" si="1"/>
        <v>3503500</v>
      </c>
      <c r="Y21" s="33"/>
      <c r="Z21" s="34"/>
      <c r="AA21" s="33">
        <f t="shared" si="3"/>
        <v>3503500</v>
      </c>
    </row>
    <row r="22" spans="1:27" s="35" customFormat="1" ht="12.75" x14ac:dyDescent="0.25">
      <c r="A22" s="16"/>
      <c r="B22" s="28">
        <v>19</v>
      </c>
      <c r="C22" s="36" t="s">
        <v>50</v>
      </c>
      <c r="D22" s="30" t="s">
        <v>32</v>
      </c>
      <c r="E22" s="31">
        <v>6583500</v>
      </c>
      <c r="F22" s="31">
        <v>30</v>
      </c>
      <c r="G22" s="31">
        <f>+E22/30*F22</f>
        <v>6583500</v>
      </c>
      <c r="H22" s="31"/>
      <c r="I22" s="31"/>
      <c r="J22" s="31"/>
      <c r="K22" s="31"/>
      <c r="L22" s="31"/>
      <c r="M22" s="31"/>
      <c r="N22" s="31">
        <f>SUM(G22:M22)</f>
        <v>6583500</v>
      </c>
      <c r="O22" s="31">
        <f>+G22*4%</f>
        <v>263340</v>
      </c>
      <c r="P22" s="31">
        <f t="shared" si="4"/>
        <v>263340</v>
      </c>
      <c r="Q22" s="31"/>
      <c r="R22" s="31">
        <v>0</v>
      </c>
      <c r="S22" s="31">
        <f t="shared" si="2"/>
        <v>65835</v>
      </c>
      <c r="T22" s="32">
        <v>83706</v>
      </c>
      <c r="U22" s="31">
        <v>1560000</v>
      </c>
      <c r="V22" s="31"/>
      <c r="W22" s="31">
        <f t="shared" si="0"/>
        <v>2236221</v>
      </c>
      <c r="X22" s="33">
        <f>+N22-W22</f>
        <v>4347279</v>
      </c>
      <c r="Y22" s="33"/>
      <c r="Z22" s="34"/>
      <c r="AA22" s="33">
        <f t="shared" si="3"/>
        <v>4347279</v>
      </c>
    </row>
    <row r="23" spans="1:27" s="35" customFormat="1" ht="26.25" customHeight="1" x14ac:dyDescent="0.25">
      <c r="A23" s="16"/>
      <c r="B23" s="28">
        <v>20</v>
      </c>
      <c r="C23" s="36" t="s">
        <v>51</v>
      </c>
      <c r="D23" s="30" t="s">
        <v>32</v>
      </c>
      <c r="E23" s="31">
        <v>3500000</v>
      </c>
      <c r="F23" s="31">
        <v>30</v>
      </c>
      <c r="G23" s="31">
        <f>+E23/30*F23</f>
        <v>3500000</v>
      </c>
      <c r="H23" s="31"/>
      <c r="I23" s="31"/>
      <c r="J23" s="31"/>
      <c r="K23" s="31"/>
      <c r="L23" s="31"/>
      <c r="M23" s="31">
        <v>500000</v>
      </c>
      <c r="N23" s="31">
        <f>SUM(G23:M23)</f>
        <v>4000000</v>
      </c>
      <c r="O23" s="31">
        <f>+G23*4%</f>
        <v>140000</v>
      </c>
      <c r="P23" s="31">
        <f t="shared" si="4"/>
        <v>140000</v>
      </c>
      <c r="Q23" s="31"/>
      <c r="R23" s="31">
        <v>0</v>
      </c>
      <c r="S23" s="31">
        <f t="shared" si="2"/>
        <v>35000</v>
      </c>
      <c r="T23" s="31">
        <v>0</v>
      </c>
      <c r="U23" s="31"/>
      <c r="V23" s="31">
        <v>500000</v>
      </c>
      <c r="W23" s="31">
        <f t="shared" si="0"/>
        <v>815000</v>
      </c>
      <c r="X23" s="33">
        <f>+N23-W23</f>
        <v>3185000</v>
      </c>
      <c r="Y23" s="33"/>
      <c r="Z23" s="34"/>
      <c r="AA23" s="33">
        <f t="shared" si="3"/>
        <v>3185000</v>
      </c>
    </row>
    <row r="24" spans="1:27" s="43" customFormat="1" ht="24" customHeight="1" x14ac:dyDescent="0.25">
      <c r="A24" s="16"/>
      <c r="B24" s="17">
        <v>21</v>
      </c>
      <c r="C24" s="37" t="s">
        <v>52</v>
      </c>
      <c r="D24" s="38" t="s">
        <v>32</v>
      </c>
      <c r="E24" s="39">
        <v>3750000</v>
      </c>
      <c r="F24" s="39">
        <v>30</v>
      </c>
      <c r="G24" s="39">
        <f>E24/30*F24</f>
        <v>3750000</v>
      </c>
      <c r="H24" s="39"/>
      <c r="I24" s="39"/>
      <c r="J24" s="39"/>
      <c r="K24" s="39"/>
      <c r="L24" s="39"/>
      <c r="M24" s="39"/>
      <c r="N24" s="39">
        <f>SUM(G24:M24)</f>
        <v>3750000</v>
      </c>
      <c r="O24" s="39">
        <f>N24*4%</f>
        <v>150000</v>
      </c>
      <c r="P24" s="39">
        <f t="shared" si="4"/>
        <v>150000</v>
      </c>
      <c r="Q24" s="39"/>
      <c r="R24" s="39">
        <v>0</v>
      </c>
      <c r="S24" s="39">
        <f t="shared" si="2"/>
        <v>37500</v>
      </c>
      <c r="T24" s="39">
        <v>0</v>
      </c>
      <c r="U24" s="39"/>
      <c r="V24" s="39"/>
      <c r="W24" s="39">
        <f t="shared" si="0"/>
        <v>337500</v>
      </c>
      <c r="X24" s="40">
        <f>+N24-W24</f>
        <v>3412500</v>
      </c>
      <c r="Y24" s="40"/>
      <c r="Z24" s="41"/>
      <c r="AA24" s="40">
        <f t="shared" si="3"/>
        <v>3412500</v>
      </c>
    </row>
    <row r="25" spans="1:27" s="43" customFormat="1" ht="19.5" customHeight="1" x14ac:dyDescent="0.25">
      <c r="A25" s="16"/>
      <c r="B25" s="17">
        <v>22</v>
      </c>
      <c r="C25" s="44" t="s">
        <v>53</v>
      </c>
      <c r="D25" s="45" t="s">
        <v>32</v>
      </c>
      <c r="E25" s="39">
        <v>4200000</v>
      </c>
      <c r="F25" s="39">
        <v>30</v>
      </c>
      <c r="G25" s="39">
        <f t="shared" ref="G25:G32" si="5">+E25/30*F25</f>
        <v>4200000</v>
      </c>
      <c r="H25" s="39"/>
      <c r="I25" s="39"/>
      <c r="J25" s="39"/>
      <c r="K25" s="39"/>
      <c r="L25" s="39"/>
      <c r="M25" s="39"/>
      <c r="N25" s="39">
        <f>G25+J25</f>
        <v>4200000</v>
      </c>
      <c r="O25" s="39">
        <f>N25*4%</f>
        <v>168000</v>
      </c>
      <c r="P25" s="39">
        <f t="shared" si="4"/>
        <v>168000</v>
      </c>
      <c r="Q25" s="39"/>
      <c r="R25" s="39">
        <v>55639</v>
      </c>
      <c r="S25" s="39">
        <f>N25*1%</f>
        <v>42000</v>
      </c>
      <c r="T25" s="39">
        <v>58139</v>
      </c>
      <c r="U25" s="39"/>
      <c r="V25" s="39"/>
      <c r="W25" s="39">
        <f t="shared" si="0"/>
        <v>491778</v>
      </c>
      <c r="X25" s="40">
        <f>N25-W25</f>
        <v>3708222</v>
      </c>
      <c r="Y25" s="40"/>
      <c r="Z25" s="41">
        <v>125685</v>
      </c>
      <c r="AA25" s="40">
        <f t="shared" si="3"/>
        <v>3582537</v>
      </c>
    </row>
    <row r="26" spans="1:27" s="43" customFormat="1" ht="19.5" customHeight="1" x14ac:dyDescent="0.25">
      <c r="A26" s="16"/>
      <c r="B26" s="17">
        <v>23</v>
      </c>
      <c r="C26" s="44" t="s">
        <v>54</v>
      </c>
      <c r="D26" s="45" t="s">
        <v>32</v>
      </c>
      <c r="E26" s="39">
        <v>5000000</v>
      </c>
      <c r="F26" s="39">
        <v>30</v>
      </c>
      <c r="G26" s="39">
        <f t="shared" si="5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>G26+M26</f>
        <v>5400000</v>
      </c>
      <c r="O26" s="39">
        <f>G26*4%</f>
        <v>200000</v>
      </c>
      <c r="P26" s="39">
        <f>O26</f>
        <v>200000</v>
      </c>
      <c r="Q26" s="39"/>
      <c r="R26" s="39">
        <v>28439</v>
      </c>
      <c r="S26" s="39">
        <f>G26*1%</f>
        <v>50000</v>
      </c>
      <c r="T26" s="39">
        <v>166439</v>
      </c>
      <c r="U26" s="39"/>
      <c r="V26" s="39"/>
      <c r="W26" s="39">
        <f t="shared" si="0"/>
        <v>644878</v>
      </c>
      <c r="X26" s="40">
        <f>N26-W26</f>
        <v>4755122</v>
      </c>
      <c r="Y26" s="40"/>
      <c r="Z26" s="41">
        <v>34426</v>
      </c>
      <c r="AA26" s="40">
        <f t="shared" si="3"/>
        <v>4720696</v>
      </c>
    </row>
    <row r="27" spans="1:27" s="43" customFormat="1" ht="25.5" x14ac:dyDescent="0.25">
      <c r="A27" s="16"/>
      <c r="B27" s="17">
        <v>24</v>
      </c>
      <c r="C27" s="46" t="s">
        <v>55</v>
      </c>
      <c r="D27" s="38" t="s">
        <v>32</v>
      </c>
      <c r="E27" s="39">
        <v>4410000</v>
      </c>
      <c r="F27" s="39">
        <v>30</v>
      </c>
      <c r="G27" s="39">
        <f t="shared" si="5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>
        <v>23568</v>
      </c>
      <c r="S27" s="39">
        <f t="shared" si="2"/>
        <v>44100</v>
      </c>
      <c r="T27" s="39">
        <v>86568</v>
      </c>
      <c r="U27" s="39"/>
      <c r="V27" s="39"/>
      <c r="W27" s="39">
        <f t="shared" si="0"/>
        <v>507036</v>
      </c>
      <c r="X27" s="40">
        <f>+N27-W27</f>
        <v>3902964</v>
      </c>
      <c r="Y27" s="40"/>
      <c r="Z27" s="41"/>
      <c r="AA27" s="40">
        <f t="shared" si="3"/>
        <v>3902964</v>
      </c>
    </row>
    <row r="28" spans="1:27" s="43" customFormat="1" ht="12.75" x14ac:dyDescent="0.25">
      <c r="A28" s="16"/>
      <c r="B28" s="17">
        <v>25</v>
      </c>
      <c r="C28" s="46" t="s">
        <v>56</v>
      </c>
      <c r="D28" s="38" t="s">
        <v>32</v>
      </c>
      <c r="E28" s="39">
        <v>4180000</v>
      </c>
      <c r="F28" s="39">
        <v>30</v>
      </c>
      <c r="G28" s="39">
        <f t="shared" si="5"/>
        <v>4180000.0000000005</v>
      </c>
      <c r="H28" s="39"/>
      <c r="I28" s="39"/>
      <c r="J28" s="39"/>
      <c r="K28" s="39"/>
      <c r="L28" s="39"/>
      <c r="M28" s="39">
        <v>500000</v>
      </c>
      <c r="N28" s="39">
        <f>SUM(G28:M28)</f>
        <v>4680000</v>
      </c>
      <c r="O28" s="39">
        <f>+G28*4%</f>
        <v>167200.00000000003</v>
      </c>
      <c r="P28" s="39">
        <f>+O28</f>
        <v>167200.00000000003</v>
      </c>
      <c r="Q28" s="39"/>
      <c r="R28" s="39">
        <v>47132</v>
      </c>
      <c r="S28" s="39">
        <f t="shared" si="2"/>
        <v>41800.000000000007</v>
      </c>
      <c r="T28" s="39">
        <v>55432</v>
      </c>
      <c r="U28" s="39"/>
      <c r="V28" s="39"/>
      <c r="W28" s="39">
        <f t="shared" si="0"/>
        <v>478764.00000000006</v>
      </c>
      <c r="X28" s="40">
        <f>+N28-W28</f>
        <v>4201236</v>
      </c>
      <c r="Y28" s="40"/>
      <c r="Z28" s="41">
        <v>48440</v>
      </c>
      <c r="AA28" s="40">
        <f t="shared" si="3"/>
        <v>4152796</v>
      </c>
    </row>
    <row r="29" spans="1:27" s="43" customFormat="1" ht="12.75" x14ac:dyDescent="0.25">
      <c r="A29" s="16"/>
      <c r="B29" s="17">
        <v>26</v>
      </c>
      <c r="C29" s="46" t="s">
        <v>57</v>
      </c>
      <c r="D29" s="38" t="s">
        <v>32</v>
      </c>
      <c r="E29" s="39">
        <v>4000000</v>
      </c>
      <c r="F29" s="39">
        <v>30</v>
      </c>
      <c r="G29" s="39">
        <f t="shared" si="5"/>
        <v>4000000.0000000005</v>
      </c>
      <c r="H29" s="39"/>
      <c r="I29" s="39"/>
      <c r="J29" s="39"/>
      <c r="K29" s="39"/>
      <c r="L29" s="39"/>
      <c r="M29" s="39"/>
      <c r="N29" s="39">
        <f>G29</f>
        <v>4000000.0000000005</v>
      </c>
      <c r="O29" s="39">
        <f>N29*4%</f>
        <v>160000.00000000003</v>
      </c>
      <c r="P29" s="39">
        <f>O29</f>
        <v>160000.00000000003</v>
      </c>
      <c r="Q29" s="39"/>
      <c r="R29" s="39">
        <v>22764</v>
      </c>
      <c r="S29" s="39">
        <v>40000</v>
      </c>
      <c r="T29" s="39">
        <v>31064</v>
      </c>
      <c r="U29" s="39"/>
      <c r="V29" s="39"/>
      <c r="W29" s="39">
        <f t="shared" si="0"/>
        <v>413828.00000000006</v>
      </c>
      <c r="X29" s="40">
        <f>N29-W29</f>
        <v>3586172.0000000005</v>
      </c>
      <c r="Y29" s="40"/>
      <c r="Z29" s="41">
        <v>17941</v>
      </c>
      <c r="AA29" s="40">
        <f t="shared" si="3"/>
        <v>3568231.0000000005</v>
      </c>
    </row>
    <row r="30" spans="1:27" s="43" customFormat="1" ht="12.75" x14ac:dyDescent="0.25">
      <c r="A30" s="16"/>
      <c r="B30" s="17">
        <v>27</v>
      </c>
      <c r="C30" s="46" t="s">
        <v>58</v>
      </c>
      <c r="D30" s="38" t="s">
        <v>32</v>
      </c>
      <c r="E30" s="39">
        <v>4000000</v>
      </c>
      <c r="F30" s="39">
        <v>19</v>
      </c>
      <c r="G30" s="39">
        <f t="shared" si="5"/>
        <v>2533333.3333333335</v>
      </c>
      <c r="H30" s="39"/>
      <c r="I30" s="39"/>
      <c r="J30" s="39"/>
      <c r="K30" s="39"/>
      <c r="L30" s="39"/>
      <c r="M30" s="39">
        <v>190000</v>
      </c>
      <c r="N30" s="39">
        <f>G30</f>
        <v>2533333.3333333335</v>
      </c>
      <c r="O30" s="39">
        <f>N30*4%</f>
        <v>101333.33333333334</v>
      </c>
      <c r="P30" s="39">
        <f>O30</f>
        <v>101333.33333333334</v>
      </c>
      <c r="Q30" s="39"/>
      <c r="R30" s="39">
        <v>0</v>
      </c>
      <c r="S30" s="39">
        <v>40000</v>
      </c>
      <c r="T30" s="39">
        <v>98752</v>
      </c>
      <c r="U30" s="39"/>
      <c r="V30" s="39"/>
      <c r="W30" s="39">
        <f t="shared" si="0"/>
        <v>341418.66666666669</v>
      </c>
      <c r="X30" s="40">
        <f>N30-W30</f>
        <v>2191914.666666667</v>
      </c>
      <c r="Y30" s="40"/>
      <c r="Z30" s="41"/>
      <c r="AA30" s="40">
        <f t="shared" si="3"/>
        <v>2191914.666666667</v>
      </c>
    </row>
    <row r="31" spans="1:27" s="43" customFormat="1" ht="12.75" x14ac:dyDescent="0.25">
      <c r="A31" s="47"/>
      <c r="B31" s="17">
        <v>28</v>
      </c>
      <c r="C31" s="46" t="s">
        <v>59</v>
      </c>
      <c r="D31" s="38" t="s">
        <v>32</v>
      </c>
      <c r="E31" s="39">
        <v>5500000</v>
      </c>
      <c r="F31" s="39">
        <v>30</v>
      </c>
      <c r="G31" s="39">
        <f t="shared" si="5"/>
        <v>5500000</v>
      </c>
      <c r="H31" s="39"/>
      <c r="I31" s="39"/>
      <c r="J31" s="39"/>
      <c r="K31" s="39"/>
      <c r="L31" s="39"/>
      <c r="M31" s="39"/>
      <c r="N31" s="39">
        <f>SUM(G31:M31)</f>
        <v>5500000</v>
      </c>
      <c r="O31" s="39">
        <f>+G31*4%</f>
        <v>220000</v>
      </c>
      <c r="P31" s="39">
        <f>+O31</f>
        <v>220000</v>
      </c>
      <c r="Q31" s="39"/>
      <c r="R31" s="39">
        <v>31627</v>
      </c>
      <c r="S31" s="39">
        <f t="shared" si="2"/>
        <v>55000</v>
      </c>
      <c r="T31" s="39">
        <v>91627</v>
      </c>
      <c r="U31" s="39">
        <v>1000000</v>
      </c>
      <c r="V31" s="39">
        <v>399232</v>
      </c>
      <c r="W31" s="39">
        <f t="shared" si="0"/>
        <v>2017486</v>
      </c>
      <c r="X31" s="40">
        <f>N31-W31</f>
        <v>3482514</v>
      </c>
      <c r="Y31" s="40"/>
      <c r="Z31" s="41">
        <v>134806</v>
      </c>
      <c r="AA31" s="40">
        <f t="shared" si="3"/>
        <v>3347708</v>
      </c>
    </row>
    <row r="32" spans="1:27" s="43" customFormat="1" ht="23.25" customHeight="1" x14ac:dyDescent="0.25">
      <c r="A32" s="11" t="s">
        <v>60</v>
      </c>
      <c r="B32" s="17">
        <v>29</v>
      </c>
      <c r="C32" s="46" t="s">
        <v>61</v>
      </c>
      <c r="D32" s="38" t="s">
        <v>32</v>
      </c>
      <c r="E32" s="39">
        <v>1500000</v>
      </c>
      <c r="F32" s="39">
        <v>30</v>
      </c>
      <c r="G32" s="39">
        <f t="shared" si="5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3"/>
        <v>1902500</v>
      </c>
    </row>
    <row r="33" spans="1:27" s="43" customFormat="1" ht="18" customHeight="1" x14ac:dyDescent="0.25">
      <c r="A33" s="16"/>
      <c r="B33" s="17">
        <v>30</v>
      </c>
      <c r="C33" s="44" t="s">
        <v>62</v>
      </c>
      <c r="D33" s="45" t="s">
        <v>32</v>
      </c>
      <c r="E33" s="39">
        <v>1800000</v>
      </c>
      <c r="F33" s="39">
        <v>30</v>
      </c>
      <c r="G33" s="39">
        <f>E33/30*F33</f>
        <v>1800000</v>
      </c>
      <c r="H33" s="39"/>
      <c r="I33" s="39"/>
      <c r="J33" s="39"/>
      <c r="K33" s="39"/>
      <c r="L33" s="39"/>
      <c r="M33" s="39"/>
      <c r="N33" s="39">
        <f>G33</f>
        <v>1800000</v>
      </c>
      <c r="O33" s="39">
        <f>G33*4%</f>
        <v>72000</v>
      </c>
      <c r="P33" s="39">
        <f>N33*4%</f>
        <v>72000</v>
      </c>
      <c r="Q33" s="39"/>
      <c r="R33" s="39"/>
      <c r="S33" s="39"/>
      <c r="T33" s="39"/>
      <c r="U33" s="39"/>
      <c r="V33" s="39">
        <v>90000</v>
      </c>
      <c r="W33" s="39">
        <f t="shared" si="0"/>
        <v>234000</v>
      </c>
      <c r="X33" s="40">
        <f>N33-W33</f>
        <v>1566000</v>
      </c>
      <c r="Y33" s="40"/>
      <c r="Z33" s="41">
        <v>51060</v>
      </c>
      <c r="AA33" s="40">
        <f t="shared" si="3"/>
        <v>1514940</v>
      </c>
    </row>
    <row r="34" spans="1:27" s="43" customFormat="1" ht="25.5" customHeight="1" x14ac:dyDescent="0.25">
      <c r="A34" s="16"/>
      <c r="B34" s="17">
        <v>31</v>
      </c>
      <c r="C34" s="46" t="s">
        <v>63</v>
      </c>
      <c r="D34" s="38" t="s">
        <v>32</v>
      </c>
      <c r="E34" s="39">
        <v>3000000</v>
      </c>
      <c r="F34" s="39">
        <v>30</v>
      </c>
      <c r="G34" s="39">
        <f>+E34/30*F34</f>
        <v>3000000</v>
      </c>
      <c r="H34" s="39"/>
      <c r="I34" s="39"/>
      <c r="J34" s="39"/>
      <c r="K34" s="39"/>
      <c r="L34" s="39"/>
      <c r="M34" s="39">
        <v>500000</v>
      </c>
      <c r="N34" s="39">
        <f>SUM(G34:M34)</f>
        <v>3500000</v>
      </c>
      <c r="O34" s="39">
        <f>+G34*4%</f>
        <v>120000</v>
      </c>
      <c r="P34" s="39">
        <f>+O34</f>
        <v>120000</v>
      </c>
      <c r="Q34" s="39"/>
      <c r="R34" s="39"/>
      <c r="S34" s="39">
        <f>+G34*0.01</f>
        <v>30000</v>
      </c>
      <c r="T34" s="39"/>
      <c r="U34" s="39"/>
      <c r="V34" s="39"/>
      <c r="W34" s="39">
        <f t="shared" si="0"/>
        <v>270000</v>
      </c>
      <c r="X34" s="40">
        <f>+N34-W34</f>
        <v>3230000</v>
      </c>
      <c r="Y34" s="40"/>
      <c r="Z34" s="41"/>
      <c r="AA34" s="40">
        <f t="shared" si="3"/>
        <v>3230000</v>
      </c>
    </row>
    <row r="35" spans="1:27" s="43" customFormat="1" ht="27.75" customHeight="1" x14ac:dyDescent="0.25">
      <c r="A35" s="16"/>
      <c r="B35" s="17">
        <v>32</v>
      </c>
      <c r="C35" s="46" t="s">
        <v>64</v>
      </c>
      <c r="D35" s="38" t="s">
        <v>32</v>
      </c>
      <c r="E35" s="39">
        <v>4000000</v>
      </c>
      <c r="F35" s="39">
        <v>30</v>
      </c>
      <c r="G35" s="39">
        <f>+E35/30*F35</f>
        <v>4000000.0000000005</v>
      </c>
      <c r="H35" s="39"/>
      <c r="I35" s="39"/>
      <c r="J35" s="39"/>
      <c r="K35" s="39"/>
      <c r="L35" s="39"/>
      <c r="M35" s="39"/>
      <c r="N35" s="39">
        <f>SUM(G35:M35)</f>
        <v>4000000.0000000005</v>
      </c>
      <c r="O35" s="39">
        <f>+G35*4%</f>
        <v>160000.00000000003</v>
      </c>
      <c r="P35" s="39">
        <f>+O35</f>
        <v>160000.00000000003</v>
      </c>
      <c r="Q35" s="39"/>
      <c r="R35" s="39"/>
      <c r="S35" s="39">
        <f>+G35*0.01</f>
        <v>40000.000000000007</v>
      </c>
      <c r="T35" s="39"/>
      <c r="U35" s="39"/>
      <c r="V35" s="39"/>
      <c r="W35" s="39">
        <f t="shared" si="0"/>
        <v>360000.00000000006</v>
      </c>
      <c r="X35" s="40">
        <f>+N35-W35</f>
        <v>3640000.0000000005</v>
      </c>
      <c r="Y35" s="40"/>
      <c r="Z35" s="41"/>
      <c r="AA35" s="40">
        <f t="shared" si="3"/>
        <v>3640000.0000000005</v>
      </c>
    </row>
    <row r="36" spans="1:27" s="43" customFormat="1" ht="23.25" customHeight="1" x14ac:dyDescent="0.25">
      <c r="A36" s="16"/>
      <c r="B36" s="17">
        <v>33</v>
      </c>
      <c r="C36" s="46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3"/>
        <v>644350</v>
      </c>
    </row>
    <row r="37" spans="1:27" s="43" customFormat="1" ht="22.5" customHeight="1" x14ac:dyDescent="0.25">
      <c r="A37" s="16"/>
      <c r="B37" s="17">
        <v>34</v>
      </c>
      <c r="C37" s="46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>G37</f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3"/>
        <v>644350</v>
      </c>
    </row>
    <row r="38" spans="1:27" s="43" customFormat="1" ht="18" customHeight="1" x14ac:dyDescent="0.25">
      <c r="A38" s="16"/>
      <c r="B38" s="17">
        <v>35</v>
      </c>
      <c r="C38" s="44" t="s">
        <v>67</v>
      </c>
      <c r="D38" s="45" t="s">
        <v>32</v>
      </c>
      <c r="E38" s="39">
        <v>1300000</v>
      </c>
      <c r="F38" s="39">
        <v>29</v>
      </c>
      <c r="G38" s="39">
        <f>+E38/30*F38+28890</f>
        <v>1285556.6666666667</v>
      </c>
      <c r="H38" s="39"/>
      <c r="I38" s="39"/>
      <c r="J38" s="39"/>
      <c r="K38" s="39"/>
      <c r="L38" s="39"/>
      <c r="M38" s="39"/>
      <c r="N38" s="39">
        <f>G38+H38</f>
        <v>1285556.6666666667</v>
      </c>
      <c r="O38" s="39">
        <f>G38*4%</f>
        <v>51422.26666666667</v>
      </c>
      <c r="P38" s="39">
        <f>+O38</f>
        <v>51422.26666666667</v>
      </c>
      <c r="Q38" s="39"/>
      <c r="R38" s="39"/>
      <c r="S38" s="39"/>
      <c r="T38" s="39"/>
      <c r="U38" s="39"/>
      <c r="V38" s="39"/>
      <c r="W38" s="39">
        <f t="shared" si="0"/>
        <v>102844.53333333334</v>
      </c>
      <c r="X38" s="40">
        <f>N38-W38</f>
        <v>1182712.1333333333</v>
      </c>
      <c r="Y38" s="40"/>
      <c r="Z38" s="41">
        <v>20745</v>
      </c>
      <c r="AA38" s="40">
        <f t="shared" si="3"/>
        <v>1161967.1333333333</v>
      </c>
    </row>
    <row r="39" spans="1:27" s="43" customFormat="1" ht="12.75" x14ac:dyDescent="0.25">
      <c r="A39" s="16"/>
      <c r="B39" s="17">
        <v>36</v>
      </c>
      <c r="C39" s="46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>SUM(G39:M39)</f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4" si="6">N39-W39</f>
        <v>2800000</v>
      </c>
      <c r="Y39" s="40"/>
      <c r="Z39" s="41">
        <v>74479</v>
      </c>
      <c r="AA39" s="40">
        <f t="shared" si="3"/>
        <v>2725521</v>
      </c>
    </row>
    <row r="40" spans="1:27" s="43" customFormat="1" ht="12.75" x14ac:dyDescent="0.25">
      <c r="A40" s="16"/>
      <c r="B40" s="17">
        <v>37</v>
      </c>
      <c r="C40" s="46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>G40</f>
        <v>1500000</v>
      </c>
      <c r="O40" s="39">
        <f>N40*4%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6"/>
        <v>1380000</v>
      </c>
      <c r="Y40" s="40"/>
      <c r="Z40" s="41">
        <v>28498</v>
      </c>
      <c r="AA40" s="40">
        <f t="shared" si="3"/>
        <v>1351502</v>
      </c>
    </row>
    <row r="41" spans="1:27" s="43" customFormat="1" ht="12.75" x14ac:dyDescent="0.25">
      <c r="A41" s="16"/>
      <c r="B41" s="17">
        <v>38</v>
      </c>
      <c r="C41" s="46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>G41</f>
        <v>1700000</v>
      </c>
      <c r="O41" s="39">
        <f>N41*4%</f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6"/>
        <v>1564000</v>
      </c>
      <c r="Y41" s="40"/>
      <c r="Z41" s="41">
        <v>23186</v>
      </c>
      <c r="AA41" s="40">
        <f t="shared" si="3"/>
        <v>1540814</v>
      </c>
    </row>
    <row r="42" spans="1:27" s="43" customFormat="1" ht="12.75" x14ac:dyDescent="0.25">
      <c r="A42" s="16"/>
      <c r="B42" s="17">
        <v>39</v>
      </c>
      <c r="C42" s="46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>G42+H42</f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/>
      <c r="U42" s="39"/>
      <c r="V42" s="39"/>
      <c r="W42" s="39">
        <f t="shared" si="0"/>
        <v>104000</v>
      </c>
      <c r="X42" s="40">
        <f t="shared" si="6"/>
        <v>1196000</v>
      </c>
      <c r="Y42" s="40"/>
      <c r="Z42" s="41">
        <v>23202</v>
      </c>
      <c r="AA42" s="40">
        <f t="shared" si="3"/>
        <v>1172798</v>
      </c>
    </row>
    <row r="43" spans="1:27" s="43" customFormat="1" ht="12.75" x14ac:dyDescent="0.25">
      <c r="A43" s="16"/>
      <c r="B43" s="17">
        <v>40</v>
      </c>
      <c r="C43" s="44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>G43</f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6"/>
        <v>2300000</v>
      </c>
      <c r="Y43" s="40"/>
      <c r="Z43" s="41">
        <v>75000</v>
      </c>
      <c r="AA43" s="40">
        <f t="shared" si="3"/>
        <v>2225000</v>
      </c>
    </row>
    <row r="44" spans="1:27" s="43" customFormat="1" ht="12.75" x14ac:dyDescent="0.25">
      <c r="A44" s="16"/>
      <c r="B44" s="17">
        <v>41</v>
      </c>
      <c r="C44" s="44" t="s">
        <v>73</v>
      </c>
      <c r="D44" s="45" t="s">
        <v>32</v>
      </c>
      <c r="E44" s="39">
        <v>3500000</v>
      </c>
      <c r="F44" s="39">
        <v>30</v>
      </c>
      <c r="G44" s="39">
        <f>E44/30*F44</f>
        <v>3500000</v>
      </c>
      <c r="H44" s="39"/>
      <c r="I44" s="39"/>
      <c r="J44" s="39"/>
      <c r="K44" s="39"/>
      <c r="L44" s="39"/>
      <c r="M44" s="39"/>
      <c r="N44" s="39">
        <f>G44</f>
        <v>3500000</v>
      </c>
      <c r="O44" s="39">
        <f>N44*4%</f>
        <v>140000</v>
      </c>
      <c r="P44" s="39">
        <f>O44</f>
        <v>140000</v>
      </c>
      <c r="Q44" s="39"/>
      <c r="R44" s="39"/>
      <c r="S44" s="39">
        <f>N44*1%</f>
        <v>35000</v>
      </c>
      <c r="T44" s="39"/>
      <c r="U44" s="39"/>
      <c r="V44" s="39"/>
      <c r="W44" s="39">
        <f t="shared" si="0"/>
        <v>315000</v>
      </c>
      <c r="X44" s="40">
        <f t="shared" si="6"/>
        <v>3185000</v>
      </c>
      <c r="Y44" s="40"/>
      <c r="Z44" s="41">
        <v>75133</v>
      </c>
      <c r="AA44" s="40">
        <f t="shared" si="3"/>
        <v>3109867</v>
      </c>
    </row>
    <row r="45" spans="1:27" s="43" customFormat="1" ht="12.75" x14ac:dyDescent="0.25">
      <c r="A45" s="16"/>
      <c r="B45" s="17">
        <v>42</v>
      </c>
      <c r="C45" s="46" t="s">
        <v>74</v>
      </c>
      <c r="D45" s="38" t="s">
        <v>32</v>
      </c>
      <c r="E45" s="39">
        <v>1000000</v>
      </c>
      <c r="F45" s="39">
        <v>29</v>
      </c>
      <c r="G45" s="39">
        <f>E45/30*F45</f>
        <v>966666.66666666674</v>
      </c>
      <c r="H45" s="39"/>
      <c r="I45" s="39"/>
      <c r="J45" s="39"/>
      <c r="K45" s="39"/>
      <c r="L45" s="39"/>
      <c r="M45" s="39"/>
      <c r="N45" s="39">
        <f>SUM(G45:M45)</f>
        <v>966666.66666666674</v>
      </c>
      <c r="O45" s="39">
        <f>+G45*4%</f>
        <v>38666.666666666672</v>
      </c>
      <c r="P45" s="39">
        <f t="shared" ref="P45:P53" si="7">+O45</f>
        <v>38666.666666666672</v>
      </c>
      <c r="Q45" s="39"/>
      <c r="R45" s="39"/>
      <c r="S45" s="39"/>
      <c r="T45" s="39"/>
      <c r="U45" s="39"/>
      <c r="V45" s="39"/>
      <c r="W45" s="39">
        <f t="shared" si="0"/>
        <v>77333.333333333343</v>
      </c>
      <c r="X45" s="40">
        <f t="shared" ref="X45:X50" si="8">+N45-W45</f>
        <v>889333.33333333337</v>
      </c>
      <c r="Y45" s="40"/>
      <c r="Z45" s="41"/>
      <c r="AA45" s="40">
        <f t="shared" si="3"/>
        <v>889333.33333333337</v>
      </c>
    </row>
    <row r="46" spans="1:27" s="43" customFormat="1" ht="22.5" customHeight="1" x14ac:dyDescent="0.25">
      <c r="A46" s="16"/>
      <c r="B46" s="17">
        <v>43</v>
      </c>
      <c r="C46" s="46" t="s">
        <v>75</v>
      </c>
      <c r="D46" s="38" t="s">
        <v>32</v>
      </c>
      <c r="E46" s="39">
        <v>3000000</v>
      </c>
      <c r="F46" s="39">
        <v>30</v>
      </c>
      <c r="G46" s="39">
        <f t="shared" ref="G46:G53" si="9">+E46/30*F46</f>
        <v>3000000</v>
      </c>
      <c r="H46" s="39"/>
      <c r="I46" s="39"/>
      <c r="J46" s="39"/>
      <c r="K46" s="39"/>
      <c r="L46" s="39"/>
      <c r="M46" s="39"/>
      <c r="N46" s="39">
        <f>SUM(G46:M46)</f>
        <v>3000000</v>
      </c>
      <c r="O46" s="39">
        <f>N46*4%</f>
        <v>120000</v>
      </c>
      <c r="P46" s="39">
        <f t="shared" si="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8"/>
        <v>2730000</v>
      </c>
      <c r="Y46" s="40"/>
      <c r="Z46" s="41">
        <v>21674</v>
      </c>
      <c r="AA46" s="40">
        <f t="shared" si="3"/>
        <v>2708326</v>
      </c>
    </row>
    <row r="47" spans="1:27" s="43" customFormat="1" ht="21" customHeight="1" x14ac:dyDescent="0.25">
      <c r="A47" s="16"/>
      <c r="B47" s="17">
        <v>44</v>
      </c>
      <c r="C47" s="46" t="s">
        <v>76</v>
      </c>
      <c r="D47" s="38" t="s">
        <v>32</v>
      </c>
      <c r="E47" s="39">
        <v>2500000</v>
      </c>
      <c r="F47" s="39">
        <v>30</v>
      </c>
      <c r="G47" s="39">
        <f t="shared" si="9"/>
        <v>2500000</v>
      </c>
      <c r="H47" s="39"/>
      <c r="I47" s="39"/>
      <c r="J47" s="39"/>
      <c r="K47" s="39"/>
      <c r="L47" s="39"/>
      <c r="M47" s="39">
        <v>500000</v>
      </c>
      <c r="N47" s="39">
        <f>SUM(G47:M47)</f>
        <v>3000000</v>
      </c>
      <c r="O47" s="39">
        <f>+G47*4%</f>
        <v>100000</v>
      </c>
      <c r="P47" s="39">
        <f t="shared" si="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8"/>
        <v>2800000</v>
      </c>
      <c r="Y47" s="40">
        <v>90000</v>
      </c>
      <c r="Z47" s="41">
        <v>9667</v>
      </c>
      <c r="AA47" s="40">
        <f t="shared" si="3"/>
        <v>2880333</v>
      </c>
    </row>
    <row r="48" spans="1:27" s="43" customFormat="1" ht="22.5" customHeight="1" x14ac:dyDescent="0.25">
      <c r="A48" s="16"/>
      <c r="B48" s="17">
        <v>45</v>
      </c>
      <c r="C48" s="46" t="s">
        <v>77</v>
      </c>
      <c r="D48" s="38" t="s">
        <v>32</v>
      </c>
      <c r="E48" s="39">
        <v>2000000</v>
      </c>
      <c r="F48" s="39">
        <v>30</v>
      </c>
      <c r="G48" s="39">
        <f t="shared" si="9"/>
        <v>2000000.0000000002</v>
      </c>
      <c r="H48" s="39"/>
      <c r="I48" s="39"/>
      <c r="J48" s="39"/>
      <c r="K48" s="39"/>
      <c r="L48" s="39"/>
      <c r="M48" s="39"/>
      <c r="N48" s="39">
        <f>G48</f>
        <v>2000000.0000000002</v>
      </c>
      <c r="O48" s="39">
        <f>N48*4%</f>
        <v>80000.000000000015</v>
      </c>
      <c r="P48" s="39">
        <f t="shared" si="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3"/>
        <v>1840000.0000000002</v>
      </c>
    </row>
    <row r="49" spans="1:27" s="43" customFormat="1" ht="12.75" x14ac:dyDescent="0.25">
      <c r="A49" s="16"/>
      <c r="B49" s="17">
        <v>46</v>
      </c>
      <c r="C49" s="46" t="s">
        <v>78</v>
      </c>
      <c r="D49" s="38" t="s">
        <v>32</v>
      </c>
      <c r="E49" s="39">
        <v>1500000</v>
      </c>
      <c r="F49" s="39">
        <v>30</v>
      </c>
      <c r="G49" s="39">
        <f t="shared" si="9"/>
        <v>1500000</v>
      </c>
      <c r="H49" s="39"/>
      <c r="I49" s="39"/>
      <c r="J49" s="39"/>
      <c r="K49" s="39"/>
      <c r="L49" s="39"/>
      <c r="M49" s="39"/>
      <c r="N49" s="39">
        <f>SUM(G49:M49)</f>
        <v>1500000</v>
      </c>
      <c r="O49" s="39">
        <f>G49*4%</f>
        <v>60000</v>
      </c>
      <c r="P49" s="39">
        <f t="shared" si="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8"/>
        <v>1380000</v>
      </c>
      <c r="Y49" s="40"/>
      <c r="Z49" s="41">
        <v>30813</v>
      </c>
      <c r="AA49" s="40">
        <f t="shared" si="3"/>
        <v>1349187</v>
      </c>
    </row>
    <row r="50" spans="1:27" s="43" customFormat="1" ht="24.75" customHeight="1" x14ac:dyDescent="0.25">
      <c r="A50" s="16"/>
      <c r="B50" s="17">
        <v>47</v>
      </c>
      <c r="C50" s="46" t="s">
        <v>79</v>
      </c>
      <c r="D50" s="38" t="s">
        <v>32</v>
      </c>
      <c r="E50" s="39">
        <v>1300000</v>
      </c>
      <c r="F50" s="39">
        <v>30</v>
      </c>
      <c r="G50" s="39">
        <f t="shared" si="9"/>
        <v>1300000</v>
      </c>
      <c r="H50" s="39"/>
      <c r="I50" s="39"/>
      <c r="J50" s="39"/>
      <c r="K50" s="39"/>
      <c r="L50" s="39"/>
      <c r="M50" s="39"/>
      <c r="N50" s="39">
        <f>SUM(G50:M50)</f>
        <v>1300000</v>
      </c>
      <c r="O50" s="39">
        <f>+G50*4%</f>
        <v>52000</v>
      </c>
      <c r="P50" s="39">
        <f t="shared" si="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8"/>
        <v>1196000</v>
      </c>
      <c r="Y50" s="40"/>
      <c r="Z50" s="41"/>
      <c r="AA50" s="40">
        <f t="shared" si="3"/>
        <v>1196000</v>
      </c>
    </row>
    <row r="51" spans="1:27" s="43" customFormat="1" ht="12" customHeight="1" x14ac:dyDescent="0.25">
      <c r="A51" s="16"/>
      <c r="B51" s="17">
        <v>48</v>
      </c>
      <c r="C51" s="46" t="s">
        <v>80</v>
      </c>
      <c r="D51" s="38" t="s">
        <v>32</v>
      </c>
      <c r="E51" s="39">
        <v>2000000</v>
      </c>
      <c r="F51" s="39">
        <v>30</v>
      </c>
      <c r="G51" s="39">
        <f t="shared" si="9"/>
        <v>2000000.0000000002</v>
      </c>
      <c r="H51" s="39"/>
      <c r="I51" s="39"/>
      <c r="J51" s="39"/>
      <c r="K51" s="39"/>
      <c r="L51" s="39"/>
      <c r="M51" s="39">
        <v>500000</v>
      </c>
      <c r="N51" s="39">
        <f>SUM(G51:M51)</f>
        <v>2500000</v>
      </c>
      <c r="O51" s="39">
        <f>+G51*4%</f>
        <v>80000.000000000015</v>
      </c>
      <c r="P51" s="39">
        <f t="shared" si="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3"/>
        <v>2340000</v>
      </c>
    </row>
    <row r="52" spans="1:27" s="43" customFormat="1" ht="12.75" x14ac:dyDescent="0.25">
      <c r="A52" s="16"/>
      <c r="B52" s="17">
        <v>49</v>
      </c>
      <c r="C52" s="46" t="s">
        <v>81</v>
      </c>
      <c r="D52" s="38" t="s">
        <v>32</v>
      </c>
      <c r="E52" s="39">
        <v>1500000</v>
      </c>
      <c r="F52" s="39">
        <v>30</v>
      </c>
      <c r="G52" s="39">
        <f t="shared" si="9"/>
        <v>1500000</v>
      </c>
      <c r="H52" s="39"/>
      <c r="I52" s="39"/>
      <c r="J52" s="39"/>
      <c r="K52" s="39"/>
      <c r="L52" s="39"/>
      <c r="M52" s="39"/>
      <c r="N52" s="39">
        <f>SUM(G52:M52)</f>
        <v>1500000</v>
      </c>
      <c r="O52" s="39">
        <f>G52*4%</f>
        <v>60000</v>
      </c>
      <c r="P52" s="39">
        <f t="shared" si="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>
        <v>29167</v>
      </c>
      <c r="AA52" s="40">
        <f t="shared" si="3"/>
        <v>1350833</v>
      </c>
    </row>
    <row r="53" spans="1:27" s="43" customFormat="1" ht="12.75" x14ac:dyDescent="0.25">
      <c r="A53" s="16"/>
      <c r="B53" s="17">
        <v>50</v>
      </c>
      <c r="C53" s="46" t="s">
        <v>82</v>
      </c>
      <c r="D53" s="38" t="s">
        <v>32</v>
      </c>
      <c r="E53" s="39">
        <v>2000000</v>
      </c>
      <c r="F53" s="39">
        <v>30</v>
      </c>
      <c r="G53" s="39">
        <f t="shared" si="9"/>
        <v>2000000.0000000002</v>
      </c>
      <c r="H53" s="39"/>
      <c r="I53" s="39"/>
      <c r="J53" s="39"/>
      <c r="K53" s="39"/>
      <c r="L53" s="39"/>
      <c r="M53" s="39"/>
      <c r="N53" s="39">
        <f>SUM(G53:M53)</f>
        <v>2000000.0000000002</v>
      </c>
      <c r="O53" s="39">
        <f>G53*4%</f>
        <v>80000.000000000015</v>
      </c>
      <c r="P53" s="39">
        <f t="shared" si="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1840000.0000000002</v>
      </c>
      <c r="Y53" s="40"/>
      <c r="Z53" s="41"/>
      <c r="AA53" s="40">
        <f t="shared" si="3"/>
        <v>1840000.0000000002</v>
      </c>
    </row>
    <row r="54" spans="1:27" s="43" customFormat="1" ht="12.75" x14ac:dyDescent="0.25">
      <c r="A54" s="16"/>
      <c r="B54" s="17">
        <v>51</v>
      </c>
      <c r="C54" s="44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/>
      <c r="N54" s="39">
        <f>G54/30*F54</f>
        <v>2000000.0000000002</v>
      </c>
      <c r="O54" s="39">
        <f>N54*4%</f>
        <v>80000.000000000015</v>
      </c>
      <c r="P54" s="39">
        <f>N54*4%</f>
        <v>80000.000000000015</v>
      </c>
      <c r="Q54" s="39"/>
      <c r="R54" s="39"/>
      <c r="S54" s="39"/>
      <c r="T54" s="39"/>
      <c r="U54" s="39"/>
      <c r="V54" s="39"/>
      <c r="W54" s="39">
        <f t="shared" si="0"/>
        <v>160000.00000000003</v>
      </c>
      <c r="X54" s="40">
        <f>N54-W54</f>
        <v>1840000.0000000002</v>
      </c>
      <c r="Y54" s="40"/>
      <c r="Z54" s="41">
        <v>45659</v>
      </c>
      <c r="AA54" s="40">
        <f t="shared" si="3"/>
        <v>1794341.0000000002</v>
      </c>
    </row>
    <row r="55" spans="1:27" s="43" customFormat="1" ht="12.75" x14ac:dyDescent="0.25">
      <c r="A55" s="16"/>
      <c r="B55" s="17">
        <v>52</v>
      </c>
      <c r="C55" s="44" t="s">
        <v>84</v>
      </c>
      <c r="D55" s="45" t="s">
        <v>32</v>
      </c>
      <c r="E55" s="39">
        <v>644350</v>
      </c>
      <c r="F55" s="39">
        <v>30</v>
      </c>
      <c r="G55" s="39">
        <f t="shared" ref="G55:G61" si="10">+E55/30*F55</f>
        <v>644350</v>
      </c>
      <c r="H55" s="39">
        <v>74000</v>
      </c>
      <c r="I55" s="39"/>
      <c r="J55" s="39"/>
      <c r="K55" s="39"/>
      <c r="L55" s="39"/>
      <c r="M55" s="39"/>
      <c r="N55" s="39">
        <f>SUM(G55:M55)</f>
        <v>718350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666802</v>
      </c>
      <c r="Y55" s="40"/>
      <c r="Z55" s="41">
        <v>18480</v>
      </c>
      <c r="AA55" s="40">
        <f t="shared" si="3"/>
        <v>648322</v>
      </c>
    </row>
    <row r="56" spans="1:27" s="43" customFormat="1" ht="12.75" x14ac:dyDescent="0.25">
      <c r="A56" s="16"/>
      <c r="B56" s="17">
        <v>53</v>
      </c>
      <c r="C56" s="46" t="s">
        <v>85</v>
      </c>
      <c r="D56" s="38" t="s">
        <v>32</v>
      </c>
      <c r="E56" s="39">
        <v>15400000</v>
      </c>
      <c r="F56" s="39">
        <v>30</v>
      </c>
      <c r="G56" s="39">
        <f t="shared" si="10"/>
        <v>15400000</v>
      </c>
      <c r="H56" s="39"/>
      <c r="I56" s="39"/>
      <c r="J56" s="39"/>
      <c r="K56" s="39"/>
      <c r="L56" s="39"/>
      <c r="M56" s="39">
        <v>600000</v>
      </c>
      <c r="N56" s="39">
        <f>G56+M56</f>
        <v>16000000</v>
      </c>
      <c r="O56" s="39">
        <f>G56*4%</f>
        <v>616000</v>
      </c>
      <c r="P56" s="39">
        <f>O56</f>
        <v>616000</v>
      </c>
      <c r="Q56" s="39">
        <v>90800</v>
      </c>
      <c r="R56" s="39">
        <v>150763</v>
      </c>
      <c r="S56" s="39">
        <f>G56*2%</f>
        <v>308000</v>
      </c>
      <c r="T56" s="39">
        <v>1193763</v>
      </c>
      <c r="U56" s="39">
        <v>5000000</v>
      </c>
      <c r="V56" s="39"/>
      <c r="W56" s="39">
        <f t="shared" si="0"/>
        <v>7975326</v>
      </c>
      <c r="X56" s="40">
        <f>+N56-W56</f>
        <v>8024674</v>
      </c>
      <c r="Y56" s="40"/>
      <c r="Z56" s="41"/>
      <c r="AA56" s="40">
        <f t="shared" si="3"/>
        <v>8024674</v>
      </c>
    </row>
    <row r="57" spans="1:27" s="43" customFormat="1" ht="12.75" x14ac:dyDescent="0.25">
      <c r="A57" s="16"/>
      <c r="B57" s="17">
        <v>54</v>
      </c>
      <c r="C57" s="46" t="s">
        <v>86</v>
      </c>
      <c r="D57" s="38" t="s">
        <v>32</v>
      </c>
      <c r="E57" s="39">
        <v>2800000</v>
      </c>
      <c r="F57" s="39">
        <v>30</v>
      </c>
      <c r="G57" s="39">
        <f t="shared" si="10"/>
        <v>2800000</v>
      </c>
      <c r="H57" s="39"/>
      <c r="I57" s="39"/>
      <c r="J57" s="39"/>
      <c r="K57" s="39"/>
      <c r="L57" s="39"/>
      <c r="M57" s="39">
        <v>700000</v>
      </c>
      <c r="N57" s="39">
        <f>SUM(G57:M57)</f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1000000</v>
      </c>
      <c r="W57" s="39">
        <f t="shared" si="0"/>
        <v>1252000</v>
      </c>
      <c r="X57" s="40">
        <f>+N57-W57</f>
        <v>2248000</v>
      </c>
      <c r="Y57" s="40"/>
      <c r="Z57" s="41"/>
      <c r="AA57" s="40">
        <f t="shared" si="3"/>
        <v>2248000</v>
      </c>
    </row>
    <row r="58" spans="1:27" s="43" customFormat="1" ht="12.75" x14ac:dyDescent="0.25">
      <c r="A58" s="16"/>
      <c r="B58" s="17">
        <v>55</v>
      </c>
      <c r="C58" s="46" t="s">
        <v>87</v>
      </c>
      <c r="D58" s="38" t="s">
        <v>32</v>
      </c>
      <c r="E58" s="39">
        <v>644350</v>
      </c>
      <c r="F58" s="39">
        <v>26</v>
      </c>
      <c r="G58" s="39">
        <f t="shared" si="10"/>
        <v>558436.66666666663</v>
      </c>
      <c r="H58" s="39"/>
      <c r="I58" s="39"/>
      <c r="J58" s="39"/>
      <c r="K58" s="39"/>
      <c r="L58" s="39"/>
      <c r="M58" s="39"/>
      <c r="N58" s="39">
        <f>SUM(G58:M58)</f>
        <v>558436.66666666663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558436.66666666663</v>
      </c>
      <c r="Y58" s="40"/>
      <c r="Z58" s="41"/>
      <c r="AA58" s="40">
        <f t="shared" si="3"/>
        <v>558436.66666666663</v>
      </c>
    </row>
    <row r="59" spans="1:27" s="43" customFormat="1" ht="12.75" x14ac:dyDescent="0.25">
      <c r="A59" s="16"/>
      <c r="B59" s="17">
        <v>56</v>
      </c>
      <c r="C59" s="44" t="s">
        <v>88</v>
      </c>
      <c r="D59" s="45" t="s">
        <v>32</v>
      </c>
      <c r="E59" s="39">
        <v>1100000</v>
      </c>
      <c r="F59" s="39">
        <v>30</v>
      </c>
      <c r="G59" s="39">
        <f t="shared" si="10"/>
        <v>1100000</v>
      </c>
      <c r="H59" s="39">
        <v>74000</v>
      </c>
      <c r="I59" s="39"/>
      <c r="J59" s="39"/>
      <c r="K59" s="39"/>
      <c r="L59" s="39"/>
      <c r="M59" s="39"/>
      <c r="N59" s="39">
        <f>G59+H59</f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>
        <v>33978</v>
      </c>
      <c r="AA59" s="40">
        <f t="shared" si="3"/>
        <v>1052022</v>
      </c>
    </row>
    <row r="60" spans="1:27" s="43" customFormat="1" ht="12.75" x14ac:dyDescent="0.25">
      <c r="A60" s="16"/>
      <c r="B60" s="17">
        <v>57</v>
      </c>
      <c r="C60" s="46" t="s">
        <v>89</v>
      </c>
      <c r="D60" s="38" t="s">
        <v>32</v>
      </c>
      <c r="E60" s="39">
        <v>800000</v>
      </c>
      <c r="F60" s="39">
        <v>30</v>
      </c>
      <c r="G60" s="39">
        <f t="shared" si="10"/>
        <v>800000</v>
      </c>
      <c r="H60" s="39">
        <v>74000</v>
      </c>
      <c r="I60" s="39"/>
      <c r="J60" s="39"/>
      <c r="K60" s="39"/>
      <c r="L60" s="39"/>
      <c r="M60" s="39"/>
      <c r="N60" s="39">
        <f>SUM(G60:M60)</f>
        <v>874000</v>
      </c>
      <c r="O60" s="39">
        <f>G60*4%</f>
        <v>32000</v>
      </c>
      <c r="P60" s="39">
        <f>O60</f>
        <v>32000</v>
      </c>
      <c r="Q60" s="39"/>
      <c r="R60" s="39"/>
      <c r="S60" s="39"/>
      <c r="T60" s="39"/>
      <c r="U60" s="39"/>
      <c r="V60" s="39"/>
      <c r="W60" s="39">
        <f t="shared" si="0"/>
        <v>64000</v>
      </c>
      <c r="X60" s="40">
        <f>+N60-W60</f>
        <v>810000</v>
      </c>
      <c r="Y60" s="40"/>
      <c r="Z60" s="41">
        <v>19620</v>
      </c>
      <c r="AA60" s="40">
        <f t="shared" si="3"/>
        <v>790380</v>
      </c>
    </row>
    <row r="61" spans="1:27" s="43" customFormat="1" ht="12.75" x14ac:dyDescent="0.25">
      <c r="A61" s="16"/>
      <c r="B61" s="17">
        <v>58</v>
      </c>
      <c r="C61" s="46" t="s">
        <v>90</v>
      </c>
      <c r="D61" s="38" t="s">
        <v>32</v>
      </c>
      <c r="E61" s="39">
        <v>4000000</v>
      </c>
      <c r="F61" s="39">
        <v>26</v>
      </c>
      <c r="G61" s="39">
        <f t="shared" si="10"/>
        <v>3466666.666666667</v>
      </c>
      <c r="H61" s="39"/>
      <c r="I61" s="39"/>
      <c r="J61" s="39"/>
      <c r="K61" s="39"/>
      <c r="L61" s="39"/>
      <c r="M61" s="39"/>
      <c r="N61" s="39">
        <f>SUM(G61:M61)</f>
        <v>3466666.666666667</v>
      </c>
      <c r="O61" s="39">
        <f>G61*4%</f>
        <v>138666.66666666669</v>
      </c>
      <c r="P61" s="39">
        <f>O61</f>
        <v>138666.66666666669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348397.33333333337</v>
      </c>
      <c r="X61" s="40">
        <f>+N61-W61</f>
        <v>3118269.3333333335</v>
      </c>
      <c r="Y61" s="40"/>
      <c r="Z61" s="41"/>
      <c r="AA61" s="40">
        <f t="shared" si="3"/>
        <v>3118269.3333333335</v>
      </c>
    </row>
    <row r="62" spans="1:27" s="43" customFormat="1" ht="12.75" x14ac:dyDescent="0.25">
      <c r="A62" s="16"/>
      <c r="B62" s="17">
        <v>59</v>
      </c>
      <c r="C62" s="46" t="s">
        <v>91</v>
      </c>
      <c r="D62" s="38" t="s">
        <v>92</v>
      </c>
      <c r="E62" s="39">
        <v>644350</v>
      </c>
      <c r="F62" s="39">
        <v>30</v>
      </c>
      <c r="G62" s="39">
        <f>+E62/30*F62</f>
        <v>644350</v>
      </c>
      <c r="H62" s="39"/>
      <c r="I62" s="39"/>
      <c r="J62" s="39"/>
      <c r="K62" s="39"/>
      <c r="L62" s="39"/>
      <c r="M62" s="39"/>
      <c r="N62" s="39">
        <f>SUM(G62:M62)</f>
        <v>644350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644350</v>
      </c>
      <c r="Y62" s="40"/>
      <c r="Z62" s="41"/>
      <c r="AA62" s="40">
        <f t="shared" si="3"/>
        <v>644350</v>
      </c>
    </row>
    <row r="63" spans="1:27" s="43" customFormat="1" ht="12.75" x14ac:dyDescent="0.25">
      <c r="A63" s="16"/>
      <c r="B63" s="17">
        <v>60</v>
      </c>
      <c r="C63" s="44" t="s">
        <v>93</v>
      </c>
      <c r="D63" s="45" t="s">
        <v>32</v>
      </c>
      <c r="E63" s="39">
        <v>1300000</v>
      </c>
      <c r="F63" s="39">
        <v>30</v>
      </c>
      <c r="G63" s="39">
        <f>+E63/30*F63</f>
        <v>1300000</v>
      </c>
      <c r="H63" s="39"/>
      <c r="I63" s="39"/>
      <c r="J63" s="39"/>
      <c r="K63" s="39"/>
      <c r="L63" s="39"/>
      <c r="M63" s="39"/>
      <c r="N63" s="39">
        <f>G63+H63</f>
        <v>1300000</v>
      </c>
      <c r="O63" s="39">
        <f>G63*4%</f>
        <v>52000</v>
      </c>
      <c r="P63" s="39">
        <f>O63</f>
        <v>52000</v>
      </c>
      <c r="Q63" s="39"/>
      <c r="R63" s="39"/>
      <c r="S63" s="39"/>
      <c r="T63" s="39"/>
      <c r="U63" s="39"/>
      <c r="V63" s="39"/>
      <c r="W63" s="39">
        <f t="shared" si="0"/>
        <v>104000</v>
      </c>
      <c r="X63" s="40">
        <f>N63-W63</f>
        <v>1196000</v>
      </c>
      <c r="Y63" s="40"/>
      <c r="Z63" s="41">
        <v>29835</v>
      </c>
      <c r="AA63" s="40">
        <f t="shared" si="3"/>
        <v>1166165</v>
      </c>
    </row>
    <row r="64" spans="1:27" s="43" customFormat="1" ht="12.75" x14ac:dyDescent="0.25">
      <c r="A64" s="16"/>
      <c r="B64" s="17">
        <v>61</v>
      </c>
      <c r="C64" s="46" t="s">
        <v>94</v>
      </c>
      <c r="D64" s="38" t="s">
        <v>92</v>
      </c>
      <c r="E64" s="39">
        <v>644350</v>
      </c>
      <c r="F64" s="39">
        <v>30</v>
      </c>
      <c r="G64" s="39">
        <f>+E64/30*F64</f>
        <v>644350</v>
      </c>
      <c r="H64" s="39"/>
      <c r="I64" s="39"/>
      <c r="J64" s="39"/>
      <c r="K64" s="39"/>
      <c r="L64" s="39"/>
      <c r="M64" s="39"/>
      <c r="N64" s="39">
        <f>SUM(G64:M64)</f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+N64-W64</f>
        <v>644350</v>
      </c>
      <c r="Y64" s="40"/>
      <c r="Z64" s="41"/>
      <c r="AA64" s="40">
        <f t="shared" si="3"/>
        <v>644350</v>
      </c>
    </row>
    <row r="65" spans="1:31" s="43" customFormat="1" ht="23.25" customHeight="1" x14ac:dyDescent="0.25">
      <c r="A65" s="16"/>
      <c r="B65" s="17">
        <v>62</v>
      </c>
      <c r="C65" s="46" t="s">
        <v>95</v>
      </c>
      <c r="D65" s="38" t="s">
        <v>92</v>
      </c>
      <c r="E65" s="39">
        <v>644350</v>
      </c>
      <c r="F65" s="39">
        <v>30</v>
      </c>
      <c r="G65" s="39">
        <f>E65</f>
        <v>644350</v>
      </c>
      <c r="H65" s="39"/>
      <c r="I65" s="39"/>
      <c r="J65" s="39"/>
      <c r="K65" s="39"/>
      <c r="L65" s="39"/>
      <c r="M65" s="39"/>
      <c r="N65" s="39">
        <f>G65</f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N64</f>
        <v>644350</v>
      </c>
      <c r="Y65" s="40"/>
      <c r="Z65" s="41"/>
      <c r="AA65" s="40">
        <f t="shared" si="3"/>
        <v>644350</v>
      </c>
    </row>
    <row r="66" spans="1:31" ht="15" customHeight="1" x14ac:dyDescent="0.25">
      <c r="A66" s="9"/>
      <c r="B66" s="49"/>
      <c r="C66" s="50" t="s">
        <v>96</v>
      </c>
      <c r="D66" s="51"/>
      <c r="E66" s="52">
        <f>SUM(E4:E65)</f>
        <v>195792950</v>
      </c>
      <c r="F66" s="52" t="s">
        <v>1</v>
      </c>
      <c r="G66" s="52">
        <f>SUM(G4:G65)</f>
        <v>193659259.99999997</v>
      </c>
      <c r="H66" s="52">
        <f>SUM(H4:H65)</f>
        <v>222000</v>
      </c>
      <c r="I66" s="52"/>
      <c r="J66" s="52"/>
      <c r="K66" s="52"/>
      <c r="L66" s="52"/>
      <c r="M66" s="52">
        <f>SUM(M4:M65)</f>
        <v>9508750</v>
      </c>
      <c r="N66" s="52">
        <f>SUM(N4:N65)</f>
        <v>203200009.99999997</v>
      </c>
      <c r="O66" s="52">
        <f>SUM(O4:O65)</f>
        <v>7552162.9333333336</v>
      </c>
      <c r="P66" s="52">
        <f>SUM(P4:P65)</f>
        <v>7552162.9333333336</v>
      </c>
      <c r="Q66" s="52">
        <f>SUM(Q4:Q65)</f>
        <v>90800</v>
      </c>
      <c r="R66" s="52">
        <f>SUM(R5:R65)</f>
        <v>809655</v>
      </c>
      <c r="S66" s="52">
        <f t="shared" ref="S66:AA66" si="11">SUM(S4:S65)</f>
        <v>1725075</v>
      </c>
      <c r="T66" s="52">
        <f t="shared" si="11"/>
        <v>3063513</v>
      </c>
      <c r="U66" s="52">
        <f t="shared" si="11"/>
        <v>8360000</v>
      </c>
      <c r="V66" s="52">
        <f t="shared" si="11"/>
        <v>2873979</v>
      </c>
      <c r="W66" s="52">
        <f t="shared" si="11"/>
        <v>32027347.866666663</v>
      </c>
      <c r="X66" s="53">
        <f t="shared" si="11"/>
        <v>171172662.13333333</v>
      </c>
      <c r="Y66" s="53">
        <f t="shared" si="11"/>
        <v>180000</v>
      </c>
      <c r="Z66" s="54">
        <f t="shared" si="11"/>
        <v>1187414</v>
      </c>
      <c r="AA66" s="53">
        <f t="shared" si="11"/>
        <v>170165248.13333333</v>
      </c>
    </row>
    <row r="67" spans="1:31" ht="15" customHeight="1" x14ac:dyDescent="0.25">
      <c r="A67" s="55"/>
      <c r="B67" s="56"/>
      <c r="X67" s="55"/>
      <c r="Y67" s="55"/>
      <c r="Z67" s="59"/>
      <c r="AA67" s="55"/>
    </row>
    <row r="68" spans="1:31" ht="15" customHeight="1" x14ac:dyDescent="0.25">
      <c r="E68" s="61"/>
      <c r="F68" s="61"/>
      <c r="G68" s="61"/>
      <c r="X68" s="62"/>
      <c r="Y68" s="62"/>
      <c r="Z68" s="63"/>
      <c r="AA68" s="62"/>
    </row>
    <row r="69" spans="1:31" ht="15" customHeight="1" x14ac:dyDescent="0.25">
      <c r="D69" s="55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4"/>
      <c r="Y69" s="64"/>
      <c r="Z69" s="65"/>
      <c r="AA69" s="64"/>
    </row>
    <row r="70" spans="1:31" ht="15" customHeight="1" x14ac:dyDescent="0.25">
      <c r="D70" s="55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4"/>
      <c r="Y70" s="64"/>
      <c r="Z70" s="65"/>
      <c r="AA70" s="64"/>
    </row>
    <row r="71" spans="1:31" ht="15" customHeight="1" x14ac:dyDescent="0.25">
      <c r="C71" s="66"/>
      <c r="D71" s="55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4"/>
      <c r="Y71" s="64"/>
      <c r="Z71" s="65"/>
      <c r="AA71" s="64"/>
    </row>
    <row r="72" spans="1:31" x14ac:dyDescent="0.25">
      <c r="C72" s="67"/>
      <c r="D72" s="55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55"/>
      <c r="Y72" s="55"/>
      <c r="Z72" s="59"/>
      <c r="AA72" s="55"/>
      <c r="AB72" s="55"/>
      <c r="AC72" s="55"/>
      <c r="AD72" s="55"/>
      <c r="AE72" s="55"/>
    </row>
    <row r="73" spans="1:31" x14ac:dyDescent="0.25">
      <c r="B73" s="56"/>
      <c r="C73" s="67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</row>
    <row r="74" spans="1:31" x14ac:dyDescent="0.25">
      <c r="B74" s="56"/>
      <c r="C74" s="67"/>
      <c r="D74" s="55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55"/>
      <c r="Y74" s="55"/>
      <c r="Z74" s="59"/>
      <c r="AA74" s="55"/>
      <c r="AB74" s="55"/>
      <c r="AC74" s="55"/>
      <c r="AD74" s="55"/>
      <c r="AE74" s="55"/>
    </row>
    <row r="75" spans="1:31" x14ac:dyDescent="0.25">
      <c r="B75" s="56"/>
      <c r="C75" s="67"/>
      <c r="D75" s="55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55"/>
      <c r="Y75" s="55"/>
      <c r="Z75" s="59"/>
      <c r="AA75" s="55"/>
      <c r="AB75" s="55"/>
      <c r="AC75" s="55"/>
      <c r="AD75" s="55"/>
      <c r="AE75" s="55"/>
    </row>
    <row r="76" spans="1:31" x14ac:dyDescent="0.25">
      <c r="B76" s="56"/>
      <c r="C76" s="67"/>
      <c r="D76" s="55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55"/>
      <c r="Y76" s="55"/>
      <c r="Z76" s="59"/>
      <c r="AA76" s="55"/>
      <c r="AB76" s="55"/>
      <c r="AC76" s="55"/>
      <c r="AD76" s="55"/>
      <c r="AE76" s="55"/>
    </row>
    <row r="77" spans="1:31" x14ac:dyDescent="0.25">
      <c r="B77" s="56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  <c r="AA77" s="68"/>
      <c r="AB77" s="55"/>
      <c r="AC77" s="55"/>
      <c r="AD77" s="55"/>
      <c r="AE77" s="55"/>
    </row>
    <row r="78" spans="1:31" x14ac:dyDescent="0.25">
      <c r="B78" s="70"/>
      <c r="C78" s="67"/>
      <c r="D78" s="6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68"/>
      <c r="Y78" s="68"/>
      <c r="Z78" s="69"/>
      <c r="AA78" s="68"/>
      <c r="AB78" s="55"/>
      <c r="AC78" s="55"/>
      <c r="AD78" s="55"/>
      <c r="AE78" s="55"/>
    </row>
    <row r="79" spans="1:31" x14ac:dyDescent="0.25">
      <c r="B79" s="56"/>
      <c r="C79" s="67"/>
      <c r="D79" s="55"/>
      <c r="E79" s="61"/>
      <c r="F79" s="61"/>
      <c r="G79" s="73"/>
      <c r="H79" s="61"/>
      <c r="I79" s="61"/>
      <c r="J79" s="61"/>
      <c r="K79" s="61"/>
      <c r="L79" s="61"/>
      <c r="M79" s="61"/>
      <c r="N79" s="61"/>
      <c r="O79" s="61"/>
      <c r="P79" s="61"/>
      <c r="Q79" s="74"/>
      <c r="R79" s="74"/>
      <c r="S79" s="74"/>
      <c r="T79" s="74"/>
      <c r="U79" s="74"/>
      <c r="V79" s="61"/>
      <c r="W79" s="61"/>
      <c r="X79" s="55"/>
      <c r="Y79" s="55"/>
      <c r="Z79" s="59"/>
      <c r="AA79" s="55"/>
      <c r="AB79" s="55"/>
      <c r="AC79" s="55"/>
      <c r="AD79" s="55"/>
      <c r="AE79" s="55"/>
    </row>
    <row r="80" spans="1:31" x14ac:dyDescent="0.25">
      <c r="B80" s="56"/>
      <c r="C80" s="75"/>
      <c r="D80" s="6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68"/>
      <c r="Y80" s="68"/>
      <c r="Z80" s="69"/>
      <c r="AA80" s="68"/>
      <c r="AB80" s="55"/>
      <c r="AC80" s="55"/>
      <c r="AD80" s="55"/>
      <c r="AE80" s="55"/>
    </row>
    <row r="81" spans="2:31" x14ac:dyDescent="0.25">
      <c r="B81" s="76"/>
      <c r="C81" s="75"/>
      <c r="D81" s="6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68"/>
      <c r="Y81" s="68"/>
      <c r="Z81" s="69"/>
      <c r="AA81" s="68"/>
      <c r="AB81" s="55"/>
      <c r="AC81" s="55"/>
      <c r="AD81" s="55"/>
      <c r="AE81" s="55"/>
    </row>
    <row r="82" spans="2:31" x14ac:dyDescent="0.25">
      <c r="B82" s="56"/>
      <c r="C82" s="75"/>
      <c r="D82" s="68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72"/>
      <c r="Y82" s="72"/>
      <c r="Z82" s="59"/>
      <c r="AA82" s="72"/>
      <c r="AB82" s="55"/>
      <c r="AC82" s="55"/>
      <c r="AD82" s="55"/>
      <c r="AE82" s="55"/>
    </row>
    <row r="83" spans="2:31" x14ac:dyDescent="0.25">
      <c r="C83" s="75"/>
      <c r="D83" s="68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72"/>
      <c r="Y83" s="72"/>
      <c r="Z83" s="59"/>
      <c r="AA83" s="72"/>
      <c r="AB83" s="55"/>
      <c r="AC83" s="55"/>
      <c r="AD83" s="55"/>
      <c r="AE83" s="55"/>
    </row>
    <row r="84" spans="2:31" x14ac:dyDescent="0.25">
      <c r="C84" s="75"/>
      <c r="D84" s="68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72"/>
      <c r="Y84" s="72"/>
      <c r="Z84" s="59"/>
      <c r="AA84" s="72"/>
      <c r="AB84" s="55"/>
      <c r="AC84" s="55"/>
      <c r="AD84" s="55"/>
      <c r="AE84" s="55"/>
    </row>
    <row r="85" spans="2:31" x14ac:dyDescent="0.25">
      <c r="C85" s="75"/>
      <c r="D85" s="68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72"/>
      <c r="Y85" s="72"/>
      <c r="Z85" s="59"/>
      <c r="AA85" s="72"/>
      <c r="AB85" s="55"/>
      <c r="AC85" s="55"/>
      <c r="AD85" s="55"/>
      <c r="AE85" s="55"/>
    </row>
    <row r="86" spans="2:31" x14ac:dyDescent="0.25">
      <c r="C86" s="75"/>
      <c r="D86" s="68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72"/>
      <c r="Y86" s="72"/>
      <c r="Z86" s="59"/>
      <c r="AA86" s="72"/>
      <c r="AB86" s="55"/>
      <c r="AC86" s="55"/>
      <c r="AD86" s="55"/>
      <c r="AE86" s="55"/>
    </row>
    <row r="87" spans="2:31" x14ac:dyDescent="0.25">
      <c r="C87" s="75"/>
      <c r="D87" s="68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72"/>
      <c r="Y87" s="72"/>
      <c r="Z87" s="59"/>
      <c r="AA87" s="72"/>
      <c r="AB87" s="55"/>
      <c r="AC87" s="55"/>
      <c r="AD87" s="55"/>
      <c r="AE87" s="55"/>
    </row>
    <row r="88" spans="2:31" x14ac:dyDescent="0.25">
      <c r="C88" s="67"/>
      <c r="D88" s="55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72"/>
      <c r="Y88" s="72"/>
      <c r="Z88" s="59"/>
      <c r="AA88" s="72"/>
      <c r="AB88" s="55"/>
      <c r="AC88" s="55"/>
      <c r="AD88" s="55"/>
      <c r="AE88" s="55"/>
    </row>
    <row r="89" spans="2:31" x14ac:dyDescent="0.25">
      <c r="C89" s="75"/>
      <c r="D89" s="55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72"/>
      <c r="Y89" s="72"/>
      <c r="Z89" s="59"/>
      <c r="AA89" s="72"/>
      <c r="AB89" s="55"/>
      <c r="AC89" s="55"/>
      <c r="AD89" s="55"/>
      <c r="AE89" s="55"/>
    </row>
    <row r="90" spans="2:31" x14ac:dyDescent="0.25">
      <c r="C90" s="75"/>
      <c r="D90" s="55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72"/>
      <c r="Y90" s="72"/>
      <c r="Z90" s="59"/>
      <c r="AA90" s="72"/>
      <c r="AB90" s="55"/>
      <c r="AC90" s="55"/>
      <c r="AD90" s="55"/>
      <c r="AE90" s="55"/>
    </row>
    <row r="91" spans="2:31" x14ac:dyDescent="0.25">
      <c r="C91" s="75"/>
      <c r="D91" s="55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72"/>
      <c r="Y91" s="72"/>
      <c r="Z91" s="59"/>
      <c r="AA91" s="72"/>
      <c r="AB91" s="55"/>
      <c r="AC91" s="55"/>
      <c r="AD91" s="55"/>
      <c r="AE91" s="55"/>
    </row>
    <row r="92" spans="2:31" x14ac:dyDescent="0.25">
      <c r="C92" s="75"/>
      <c r="D92" s="55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72"/>
      <c r="Y92" s="72"/>
      <c r="Z92" s="59"/>
      <c r="AA92" s="72"/>
      <c r="AB92" s="55"/>
      <c r="AC92" s="55"/>
      <c r="AD92" s="55"/>
      <c r="AE92" s="55"/>
    </row>
    <row r="93" spans="2:31" x14ac:dyDescent="0.25">
      <c r="C93" s="75"/>
      <c r="D93" s="55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72"/>
      <c r="Y93" s="72"/>
      <c r="Z93" s="59"/>
      <c r="AA93" s="72"/>
      <c r="AB93" s="55"/>
      <c r="AC93" s="55"/>
      <c r="AD93" s="55"/>
      <c r="AE93" s="55"/>
    </row>
    <row r="94" spans="2:31" x14ac:dyDescent="0.25">
      <c r="C94" s="75"/>
      <c r="D94" s="55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72"/>
      <c r="Y94" s="72"/>
      <c r="Z94" s="59"/>
      <c r="AA94" s="72"/>
      <c r="AB94" s="55"/>
      <c r="AC94" s="55"/>
      <c r="AD94" s="55"/>
      <c r="AE94" s="55"/>
    </row>
    <row r="95" spans="2:31" x14ac:dyDescent="0.25">
      <c r="C95" s="75"/>
      <c r="D95" s="55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72"/>
      <c r="Y95" s="72"/>
      <c r="Z95" s="59"/>
      <c r="AA95" s="72"/>
      <c r="AB95" s="55"/>
      <c r="AC95" s="55"/>
      <c r="AD95" s="55"/>
      <c r="AE95" s="55"/>
    </row>
    <row r="96" spans="2:31" x14ac:dyDescent="0.25">
      <c r="C96" s="75"/>
      <c r="D96" s="55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72"/>
      <c r="Y96" s="72"/>
      <c r="Z96" s="59"/>
      <c r="AA96" s="72"/>
      <c r="AB96" s="55"/>
      <c r="AC96" s="55"/>
      <c r="AD96" s="55"/>
      <c r="AE96" s="55"/>
    </row>
    <row r="97" spans="2:31" x14ac:dyDescent="0.25">
      <c r="C97" s="75"/>
      <c r="D97" s="55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72"/>
      <c r="Y97" s="72"/>
      <c r="Z97" s="59"/>
      <c r="AA97" s="72"/>
      <c r="AB97" s="55"/>
      <c r="AC97" s="55"/>
      <c r="AD97" s="55"/>
      <c r="AE97" s="55"/>
    </row>
    <row r="98" spans="2:31" x14ac:dyDescent="0.25">
      <c r="C98" s="75"/>
      <c r="D98" s="55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72"/>
      <c r="Y98" s="72"/>
      <c r="Z98" s="59"/>
      <c r="AA98" s="72"/>
      <c r="AB98" s="55"/>
      <c r="AC98" s="55"/>
      <c r="AD98" s="55"/>
      <c r="AE98" s="55"/>
    </row>
    <row r="99" spans="2:31" x14ac:dyDescent="0.25">
      <c r="C99" s="75"/>
      <c r="D99" s="55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72"/>
      <c r="Y99" s="72"/>
      <c r="Z99" s="59"/>
      <c r="AA99" s="72"/>
      <c r="AB99" s="55"/>
      <c r="AC99" s="55"/>
      <c r="AD99" s="55"/>
      <c r="AE99" s="55"/>
    </row>
    <row r="100" spans="2:31" x14ac:dyDescent="0.25">
      <c r="C100" s="67"/>
      <c r="D100" s="55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55"/>
      <c r="Y100" s="55"/>
      <c r="Z100" s="59"/>
      <c r="AA100" s="55"/>
      <c r="AB100" s="55"/>
      <c r="AC100" s="55"/>
      <c r="AD100" s="55"/>
      <c r="AE100" s="55"/>
    </row>
    <row r="101" spans="2:31" x14ac:dyDescent="0.25">
      <c r="C101" s="67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61"/>
      <c r="W101" s="61"/>
      <c r="X101" s="55"/>
      <c r="Y101" s="55"/>
      <c r="Z101" s="59"/>
      <c r="AA101" s="55"/>
      <c r="AB101" s="55"/>
      <c r="AC101" s="55"/>
      <c r="AD101" s="55"/>
      <c r="AE101" s="55"/>
    </row>
    <row r="102" spans="2:31" x14ac:dyDescent="0.25">
      <c r="B102" s="56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55"/>
      <c r="AC102" s="55"/>
      <c r="AD102" s="55"/>
      <c r="AE102" s="55"/>
    </row>
    <row r="103" spans="2:31" x14ac:dyDescent="0.25">
      <c r="B103" s="56"/>
      <c r="C103" s="67"/>
      <c r="D103" s="55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68"/>
      <c r="Y103" s="68"/>
      <c r="Z103" s="69"/>
      <c r="AA103" s="68"/>
      <c r="AB103" s="55"/>
      <c r="AC103" s="55"/>
      <c r="AD103" s="55"/>
      <c r="AE103" s="55"/>
    </row>
    <row r="104" spans="2:31" x14ac:dyDescent="0.25">
      <c r="B104" s="56"/>
      <c r="C104" s="75"/>
      <c r="D104" s="68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68"/>
      <c r="Y104" s="68"/>
      <c r="Z104" s="69"/>
      <c r="AA104" s="68"/>
    </row>
    <row r="105" spans="2:31" x14ac:dyDescent="0.25">
      <c r="B105" s="77"/>
      <c r="C105" s="75"/>
      <c r="D105" s="68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68"/>
      <c r="Y105" s="68"/>
      <c r="Z105" s="69"/>
      <c r="AA105" s="68"/>
    </row>
    <row r="106" spans="2:31" x14ac:dyDescent="0.25">
      <c r="C106" s="75"/>
      <c r="D106" s="68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72"/>
      <c r="Y106" s="72"/>
      <c r="Z106" s="59"/>
      <c r="AA106" s="72"/>
    </row>
    <row r="107" spans="2:31" x14ac:dyDescent="0.25">
      <c r="C107" s="75"/>
      <c r="D107" s="68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72"/>
      <c r="Y107" s="72"/>
      <c r="Z107" s="59"/>
      <c r="AA107" s="72"/>
    </row>
    <row r="108" spans="2:31" x14ac:dyDescent="0.25">
      <c r="C108" s="75"/>
      <c r="D108" s="68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72"/>
      <c r="Y108" s="72"/>
      <c r="Z108" s="59"/>
      <c r="AA108" s="72"/>
    </row>
    <row r="109" spans="2:31" x14ac:dyDescent="0.25">
      <c r="C109" s="67"/>
      <c r="D109" s="55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72"/>
      <c r="Y109" s="72"/>
      <c r="Z109" s="59"/>
      <c r="AA109" s="72"/>
    </row>
    <row r="110" spans="2:31" x14ac:dyDescent="0.25">
      <c r="C110" s="75"/>
      <c r="D110" s="55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72"/>
      <c r="Y110" s="72"/>
      <c r="Z110" s="59"/>
      <c r="AA110" s="72"/>
    </row>
    <row r="111" spans="2:31" x14ac:dyDescent="0.25">
      <c r="C111" s="67"/>
      <c r="D111" s="55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55"/>
      <c r="Y111" s="55"/>
      <c r="Z111" s="59"/>
      <c r="AA111" s="55"/>
    </row>
    <row r="112" spans="2:31" x14ac:dyDescent="0.25">
      <c r="C112" s="67"/>
      <c r="D112" s="55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72"/>
      <c r="Y112" s="72"/>
      <c r="Z112" s="59"/>
      <c r="AA112" s="72"/>
    </row>
    <row r="113" spans="2:27" x14ac:dyDescent="0.25">
      <c r="B113" s="56"/>
      <c r="C113" s="67"/>
      <c r="D113" s="55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55"/>
      <c r="Y113" s="55"/>
      <c r="Z113" s="59"/>
      <c r="AA113" s="55"/>
    </row>
    <row r="114" spans="2:27" x14ac:dyDescent="0.25">
      <c r="B114" s="56"/>
      <c r="C114" s="67"/>
      <c r="D114" s="55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55"/>
      <c r="Y114" s="55"/>
      <c r="Z114" s="59"/>
      <c r="AA114" s="55"/>
    </row>
    <row r="115" spans="2:27" x14ac:dyDescent="0.25">
      <c r="B115" s="56"/>
      <c r="C115" s="67"/>
      <c r="D115" s="55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78"/>
      <c r="Y115" s="78"/>
      <c r="Z115" s="59"/>
      <c r="AA115" s="78"/>
    </row>
    <row r="116" spans="2:27" x14ac:dyDescent="0.25">
      <c r="B116" s="56"/>
      <c r="C116" s="67"/>
      <c r="D116" s="55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79"/>
      <c r="Y116" s="79"/>
      <c r="Z116" s="59"/>
      <c r="AA116" s="79"/>
    </row>
    <row r="117" spans="2:27" x14ac:dyDescent="0.25">
      <c r="C117" s="67"/>
      <c r="D117" s="55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55"/>
      <c r="Y117" s="55"/>
      <c r="Z117" s="59"/>
      <c r="AA117" s="55"/>
    </row>
    <row r="118" spans="2:27" x14ac:dyDescent="0.25">
      <c r="C118" s="67"/>
      <c r="D118" s="55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55"/>
      <c r="Y118" s="55"/>
      <c r="Z118" s="59"/>
      <c r="AA118" s="55"/>
    </row>
    <row r="119" spans="2:27" x14ac:dyDescent="0.25">
      <c r="C119" s="67"/>
      <c r="D119" s="55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55"/>
      <c r="Y119" s="55"/>
      <c r="Z119" s="59"/>
      <c r="AA119" s="55"/>
    </row>
    <row r="120" spans="2:27" x14ac:dyDescent="0.25">
      <c r="C120" s="67"/>
      <c r="D120" s="55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55"/>
      <c r="Y120" s="55"/>
      <c r="Z120" s="59"/>
      <c r="AA120" s="55"/>
    </row>
    <row r="121" spans="2:27" x14ac:dyDescent="0.25">
      <c r="C121" s="67"/>
      <c r="D121" s="55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55"/>
      <c r="Y121" s="55"/>
      <c r="Z121" s="59"/>
      <c r="AA121" s="55"/>
    </row>
    <row r="122" spans="2:27" x14ac:dyDescent="0.25">
      <c r="C122" s="67"/>
      <c r="D122" s="55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55"/>
      <c r="Y122" s="55"/>
      <c r="Z122" s="59"/>
      <c r="AA122" s="55"/>
    </row>
    <row r="123" spans="2:27" x14ac:dyDescent="0.25">
      <c r="C123" s="67"/>
      <c r="D123" s="55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55"/>
      <c r="Y123" s="55"/>
      <c r="Z123" s="59"/>
      <c r="AA123" s="55"/>
    </row>
    <row r="124" spans="2:27" x14ac:dyDescent="0.25">
      <c r="C124" s="67"/>
      <c r="D124" s="55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>
        <v>3003000</v>
      </c>
      <c r="P124" s="61"/>
      <c r="Q124" s="61"/>
      <c r="R124" s="61"/>
      <c r="S124" s="61"/>
      <c r="T124" s="61"/>
      <c r="U124" s="61"/>
      <c r="V124" s="61"/>
      <c r="W124" s="61"/>
      <c r="X124" s="55"/>
      <c r="Y124" s="55"/>
      <c r="Z124" s="59"/>
      <c r="AA124" s="55"/>
    </row>
    <row r="125" spans="2:27" x14ac:dyDescent="0.25">
      <c r="C125" s="75"/>
      <c r="D125" s="55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55"/>
      <c r="Y125" s="55"/>
      <c r="Z125" s="59"/>
      <c r="AA125" s="55"/>
    </row>
    <row r="126" spans="2:27" x14ac:dyDescent="0.25">
      <c r="C126" s="75"/>
      <c r="D126" s="55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55"/>
      <c r="Y126" s="55"/>
      <c r="Z126" s="59"/>
      <c r="AA126" s="55"/>
    </row>
    <row r="127" spans="2:27" x14ac:dyDescent="0.25">
      <c r="C127" s="75"/>
      <c r="D127" s="55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55"/>
      <c r="Y127" s="55"/>
      <c r="Z127" s="59"/>
      <c r="AA127" s="55"/>
    </row>
    <row r="128" spans="2:27" x14ac:dyDescent="0.25">
      <c r="C128" s="75"/>
      <c r="D128" s="55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55"/>
      <c r="Y128" s="55"/>
      <c r="Z128" s="59"/>
      <c r="AA128" s="55"/>
    </row>
    <row r="129" spans="3:27" x14ac:dyDescent="0.25">
      <c r="C129" s="67">
        <v>42614840</v>
      </c>
      <c r="D129" s="55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>
        <v>412608</v>
      </c>
      <c r="X129" s="55"/>
      <c r="Y129" s="55"/>
      <c r="Z129" s="59"/>
      <c r="AA129" s="55"/>
    </row>
    <row r="130" spans="3:27" x14ac:dyDescent="0.25">
      <c r="C130" s="67">
        <v>9675182</v>
      </c>
      <c r="D130" s="55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>
        <v>1880000</v>
      </c>
      <c r="X130" s="55"/>
      <c r="Y130" s="55"/>
      <c r="Z130" s="59"/>
      <c r="AA130" s="55"/>
    </row>
    <row r="131" spans="3:27" x14ac:dyDescent="0.25">
      <c r="C131" s="67">
        <v>17903600</v>
      </c>
      <c r="D131" s="55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55"/>
      <c r="Y131" s="55"/>
      <c r="Z131" s="59"/>
      <c r="AA131" s="55"/>
    </row>
    <row r="132" spans="3:27" x14ac:dyDescent="0.25">
      <c r="C132" s="67">
        <f>SUM(C129:C131)</f>
        <v>70193622</v>
      </c>
      <c r="D132" s="55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55"/>
      <c r="Y132" s="55"/>
      <c r="Z132" s="59"/>
      <c r="AA132" s="55"/>
    </row>
    <row r="133" spans="3:27" x14ac:dyDescent="0.25">
      <c r="C133" s="67">
        <v>400000</v>
      </c>
      <c r="D133" s="55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55"/>
      <c r="Y133" s="55"/>
      <c r="Z133" s="59"/>
      <c r="AA133" s="55"/>
    </row>
    <row r="134" spans="3:27" x14ac:dyDescent="0.25">
      <c r="C134" s="67">
        <f>+C132+C133</f>
        <v>70593622</v>
      </c>
      <c r="D134" s="55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55"/>
      <c r="Y134" s="55"/>
      <c r="Z134" s="59"/>
      <c r="AA134" s="55"/>
    </row>
    <row r="137" spans="3:27" x14ac:dyDescent="0.25">
      <c r="C137" s="57">
        <v>64000000</v>
      </c>
    </row>
    <row r="138" spans="3:27" x14ac:dyDescent="0.25">
      <c r="C138" s="57">
        <v>11000000</v>
      </c>
    </row>
    <row r="139" spans="3:27" x14ac:dyDescent="0.25">
      <c r="C139" s="57">
        <f>+C137+C138</f>
        <v>75000000</v>
      </c>
    </row>
    <row r="143" spans="3:27" x14ac:dyDescent="0.25">
      <c r="C143" s="57">
        <v>2745000</v>
      </c>
    </row>
    <row r="144" spans="3:27" x14ac:dyDescent="0.25">
      <c r="C144" s="57">
        <v>3185000</v>
      </c>
    </row>
    <row r="145" spans="3:3" x14ac:dyDescent="0.25">
      <c r="C145" s="57">
        <v>1080000</v>
      </c>
    </row>
    <row r="146" spans="3:3" x14ac:dyDescent="0.25">
      <c r="C146" s="57">
        <v>4850100</v>
      </c>
    </row>
    <row r="147" spans="3:3" x14ac:dyDescent="0.25">
      <c r="C147" s="57">
        <v>5027500</v>
      </c>
    </row>
    <row r="148" spans="3:3" x14ac:dyDescent="0.25">
      <c r="C148" s="57">
        <v>4566000</v>
      </c>
    </row>
    <row r="149" spans="3:3" x14ac:dyDescent="0.25">
      <c r="C149" s="57">
        <v>1050000</v>
      </c>
    </row>
    <row r="150" spans="3:3" x14ac:dyDescent="0.25">
      <c r="C150" s="57">
        <v>3877333</v>
      </c>
    </row>
    <row r="151" spans="3:3" x14ac:dyDescent="0.25">
      <c r="C151" s="57">
        <v>6732440</v>
      </c>
    </row>
    <row r="152" spans="3:3" x14ac:dyDescent="0.25">
      <c r="C152" s="57">
        <v>3460000</v>
      </c>
    </row>
    <row r="153" spans="3:3" x14ac:dyDescent="0.25">
      <c r="C153" s="57">
        <v>588800</v>
      </c>
    </row>
    <row r="154" spans="3:3" x14ac:dyDescent="0.25">
      <c r="C154" s="57">
        <v>1868000</v>
      </c>
    </row>
    <row r="155" spans="3:3" x14ac:dyDescent="0.25">
      <c r="C155" s="57">
        <v>10313000</v>
      </c>
    </row>
    <row r="156" spans="3:3" x14ac:dyDescent="0.25">
      <c r="C156" s="57">
        <v>3443800</v>
      </c>
    </row>
    <row r="157" spans="3:3" x14ac:dyDescent="0.25">
      <c r="C157" s="57">
        <v>8136400</v>
      </c>
    </row>
    <row r="158" spans="3:3" x14ac:dyDescent="0.25">
      <c r="C158" s="57">
        <v>9675183</v>
      </c>
    </row>
    <row r="159" spans="3:3" x14ac:dyDescent="0.25">
      <c r="C159" s="57">
        <f>SUM(C143:C158)</f>
        <v>70598556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8DB2-B799-42B2-AC96-3BA16E0A719F}">
  <dimension ref="A1:AE172"/>
  <sheetViews>
    <sheetView topLeftCell="N1" workbookViewId="0">
      <selection activeCell="AG6" sqref="AG6:AG7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customWidth="1"/>
    <col min="10" max="10" width="5.42578125" style="101" hidden="1" customWidth="1"/>
    <col min="11" max="11" width="8" style="101" hidden="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17.7109375" style="101" hidden="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138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73" si="0">SUM(O4:V4)</f>
        <v>503752</v>
      </c>
      <c r="X4" s="40">
        <f t="shared" ref="X4:X27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4000000</v>
      </c>
      <c r="F5" s="39">
        <v>30</v>
      </c>
      <c r="G5" s="39">
        <f>+E5/30*F5</f>
        <v>4000000.0000000005</v>
      </c>
      <c r="H5" s="39"/>
      <c r="I5" s="39"/>
      <c r="J5" s="39"/>
      <c r="K5" s="39"/>
      <c r="L5" s="39"/>
      <c r="M5" s="39"/>
      <c r="N5" s="39">
        <f>SUM(G5:M5)</f>
        <v>4000000.0000000005</v>
      </c>
      <c r="O5" s="39">
        <f>+G5*4%</f>
        <v>160000.00000000003</v>
      </c>
      <c r="P5" s="39">
        <f>+O5</f>
        <v>160000.00000000003</v>
      </c>
      <c r="Q5" s="39"/>
      <c r="R5" s="39"/>
      <c r="S5" s="39">
        <f>+G5*0.01</f>
        <v>40000.000000000007</v>
      </c>
      <c r="T5" s="39">
        <v>31064</v>
      </c>
      <c r="U5" s="39"/>
      <c r="V5" s="39"/>
      <c r="W5" s="39">
        <f t="shared" si="0"/>
        <v>391064.00000000006</v>
      </c>
      <c r="X5" s="40">
        <f t="shared" si="1"/>
        <v>3608936.0000000005</v>
      </c>
      <c r="Y5" s="40"/>
      <c r="Z5" s="41"/>
      <c r="AA5" s="40">
        <f>X5+Y5-Z5</f>
        <v>3608936.0000000005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3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41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130</v>
      </c>
      <c r="D8" s="38" t="s">
        <v>32</v>
      </c>
      <c r="E8" s="39">
        <v>4200000</v>
      </c>
      <c r="F8" s="39">
        <v>30</v>
      </c>
      <c r="G8" s="39">
        <f>E8/30*F8</f>
        <v>4200000</v>
      </c>
      <c r="H8" s="39"/>
      <c r="I8" s="39"/>
      <c r="J8" s="39"/>
      <c r="K8" s="39"/>
      <c r="L8" s="39"/>
      <c r="M8" s="39"/>
      <c r="N8" s="39">
        <f t="shared" si="2"/>
        <v>4200000</v>
      </c>
      <c r="O8" s="39">
        <f t="shared" ref="O8" si="4">+G8*4%</f>
        <v>168000</v>
      </c>
      <c r="P8" s="39">
        <f>O8</f>
        <v>168000</v>
      </c>
      <c r="Q8" s="39"/>
      <c r="R8" s="39"/>
      <c r="S8" s="39">
        <f>+G8*1%</f>
        <v>42000</v>
      </c>
      <c r="T8" s="48">
        <v>2545</v>
      </c>
      <c r="U8" s="39"/>
      <c r="V8" s="39"/>
      <c r="W8" s="39">
        <f t="shared" si="0"/>
        <v>380545</v>
      </c>
      <c r="X8" s="40">
        <f>N8-W8</f>
        <v>3819455</v>
      </c>
      <c r="Y8" s="40"/>
      <c r="Z8" s="41"/>
      <c r="AA8" s="40">
        <f t="shared" ref="AA8" si="5">X8+Y8-Z8</f>
        <v>3819455</v>
      </c>
    </row>
    <row r="9" spans="1:27" ht="12.75" x14ac:dyDescent="0.25">
      <c r="A9" s="120"/>
      <c r="B9" s="123">
        <v>6</v>
      </c>
      <c r="C9" s="37" t="s">
        <v>36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39"/>
      <c r="M9" s="39"/>
      <c r="N9" s="39">
        <f t="shared" si="2"/>
        <v>4500000</v>
      </c>
      <c r="O9" s="39">
        <f t="shared" ref="O9:O12" si="6"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0"/>
      <c r="Z9" s="41"/>
      <c r="AA9" s="40">
        <f>X9+Y9-Z9</f>
        <v>3996248</v>
      </c>
    </row>
    <row r="10" spans="1:27" ht="12.75" x14ac:dyDescent="0.25">
      <c r="A10" s="120"/>
      <c r="B10" s="123">
        <v>7</v>
      </c>
      <c r="C10" s="137" t="s">
        <v>38</v>
      </c>
      <c r="D10" s="96" t="s">
        <v>32</v>
      </c>
      <c r="E10" s="39">
        <v>4800000</v>
      </c>
      <c r="F10" s="39">
        <v>24</v>
      </c>
      <c r="G10" s="39">
        <f>+E10/30*F10+640032</f>
        <v>4480032</v>
      </c>
      <c r="H10" s="39"/>
      <c r="I10" s="39"/>
      <c r="J10" s="39"/>
      <c r="K10" s="39"/>
      <c r="L10" s="39"/>
      <c r="M10" s="39"/>
      <c r="N10" s="39">
        <f t="shared" si="2"/>
        <v>4480032</v>
      </c>
      <c r="O10" s="39">
        <f t="shared" si="6"/>
        <v>179201.28</v>
      </c>
      <c r="P10" s="39">
        <f>+O10</f>
        <v>179201.28</v>
      </c>
      <c r="Q10" s="39"/>
      <c r="R10" s="39"/>
      <c r="S10" s="39">
        <f t="shared" si="3"/>
        <v>44800.32</v>
      </c>
      <c r="T10" s="39">
        <v>5939</v>
      </c>
      <c r="U10" s="39"/>
      <c r="V10" s="39"/>
      <c r="W10" s="39">
        <f t="shared" si="0"/>
        <v>409141.88</v>
      </c>
      <c r="X10" s="40">
        <f t="shared" si="1"/>
        <v>4070890.12</v>
      </c>
      <c r="Y10" s="40"/>
      <c r="Z10" s="41"/>
      <c r="AA10" s="40">
        <f t="shared" ref="AA10:AA77" si="7">X10+Y10-Z10</f>
        <v>4070890.12</v>
      </c>
    </row>
    <row r="11" spans="1:27" ht="12.75" x14ac:dyDescent="0.25">
      <c r="A11" s="120"/>
      <c r="B11" s="123">
        <v>8</v>
      </c>
      <c r="C11" s="137" t="s">
        <v>140</v>
      </c>
      <c r="D11" s="96" t="s">
        <v>32</v>
      </c>
      <c r="E11" s="39">
        <v>4000000</v>
      </c>
      <c r="F11" s="39">
        <v>26</v>
      </c>
      <c r="G11" s="39">
        <f>+E11/30*F11</f>
        <v>3466666.666666667</v>
      </c>
      <c r="H11" s="39"/>
      <c r="I11" s="39"/>
      <c r="J11" s="39"/>
      <c r="K11" s="39"/>
      <c r="L11" s="39"/>
      <c r="M11" s="39"/>
      <c r="N11" s="39">
        <f t="shared" si="2"/>
        <v>3466666.666666667</v>
      </c>
      <c r="O11" s="39">
        <f t="shared" si="6"/>
        <v>138666.66666666669</v>
      </c>
      <c r="P11" s="39">
        <f>+O11</f>
        <v>138666.66666666669</v>
      </c>
      <c r="Q11" s="39"/>
      <c r="R11" s="39"/>
      <c r="S11" s="39">
        <f t="shared" si="3"/>
        <v>34666.666666666672</v>
      </c>
      <c r="T11" s="39"/>
      <c r="U11" s="39"/>
      <c r="V11" s="39"/>
      <c r="W11" s="39">
        <f t="shared" si="0"/>
        <v>312000.00000000006</v>
      </c>
      <c r="X11" s="40">
        <f t="shared" si="1"/>
        <v>3154666.666666667</v>
      </c>
      <c r="Y11" s="40"/>
      <c r="Z11" s="41"/>
      <c r="AA11" s="40">
        <f t="shared" si="7"/>
        <v>3154666.666666667</v>
      </c>
    </row>
    <row r="12" spans="1:27" ht="12.75" x14ac:dyDescent="0.25">
      <c r="A12" s="120"/>
      <c r="B12" s="123">
        <v>9</v>
      </c>
      <c r="C12" s="118" t="s">
        <v>40</v>
      </c>
      <c r="D12" s="45" t="s">
        <v>32</v>
      </c>
      <c r="E12" s="39">
        <v>3500000</v>
      </c>
      <c r="F12" s="39">
        <v>30</v>
      </c>
      <c r="G12" s="39">
        <f t="shared" ref="G12:G15" si="8">+E12/30*F12</f>
        <v>3500000</v>
      </c>
      <c r="H12" s="39"/>
      <c r="I12" s="39"/>
      <c r="J12" s="39"/>
      <c r="K12" s="39"/>
      <c r="L12" s="39"/>
      <c r="M12" s="39">
        <v>500000</v>
      </c>
      <c r="N12" s="39">
        <f t="shared" si="2"/>
        <v>4000000</v>
      </c>
      <c r="O12" s="39">
        <f t="shared" si="6"/>
        <v>140000</v>
      </c>
      <c r="P12" s="39">
        <f>O12</f>
        <v>140000</v>
      </c>
      <c r="Q12" s="39"/>
      <c r="R12" s="39"/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/>
      <c r="AA12" s="40">
        <f t="shared" si="7"/>
        <v>3685000</v>
      </c>
    </row>
    <row r="13" spans="1:27" ht="12.75" x14ac:dyDescent="0.25">
      <c r="A13" s="120"/>
      <c r="B13" s="123">
        <v>10</v>
      </c>
      <c r="C13" s="118" t="s">
        <v>141</v>
      </c>
      <c r="D13" s="45" t="s">
        <v>32</v>
      </c>
      <c r="E13" s="39">
        <v>4500000</v>
      </c>
      <c r="F13" s="39">
        <v>26</v>
      </c>
      <c r="G13" s="39">
        <f t="shared" si="8"/>
        <v>3900000</v>
      </c>
      <c r="H13" s="39"/>
      <c r="I13" s="39"/>
      <c r="J13" s="39"/>
      <c r="K13" s="39"/>
      <c r="L13" s="39"/>
      <c r="M13" s="39"/>
      <c r="N13" s="39">
        <f t="shared" si="2"/>
        <v>3900000</v>
      </c>
      <c r="O13" s="39">
        <f>G13*4%</f>
        <v>156000</v>
      </c>
      <c r="P13" s="39">
        <f>O13</f>
        <v>156000</v>
      </c>
      <c r="Q13" s="39"/>
      <c r="R13" s="39"/>
      <c r="S13" s="39">
        <f>G13*1%</f>
        <v>39000</v>
      </c>
      <c r="T13" s="39">
        <v>86000</v>
      </c>
      <c r="U13" s="39"/>
      <c r="V13" s="39"/>
      <c r="W13" s="39">
        <f t="shared" ref="W13" si="9">SUM(O13:V13)</f>
        <v>437000</v>
      </c>
      <c r="X13" s="40">
        <f t="shared" si="1"/>
        <v>3463000</v>
      </c>
      <c r="Y13" s="40"/>
      <c r="Z13" s="41"/>
      <c r="AA13" s="40">
        <f t="shared" si="7"/>
        <v>3463000</v>
      </c>
    </row>
    <row r="14" spans="1:27" ht="12.75" x14ac:dyDescent="0.25">
      <c r="A14" s="120"/>
      <c r="B14" s="123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 t="shared" si="8"/>
        <v>4410000</v>
      </c>
      <c r="H14" s="39"/>
      <c r="I14" s="39"/>
      <c r="J14" s="39"/>
      <c r="K14" s="39"/>
      <c r="L14" s="39"/>
      <c r="M14" s="39"/>
      <c r="N14" s="39">
        <f t="shared" si="2"/>
        <v>4410000</v>
      </c>
      <c r="O14" s="39">
        <f>+G14*4%</f>
        <v>176400</v>
      </c>
      <c r="P14" s="39">
        <f>+O14</f>
        <v>176400</v>
      </c>
      <c r="Q14" s="39"/>
      <c r="R14" s="39"/>
      <c r="S14" s="39">
        <f t="shared" si="3"/>
        <v>44100</v>
      </c>
      <c r="T14" s="48">
        <v>29568</v>
      </c>
      <c r="U14" s="39">
        <v>400000</v>
      </c>
      <c r="V14" s="39"/>
      <c r="W14" s="39">
        <f t="shared" si="0"/>
        <v>826468</v>
      </c>
      <c r="X14" s="40">
        <f t="shared" si="1"/>
        <v>3583532</v>
      </c>
      <c r="Y14" s="40"/>
      <c r="Z14" s="41"/>
      <c r="AA14" s="40">
        <f t="shared" si="7"/>
        <v>3583532</v>
      </c>
    </row>
    <row r="15" spans="1:27" ht="12.75" x14ac:dyDescent="0.25">
      <c r="A15" s="120"/>
      <c r="B15" s="123">
        <v>12</v>
      </c>
      <c r="C15" s="37" t="s">
        <v>104</v>
      </c>
      <c r="D15" s="38" t="s">
        <v>32</v>
      </c>
      <c r="E15" s="39">
        <v>4500000</v>
      </c>
      <c r="F15" s="39">
        <v>30</v>
      </c>
      <c r="G15" s="39">
        <f t="shared" si="8"/>
        <v>4500000</v>
      </c>
      <c r="H15" s="39"/>
      <c r="I15" s="39"/>
      <c r="J15" s="39"/>
      <c r="K15" s="39"/>
      <c r="L15" s="39"/>
      <c r="M15" s="39">
        <v>300000</v>
      </c>
      <c r="N15" s="39">
        <f t="shared" si="2"/>
        <v>4800000</v>
      </c>
      <c r="O15" s="39">
        <f>+G15*4%</f>
        <v>180000</v>
      </c>
      <c r="P15" s="39">
        <f>+O15</f>
        <v>180000</v>
      </c>
      <c r="Q15" s="39"/>
      <c r="R15" s="39"/>
      <c r="S15" s="39">
        <f t="shared" si="3"/>
        <v>45000</v>
      </c>
      <c r="T15" s="48">
        <v>98752</v>
      </c>
      <c r="U15" s="39"/>
      <c r="V15" s="39"/>
      <c r="W15" s="39">
        <f t="shared" si="0"/>
        <v>503752</v>
      </c>
      <c r="X15" s="40">
        <f t="shared" si="1"/>
        <v>4296248</v>
      </c>
      <c r="Y15" s="40"/>
      <c r="Z15" s="41"/>
      <c r="AA15" s="40">
        <f t="shared" si="7"/>
        <v>4296248</v>
      </c>
    </row>
    <row r="16" spans="1:27" ht="25.5" x14ac:dyDescent="0.25">
      <c r="A16" s="120"/>
      <c r="B16" s="123">
        <v>13</v>
      </c>
      <c r="C16" s="37" t="s">
        <v>43</v>
      </c>
      <c r="D16" s="38" t="s">
        <v>32</v>
      </c>
      <c r="E16" s="39">
        <v>5000000</v>
      </c>
      <c r="F16" s="39">
        <v>30</v>
      </c>
      <c r="G16" s="39">
        <f t="shared" ref="G16:G21" si="10">E16/30*F16</f>
        <v>5000000</v>
      </c>
      <c r="H16" s="39"/>
      <c r="I16" s="39"/>
      <c r="J16" s="39"/>
      <c r="K16" s="39"/>
      <c r="L16" s="39"/>
      <c r="M16" s="39">
        <v>600000</v>
      </c>
      <c r="N16" s="39">
        <f>SUM(G16:M16)</f>
        <v>5600000</v>
      </c>
      <c r="O16" s="39">
        <f t="shared" ref="O16:O18" si="11">+G16*4%</f>
        <v>200000</v>
      </c>
      <c r="P16" s="39">
        <f>+O16</f>
        <v>200000</v>
      </c>
      <c r="Q16" s="39"/>
      <c r="R16" s="39"/>
      <c r="S16" s="39">
        <f t="shared" si="3"/>
        <v>50000</v>
      </c>
      <c r="T16" s="48">
        <v>98752</v>
      </c>
      <c r="U16" s="39"/>
      <c r="V16" s="39"/>
      <c r="W16" s="39">
        <f t="shared" si="0"/>
        <v>548752</v>
      </c>
      <c r="X16" s="40">
        <f>N16-W16</f>
        <v>5051248</v>
      </c>
      <c r="Y16" s="40"/>
      <c r="Z16" s="41"/>
      <c r="AA16" s="40">
        <f t="shared" si="7"/>
        <v>5051248</v>
      </c>
    </row>
    <row r="17" spans="1:27" ht="12.75" x14ac:dyDescent="0.25">
      <c r="A17" s="120"/>
      <c r="B17" s="123">
        <v>14</v>
      </c>
      <c r="C17" s="37" t="s">
        <v>44</v>
      </c>
      <c r="D17" s="38" t="s">
        <v>32</v>
      </c>
      <c r="E17" s="39">
        <v>4500000</v>
      </c>
      <c r="F17" s="39">
        <v>30</v>
      </c>
      <c r="G17" s="39">
        <f t="shared" si="10"/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 t="shared" si="11"/>
        <v>180000</v>
      </c>
      <c r="P17" s="39">
        <f>O17</f>
        <v>180000</v>
      </c>
      <c r="Q17" s="39"/>
      <c r="R17" s="39"/>
      <c r="S17" s="39">
        <v>45000</v>
      </c>
      <c r="T17" s="48">
        <v>98752</v>
      </c>
      <c r="U17" s="39"/>
      <c r="V17" s="39"/>
      <c r="W17" s="39">
        <f t="shared" si="0"/>
        <v>503752</v>
      </c>
      <c r="X17" s="40">
        <f>N17-W17</f>
        <v>3996248</v>
      </c>
      <c r="Y17" s="40"/>
      <c r="Z17" s="41"/>
      <c r="AA17" s="40">
        <f t="shared" si="7"/>
        <v>3996248</v>
      </c>
    </row>
    <row r="18" spans="1:27" ht="12.75" x14ac:dyDescent="0.25">
      <c r="A18" s="120"/>
      <c r="B18" s="123">
        <v>15</v>
      </c>
      <c r="C18" s="37" t="s">
        <v>131</v>
      </c>
      <c r="D18" s="38" t="s">
        <v>32</v>
      </c>
      <c r="E18" s="39">
        <v>4000000</v>
      </c>
      <c r="F18" s="39">
        <v>30</v>
      </c>
      <c r="G18" s="39">
        <f t="shared" si="10"/>
        <v>4000000.0000000005</v>
      </c>
      <c r="H18" s="39"/>
      <c r="I18" s="39"/>
      <c r="J18" s="39"/>
      <c r="K18" s="39"/>
      <c r="L18" s="39"/>
      <c r="M18" s="39"/>
      <c r="N18" s="39">
        <f t="shared" si="2"/>
        <v>4000000.0000000005</v>
      </c>
      <c r="O18" s="39">
        <f t="shared" si="11"/>
        <v>160000.00000000003</v>
      </c>
      <c r="P18" s="39">
        <f>O18</f>
        <v>160000.00000000003</v>
      </c>
      <c r="Q18" s="39"/>
      <c r="R18" s="39"/>
      <c r="S18" s="39">
        <f>+G18*1%</f>
        <v>40000.000000000007</v>
      </c>
      <c r="T18" s="48">
        <v>31064</v>
      </c>
      <c r="U18" s="39"/>
      <c r="V18" s="39"/>
      <c r="W18" s="39">
        <f t="shared" si="0"/>
        <v>391064.00000000006</v>
      </c>
      <c r="X18" s="40">
        <f>N18-W18</f>
        <v>3608936.0000000005</v>
      </c>
      <c r="Y18" s="40"/>
      <c r="Z18" s="41"/>
      <c r="AA18" s="40">
        <f t="shared" si="7"/>
        <v>3608936.0000000005</v>
      </c>
    </row>
    <row r="19" spans="1:27" ht="12.75" x14ac:dyDescent="0.25">
      <c r="A19" s="120"/>
      <c r="B19" s="123">
        <v>16</v>
      </c>
      <c r="C19" s="37" t="s">
        <v>45</v>
      </c>
      <c r="D19" s="38" t="s">
        <v>32</v>
      </c>
      <c r="E19" s="39">
        <v>4180000</v>
      </c>
      <c r="F19" s="39">
        <v>30</v>
      </c>
      <c r="G19" s="39">
        <f t="shared" si="10"/>
        <v>4180000.0000000005</v>
      </c>
      <c r="H19" s="39"/>
      <c r="I19" s="39"/>
      <c r="J19" s="39"/>
      <c r="K19" s="39"/>
      <c r="L19" s="39"/>
      <c r="M19" s="39">
        <v>1515250</v>
      </c>
      <c r="N19" s="39">
        <f t="shared" si="2"/>
        <v>5695250</v>
      </c>
      <c r="O19" s="39">
        <f>+G19*4%</f>
        <v>167200.00000000003</v>
      </c>
      <c r="P19" s="39">
        <f>+O19</f>
        <v>167200.00000000003</v>
      </c>
      <c r="Q19" s="39"/>
      <c r="R19" s="39"/>
      <c r="S19" s="39">
        <f t="shared" si="3"/>
        <v>41800.000000000007</v>
      </c>
      <c r="T19" s="48">
        <v>2545</v>
      </c>
      <c r="U19" s="39">
        <v>800000</v>
      </c>
      <c r="V19" s="39">
        <v>884747</v>
      </c>
      <c r="W19" s="39">
        <f t="shared" si="0"/>
        <v>2063492</v>
      </c>
      <c r="X19" s="40">
        <f t="shared" si="1"/>
        <v>3631758</v>
      </c>
      <c r="Y19" s="40"/>
      <c r="Z19" s="41"/>
      <c r="AA19" s="40">
        <f t="shared" si="7"/>
        <v>3631758</v>
      </c>
    </row>
    <row r="20" spans="1:27" ht="12.75" x14ac:dyDescent="0.25">
      <c r="A20" s="120"/>
      <c r="B20" s="123">
        <v>17</v>
      </c>
      <c r="C20" s="37" t="s">
        <v>142</v>
      </c>
      <c r="D20" s="38" t="s">
        <v>32</v>
      </c>
      <c r="E20" s="39">
        <v>4000000</v>
      </c>
      <c r="F20" s="39">
        <v>29</v>
      </c>
      <c r="G20" s="39">
        <f t="shared" si="10"/>
        <v>3866666.666666667</v>
      </c>
      <c r="H20" s="39"/>
      <c r="I20" s="39"/>
      <c r="J20" s="39"/>
      <c r="K20" s="39"/>
      <c r="L20" s="39"/>
      <c r="M20" s="39"/>
      <c r="N20" s="39">
        <f t="shared" si="2"/>
        <v>3866666.666666667</v>
      </c>
      <c r="O20" s="39">
        <f>+G20*4%</f>
        <v>154666.66666666669</v>
      </c>
      <c r="P20" s="39">
        <f>+O20</f>
        <v>154666.66666666669</v>
      </c>
      <c r="Q20" s="39"/>
      <c r="R20" s="39"/>
      <c r="S20" s="39">
        <f t="shared" si="3"/>
        <v>38666.666666666672</v>
      </c>
      <c r="T20" s="48">
        <v>30000</v>
      </c>
      <c r="U20" s="39"/>
      <c r="V20" s="39"/>
      <c r="W20" s="39">
        <f t="shared" si="0"/>
        <v>378000.00000000006</v>
      </c>
      <c r="X20" s="40">
        <f t="shared" si="1"/>
        <v>3488666.666666667</v>
      </c>
      <c r="Y20" s="40"/>
      <c r="Z20" s="41"/>
      <c r="AA20" s="40">
        <f t="shared" si="7"/>
        <v>3488666.666666667</v>
      </c>
    </row>
    <row r="21" spans="1:27" ht="12.75" x14ac:dyDescent="0.25">
      <c r="A21" s="120"/>
      <c r="B21" s="123">
        <v>18</v>
      </c>
      <c r="C21" s="37" t="s">
        <v>46</v>
      </c>
      <c r="D21" s="38" t="s">
        <v>32</v>
      </c>
      <c r="E21" s="39">
        <v>4702500</v>
      </c>
      <c r="F21" s="39">
        <v>30</v>
      </c>
      <c r="G21" s="39">
        <f t="shared" si="10"/>
        <v>4702500</v>
      </c>
      <c r="H21" s="39"/>
      <c r="I21" s="39"/>
      <c r="J21" s="39"/>
      <c r="K21" s="39"/>
      <c r="L21" s="39"/>
      <c r="M21" s="39"/>
      <c r="N21" s="39">
        <f t="shared" si="2"/>
        <v>4702500</v>
      </c>
      <c r="O21" s="39">
        <f t="shared" ref="O21:O31" si="12">+G21*4%</f>
        <v>188100</v>
      </c>
      <c r="P21" s="39">
        <f>+O21</f>
        <v>188100</v>
      </c>
      <c r="Q21" s="39"/>
      <c r="R21" s="39"/>
      <c r="S21" s="39">
        <f>N21*1%</f>
        <v>47025</v>
      </c>
      <c r="T21" s="48">
        <v>126165</v>
      </c>
      <c r="U21" s="39"/>
      <c r="V21" s="39"/>
      <c r="W21" s="39">
        <f t="shared" si="0"/>
        <v>549390</v>
      </c>
      <c r="X21" s="40">
        <f>N21-W21</f>
        <v>4153110</v>
      </c>
      <c r="Y21" s="40"/>
      <c r="Z21" s="41"/>
      <c r="AA21" s="40">
        <f t="shared" si="7"/>
        <v>4153110</v>
      </c>
    </row>
    <row r="22" spans="1:27" ht="12.75" x14ac:dyDescent="0.25">
      <c r="A22" s="120"/>
      <c r="B22" s="123">
        <v>19</v>
      </c>
      <c r="C22" s="138" t="s">
        <v>47</v>
      </c>
      <c r="D22" s="96" t="s">
        <v>32</v>
      </c>
      <c r="E22" s="39">
        <v>4200000</v>
      </c>
      <c r="F22" s="39">
        <v>30</v>
      </c>
      <c r="G22" s="39">
        <f t="shared" ref="G22:G46" si="13">+E22/30*F22</f>
        <v>4200000</v>
      </c>
      <c r="H22" s="39"/>
      <c r="I22" s="39"/>
      <c r="J22" s="39"/>
      <c r="K22" s="39"/>
      <c r="L22" s="39"/>
      <c r="M22" s="39">
        <v>300000</v>
      </c>
      <c r="N22" s="39">
        <f t="shared" si="2"/>
        <v>4500000</v>
      </c>
      <c r="O22" s="39">
        <f t="shared" si="12"/>
        <v>168000</v>
      </c>
      <c r="P22" s="39">
        <f>O22</f>
        <v>168000</v>
      </c>
      <c r="Q22" s="39"/>
      <c r="R22" s="39"/>
      <c r="S22" s="39">
        <f>E22*1%</f>
        <v>42000</v>
      </c>
      <c r="T22" s="48">
        <v>58139</v>
      </c>
      <c r="U22" s="39"/>
      <c r="V22" s="39"/>
      <c r="W22" s="39">
        <f t="shared" si="0"/>
        <v>436139</v>
      </c>
      <c r="X22" s="40">
        <f>N22-W22</f>
        <v>4063861</v>
      </c>
      <c r="Y22" s="40"/>
      <c r="Z22" s="41"/>
      <c r="AA22" s="40">
        <f t="shared" si="7"/>
        <v>4063861</v>
      </c>
    </row>
    <row r="23" spans="1:27" ht="12.75" x14ac:dyDescent="0.25">
      <c r="A23" s="120"/>
      <c r="B23" s="123">
        <v>20</v>
      </c>
      <c r="C23" s="37" t="s">
        <v>126</v>
      </c>
      <c r="D23" s="38" t="s">
        <v>32</v>
      </c>
      <c r="E23" s="39">
        <v>3000000</v>
      </c>
      <c r="F23" s="39">
        <v>30</v>
      </c>
      <c r="G23" s="39">
        <f>E23/30*F23</f>
        <v>3000000</v>
      </c>
      <c r="H23" s="39"/>
      <c r="I23" s="39"/>
      <c r="J23" s="39"/>
      <c r="K23" s="39"/>
      <c r="L23" s="39"/>
      <c r="M23" s="39"/>
      <c r="N23" s="39">
        <f t="shared" ref="N23" si="14">SUM(G23:M23)</f>
        <v>3000000</v>
      </c>
      <c r="O23" s="39">
        <f>+G23*4%</f>
        <v>120000</v>
      </c>
      <c r="P23" s="39">
        <f>O23</f>
        <v>120000</v>
      </c>
      <c r="Q23" s="39"/>
      <c r="R23" s="39"/>
      <c r="S23" s="39">
        <f>+G23*1%</f>
        <v>30000</v>
      </c>
      <c r="T23" s="48">
        <v>0</v>
      </c>
      <c r="U23" s="39"/>
      <c r="V23" s="39"/>
      <c r="W23" s="39">
        <f t="shared" ref="W23" si="15">SUM(O23:V23)</f>
        <v>270000</v>
      </c>
      <c r="X23" s="40">
        <f>N23-W23</f>
        <v>2730000</v>
      </c>
      <c r="Y23" s="40"/>
      <c r="Z23" s="41"/>
      <c r="AA23" s="40">
        <f t="shared" si="7"/>
        <v>2730000</v>
      </c>
    </row>
    <row r="24" spans="1:27" ht="12.75" x14ac:dyDescent="0.25">
      <c r="A24" s="120"/>
      <c r="B24" s="123">
        <v>21</v>
      </c>
      <c r="C24" s="138" t="s">
        <v>120</v>
      </c>
      <c r="D24" s="96" t="s">
        <v>32</v>
      </c>
      <c r="E24" s="39">
        <v>4500000</v>
      </c>
      <c r="F24" s="39">
        <v>30</v>
      </c>
      <c r="G24" s="39">
        <f t="shared" si="13"/>
        <v>4500000</v>
      </c>
      <c r="H24" s="39"/>
      <c r="I24" s="39"/>
      <c r="J24" s="39"/>
      <c r="K24" s="39"/>
      <c r="L24" s="39"/>
      <c r="M24" s="39"/>
      <c r="N24" s="39">
        <f t="shared" si="2"/>
        <v>4500000</v>
      </c>
      <c r="O24" s="39">
        <f t="shared" si="12"/>
        <v>180000</v>
      </c>
      <c r="P24" s="39">
        <f>O24</f>
        <v>180000</v>
      </c>
      <c r="Q24" s="39"/>
      <c r="R24" s="39"/>
      <c r="S24" s="39">
        <f>N24*1%</f>
        <v>45000</v>
      </c>
      <c r="T24" s="48">
        <v>34627</v>
      </c>
      <c r="U24" s="39"/>
      <c r="V24" s="39">
        <v>200000</v>
      </c>
      <c r="W24" s="39">
        <f t="shared" si="0"/>
        <v>639627</v>
      </c>
      <c r="X24" s="40">
        <f>N24-W24</f>
        <v>3860373</v>
      </c>
      <c r="Y24" s="40"/>
      <c r="Z24" s="41"/>
      <c r="AA24" s="40">
        <f t="shared" si="7"/>
        <v>3860373</v>
      </c>
    </row>
    <row r="25" spans="1:27" ht="12.75" x14ac:dyDescent="0.25">
      <c r="A25" s="120"/>
      <c r="B25" s="123">
        <v>22</v>
      </c>
      <c r="C25" s="37" t="s">
        <v>48</v>
      </c>
      <c r="D25" s="38" t="s">
        <v>32</v>
      </c>
      <c r="E25" s="39">
        <v>4800000</v>
      </c>
      <c r="F25" s="39">
        <v>30</v>
      </c>
      <c r="G25" s="39">
        <f t="shared" si="13"/>
        <v>4800000</v>
      </c>
      <c r="H25" s="39"/>
      <c r="I25" s="39"/>
      <c r="J25" s="39"/>
      <c r="K25" s="39"/>
      <c r="L25" s="39"/>
      <c r="M25" s="39"/>
      <c r="N25" s="39">
        <f t="shared" si="2"/>
        <v>4800000</v>
      </c>
      <c r="O25" s="39">
        <f t="shared" si="12"/>
        <v>192000</v>
      </c>
      <c r="P25" s="39">
        <f t="shared" ref="P25:P31" si="16">+O25</f>
        <v>192000</v>
      </c>
      <c r="Q25" s="39"/>
      <c r="R25" s="39"/>
      <c r="S25" s="39">
        <f t="shared" si="3"/>
        <v>48000</v>
      </c>
      <c r="T25" s="39">
        <v>139364</v>
      </c>
      <c r="U25" s="39"/>
      <c r="V25" s="39"/>
      <c r="W25" s="39">
        <f t="shared" si="0"/>
        <v>571364</v>
      </c>
      <c r="X25" s="40">
        <f t="shared" si="1"/>
        <v>4228636</v>
      </c>
      <c r="Y25" s="40"/>
      <c r="Z25" s="41"/>
      <c r="AA25" s="40">
        <f t="shared" si="7"/>
        <v>4228636</v>
      </c>
    </row>
    <row r="26" spans="1:27" ht="12.75" x14ac:dyDescent="0.25">
      <c r="A26" s="120"/>
      <c r="B26" s="123">
        <v>23</v>
      </c>
      <c r="C26" s="37" t="s">
        <v>143</v>
      </c>
      <c r="D26" s="38" t="s">
        <v>32</v>
      </c>
      <c r="E26" s="39">
        <v>4500000</v>
      </c>
      <c r="F26" s="39">
        <v>26</v>
      </c>
      <c r="G26" s="39">
        <f t="shared" si="13"/>
        <v>3900000</v>
      </c>
      <c r="H26" s="39"/>
      <c r="I26" s="39"/>
      <c r="J26" s="39"/>
      <c r="K26" s="39"/>
      <c r="L26" s="39"/>
      <c r="M26" s="39"/>
      <c r="N26" s="39">
        <f t="shared" si="2"/>
        <v>3900000</v>
      </c>
      <c r="O26" s="39">
        <f t="shared" si="12"/>
        <v>156000</v>
      </c>
      <c r="P26" s="39">
        <f t="shared" si="16"/>
        <v>156000</v>
      </c>
      <c r="Q26" s="39"/>
      <c r="R26" s="39"/>
      <c r="S26" s="39">
        <f t="shared" si="3"/>
        <v>39000</v>
      </c>
      <c r="T26" s="39">
        <v>86000</v>
      </c>
      <c r="U26" s="39"/>
      <c r="V26" s="39"/>
      <c r="W26" s="39">
        <f t="shared" si="0"/>
        <v>437000</v>
      </c>
      <c r="X26" s="40">
        <f t="shared" si="1"/>
        <v>3463000</v>
      </c>
      <c r="Y26" s="40"/>
      <c r="Z26" s="41"/>
      <c r="AA26" s="40">
        <f t="shared" si="7"/>
        <v>3463000</v>
      </c>
    </row>
    <row r="27" spans="1:27" ht="12.75" x14ac:dyDescent="0.25">
      <c r="A27" s="120"/>
      <c r="B27" s="123">
        <v>24</v>
      </c>
      <c r="C27" s="37" t="s">
        <v>49</v>
      </c>
      <c r="D27" s="38" t="s">
        <v>32</v>
      </c>
      <c r="E27" s="39">
        <v>4023250</v>
      </c>
      <c r="F27" s="39">
        <v>30</v>
      </c>
      <c r="G27" s="39">
        <f t="shared" si="13"/>
        <v>4023250.0000000005</v>
      </c>
      <c r="H27" s="39"/>
      <c r="I27" s="39"/>
      <c r="J27" s="39"/>
      <c r="K27" s="39"/>
      <c r="L27" s="39"/>
      <c r="M27" s="39"/>
      <c r="N27" s="39">
        <f t="shared" si="2"/>
        <v>4023250.0000000005</v>
      </c>
      <c r="O27" s="39">
        <f t="shared" si="12"/>
        <v>160930.00000000003</v>
      </c>
      <c r="P27" s="39">
        <f t="shared" si="16"/>
        <v>160930.00000000003</v>
      </c>
      <c r="Q27" s="39"/>
      <c r="R27" s="39"/>
      <c r="S27" s="39">
        <f t="shared" si="3"/>
        <v>40232.500000000007</v>
      </c>
      <c r="T27" s="39">
        <v>2545</v>
      </c>
      <c r="U27" s="39"/>
      <c r="V27" s="39"/>
      <c r="W27" s="39">
        <f t="shared" si="0"/>
        <v>364637.50000000006</v>
      </c>
      <c r="X27" s="40">
        <f t="shared" si="1"/>
        <v>3658612.5000000005</v>
      </c>
      <c r="Y27" s="40"/>
      <c r="Z27" s="41"/>
      <c r="AA27" s="40">
        <f t="shared" si="7"/>
        <v>3658612.5000000005</v>
      </c>
    </row>
    <row r="28" spans="1:27" ht="12.75" x14ac:dyDescent="0.25">
      <c r="A28" s="120"/>
      <c r="B28" s="123">
        <v>25</v>
      </c>
      <c r="C28" s="37" t="s">
        <v>50</v>
      </c>
      <c r="D28" s="38" t="s">
        <v>32</v>
      </c>
      <c r="E28" s="39">
        <v>6583500</v>
      </c>
      <c r="F28" s="39">
        <v>30</v>
      </c>
      <c r="G28" s="39">
        <f t="shared" si="13"/>
        <v>6583500</v>
      </c>
      <c r="H28" s="39"/>
      <c r="I28" s="39"/>
      <c r="J28" s="39"/>
      <c r="K28" s="39"/>
      <c r="L28" s="39"/>
      <c r="M28" s="39"/>
      <c r="N28" s="39">
        <f t="shared" si="2"/>
        <v>6583500</v>
      </c>
      <c r="O28" s="39">
        <f t="shared" si="12"/>
        <v>263340</v>
      </c>
      <c r="P28" s="39">
        <f t="shared" si="16"/>
        <v>263340</v>
      </c>
      <c r="Q28" s="39"/>
      <c r="R28" s="39"/>
      <c r="S28" s="39">
        <f t="shared" si="3"/>
        <v>65835</v>
      </c>
      <c r="T28" s="48">
        <v>83706</v>
      </c>
      <c r="U28" s="39">
        <v>1560000</v>
      </c>
      <c r="V28" s="39"/>
      <c r="W28" s="39">
        <f t="shared" si="0"/>
        <v>2236221</v>
      </c>
      <c r="X28" s="40">
        <f>+N28-W28</f>
        <v>4347279</v>
      </c>
      <c r="Y28" s="40"/>
      <c r="Z28" s="41"/>
      <c r="AA28" s="40">
        <f t="shared" si="7"/>
        <v>4347279</v>
      </c>
    </row>
    <row r="29" spans="1:27" ht="12.75" x14ac:dyDescent="0.25">
      <c r="A29" s="120"/>
      <c r="B29" s="123">
        <v>26</v>
      </c>
      <c r="C29" s="37" t="s">
        <v>51</v>
      </c>
      <c r="D29" s="38" t="s">
        <v>32</v>
      </c>
      <c r="E29" s="39">
        <v>3500000</v>
      </c>
      <c r="F29" s="39">
        <v>30</v>
      </c>
      <c r="G29" s="39">
        <f t="shared" si="13"/>
        <v>3500000</v>
      </c>
      <c r="H29" s="39"/>
      <c r="I29" s="39"/>
      <c r="J29" s="39"/>
      <c r="K29" s="39"/>
      <c r="L29" s="39"/>
      <c r="M29" s="39">
        <v>500000</v>
      </c>
      <c r="N29" s="39">
        <f t="shared" si="2"/>
        <v>4000000</v>
      </c>
      <c r="O29" s="39">
        <f t="shared" si="12"/>
        <v>140000</v>
      </c>
      <c r="P29" s="39">
        <f t="shared" si="16"/>
        <v>140000</v>
      </c>
      <c r="Q29" s="39"/>
      <c r="R29" s="39"/>
      <c r="S29" s="39">
        <f t="shared" si="3"/>
        <v>35000</v>
      </c>
      <c r="T29" s="39">
        <v>0</v>
      </c>
      <c r="U29" s="39"/>
      <c r="V29" s="39">
        <v>500000</v>
      </c>
      <c r="W29" s="39">
        <f t="shared" si="0"/>
        <v>815000</v>
      </c>
      <c r="X29" s="40">
        <f>+N29-W29</f>
        <v>3185000</v>
      </c>
      <c r="Y29" s="40"/>
      <c r="Z29" s="41"/>
      <c r="AA29" s="40">
        <f t="shared" si="7"/>
        <v>3185000</v>
      </c>
    </row>
    <row r="30" spans="1:27" ht="12.75" x14ac:dyDescent="0.25">
      <c r="A30" s="120"/>
      <c r="B30" s="123">
        <v>27</v>
      </c>
      <c r="C30" s="37" t="s">
        <v>127</v>
      </c>
      <c r="D30" s="38" t="s">
        <v>32</v>
      </c>
      <c r="E30" s="39">
        <v>4000000</v>
      </c>
      <c r="F30" s="39">
        <v>30</v>
      </c>
      <c r="G30" s="39">
        <f t="shared" si="13"/>
        <v>4000000.0000000005</v>
      </c>
      <c r="H30" s="39"/>
      <c r="I30" s="39"/>
      <c r="J30" s="39"/>
      <c r="K30" s="39"/>
      <c r="L30" s="39"/>
      <c r="M30" s="39"/>
      <c r="N30" s="39">
        <f>SUM(G30:M30)</f>
        <v>4000000.0000000005</v>
      </c>
      <c r="O30" s="39">
        <f>+G30*4%</f>
        <v>160000.00000000003</v>
      </c>
      <c r="P30" s="39">
        <f>+O30</f>
        <v>160000.00000000003</v>
      </c>
      <c r="Q30" s="39"/>
      <c r="R30" s="39"/>
      <c r="S30" s="39">
        <f>+G30*1%</f>
        <v>40000.000000000007</v>
      </c>
      <c r="T30" s="39">
        <v>0</v>
      </c>
      <c r="U30" s="39"/>
      <c r="V30" s="39">
        <v>500000</v>
      </c>
      <c r="W30" s="39">
        <f t="shared" si="0"/>
        <v>860000</v>
      </c>
      <c r="X30" s="40">
        <f>+N30-W30</f>
        <v>3140000.0000000005</v>
      </c>
      <c r="Y30" s="40"/>
      <c r="Z30" s="41"/>
      <c r="AA30" s="40">
        <f t="shared" si="7"/>
        <v>3140000.0000000005</v>
      </c>
    </row>
    <row r="31" spans="1:27" ht="12.75" x14ac:dyDescent="0.25">
      <c r="A31" s="120"/>
      <c r="B31" s="123">
        <v>28</v>
      </c>
      <c r="C31" s="118" t="s">
        <v>53</v>
      </c>
      <c r="D31" s="45" t="s">
        <v>32</v>
      </c>
      <c r="E31" s="39">
        <v>4500000</v>
      </c>
      <c r="F31" s="39">
        <v>30</v>
      </c>
      <c r="G31" s="39">
        <f t="shared" si="13"/>
        <v>4500000</v>
      </c>
      <c r="H31" s="39"/>
      <c r="I31" s="39"/>
      <c r="J31" s="39"/>
      <c r="K31" s="39"/>
      <c r="L31" s="39"/>
      <c r="M31" s="39"/>
      <c r="N31" s="39">
        <f t="shared" si="2"/>
        <v>4500000</v>
      </c>
      <c r="O31" s="39">
        <f t="shared" si="12"/>
        <v>180000</v>
      </c>
      <c r="P31" s="39">
        <f t="shared" si="16"/>
        <v>180000</v>
      </c>
      <c r="Q31" s="39"/>
      <c r="R31" s="39"/>
      <c r="S31" s="39">
        <f>N31*1%</f>
        <v>45000</v>
      </c>
      <c r="T31" s="39">
        <v>34627</v>
      </c>
      <c r="U31" s="39"/>
      <c r="V31" s="39"/>
      <c r="W31" s="39">
        <f t="shared" si="0"/>
        <v>439627</v>
      </c>
      <c r="X31" s="40">
        <f>N31-W31</f>
        <v>4060373</v>
      </c>
      <c r="Y31" s="40"/>
      <c r="Z31" s="41"/>
      <c r="AA31" s="40">
        <f t="shared" si="7"/>
        <v>4060373</v>
      </c>
    </row>
    <row r="32" spans="1:27" ht="12.75" x14ac:dyDescent="0.25">
      <c r="A32" s="120"/>
      <c r="B32" s="123">
        <v>29</v>
      </c>
      <c r="C32" s="139" t="s">
        <v>144</v>
      </c>
      <c r="D32" s="42" t="s">
        <v>32</v>
      </c>
      <c r="E32" s="39">
        <v>5000000</v>
      </c>
      <c r="F32" s="39">
        <v>12</v>
      </c>
      <c r="G32" s="39">
        <f t="shared" si="13"/>
        <v>2000000</v>
      </c>
      <c r="H32" s="39"/>
      <c r="I32" s="39"/>
      <c r="J32" s="39"/>
      <c r="K32" s="39"/>
      <c r="L32" s="39"/>
      <c r="M32" s="39"/>
      <c r="N32" s="39">
        <f t="shared" ref="N32" si="17">SUM(G32:M32)</f>
        <v>2000000</v>
      </c>
      <c r="O32" s="39">
        <f>G32*4%</f>
        <v>80000</v>
      </c>
      <c r="P32" s="39">
        <f>O32</f>
        <v>80000</v>
      </c>
      <c r="Q32" s="39"/>
      <c r="R32" s="39"/>
      <c r="S32" s="39">
        <f>G32*1%</f>
        <v>20000</v>
      </c>
      <c r="T32" s="39"/>
      <c r="U32" s="39"/>
      <c r="V32" s="39"/>
      <c r="W32" s="39">
        <f t="shared" ref="W32" si="18">SUM(O32:V32)</f>
        <v>180000</v>
      </c>
      <c r="X32" s="40">
        <f>N32-W32</f>
        <v>1820000</v>
      </c>
      <c r="Y32" s="40"/>
      <c r="Z32" s="41"/>
      <c r="AA32" s="40">
        <f t="shared" si="7"/>
        <v>1820000</v>
      </c>
    </row>
    <row r="33" spans="1:27" ht="12.75" x14ac:dyDescent="0.25">
      <c r="A33" s="120"/>
      <c r="B33" s="123">
        <v>30</v>
      </c>
      <c r="C33" s="139" t="s">
        <v>54</v>
      </c>
      <c r="D33" s="42" t="s">
        <v>32</v>
      </c>
      <c r="E33" s="39">
        <v>5000000</v>
      </c>
      <c r="F33" s="39">
        <v>30</v>
      </c>
      <c r="G33" s="39">
        <f t="shared" si="13"/>
        <v>5000000</v>
      </c>
      <c r="H33" s="39"/>
      <c r="I33" s="39"/>
      <c r="J33" s="39"/>
      <c r="K33" s="39"/>
      <c r="L33" s="39"/>
      <c r="M33" s="39">
        <f>400000/30*F33</f>
        <v>400000</v>
      </c>
      <c r="N33" s="39">
        <f t="shared" si="2"/>
        <v>5400000</v>
      </c>
      <c r="O33" s="39">
        <f>G33*4%</f>
        <v>200000</v>
      </c>
      <c r="P33" s="39">
        <f>O33</f>
        <v>200000</v>
      </c>
      <c r="Q33" s="39"/>
      <c r="R33" s="39"/>
      <c r="S33" s="39">
        <f>G33*1%</f>
        <v>50000</v>
      </c>
      <c r="T33" s="39">
        <v>166439</v>
      </c>
      <c r="U33" s="39"/>
      <c r="V33" s="39"/>
      <c r="W33" s="39">
        <f t="shared" si="0"/>
        <v>616439</v>
      </c>
      <c r="X33" s="40">
        <f>N33-W33</f>
        <v>4783561</v>
      </c>
      <c r="Y33" s="40"/>
      <c r="Z33" s="41"/>
      <c r="AA33" s="40">
        <f t="shared" si="7"/>
        <v>4783561</v>
      </c>
    </row>
    <row r="34" spans="1:27" ht="25.5" x14ac:dyDescent="0.25">
      <c r="A34" s="120"/>
      <c r="B34" s="123">
        <v>31</v>
      </c>
      <c r="C34" s="37" t="s">
        <v>55</v>
      </c>
      <c r="D34" s="38" t="s">
        <v>32</v>
      </c>
      <c r="E34" s="39">
        <v>4410000</v>
      </c>
      <c r="F34" s="39">
        <v>30</v>
      </c>
      <c r="G34" s="39">
        <f>+E34/30*F34</f>
        <v>4410000</v>
      </c>
      <c r="H34" s="39"/>
      <c r="I34" s="39"/>
      <c r="J34" s="39"/>
      <c r="K34" s="39"/>
      <c r="L34" s="39"/>
      <c r="M34" s="39"/>
      <c r="N34" s="39">
        <f t="shared" si="2"/>
        <v>4410000</v>
      </c>
      <c r="O34" s="39">
        <f t="shared" ref="O34:O40" si="19">+G34*4%</f>
        <v>176400</v>
      </c>
      <c r="P34" s="39">
        <f t="shared" ref="P34:P39" si="20">+O34</f>
        <v>176400</v>
      </c>
      <c r="Q34" s="39"/>
      <c r="R34" s="39"/>
      <c r="S34" s="39">
        <f t="shared" si="3"/>
        <v>44100</v>
      </c>
      <c r="T34" s="39">
        <v>2545</v>
      </c>
      <c r="U34" s="39"/>
      <c r="V34" s="39">
        <v>1300000</v>
      </c>
      <c r="W34" s="39">
        <f t="shared" si="0"/>
        <v>1699445</v>
      </c>
      <c r="X34" s="40">
        <f t="shared" ref="X34:X39" si="21">+N34-W34</f>
        <v>2710555</v>
      </c>
      <c r="Y34" s="40"/>
      <c r="Z34" s="41"/>
      <c r="AA34" s="40">
        <f t="shared" si="7"/>
        <v>2710555</v>
      </c>
    </row>
    <row r="35" spans="1:27" ht="12.75" x14ac:dyDescent="0.25">
      <c r="A35" s="120"/>
      <c r="B35" s="123">
        <v>32</v>
      </c>
      <c r="C35" s="37" t="s">
        <v>145</v>
      </c>
      <c r="D35" s="38" t="s">
        <v>32</v>
      </c>
      <c r="E35" s="39">
        <v>4500000</v>
      </c>
      <c r="F35" s="39">
        <v>18</v>
      </c>
      <c r="G35" s="39">
        <f t="shared" ref="G35:G36" si="22">+E35/30*F35</f>
        <v>2700000</v>
      </c>
      <c r="H35" s="39"/>
      <c r="I35" s="39"/>
      <c r="J35" s="39"/>
      <c r="K35" s="39"/>
      <c r="L35" s="39"/>
      <c r="M35" s="39"/>
      <c r="N35" s="39">
        <f t="shared" si="2"/>
        <v>2700000</v>
      </c>
      <c r="O35" s="39">
        <f t="shared" si="19"/>
        <v>108000</v>
      </c>
      <c r="P35" s="39">
        <f t="shared" si="20"/>
        <v>108000</v>
      </c>
      <c r="Q35" s="39"/>
      <c r="R35" s="39"/>
      <c r="S35" s="39">
        <f t="shared" si="3"/>
        <v>27000</v>
      </c>
      <c r="T35" s="39"/>
      <c r="U35" s="39"/>
      <c r="V35" s="39"/>
      <c r="W35" s="39">
        <f t="shared" ref="W35:W36" si="23">SUM(O35:V35)</f>
        <v>243000</v>
      </c>
      <c r="X35" s="40">
        <f t="shared" si="21"/>
        <v>2457000</v>
      </c>
      <c r="Y35" s="40"/>
      <c r="Z35" s="41"/>
      <c r="AA35" s="40">
        <f t="shared" si="7"/>
        <v>2457000</v>
      </c>
    </row>
    <row r="36" spans="1:27" ht="12.75" x14ac:dyDescent="0.25">
      <c r="A36" s="120"/>
      <c r="B36" s="123">
        <v>33</v>
      </c>
      <c r="C36" s="37" t="s">
        <v>132</v>
      </c>
      <c r="D36" s="38" t="s">
        <v>32</v>
      </c>
      <c r="E36" s="39">
        <v>2000000</v>
      </c>
      <c r="F36" s="39">
        <v>30</v>
      </c>
      <c r="G36" s="39">
        <f t="shared" si="22"/>
        <v>2000000.0000000002</v>
      </c>
      <c r="H36" s="39"/>
      <c r="I36" s="39"/>
      <c r="J36" s="39"/>
      <c r="K36" s="39"/>
      <c r="L36" s="39"/>
      <c r="M36" s="39"/>
      <c r="N36" s="39">
        <f t="shared" si="2"/>
        <v>2000000.0000000002</v>
      </c>
      <c r="O36" s="39">
        <f t="shared" si="19"/>
        <v>80000.000000000015</v>
      </c>
      <c r="P36" s="39">
        <f t="shared" si="20"/>
        <v>80000.000000000015</v>
      </c>
      <c r="Q36" s="39"/>
      <c r="R36" s="39"/>
      <c r="S36" s="39"/>
      <c r="T36" s="39"/>
      <c r="U36" s="39"/>
      <c r="V36" s="39"/>
      <c r="W36" s="39">
        <f t="shared" si="23"/>
        <v>160000.00000000003</v>
      </c>
      <c r="X36" s="40">
        <f t="shared" si="21"/>
        <v>1840000.0000000002</v>
      </c>
      <c r="Y36" s="40"/>
      <c r="Z36" s="41"/>
      <c r="AA36" s="40">
        <f t="shared" si="7"/>
        <v>1840000.0000000002</v>
      </c>
    </row>
    <row r="37" spans="1:27" ht="12.75" x14ac:dyDescent="0.25">
      <c r="A37" s="120"/>
      <c r="B37" s="123">
        <v>34</v>
      </c>
      <c r="C37" s="37" t="s">
        <v>109</v>
      </c>
      <c r="D37" s="38" t="s">
        <v>32</v>
      </c>
      <c r="E37" s="39">
        <v>4200000</v>
      </c>
      <c r="F37" s="39">
        <v>30</v>
      </c>
      <c r="G37" s="39">
        <f t="shared" si="13"/>
        <v>4200000</v>
      </c>
      <c r="H37" s="39"/>
      <c r="I37" s="39"/>
      <c r="J37" s="39"/>
      <c r="K37" s="39"/>
      <c r="L37" s="39"/>
      <c r="M37" s="39"/>
      <c r="N37" s="39">
        <f t="shared" si="2"/>
        <v>4200000</v>
      </c>
      <c r="O37" s="39">
        <f t="shared" si="19"/>
        <v>168000</v>
      </c>
      <c r="P37" s="39">
        <f t="shared" si="20"/>
        <v>168000</v>
      </c>
      <c r="Q37" s="39"/>
      <c r="R37" s="39"/>
      <c r="S37" s="39">
        <v>42000</v>
      </c>
      <c r="T37" s="39">
        <v>2545</v>
      </c>
      <c r="U37" s="39"/>
      <c r="V37" s="39">
        <v>1000000</v>
      </c>
      <c r="W37" s="39">
        <f t="shared" si="0"/>
        <v>1380545</v>
      </c>
      <c r="X37" s="40">
        <f t="shared" si="21"/>
        <v>2819455</v>
      </c>
      <c r="Y37" s="40"/>
      <c r="Z37" s="41"/>
      <c r="AA37" s="40">
        <f t="shared" si="7"/>
        <v>2819455</v>
      </c>
    </row>
    <row r="38" spans="1:27" ht="12.75" x14ac:dyDescent="0.25">
      <c r="A38" s="120"/>
      <c r="B38" s="123">
        <v>35</v>
      </c>
      <c r="C38" s="37" t="s">
        <v>128</v>
      </c>
      <c r="D38" s="38" t="s">
        <v>32</v>
      </c>
      <c r="E38" s="39">
        <v>4500000</v>
      </c>
      <c r="F38" s="39">
        <v>30</v>
      </c>
      <c r="G38" s="39">
        <f t="shared" si="13"/>
        <v>4500000</v>
      </c>
      <c r="H38" s="39"/>
      <c r="I38" s="39"/>
      <c r="J38" s="39"/>
      <c r="K38" s="39"/>
      <c r="L38" s="39"/>
      <c r="M38" s="39"/>
      <c r="N38" s="39">
        <f t="shared" si="2"/>
        <v>4500000</v>
      </c>
      <c r="O38" s="39">
        <f t="shared" si="19"/>
        <v>180000</v>
      </c>
      <c r="P38" s="39">
        <f t="shared" si="20"/>
        <v>180000</v>
      </c>
      <c r="Q38" s="39"/>
      <c r="R38" s="39"/>
      <c r="S38" s="39">
        <f>+G38*1%</f>
        <v>45000</v>
      </c>
      <c r="T38" s="39">
        <v>34627</v>
      </c>
      <c r="U38" s="39"/>
      <c r="V38" s="39"/>
      <c r="W38" s="39">
        <f t="shared" ref="W38" si="24">SUM(O38:V38)</f>
        <v>439627</v>
      </c>
      <c r="X38" s="40">
        <f t="shared" si="21"/>
        <v>4060373</v>
      </c>
      <c r="Y38" s="40"/>
      <c r="Z38" s="41"/>
      <c r="AA38" s="40">
        <f t="shared" si="7"/>
        <v>4060373</v>
      </c>
    </row>
    <row r="39" spans="1:27" ht="12.75" x14ac:dyDescent="0.25">
      <c r="A39" s="120"/>
      <c r="B39" s="123">
        <v>36</v>
      </c>
      <c r="C39" s="137" t="s">
        <v>56</v>
      </c>
      <c r="D39" s="96" t="s">
        <v>32</v>
      </c>
      <c r="E39" s="39">
        <v>4180000</v>
      </c>
      <c r="F39" s="39">
        <v>30</v>
      </c>
      <c r="G39" s="39">
        <f t="shared" si="13"/>
        <v>4180000.0000000005</v>
      </c>
      <c r="H39" s="39"/>
      <c r="I39" s="39"/>
      <c r="J39" s="39"/>
      <c r="K39" s="39"/>
      <c r="L39" s="39"/>
      <c r="M39" s="39">
        <v>522500</v>
      </c>
      <c r="N39" s="39">
        <f t="shared" si="2"/>
        <v>4702500</v>
      </c>
      <c r="O39" s="39">
        <f t="shared" si="19"/>
        <v>167200.00000000003</v>
      </c>
      <c r="P39" s="39">
        <f t="shared" si="20"/>
        <v>167200.00000000003</v>
      </c>
      <c r="Q39" s="39"/>
      <c r="R39" s="39"/>
      <c r="S39" s="39">
        <f t="shared" si="3"/>
        <v>41800.000000000007</v>
      </c>
      <c r="T39" s="39">
        <v>55432</v>
      </c>
      <c r="U39" s="39"/>
      <c r="V39" s="39"/>
      <c r="W39" s="39">
        <f t="shared" si="0"/>
        <v>431632.00000000006</v>
      </c>
      <c r="X39" s="40">
        <f t="shared" si="21"/>
        <v>4270868</v>
      </c>
      <c r="Y39" s="40"/>
      <c r="Z39" s="41"/>
      <c r="AA39" s="40">
        <f t="shared" si="7"/>
        <v>4270868</v>
      </c>
    </row>
    <row r="40" spans="1:27" ht="30.75" customHeight="1" x14ac:dyDescent="0.25">
      <c r="A40" s="120"/>
      <c r="B40" s="123">
        <v>37</v>
      </c>
      <c r="C40" s="37" t="s">
        <v>121</v>
      </c>
      <c r="D40" s="38" t="s">
        <v>32</v>
      </c>
      <c r="E40" s="39">
        <v>4500000</v>
      </c>
      <c r="F40" s="39">
        <v>30</v>
      </c>
      <c r="G40" s="39">
        <f t="shared" si="13"/>
        <v>4500000</v>
      </c>
      <c r="H40" s="39"/>
      <c r="I40" s="39"/>
      <c r="J40" s="39"/>
      <c r="K40" s="39"/>
      <c r="L40" s="39"/>
      <c r="M40" s="39">
        <v>300000</v>
      </c>
      <c r="N40" s="39">
        <f t="shared" ref="N40:N41" si="25">SUM(G40:M40)</f>
        <v>4800000</v>
      </c>
      <c r="O40" s="39">
        <f t="shared" si="19"/>
        <v>180000</v>
      </c>
      <c r="P40" s="39">
        <f>O40</f>
        <v>180000</v>
      </c>
      <c r="Q40" s="39"/>
      <c r="R40" s="39"/>
      <c r="S40" s="39">
        <v>45000</v>
      </c>
      <c r="T40" s="39">
        <v>98752</v>
      </c>
      <c r="U40" s="39"/>
      <c r="V40" s="39"/>
      <c r="W40" s="39">
        <f t="shared" si="0"/>
        <v>503752</v>
      </c>
      <c r="X40" s="40">
        <f>N40-W40</f>
        <v>4296248</v>
      </c>
      <c r="Y40" s="40"/>
      <c r="Z40" s="41"/>
      <c r="AA40" s="40">
        <f t="shared" si="7"/>
        <v>4296248</v>
      </c>
    </row>
    <row r="41" spans="1:27" ht="12.75" x14ac:dyDescent="0.25">
      <c r="A41" s="120"/>
      <c r="B41" s="123">
        <v>38</v>
      </c>
      <c r="C41" s="37" t="s">
        <v>59</v>
      </c>
      <c r="D41" s="38" t="s">
        <v>32</v>
      </c>
      <c r="E41" s="39">
        <v>5747500</v>
      </c>
      <c r="F41" s="39">
        <v>30</v>
      </c>
      <c r="G41" s="39">
        <f t="shared" si="13"/>
        <v>5747500</v>
      </c>
      <c r="H41" s="39"/>
      <c r="I41" s="39"/>
      <c r="J41" s="39"/>
      <c r="K41" s="39"/>
      <c r="L41" s="39"/>
      <c r="M41" s="39">
        <v>1000000</v>
      </c>
      <c r="N41" s="39">
        <f t="shared" si="25"/>
        <v>6747500</v>
      </c>
      <c r="O41" s="39">
        <v>229900</v>
      </c>
      <c r="P41" s="39">
        <f>+O41</f>
        <v>229900</v>
      </c>
      <c r="Q41" s="39"/>
      <c r="R41" s="39"/>
      <c r="S41" s="39">
        <f t="shared" si="3"/>
        <v>57475</v>
      </c>
      <c r="T41" s="39">
        <v>91627</v>
      </c>
      <c r="U41" s="39">
        <v>1000000</v>
      </c>
      <c r="V41" s="39"/>
      <c r="W41" s="39">
        <f t="shared" si="0"/>
        <v>1608902</v>
      </c>
      <c r="X41" s="40">
        <f>N41-W41</f>
        <v>5138598</v>
      </c>
      <c r="Y41" s="40"/>
      <c r="Z41" s="41"/>
      <c r="AA41" s="40">
        <f t="shared" si="7"/>
        <v>5138598</v>
      </c>
    </row>
    <row r="42" spans="1:27" ht="12.75" x14ac:dyDescent="0.25">
      <c r="A42" s="140"/>
      <c r="B42" s="123"/>
      <c r="C42" s="37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>
        <f>SUM(N4:N41)</f>
        <v>167081865.33333334</v>
      </c>
      <c r="O42" s="39"/>
      <c r="P42" s="39"/>
      <c r="Q42" s="39"/>
      <c r="R42" s="39"/>
      <c r="S42" s="39"/>
      <c r="T42" s="39"/>
      <c r="U42" s="39"/>
      <c r="V42" s="39"/>
      <c r="W42" s="39"/>
      <c r="X42" s="40">
        <f>SUM(X4:X41)</f>
        <v>142751449.95333332</v>
      </c>
      <c r="Y42" s="40"/>
      <c r="Z42" s="41"/>
      <c r="AA42" s="40"/>
    </row>
    <row r="43" spans="1:27" ht="12.75" x14ac:dyDescent="0.25">
      <c r="A43" s="120" t="s">
        <v>60</v>
      </c>
      <c r="B43" s="123">
        <v>39</v>
      </c>
      <c r="C43" s="37" t="s">
        <v>61</v>
      </c>
      <c r="D43" s="38" t="s">
        <v>32</v>
      </c>
      <c r="E43" s="39">
        <v>2000000</v>
      </c>
      <c r="F43" s="39">
        <v>30</v>
      </c>
      <c r="G43" s="39">
        <f t="shared" si="13"/>
        <v>2000000.0000000002</v>
      </c>
      <c r="H43" s="39"/>
      <c r="I43" s="39"/>
      <c r="J43" s="39"/>
      <c r="K43" s="39"/>
      <c r="L43" s="39"/>
      <c r="M43" s="39">
        <v>500000</v>
      </c>
      <c r="N43" s="39">
        <f>SUM(G43:M43)</f>
        <v>2500000</v>
      </c>
      <c r="O43" s="39">
        <f>+G43*4%</f>
        <v>80000.000000000015</v>
      </c>
      <c r="P43" s="39">
        <f>+O43</f>
        <v>80000.000000000015</v>
      </c>
      <c r="Q43" s="39"/>
      <c r="R43" s="39"/>
      <c r="S43" s="39"/>
      <c r="T43" s="48">
        <v>0</v>
      </c>
      <c r="U43" s="39"/>
      <c r="V43" s="39">
        <v>152804</v>
      </c>
      <c r="W43" s="39">
        <f t="shared" si="0"/>
        <v>312804</v>
      </c>
      <c r="X43" s="40">
        <f t="shared" ref="X43:X48" si="26">+N43-W43</f>
        <v>2187196</v>
      </c>
      <c r="Y43" s="40"/>
      <c r="Z43" s="41"/>
      <c r="AA43" s="40">
        <f t="shared" si="7"/>
        <v>2187196</v>
      </c>
    </row>
    <row r="44" spans="1:27" ht="41.25" customHeight="1" x14ac:dyDescent="0.25">
      <c r="A44" s="120"/>
      <c r="B44" s="123">
        <v>40</v>
      </c>
      <c r="C44" s="37" t="s">
        <v>146</v>
      </c>
      <c r="D44" s="38" t="s">
        <v>32</v>
      </c>
      <c r="E44" s="39">
        <v>1500000</v>
      </c>
      <c r="F44" s="39">
        <v>5</v>
      </c>
      <c r="G44" s="39">
        <f>E44/30*F44</f>
        <v>250000</v>
      </c>
      <c r="H44" s="39"/>
      <c r="I44" s="39"/>
      <c r="J44" s="39"/>
      <c r="K44" s="39"/>
      <c r="L44" s="39"/>
      <c r="M44" s="39"/>
      <c r="N44" s="39">
        <f t="shared" ref="N44" si="27">SUM(G44:M44)</f>
        <v>250000</v>
      </c>
      <c r="O44" s="39">
        <f>+G44*4%</f>
        <v>10000</v>
      </c>
      <c r="P44" s="39">
        <f>+O44</f>
        <v>10000</v>
      </c>
      <c r="Q44" s="39"/>
      <c r="R44" s="39"/>
      <c r="S44" s="39"/>
      <c r="T44" s="39">
        <v>0</v>
      </c>
      <c r="U44" s="39"/>
      <c r="V44" s="39"/>
      <c r="W44" s="39">
        <f t="shared" ref="W44" si="28">SUM(O44:V44)</f>
        <v>20000</v>
      </c>
      <c r="X44" s="40">
        <f t="shared" si="26"/>
        <v>230000</v>
      </c>
      <c r="Y44" s="40"/>
      <c r="Z44" s="41"/>
      <c r="AA44" s="40">
        <f t="shared" si="7"/>
        <v>230000</v>
      </c>
    </row>
    <row r="45" spans="1:27" ht="12.75" x14ac:dyDescent="0.25">
      <c r="A45" s="120"/>
      <c r="B45" s="123">
        <v>41</v>
      </c>
      <c r="C45" s="37" t="s">
        <v>147</v>
      </c>
      <c r="D45" s="38" t="s">
        <v>32</v>
      </c>
      <c r="E45" s="39">
        <v>644350</v>
      </c>
      <c r="F45" s="39">
        <v>30</v>
      </c>
      <c r="G45" s="39">
        <f t="shared" si="13"/>
        <v>644350</v>
      </c>
      <c r="H45" s="39"/>
      <c r="I45" s="39"/>
      <c r="J45" s="39"/>
      <c r="K45" s="39"/>
      <c r="L45" s="39"/>
      <c r="M45" s="39"/>
      <c r="N45" s="39">
        <f>SUM(G45:M45)</f>
        <v>644350</v>
      </c>
      <c r="O45" s="39"/>
      <c r="P45" s="39"/>
      <c r="Q45" s="39"/>
      <c r="R45" s="39"/>
      <c r="S45" s="39"/>
      <c r="T45" s="48"/>
      <c r="U45" s="39"/>
      <c r="V45" s="39"/>
      <c r="W45" s="39"/>
      <c r="X45" s="40">
        <f t="shared" si="26"/>
        <v>644350</v>
      </c>
      <c r="Y45" s="40"/>
      <c r="Z45" s="41"/>
      <c r="AA45" s="40">
        <f t="shared" si="7"/>
        <v>644350</v>
      </c>
    </row>
    <row r="46" spans="1:27" ht="12.75" x14ac:dyDescent="0.25">
      <c r="A46" s="120"/>
      <c r="B46" s="123">
        <v>42</v>
      </c>
      <c r="C46" s="37" t="s">
        <v>133</v>
      </c>
      <c r="D46" s="38" t="s">
        <v>32</v>
      </c>
      <c r="E46" s="39">
        <v>322250</v>
      </c>
      <c r="F46" s="39">
        <v>30</v>
      </c>
      <c r="G46" s="39">
        <f t="shared" si="13"/>
        <v>322250</v>
      </c>
      <c r="H46" s="39"/>
      <c r="I46" s="39"/>
      <c r="J46" s="39"/>
      <c r="K46" s="39"/>
      <c r="L46" s="39"/>
      <c r="M46" s="39"/>
      <c r="N46" s="39">
        <f>SUM(G46:M46)</f>
        <v>322250</v>
      </c>
      <c r="O46" s="39"/>
      <c r="P46" s="39"/>
      <c r="Q46" s="39"/>
      <c r="R46" s="39"/>
      <c r="S46" s="39"/>
      <c r="T46" s="48"/>
      <c r="U46" s="39"/>
      <c r="V46" s="39"/>
      <c r="W46" s="39">
        <f t="shared" si="0"/>
        <v>0</v>
      </c>
      <c r="X46" s="40">
        <f t="shared" si="26"/>
        <v>322250</v>
      </c>
      <c r="Y46" s="40"/>
      <c r="Z46" s="41"/>
      <c r="AA46" s="40">
        <f t="shared" si="7"/>
        <v>322250</v>
      </c>
    </row>
    <row r="47" spans="1:27" ht="41.25" customHeight="1" x14ac:dyDescent="0.25">
      <c r="A47" s="120"/>
      <c r="B47" s="123">
        <v>43</v>
      </c>
      <c r="C47" s="37" t="s">
        <v>148</v>
      </c>
      <c r="D47" s="38" t="s">
        <v>32</v>
      </c>
      <c r="E47" s="39">
        <v>1100000</v>
      </c>
      <c r="F47" s="39">
        <v>5</v>
      </c>
      <c r="G47" s="39">
        <f>E47/30*F47</f>
        <v>183333.33333333331</v>
      </c>
      <c r="H47" s="39">
        <f>(74000/30)*F47</f>
        <v>12333.333333333332</v>
      </c>
      <c r="I47" s="39"/>
      <c r="J47" s="39"/>
      <c r="K47" s="39"/>
      <c r="L47" s="39"/>
      <c r="M47" s="39"/>
      <c r="N47" s="39">
        <f t="shared" ref="N47" si="29">SUM(G47:M47)</f>
        <v>195666.66666666666</v>
      </c>
      <c r="O47" s="39">
        <f>+G47*4%</f>
        <v>7333.333333333333</v>
      </c>
      <c r="P47" s="39">
        <f>+O47</f>
        <v>7333.333333333333</v>
      </c>
      <c r="Q47" s="39"/>
      <c r="R47" s="39"/>
      <c r="S47" s="39"/>
      <c r="T47" s="39">
        <v>0</v>
      </c>
      <c r="U47" s="39"/>
      <c r="V47" s="39"/>
      <c r="W47" s="39">
        <f t="shared" ref="W47" si="30">SUM(O47:V47)</f>
        <v>14666.666666666666</v>
      </c>
      <c r="X47" s="40">
        <f t="shared" si="26"/>
        <v>181000</v>
      </c>
      <c r="Y47" s="40"/>
      <c r="Z47" s="41"/>
      <c r="AA47" s="40">
        <f t="shared" si="7"/>
        <v>181000</v>
      </c>
    </row>
    <row r="48" spans="1:27" ht="12.75" x14ac:dyDescent="0.25">
      <c r="A48" s="120"/>
      <c r="B48" s="123">
        <v>44</v>
      </c>
      <c r="C48" s="37" t="s">
        <v>65</v>
      </c>
      <c r="D48" s="38" t="s">
        <v>32</v>
      </c>
      <c r="E48" s="39">
        <v>800000</v>
      </c>
      <c r="F48" s="39">
        <v>30</v>
      </c>
      <c r="G48" s="39">
        <f>E48/30*F48</f>
        <v>800000</v>
      </c>
      <c r="H48" s="39">
        <v>74000</v>
      </c>
      <c r="I48" s="39"/>
      <c r="J48" s="39"/>
      <c r="K48" s="39"/>
      <c r="L48" s="39"/>
      <c r="M48" s="39"/>
      <c r="N48" s="39">
        <f t="shared" ref="N48:N65" si="31">SUM(G48:M48)</f>
        <v>874000</v>
      </c>
      <c r="O48" s="39">
        <f>+G48*4%</f>
        <v>32000</v>
      </c>
      <c r="P48" s="39">
        <f>+O48</f>
        <v>32000</v>
      </c>
      <c r="Q48" s="39"/>
      <c r="R48" s="39"/>
      <c r="S48" s="39"/>
      <c r="T48" s="39">
        <v>0</v>
      </c>
      <c r="U48" s="39"/>
      <c r="V48" s="39"/>
      <c r="W48" s="39">
        <f t="shared" si="0"/>
        <v>64000</v>
      </c>
      <c r="X48" s="40">
        <f t="shared" si="26"/>
        <v>810000</v>
      </c>
      <c r="Y48" s="40"/>
      <c r="Z48" s="41"/>
      <c r="AA48" s="40">
        <f t="shared" si="7"/>
        <v>810000</v>
      </c>
    </row>
    <row r="49" spans="1:30" ht="12.75" x14ac:dyDescent="0.25">
      <c r="A49" s="120"/>
      <c r="B49" s="123">
        <v>45</v>
      </c>
      <c r="C49" s="37" t="s">
        <v>66</v>
      </c>
      <c r="D49" s="38" t="s">
        <v>32</v>
      </c>
      <c r="E49" s="39">
        <v>644350</v>
      </c>
      <c r="F49" s="39">
        <v>30</v>
      </c>
      <c r="G49" s="39">
        <f>E49/30*F49</f>
        <v>644350</v>
      </c>
      <c r="H49" s="39"/>
      <c r="I49" s="39"/>
      <c r="J49" s="39"/>
      <c r="K49" s="39"/>
      <c r="L49" s="39"/>
      <c r="M49" s="39"/>
      <c r="N49" s="39">
        <f t="shared" si="31"/>
        <v>644350</v>
      </c>
      <c r="O49" s="39"/>
      <c r="P49" s="39"/>
      <c r="Q49" s="39"/>
      <c r="R49" s="39"/>
      <c r="S49" s="39"/>
      <c r="T49" s="39">
        <v>0</v>
      </c>
      <c r="U49" s="39"/>
      <c r="V49" s="39"/>
      <c r="W49" s="39">
        <f t="shared" si="0"/>
        <v>0</v>
      </c>
      <c r="X49" s="40">
        <f>N49</f>
        <v>644350</v>
      </c>
      <c r="Y49" s="40"/>
      <c r="Z49" s="41"/>
      <c r="AA49" s="40">
        <f t="shared" si="7"/>
        <v>644350</v>
      </c>
    </row>
    <row r="50" spans="1:30" ht="12.75" x14ac:dyDescent="0.25">
      <c r="A50" s="120"/>
      <c r="B50" s="123">
        <v>46</v>
      </c>
      <c r="C50" s="118" t="s">
        <v>67</v>
      </c>
      <c r="D50" s="45" t="s">
        <v>32</v>
      </c>
      <c r="E50" s="39">
        <v>2000000</v>
      </c>
      <c r="F50" s="39">
        <v>30</v>
      </c>
      <c r="G50" s="39">
        <f>+E50/30*F50</f>
        <v>2000000.0000000002</v>
      </c>
      <c r="H50" s="39"/>
      <c r="I50" s="39"/>
      <c r="J50" s="39"/>
      <c r="K50" s="39"/>
      <c r="L50" s="39"/>
      <c r="M50" s="39"/>
      <c r="N50" s="39">
        <f t="shared" si="31"/>
        <v>2000000.0000000002</v>
      </c>
      <c r="O50" s="39">
        <f>G50*4%</f>
        <v>80000.000000000015</v>
      </c>
      <c r="P50" s="39">
        <f>+O50</f>
        <v>80000.000000000015</v>
      </c>
      <c r="Q50" s="39"/>
      <c r="R50" s="39"/>
      <c r="S50" s="39"/>
      <c r="T50" s="39">
        <v>0</v>
      </c>
      <c r="U50" s="39"/>
      <c r="V50" s="39"/>
      <c r="W50" s="39">
        <f t="shared" si="0"/>
        <v>160000.00000000003</v>
      </c>
      <c r="X50" s="40">
        <f>N50-W50</f>
        <v>1840000.0000000002</v>
      </c>
      <c r="Y50" s="40"/>
      <c r="Z50" s="41"/>
      <c r="AA50" s="40">
        <f t="shared" si="7"/>
        <v>1840000.0000000002</v>
      </c>
    </row>
    <row r="51" spans="1:30" ht="12.75" x14ac:dyDescent="0.25">
      <c r="A51" s="120"/>
      <c r="B51" s="123">
        <v>47</v>
      </c>
      <c r="C51" s="37" t="s">
        <v>68</v>
      </c>
      <c r="D51" s="38" t="s">
        <v>32</v>
      </c>
      <c r="E51" s="39">
        <v>2500000</v>
      </c>
      <c r="F51" s="39">
        <v>30</v>
      </c>
      <c r="G51" s="39">
        <f t="shared" ref="G51:G52" si="32">+E51/30*F51</f>
        <v>2500000</v>
      </c>
      <c r="H51" s="39"/>
      <c r="I51" s="39"/>
      <c r="J51" s="39"/>
      <c r="K51" s="39"/>
      <c r="L51" s="39"/>
      <c r="M51" s="39">
        <v>500000</v>
      </c>
      <c r="N51" s="39">
        <f t="shared" si="31"/>
        <v>3000000</v>
      </c>
      <c r="O51" s="39">
        <f>G51*4%</f>
        <v>100000</v>
      </c>
      <c r="P51" s="39">
        <f>O51</f>
        <v>100000</v>
      </c>
      <c r="Q51" s="39"/>
      <c r="R51" s="39"/>
      <c r="S51" s="39"/>
      <c r="T51" s="39">
        <v>0</v>
      </c>
      <c r="U51" s="39"/>
      <c r="V51" s="39">
        <v>766228</v>
      </c>
      <c r="W51" s="39">
        <f t="shared" si="0"/>
        <v>966228</v>
      </c>
      <c r="X51" s="40">
        <f t="shared" ref="X51:X54" si="33">N51-W51</f>
        <v>2033772</v>
      </c>
      <c r="Y51" s="40"/>
      <c r="Z51" s="41"/>
      <c r="AA51" s="40">
        <f t="shared" si="7"/>
        <v>2033772</v>
      </c>
    </row>
    <row r="52" spans="1:30" ht="12.75" x14ac:dyDescent="0.25">
      <c r="A52" s="120"/>
      <c r="B52" s="123">
        <v>48</v>
      </c>
      <c r="C52" s="37" t="s">
        <v>134</v>
      </c>
      <c r="D52" s="38" t="s">
        <v>32</v>
      </c>
      <c r="E52" s="39">
        <v>322250</v>
      </c>
      <c r="F52" s="39">
        <v>30</v>
      </c>
      <c r="G52" s="39">
        <f t="shared" si="32"/>
        <v>322250</v>
      </c>
      <c r="H52" s="39"/>
      <c r="I52" s="39"/>
      <c r="J52" s="39"/>
      <c r="K52" s="39"/>
      <c r="L52" s="39"/>
      <c r="M52" s="39"/>
      <c r="N52" s="39">
        <f t="shared" si="31"/>
        <v>322250</v>
      </c>
      <c r="O52" s="39"/>
      <c r="P52" s="39"/>
      <c r="Q52" s="39"/>
      <c r="R52" s="39"/>
      <c r="S52" s="39"/>
      <c r="T52" s="39"/>
      <c r="U52" s="39"/>
      <c r="V52" s="39"/>
      <c r="W52" s="39">
        <f t="shared" si="0"/>
        <v>0</v>
      </c>
      <c r="X52" s="40">
        <f t="shared" si="33"/>
        <v>322250</v>
      </c>
      <c r="Y52" s="40"/>
      <c r="Z52" s="41"/>
      <c r="AA52" s="40">
        <f t="shared" si="7"/>
        <v>322250</v>
      </c>
    </row>
    <row r="53" spans="1:30" ht="12.75" x14ac:dyDescent="0.25">
      <c r="A53" s="120"/>
      <c r="B53" s="123">
        <v>49</v>
      </c>
      <c r="C53" s="37" t="s">
        <v>70</v>
      </c>
      <c r="D53" s="38" t="s">
        <v>32</v>
      </c>
      <c r="E53" s="39">
        <v>2000000</v>
      </c>
      <c r="F53" s="39">
        <v>30</v>
      </c>
      <c r="G53" s="39">
        <f>E53/30*F53</f>
        <v>2000000.0000000002</v>
      </c>
      <c r="H53" s="39"/>
      <c r="I53" s="39"/>
      <c r="J53" s="39"/>
      <c r="K53" s="39"/>
      <c r="L53" s="39"/>
      <c r="M53" s="39"/>
      <c r="N53" s="39">
        <f t="shared" si="31"/>
        <v>2000000.0000000002</v>
      </c>
      <c r="O53" s="39">
        <f t="shared" ref="O53" si="34">G53*4%</f>
        <v>80000.000000000015</v>
      </c>
      <c r="P53" s="39">
        <f>O53</f>
        <v>80000.000000000015</v>
      </c>
      <c r="Q53" s="39"/>
      <c r="R53" s="39"/>
      <c r="S53" s="39"/>
      <c r="T53" s="39">
        <v>0</v>
      </c>
      <c r="U53" s="39"/>
      <c r="V53" s="39"/>
      <c r="W53" s="39">
        <f t="shared" si="0"/>
        <v>160000.00000000003</v>
      </c>
      <c r="X53" s="40">
        <f t="shared" si="33"/>
        <v>1840000.0000000002</v>
      </c>
      <c r="Y53" s="40"/>
      <c r="Z53" s="41"/>
      <c r="AA53" s="40">
        <f t="shared" si="7"/>
        <v>1840000.0000000002</v>
      </c>
    </row>
    <row r="54" spans="1:30" ht="12.75" x14ac:dyDescent="0.25">
      <c r="A54" s="120"/>
      <c r="B54" s="123">
        <v>50</v>
      </c>
      <c r="C54" s="37" t="s">
        <v>71</v>
      </c>
      <c r="D54" s="38" t="s">
        <v>32</v>
      </c>
      <c r="E54" s="39">
        <v>1300000</v>
      </c>
      <c r="F54" s="39">
        <v>30</v>
      </c>
      <c r="G54" s="39">
        <f>E54/30*F54</f>
        <v>1300000</v>
      </c>
      <c r="H54" s="39"/>
      <c r="I54" s="39"/>
      <c r="J54" s="39"/>
      <c r="K54" s="39"/>
      <c r="L54" s="39"/>
      <c r="M54" s="39"/>
      <c r="N54" s="39">
        <f t="shared" si="31"/>
        <v>1300000</v>
      </c>
      <c r="O54" s="39">
        <f>G54*4%</f>
        <v>52000</v>
      </c>
      <c r="P54" s="39">
        <f>O54</f>
        <v>52000</v>
      </c>
      <c r="Q54" s="39"/>
      <c r="R54" s="39"/>
      <c r="S54" s="39"/>
      <c r="T54" s="39">
        <v>0</v>
      </c>
      <c r="U54" s="39"/>
      <c r="V54" s="39"/>
      <c r="W54" s="39">
        <f t="shared" si="0"/>
        <v>104000</v>
      </c>
      <c r="X54" s="40">
        <f t="shared" si="33"/>
        <v>1196000</v>
      </c>
      <c r="Y54" s="40"/>
      <c r="Z54" s="41"/>
      <c r="AA54" s="40">
        <f t="shared" si="7"/>
        <v>1196000</v>
      </c>
      <c r="AD54" s="43">
        <f>1196000+644000</f>
        <v>1840000</v>
      </c>
    </row>
    <row r="55" spans="1:30" ht="12.75" x14ac:dyDescent="0.25">
      <c r="A55" s="120"/>
      <c r="B55" s="123">
        <v>51</v>
      </c>
      <c r="C55" s="118" t="s">
        <v>135</v>
      </c>
      <c r="D55" s="45" t="s">
        <v>32</v>
      </c>
      <c r="E55" s="39">
        <v>322250</v>
      </c>
      <c r="F55" s="39">
        <v>30</v>
      </c>
      <c r="G55" s="39">
        <f>+E55/30*F55</f>
        <v>322250</v>
      </c>
      <c r="H55" s="39"/>
      <c r="I55" s="39"/>
      <c r="J55" s="39"/>
      <c r="K55" s="39"/>
      <c r="L55" s="39"/>
      <c r="M55" s="39"/>
      <c r="N55" s="39">
        <f t="shared" si="31"/>
        <v>322250</v>
      </c>
      <c r="O55" s="39"/>
      <c r="P55" s="39"/>
      <c r="Q55" s="39"/>
      <c r="R55" s="39"/>
      <c r="S55" s="39"/>
      <c r="T55" s="39"/>
      <c r="U55" s="39"/>
      <c r="V55" s="39"/>
      <c r="W55" s="39">
        <f t="shared" si="0"/>
        <v>0</v>
      </c>
      <c r="X55" s="40">
        <f>N55-W55</f>
        <v>322250</v>
      </c>
      <c r="Y55" s="40"/>
      <c r="Z55" s="41"/>
      <c r="AA55" s="40">
        <f t="shared" si="7"/>
        <v>322250</v>
      </c>
      <c r="AD55" s="43">
        <f>1840000-1196000</f>
        <v>644000</v>
      </c>
    </row>
    <row r="56" spans="1:30" ht="12.75" x14ac:dyDescent="0.25">
      <c r="A56" s="120"/>
      <c r="B56" s="123">
        <v>52</v>
      </c>
      <c r="C56" s="118" t="s">
        <v>112</v>
      </c>
      <c r="D56" s="45" t="s">
        <v>32</v>
      </c>
      <c r="E56" s="39">
        <v>1500000</v>
      </c>
      <c r="F56" s="39">
        <v>30</v>
      </c>
      <c r="G56" s="39">
        <f>+E56/30*F56</f>
        <v>1500000</v>
      </c>
      <c r="H56" s="39"/>
      <c r="I56" s="39"/>
      <c r="J56" s="39"/>
      <c r="K56" s="39"/>
      <c r="L56" s="39"/>
      <c r="M56" s="39"/>
      <c r="N56" s="39">
        <f t="shared" si="31"/>
        <v>1500000</v>
      </c>
      <c r="O56" s="39">
        <f t="shared" ref="O56:O59" si="35">+G56*4%</f>
        <v>60000</v>
      </c>
      <c r="P56" s="39">
        <f>+O56</f>
        <v>60000</v>
      </c>
      <c r="Q56" s="39"/>
      <c r="R56" s="39"/>
      <c r="S56" s="39"/>
      <c r="T56" s="39">
        <v>0</v>
      </c>
      <c r="U56" s="39"/>
      <c r="V56" s="39"/>
      <c r="W56" s="39">
        <f t="shared" si="0"/>
        <v>120000</v>
      </c>
      <c r="X56" s="40">
        <f>N56-W56</f>
        <v>1380000</v>
      </c>
      <c r="Y56" s="40"/>
      <c r="Z56" s="41"/>
      <c r="AA56" s="40">
        <f>X56+Y56-Z56</f>
        <v>1380000</v>
      </c>
    </row>
    <row r="57" spans="1:30" ht="12.75" x14ac:dyDescent="0.25">
      <c r="A57" s="120"/>
      <c r="B57" s="123">
        <v>53</v>
      </c>
      <c r="C57" s="37" t="s">
        <v>74</v>
      </c>
      <c r="D57" s="38" t="s">
        <v>32</v>
      </c>
      <c r="E57" s="39">
        <v>1000000</v>
      </c>
      <c r="F57" s="39">
        <v>30</v>
      </c>
      <c r="G57" s="39">
        <f>+E57/30*F57</f>
        <v>1000000.0000000001</v>
      </c>
      <c r="H57" s="39">
        <v>74000</v>
      </c>
      <c r="I57" s="39"/>
      <c r="J57" s="39"/>
      <c r="K57" s="39"/>
      <c r="L57" s="39"/>
      <c r="M57" s="39"/>
      <c r="N57" s="39">
        <f t="shared" si="31"/>
        <v>1074000</v>
      </c>
      <c r="O57" s="39">
        <f t="shared" si="35"/>
        <v>40000.000000000007</v>
      </c>
      <c r="P57" s="39">
        <f t="shared" ref="P57:P65" si="36">+O57</f>
        <v>40000.000000000007</v>
      </c>
      <c r="Q57" s="39"/>
      <c r="R57" s="39"/>
      <c r="S57" s="39"/>
      <c r="T57" s="39">
        <v>0</v>
      </c>
      <c r="U57" s="39"/>
      <c r="V57" s="39"/>
      <c r="W57" s="39">
        <f t="shared" si="0"/>
        <v>80000.000000000015</v>
      </c>
      <c r="X57" s="40">
        <f t="shared" ref="X57:X62" si="37">+N57-W57</f>
        <v>994000</v>
      </c>
      <c r="Y57" s="40"/>
      <c r="Z57" s="41"/>
      <c r="AA57" s="40">
        <f t="shared" si="7"/>
        <v>994000</v>
      </c>
    </row>
    <row r="58" spans="1:30" ht="26.25" customHeight="1" x14ac:dyDescent="0.25">
      <c r="A58" s="120"/>
      <c r="B58" s="123">
        <v>54</v>
      </c>
      <c r="C58" s="37" t="s">
        <v>75</v>
      </c>
      <c r="D58" s="38" t="s">
        <v>32</v>
      </c>
      <c r="E58" s="39">
        <v>3000000</v>
      </c>
      <c r="F58" s="39">
        <v>30</v>
      </c>
      <c r="G58" s="39">
        <f t="shared" ref="G58:G65" si="38">+E58/30*F58</f>
        <v>3000000</v>
      </c>
      <c r="H58" s="39"/>
      <c r="I58" s="39"/>
      <c r="J58" s="39"/>
      <c r="K58" s="39"/>
      <c r="L58" s="39"/>
      <c r="M58" s="39"/>
      <c r="N58" s="39">
        <f t="shared" si="31"/>
        <v>3000000</v>
      </c>
      <c r="O58" s="39">
        <f t="shared" si="35"/>
        <v>120000</v>
      </c>
      <c r="P58" s="39">
        <f t="shared" si="36"/>
        <v>120000</v>
      </c>
      <c r="Q58" s="39"/>
      <c r="R58" s="39"/>
      <c r="S58" s="39">
        <f>N58*1%</f>
        <v>30000</v>
      </c>
      <c r="T58" s="39">
        <v>0</v>
      </c>
      <c r="U58" s="39"/>
      <c r="V58" s="39">
        <v>802634</v>
      </c>
      <c r="W58" s="39">
        <f t="shared" si="0"/>
        <v>1072634</v>
      </c>
      <c r="X58" s="40">
        <f t="shared" si="37"/>
        <v>1927366</v>
      </c>
      <c r="Y58" s="40"/>
      <c r="Z58" s="41"/>
      <c r="AA58" s="40">
        <f t="shared" si="7"/>
        <v>1927366</v>
      </c>
    </row>
    <row r="59" spans="1:30" ht="12.75" x14ac:dyDescent="0.25">
      <c r="A59" s="120"/>
      <c r="B59" s="123">
        <v>55</v>
      </c>
      <c r="C59" s="37" t="s">
        <v>76</v>
      </c>
      <c r="D59" s="38" t="s">
        <v>32</v>
      </c>
      <c r="E59" s="39">
        <v>2500000</v>
      </c>
      <c r="F59" s="39">
        <v>30</v>
      </c>
      <c r="G59" s="39">
        <f t="shared" si="38"/>
        <v>2500000</v>
      </c>
      <c r="H59" s="39"/>
      <c r="I59" s="39"/>
      <c r="J59" s="39"/>
      <c r="K59" s="39"/>
      <c r="L59" s="39">
        <v>90000</v>
      </c>
      <c r="M59" s="39">
        <v>500000</v>
      </c>
      <c r="N59" s="39">
        <f t="shared" si="31"/>
        <v>3090000</v>
      </c>
      <c r="O59" s="39">
        <f t="shared" si="35"/>
        <v>100000</v>
      </c>
      <c r="P59" s="39">
        <f t="shared" si="36"/>
        <v>100000</v>
      </c>
      <c r="Q59" s="39"/>
      <c r="R59" s="39"/>
      <c r="S59" s="39">
        <v>0</v>
      </c>
      <c r="T59" s="39">
        <v>0</v>
      </c>
      <c r="U59" s="39"/>
      <c r="V59" s="39"/>
      <c r="W59" s="39">
        <f t="shared" si="0"/>
        <v>200000</v>
      </c>
      <c r="X59" s="40">
        <f t="shared" si="37"/>
        <v>2890000</v>
      </c>
      <c r="Y59" s="40"/>
      <c r="Z59" s="41"/>
      <c r="AA59" s="40">
        <f t="shared" si="7"/>
        <v>2890000</v>
      </c>
      <c r="AB59" s="43" t="s">
        <v>99</v>
      </c>
    </row>
    <row r="60" spans="1:30" ht="12.75" x14ac:dyDescent="0.25">
      <c r="A60" s="120"/>
      <c r="B60" s="123">
        <v>56</v>
      </c>
      <c r="C60" s="37" t="s">
        <v>78</v>
      </c>
      <c r="D60" s="38" t="s">
        <v>32</v>
      </c>
      <c r="E60" s="39">
        <v>2500000</v>
      </c>
      <c r="F60" s="39">
        <v>30</v>
      </c>
      <c r="G60" s="39">
        <f t="shared" si="38"/>
        <v>2500000</v>
      </c>
      <c r="H60" s="39"/>
      <c r="I60" s="39"/>
      <c r="J60" s="39"/>
      <c r="K60" s="39"/>
      <c r="L60" s="39"/>
      <c r="M60" s="39"/>
      <c r="N60" s="39">
        <f t="shared" si="31"/>
        <v>2500000</v>
      </c>
      <c r="O60" s="39">
        <f>G60*4%</f>
        <v>100000</v>
      </c>
      <c r="P60" s="39">
        <f t="shared" si="36"/>
        <v>100000</v>
      </c>
      <c r="Q60" s="39"/>
      <c r="R60" s="39"/>
      <c r="S60" s="39"/>
      <c r="T60" s="48">
        <v>0</v>
      </c>
      <c r="U60" s="39"/>
      <c r="V60" s="39"/>
      <c r="W60" s="39">
        <f t="shared" si="0"/>
        <v>200000</v>
      </c>
      <c r="X60" s="40">
        <f t="shared" si="37"/>
        <v>2300000</v>
      </c>
      <c r="Y60" s="40"/>
      <c r="Z60" s="41"/>
      <c r="AA60" s="40">
        <f t="shared" si="7"/>
        <v>2300000</v>
      </c>
    </row>
    <row r="61" spans="1:30" ht="12.75" x14ac:dyDescent="0.25">
      <c r="A61" s="120"/>
      <c r="B61" s="123">
        <v>57</v>
      </c>
      <c r="C61" s="37" t="s">
        <v>122</v>
      </c>
      <c r="D61" s="38" t="s">
        <v>32</v>
      </c>
      <c r="E61" s="39">
        <v>1300000</v>
      </c>
      <c r="F61" s="39">
        <v>30</v>
      </c>
      <c r="G61" s="39">
        <f t="shared" si="38"/>
        <v>1300000</v>
      </c>
      <c r="H61" s="39"/>
      <c r="I61" s="39"/>
      <c r="J61" s="39"/>
      <c r="K61" s="39"/>
      <c r="L61" s="39"/>
      <c r="M61" s="39"/>
      <c r="N61" s="39">
        <f t="shared" si="31"/>
        <v>1300000</v>
      </c>
      <c r="O61" s="39">
        <f>G61*4%</f>
        <v>52000</v>
      </c>
      <c r="P61" s="39">
        <f t="shared" si="36"/>
        <v>52000</v>
      </c>
      <c r="Q61" s="39"/>
      <c r="R61" s="39"/>
      <c r="S61" s="39"/>
      <c r="T61" s="48">
        <v>0</v>
      </c>
      <c r="U61" s="39"/>
      <c r="V61" s="39"/>
      <c r="W61" s="39">
        <f t="shared" si="0"/>
        <v>104000</v>
      </c>
      <c r="X61" s="40">
        <f t="shared" si="37"/>
        <v>1196000</v>
      </c>
      <c r="Y61" s="40"/>
      <c r="Z61" s="41"/>
      <c r="AA61" s="40">
        <f t="shared" si="7"/>
        <v>1196000</v>
      </c>
    </row>
    <row r="62" spans="1:30" ht="12.75" x14ac:dyDescent="0.25">
      <c r="A62" s="120"/>
      <c r="B62" s="123">
        <v>58</v>
      </c>
      <c r="C62" s="37" t="s">
        <v>79</v>
      </c>
      <c r="D62" s="38" t="s">
        <v>32</v>
      </c>
      <c r="E62" s="39">
        <v>1300000</v>
      </c>
      <c r="F62" s="39">
        <v>30</v>
      </c>
      <c r="G62" s="39">
        <f t="shared" si="38"/>
        <v>1300000</v>
      </c>
      <c r="H62" s="39"/>
      <c r="I62" s="39"/>
      <c r="J62" s="39"/>
      <c r="K62" s="39"/>
      <c r="L62" s="39"/>
      <c r="M62" s="39">
        <v>300000</v>
      </c>
      <c r="N62" s="39">
        <f t="shared" si="31"/>
        <v>1600000</v>
      </c>
      <c r="O62" s="39">
        <f>+G62*4%</f>
        <v>52000</v>
      </c>
      <c r="P62" s="39">
        <f t="shared" si="36"/>
        <v>52000</v>
      </c>
      <c r="Q62" s="39"/>
      <c r="R62" s="39"/>
      <c r="S62" s="39"/>
      <c r="T62" s="39">
        <v>0</v>
      </c>
      <c r="U62" s="39"/>
      <c r="V62" s="39">
        <v>257196</v>
      </c>
      <c r="W62" s="39">
        <f t="shared" si="0"/>
        <v>361196</v>
      </c>
      <c r="X62" s="40">
        <f t="shared" si="37"/>
        <v>1238804</v>
      </c>
      <c r="Y62" s="40"/>
      <c r="Z62" s="41"/>
      <c r="AA62" s="40">
        <f t="shared" si="7"/>
        <v>1238804</v>
      </c>
    </row>
    <row r="63" spans="1:30" ht="12.75" x14ac:dyDescent="0.25">
      <c r="A63" s="120"/>
      <c r="B63" s="123">
        <v>59</v>
      </c>
      <c r="C63" s="37" t="s">
        <v>80</v>
      </c>
      <c r="D63" s="38" t="s">
        <v>32</v>
      </c>
      <c r="E63" s="39">
        <v>4500000</v>
      </c>
      <c r="F63" s="39">
        <v>30</v>
      </c>
      <c r="G63" s="39">
        <f t="shared" si="38"/>
        <v>4500000</v>
      </c>
      <c r="H63" s="39"/>
      <c r="I63" s="39"/>
      <c r="J63" s="39"/>
      <c r="K63" s="39"/>
      <c r="L63" s="39"/>
      <c r="M63" s="39"/>
      <c r="N63" s="39">
        <f t="shared" si="31"/>
        <v>4500000</v>
      </c>
      <c r="O63" s="39">
        <f>+G63*4%</f>
        <v>180000</v>
      </c>
      <c r="P63" s="39">
        <f t="shared" si="36"/>
        <v>180000</v>
      </c>
      <c r="Q63" s="39"/>
      <c r="R63" s="39"/>
      <c r="S63" s="39">
        <v>45000</v>
      </c>
      <c r="T63" s="39">
        <v>73073</v>
      </c>
      <c r="U63" s="39"/>
      <c r="V63" s="39"/>
      <c r="W63" s="39">
        <f t="shared" si="0"/>
        <v>478073</v>
      </c>
      <c r="X63" s="40">
        <f>N63-W63</f>
        <v>4021927</v>
      </c>
      <c r="Y63" s="40"/>
      <c r="Z63" s="41"/>
      <c r="AA63" s="40">
        <f t="shared" si="7"/>
        <v>4021927</v>
      </c>
    </row>
    <row r="64" spans="1:30" ht="12.75" x14ac:dyDescent="0.25">
      <c r="A64" s="120"/>
      <c r="B64" s="123">
        <v>60</v>
      </c>
      <c r="C64" s="37" t="s">
        <v>81</v>
      </c>
      <c r="D64" s="38" t="s">
        <v>32</v>
      </c>
      <c r="E64" s="39">
        <v>1500000</v>
      </c>
      <c r="F64" s="39">
        <v>30</v>
      </c>
      <c r="G64" s="39">
        <f t="shared" si="38"/>
        <v>1500000</v>
      </c>
      <c r="H64" s="39"/>
      <c r="I64" s="39"/>
      <c r="J64" s="39"/>
      <c r="K64" s="39"/>
      <c r="L64" s="39"/>
      <c r="M64" s="39"/>
      <c r="N64" s="39">
        <f t="shared" si="31"/>
        <v>1500000</v>
      </c>
      <c r="O64" s="39">
        <f>G64*4%</f>
        <v>60000</v>
      </c>
      <c r="P64" s="39">
        <f t="shared" si="36"/>
        <v>60000</v>
      </c>
      <c r="Q64" s="39"/>
      <c r="R64" s="39"/>
      <c r="S64" s="39"/>
      <c r="T64" s="39">
        <v>0</v>
      </c>
      <c r="U64" s="39"/>
      <c r="V64" s="39"/>
      <c r="W64" s="39">
        <f t="shared" si="0"/>
        <v>120000</v>
      </c>
      <c r="X64" s="40">
        <f>N64-W64</f>
        <v>1380000</v>
      </c>
      <c r="Y64" s="40"/>
      <c r="Z64" s="41"/>
      <c r="AA64" s="40">
        <f t="shared" si="7"/>
        <v>1380000</v>
      </c>
    </row>
    <row r="65" spans="1:27" ht="12.75" x14ac:dyDescent="0.25">
      <c r="A65" s="120"/>
      <c r="B65" s="123">
        <v>61</v>
      </c>
      <c r="C65" s="37" t="s">
        <v>82</v>
      </c>
      <c r="D65" s="38" t="s">
        <v>32</v>
      </c>
      <c r="E65" s="39">
        <v>2000000</v>
      </c>
      <c r="F65" s="39">
        <v>30</v>
      </c>
      <c r="G65" s="39">
        <f t="shared" si="38"/>
        <v>2000000.0000000002</v>
      </c>
      <c r="H65" s="39"/>
      <c r="I65" s="39"/>
      <c r="J65" s="39"/>
      <c r="K65" s="39"/>
      <c r="L65" s="39"/>
      <c r="M65" s="39">
        <v>500000</v>
      </c>
      <c r="N65" s="39">
        <f t="shared" si="31"/>
        <v>2500000</v>
      </c>
      <c r="O65" s="39">
        <f>G65*4%</f>
        <v>80000.000000000015</v>
      </c>
      <c r="P65" s="39">
        <f t="shared" si="36"/>
        <v>80000.000000000015</v>
      </c>
      <c r="Q65" s="39"/>
      <c r="R65" s="39"/>
      <c r="S65" s="39"/>
      <c r="T65" s="39">
        <v>0</v>
      </c>
      <c r="U65" s="39"/>
      <c r="V65" s="39"/>
      <c r="W65" s="39">
        <f t="shared" si="0"/>
        <v>160000.00000000003</v>
      </c>
      <c r="X65" s="40">
        <f>N65-W65</f>
        <v>2340000</v>
      </c>
      <c r="Y65" s="40"/>
      <c r="Z65" s="41"/>
      <c r="AA65" s="40">
        <f t="shared" si="7"/>
        <v>2340000</v>
      </c>
    </row>
    <row r="66" spans="1:27" ht="12.75" x14ac:dyDescent="0.25">
      <c r="A66" s="120"/>
      <c r="B66" s="123">
        <v>62</v>
      </c>
      <c r="C66" s="118" t="s">
        <v>84</v>
      </c>
      <c r="D66" s="45" t="s">
        <v>32</v>
      </c>
      <c r="E66" s="39">
        <v>644350</v>
      </c>
      <c r="F66" s="39">
        <v>30</v>
      </c>
      <c r="G66" s="39">
        <f>+E66/30*F66</f>
        <v>644350</v>
      </c>
      <c r="H66" s="39">
        <v>74000</v>
      </c>
      <c r="I66" s="39"/>
      <c r="J66" s="39"/>
      <c r="K66" s="39"/>
      <c r="L66" s="39"/>
      <c r="M66" s="39">
        <v>100000</v>
      </c>
      <c r="N66" s="39">
        <f t="shared" ref="N66:N77" si="39">SUM(G66:M66)</f>
        <v>818350</v>
      </c>
      <c r="O66" s="39">
        <f>+G66*4%</f>
        <v>25774</v>
      </c>
      <c r="P66" s="39">
        <f>+O66</f>
        <v>25774</v>
      </c>
      <c r="Q66" s="39"/>
      <c r="R66" s="39"/>
      <c r="S66" s="39"/>
      <c r="T66" s="39">
        <v>0</v>
      </c>
      <c r="U66" s="39"/>
      <c r="V66" s="39"/>
      <c r="W66" s="39">
        <f t="shared" si="0"/>
        <v>51548</v>
      </c>
      <c r="X66" s="40">
        <f>N66-W66</f>
        <v>766802</v>
      </c>
      <c r="Y66" s="40"/>
      <c r="Z66" s="41"/>
      <c r="AA66" s="40">
        <f t="shared" si="7"/>
        <v>766802</v>
      </c>
    </row>
    <row r="67" spans="1:27" ht="12.75" x14ac:dyDescent="0.25">
      <c r="A67" s="120"/>
      <c r="B67" s="123">
        <v>63</v>
      </c>
      <c r="C67" s="37" t="s">
        <v>85</v>
      </c>
      <c r="D67" s="38" t="s">
        <v>32</v>
      </c>
      <c r="E67" s="39">
        <v>15400000</v>
      </c>
      <c r="F67" s="39">
        <v>30</v>
      </c>
      <c r="G67" s="39">
        <f t="shared" ref="G67:G72" si="40">+E67/30*F67</f>
        <v>15400000</v>
      </c>
      <c r="H67" s="39"/>
      <c r="I67" s="39"/>
      <c r="J67" s="39"/>
      <c r="K67" s="39"/>
      <c r="L67" s="39"/>
      <c r="M67" s="39">
        <v>600000</v>
      </c>
      <c r="N67" s="39">
        <f t="shared" si="39"/>
        <v>16000000</v>
      </c>
      <c r="O67" s="39">
        <f>G67*4%</f>
        <v>616000</v>
      </c>
      <c r="P67" s="39">
        <f>O67</f>
        <v>616000</v>
      </c>
      <c r="Q67" s="39">
        <v>95900</v>
      </c>
      <c r="R67" s="39"/>
      <c r="S67" s="39">
        <f>G67*2%</f>
        <v>308000</v>
      </c>
      <c r="T67" s="39">
        <v>1014000</v>
      </c>
      <c r="U67" s="39">
        <v>5000000</v>
      </c>
      <c r="V67" s="39"/>
      <c r="W67" s="39">
        <f t="shared" si="0"/>
        <v>7649900</v>
      </c>
      <c r="X67" s="40">
        <f>+N67-W67</f>
        <v>8350100</v>
      </c>
      <c r="Y67" s="40"/>
      <c r="Z67" s="41"/>
      <c r="AA67" s="40">
        <f t="shared" si="7"/>
        <v>8350100</v>
      </c>
    </row>
    <row r="68" spans="1:27" ht="12.75" x14ac:dyDescent="0.25">
      <c r="A68" s="120"/>
      <c r="B68" s="123">
        <v>64</v>
      </c>
      <c r="C68" s="37" t="s">
        <v>86</v>
      </c>
      <c r="D68" s="38" t="s">
        <v>32</v>
      </c>
      <c r="E68" s="39">
        <v>2800000</v>
      </c>
      <c r="F68" s="39">
        <v>30</v>
      </c>
      <c r="G68" s="39">
        <f t="shared" si="40"/>
        <v>2800000</v>
      </c>
      <c r="H68" s="39"/>
      <c r="I68" s="39"/>
      <c r="J68" s="39"/>
      <c r="K68" s="39"/>
      <c r="L68" s="39"/>
      <c r="M68" s="39">
        <v>700000</v>
      </c>
      <c r="N68" s="39">
        <f t="shared" si="39"/>
        <v>3500000</v>
      </c>
      <c r="O68" s="39">
        <f>+G68*4%</f>
        <v>112000</v>
      </c>
      <c r="P68" s="39">
        <f>+O68</f>
        <v>112000</v>
      </c>
      <c r="Q68" s="39"/>
      <c r="R68" s="39"/>
      <c r="S68" s="39">
        <v>28000</v>
      </c>
      <c r="T68" s="39">
        <v>0</v>
      </c>
      <c r="U68" s="39"/>
      <c r="V68" s="39">
        <f>887544</f>
        <v>887544</v>
      </c>
      <c r="W68" s="39">
        <f t="shared" si="0"/>
        <v>1139544</v>
      </c>
      <c r="X68" s="40">
        <f>+N68-W68</f>
        <v>2360456</v>
      </c>
      <c r="Y68" s="40"/>
      <c r="Z68" s="41"/>
      <c r="AA68" s="40">
        <f t="shared" si="7"/>
        <v>2360456</v>
      </c>
    </row>
    <row r="69" spans="1:27" ht="12.75" x14ac:dyDescent="0.25">
      <c r="A69" s="120"/>
      <c r="B69" s="123">
        <v>65</v>
      </c>
      <c r="C69" s="37" t="s">
        <v>87</v>
      </c>
      <c r="D69" s="38" t="s">
        <v>32</v>
      </c>
      <c r="E69" s="39">
        <v>1000000</v>
      </c>
      <c r="F69" s="39">
        <v>30</v>
      </c>
      <c r="G69" s="39">
        <f t="shared" si="40"/>
        <v>1000000.0000000001</v>
      </c>
      <c r="H69" s="39">
        <v>74000</v>
      </c>
      <c r="I69" s="39"/>
      <c r="J69" s="39"/>
      <c r="K69" s="39"/>
      <c r="L69" s="39"/>
      <c r="M69" s="39"/>
      <c r="N69" s="39">
        <f t="shared" si="39"/>
        <v>1074000</v>
      </c>
      <c r="O69" s="39">
        <f>+G69*4%</f>
        <v>40000.000000000007</v>
      </c>
      <c r="P69" s="39">
        <f>+O69</f>
        <v>40000.000000000007</v>
      </c>
      <c r="Q69" s="39"/>
      <c r="R69" s="39"/>
      <c r="S69" s="39"/>
      <c r="T69" s="39">
        <v>0</v>
      </c>
      <c r="U69" s="39"/>
      <c r="V69" s="39"/>
      <c r="W69" s="39">
        <f t="shared" si="0"/>
        <v>80000.000000000015</v>
      </c>
      <c r="X69" s="40">
        <f>+N69-W69</f>
        <v>994000</v>
      </c>
      <c r="Y69" s="40"/>
      <c r="Z69" s="41"/>
      <c r="AA69" s="40">
        <f t="shared" si="7"/>
        <v>994000</v>
      </c>
    </row>
    <row r="70" spans="1:27" ht="12.75" x14ac:dyDescent="0.25">
      <c r="A70" s="120"/>
      <c r="B70" s="123">
        <v>66</v>
      </c>
      <c r="C70" s="118" t="s">
        <v>88</v>
      </c>
      <c r="D70" s="45" t="s">
        <v>32</v>
      </c>
      <c r="E70" s="39">
        <v>1500000</v>
      </c>
      <c r="F70" s="39">
        <v>30</v>
      </c>
      <c r="G70" s="39">
        <f t="shared" si="40"/>
        <v>1500000</v>
      </c>
      <c r="H70" s="39"/>
      <c r="I70" s="39"/>
      <c r="J70" s="39"/>
      <c r="K70" s="39"/>
      <c r="L70" s="39"/>
      <c r="M70" s="39"/>
      <c r="N70" s="39">
        <f t="shared" si="39"/>
        <v>1500000</v>
      </c>
      <c r="O70" s="39">
        <f>G70*4%</f>
        <v>60000</v>
      </c>
      <c r="P70" s="39">
        <f>G70*4%</f>
        <v>60000</v>
      </c>
      <c r="Q70" s="39"/>
      <c r="R70" s="39"/>
      <c r="S70" s="39"/>
      <c r="T70" s="39">
        <v>0</v>
      </c>
      <c r="U70" s="39"/>
      <c r="V70" s="39"/>
      <c r="W70" s="39">
        <f t="shared" si="0"/>
        <v>120000</v>
      </c>
      <c r="X70" s="40">
        <f>N70-W70</f>
        <v>1380000</v>
      </c>
      <c r="Y70" s="40"/>
      <c r="Z70" s="41"/>
      <c r="AA70" s="40">
        <f t="shared" si="7"/>
        <v>1380000</v>
      </c>
    </row>
    <row r="71" spans="1:27" ht="12.75" x14ac:dyDescent="0.25">
      <c r="A71" s="120"/>
      <c r="B71" s="123">
        <v>67</v>
      </c>
      <c r="C71" s="37" t="s">
        <v>89</v>
      </c>
      <c r="D71" s="38" t="s">
        <v>32</v>
      </c>
      <c r="E71" s="39">
        <v>1300000</v>
      </c>
      <c r="F71" s="39">
        <v>30</v>
      </c>
      <c r="G71" s="39">
        <f t="shared" si="40"/>
        <v>1300000</v>
      </c>
      <c r="H71" s="39"/>
      <c r="I71" s="39"/>
      <c r="J71" s="39"/>
      <c r="K71" s="39"/>
      <c r="L71" s="39"/>
      <c r="M71" s="39"/>
      <c r="N71" s="39">
        <f t="shared" si="39"/>
        <v>1300000</v>
      </c>
      <c r="O71" s="39">
        <f>G71*4%</f>
        <v>52000</v>
      </c>
      <c r="P71" s="39">
        <f>O71</f>
        <v>52000</v>
      </c>
      <c r="Q71" s="39"/>
      <c r="R71" s="39"/>
      <c r="S71" s="39"/>
      <c r="T71" s="39">
        <v>0</v>
      </c>
      <c r="U71" s="39"/>
      <c r="V71" s="39"/>
      <c r="W71" s="39">
        <f t="shared" si="0"/>
        <v>104000</v>
      </c>
      <c r="X71" s="40">
        <f>+N71-W71</f>
        <v>1196000</v>
      </c>
      <c r="Y71" s="40"/>
      <c r="Z71" s="41"/>
      <c r="AA71" s="40">
        <f t="shared" si="7"/>
        <v>1196000</v>
      </c>
    </row>
    <row r="72" spans="1:27" ht="12.75" x14ac:dyDescent="0.25">
      <c r="A72" s="120"/>
      <c r="B72" s="123">
        <v>68</v>
      </c>
      <c r="C72" s="37" t="s">
        <v>90</v>
      </c>
      <c r="D72" s="38" t="s">
        <v>32</v>
      </c>
      <c r="E72" s="39">
        <v>4000000</v>
      </c>
      <c r="F72" s="39">
        <v>30</v>
      </c>
      <c r="G72" s="39">
        <f t="shared" si="40"/>
        <v>4000000.0000000005</v>
      </c>
      <c r="H72" s="39"/>
      <c r="I72" s="39"/>
      <c r="J72" s="39"/>
      <c r="K72" s="39"/>
      <c r="L72" s="39"/>
      <c r="M72" s="39"/>
      <c r="N72" s="39">
        <f t="shared" si="39"/>
        <v>4000000.0000000005</v>
      </c>
      <c r="O72" s="39">
        <v>160000</v>
      </c>
      <c r="P72" s="39">
        <f>O72</f>
        <v>160000</v>
      </c>
      <c r="Q72" s="39"/>
      <c r="R72" s="39"/>
      <c r="S72" s="39">
        <v>40000</v>
      </c>
      <c r="T72" s="39">
        <v>31064</v>
      </c>
      <c r="U72" s="39"/>
      <c r="V72" s="39"/>
      <c r="W72" s="39">
        <f t="shared" si="0"/>
        <v>391064</v>
      </c>
      <c r="X72" s="40">
        <f>+N72-W72</f>
        <v>3608936.0000000005</v>
      </c>
      <c r="Y72" s="40"/>
      <c r="Z72" s="41"/>
      <c r="AA72" s="40">
        <f t="shared" si="7"/>
        <v>3608936.0000000005</v>
      </c>
    </row>
    <row r="73" spans="1:27" ht="12.75" x14ac:dyDescent="0.25">
      <c r="A73" s="120"/>
      <c r="B73" s="123">
        <v>69</v>
      </c>
      <c r="C73" s="118" t="s">
        <v>93</v>
      </c>
      <c r="D73" s="45" t="s">
        <v>32</v>
      </c>
      <c r="E73" s="39">
        <v>1300000</v>
      </c>
      <c r="F73" s="39">
        <v>30</v>
      </c>
      <c r="G73" s="39">
        <f>+E73/30*F73</f>
        <v>1300000</v>
      </c>
      <c r="H73" s="39"/>
      <c r="I73" s="39"/>
      <c r="J73" s="39"/>
      <c r="K73" s="39"/>
      <c r="L73" s="39"/>
      <c r="M73" s="39"/>
      <c r="N73" s="39">
        <f t="shared" si="39"/>
        <v>1300000</v>
      </c>
      <c r="O73" s="39">
        <f>G73*4%</f>
        <v>52000</v>
      </c>
      <c r="P73" s="39">
        <f>O73</f>
        <v>52000</v>
      </c>
      <c r="Q73" s="39"/>
      <c r="R73" s="39"/>
      <c r="S73" s="39"/>
      <c r="T73" s="39">
        <v>0</v>
      </c>
      <c r="U73" s="39"/>
      <c r="V73" s="39"/>
      <c r="W73" s="39">
        <f t="shared" si="0"/>
        <v>104000</v>
      </c>
      <c r="X73" s="40">
        <f>N73-W73</f>
        <v>1196000</v>
      </c>
      <c r="Y73" s="40"/>
      <c r="Z73" s="41"/>
      <c r="AA73" s="40">
        <f t="shared" si="7"/>
        <v>1196000</v>
      </c>
    </row>
    <row r="74" spans="1:27" ht="12.75" x14ac:dyDescent="0.25">
      <c r="A74" s="120"/>
      <c r="B74" s="123">
        <v>70</v>
      </c>
      <c r="C74" s="37" t="s">
        <v>94</v>
      </c>
      <c r="D74" s="38" t="s">
        <v>32</v>
      </c>
      <c r="E74" s="39">
        <v>644350</v>
      </c>
      <c r="F74" s="39">
        <v>30</v>
      </c>
      <c r="G74" s="39">
        <f>+E74/30*F74</f>
        <v>644350</v>
      </c>
      <c r="H74" s="39">
        <v>74000</v>
      </c>
      <c r="I74" s="39"/>
      <c r="J74" s="39"/>
      <c r="K74" s="39"/>
      <c r="L74" s="39"/>
      <c r="M74" s="39"/>
      <c r="N74" s="39">
        <f t="shared" si="39"/>
        <v>718350</v>
      </c>
      <c r="O74" s="39">
        <f>G74*4%</f>
        <v>25774</v>
      </c>
      <c r="P74" s="39">
        <f>O74</f>
        <v>25774</v>
      </c>
      <c r="Q74" s="39"/>
      <c r="R74" s="39"/>
      <c r="S74" s="39"/>
      <c r="T74" s="39">
        <v>0</v>
      </c>
      <c r="U74" s="39"/>
      <c r="V74" s="39"/>
      <c r="W74" s="39">
        <f>SUM(O74:V74)</f>
        <v>51548</v>
      </c>
      <c r="X74" s="40">
        <f>+N74-W74</f>
        <v>666802</v>
      </c>
      <c r="Y74" s="40"/>
      <c r="Z74" s="41"/>
      <c r="AA74" s="40">
        <f t="shared" si="7"/>
        <v>666802</v>
      </c>
    </row>
    <row r="75" spans="1:27" ht="12.75" x14ac:dyDescent="0.25">
      <c r="A75" s="120"/>
      <c r="B75" s="123">
        <v>71</v>
      </c>
      <c r="C75" s="138" t="s">
        <v>95</v>
      </c>
      <c r="D75" s="38" t="s">
        <v>32</v>
      </c>
      <c r="E75" s="39">
        <v>800000</v>
      </c>
      <c r="F75" s="39">
        <v>30</v>
      </c>
      <c r="G75" s="39">
        <f>E75</f>
        <v>800000</v>
      </c>
      <c r="H75" s="39">
        <v>74000</v>
      </c>
      <c r="I75" s="39"/>
      <c r="J75" s="39"/>
      <c r="K75" s="39"/>
      <c r="L75" s="39"/>
      <c r="M75" s="39"/>
      <c r="N75" s="39">
        <f t="shared" si="39"/>
        <v>874000</v>
      </c>
      <c r="O75" s="39">
        <f>G75*4%</f>
        <v>32000</v>
      </c>
      <c r="P75" s="39">
        <f>O75</f>
        <v>32000</v>
      </c>
      <c r="Q75" s="39"/>
      <c r="R75" s="39"/>
      <c r="S75" s="39"/>
      <c r="T75" s="39">
        <v>0</v>
      </c>
      <c r="U75" s="39"/>
      <c r="V75" s="39"/>
      <c r="W75" s="39">
        <f>SUM(O75:V75)</f>
        <v>64000</v>
      </c>
      <c r="X75" s="40">
        <f>+N75-W75</f>
        <v>810000</v>
      </c>
      <c r="Y75" s="40"/>
      <c r="Z75" s="41"/>
      <c r="AA75" s="40">
        <f t="shared" si="7"/>
        <v>810000</v>
      </c>
    </row>
    <row r="76" spans="1:27" ht="12.75" x14ac:dyDescent="0.25">
      <c r="A76" s="140"/>
      <c r="B76" s="123">
        <v>72</v>
      </c>
      <c r="C76" s="37" t="s">
        <v>137</v>
      </c>
      <c r="D76" s="38" t="s">
        <v>32</v>
      </c>
      <c r="E76" s="39">
        <v>1300000</v>
      </c>
      <c r="F76" s="39">
        <v>30</v>
      </c>
      <c r="G76" s="39">
        <f t="shared" ref="G76" si="41">+E76/30*F76</f>
        <v>1300000</v>
      </c>
      <c r="H76" s="39"/>
      <c r="I76" s="39"/>
      <c r="J76" s="39"/>
      <c r="K76" s="39"/>
      <c r="L76" s="39"/>
      <c r="M76" s="39"/>
      <c r="N76" s="39">
        <f t="shared" ref="N76" si="42">SUM(G76:M76)</f>
        <v>1300000</v>
      </c>
      <c r="O76" s="39">
        <f>+G76*4%</f>
        <v>52000</v>
      </c>
      <c r="P76" s="39">
        <f t="shared" ref="P76" si="43">+O76</f>
        <v>52000</v>
      </c>
      <c r="Q76" s="39"/>
      <c r="R76" s="39"/>
      <c r="S76" s="39"/>
      <c r="T76" s="39"/>
      <c r="U76" s="39"/>
      <c r="V76" s="39"/>
      <c r="W76" s="39">
        <f t="shared" ref="W76:W78" si="44">SUM(O76:V76)</f>
        <v>104000</v>
      </c>
      <c r="X76" s="40">
        <f t="shared" ref="X76" si="45">+N76-W76</f>
        <v>1196000</v>
      </c>
      <c r="Y76" s="40"/>
      <c r="Z76" s="41"/>
      <c r="AA76" s="40">
        <f t="shared" si="7"/>
        <v>1196000</v>
      </c>
    </row>
    <row r="77" spans="1:27" ht="12.75" x14ac:dyDescent="0.25">
      <c r="A77" s="140"/>
      <c r="B77" s="123">
        <v>73</v>
      </c>
      <c r="C77" s="138" t="s">
        <v>116</v>
      </c>
      <c r="D77" s="96" t="s">
        <v>32</v>
      </c>
      <c r="E77" s="39">
        <v>2000000</v>
      </c>
      <c r="F77" s="39">
        <v>30</v>
      </c>
      <c r="G77" s="39">
        <f>E77</f>
        <v>2000000</v>
      </c>
      <c r="H77" s="39"/>
      <c r="I77" s="39"/>
      <c r="J77" s="39"/>
      <c r="K77" s="39"/>
      <c r="L77" s="39"/>
      <c r="M77" s="39">
        <v>500000</v>
      </c>
      <c r="N77" s="39">
        <f t="shared" si="39"/>
        <v>2500000</v>
      </c>
      <c r="O77" s="39">
        <f>G77*4%</f>
        <v>80000</v>
      </c>
      <c r="P77" s="39">
        <f>G77*4%</f>
        <v>80000</v>
      </c>
      <c r="Q77" s="39"/>
      <c r="R77" s="39"/>
      <c r="S77" s="39"/>
      <c r="T77" s="39">
        <v>0</v>
      </c>
      <c r="U77" s="39"/>
      <c r="V77" s="39"/>
      <c r="W77" s="39">
        <f t="shared" si="44"/>
        <v>160000</v>
      </c>
      <c r="X77" s="40">
        <f>N77-W77</f>
        <v>2340000</v>
      </c>
      <c r="Y77" s="40"/>
      <c r="Z77" s="41"/>
      <c r="AA77" s="40">
        <f t="shared" si="7"/>
        <v>2340000</v>
      </c>
    </row>
    <row r="78" spans="1:27" ht="12.75" x14ac:dyDescent="0.25">
      <c r="A78" s="140"/>
      <c r="B78" s="123">
        <v>74</v>
      </c>
      <c r="C78" s="138" t="s">
        <v>149</v>
      </c>
      <c r="D78" s="96" t="s">
        <v>32</v>
      </c>
      <c r="E78" s="39">
        <v>644350</v>
      </c>
      <c r="F78" s="39">
        <v>30</v>
      </c>
      <c r="G78" s="39">
        <f>E78</f>
        <v>644350</v>
      </c>
      <c r="H78" s="39"/>
      <c r="I78" s="39"/>
      <c r="J78" s="39"/>
      <c r="K78" s="39"/>
      <c r="L78" s="39"/>
      <c r="M78" s="39"/>
      <c r="N78" s="39">
        <f t="shared" ref="N78" si="46">SUM(G78:M78)</f>
        <v>644350</v>
      </c>
      <c r="O78" s="39"/>
      <c r="P78" s="39"/>
      <c r="Q78" s="39"/>
      <c r="R78" s="39"/>
      <c r="S78" s="39"/>
      <c r="T78" s="39">
        <v>0</v>
      </c>
      <c r="U78" s="39"/>
      <c r="V78" s="39"/>
      <c r="W78" s="39">
        <f t="shared" si="44"/>
        <v>0</v>
      </c>
      <c r="X78" s="40">
        <f>N78-W78</f>
        <v>644350</v>
      </c>
      <c r="Y78" s="40"/>
      <c r="Z78" s="41"/>
      <c r="AA78" s="40">
        <f t="shared" ref="AA78" si="47">X78+Y78-Z78</f>
        <v>644350</v>
      </c>
    </row>
    <row r="79" spans="1:27" ht="12.75" x14ac:dyDescent="0.25">
      <c r="A79" s="45"/>
      <c r="B79" s="123"/>
      <c r="C79" s="37" t="s">
        <v>96</v>
      </c>
      <c r="D79" s="45"/>
      <c r="E79" s="39">
        <f>SUM(E5:E75)</f>
        <v>227693900</v>
      </c>
      <c r="F79" s="39" t="s">
        <v>1</v>
      </c>
      <c r="G79" s="39">
        <f>SUM(G5:G75)</f>
        <v>218540598.66666669</v>
      </c>
      <c r="H79" s="39">
        <f>SUM(H5:H75)</f>
        <v>456333.33333333331</v>
      </c>
      <c r="I79" s="39">
        <f>SUM(I5:I75)</f>
        <v>0</v>
      </c>
      <c r="J79" s="39">
        <f>SUM(J5:J75)</f>
        <v>0</v>
      </c>
      <c r="K79" s="39"/>
      <c r="L79" s="39">
        <f t="shared" ref="L79:Q79" si="48">SUM(L5:L75)</f>
        <v>90000</v>
      </c>
      <c r="M79" s="39">
        <f t="shared" si="48"/>
        <v>11518750</v>
      </c>
      <c r="N79" s="39">
        <f t="shared" si="48"/>
        <v>397687547.33333337</v>
      </c>
      <c r="O79" s="39">
        <f t="shared" si="48"/>
        <v>8651405.9466666654</v>
      </c>
      <c r="P79" s="39">
        <f t="shared" si="48"/>
        <v>8651405.9466666654</v>
      </c>
      <c r="Q79" s="39">
        <f t="shared" si="48"/>
        <v>95900</v>
      </c>
      <c r="R79" s="39">
        <f>SUM(R6:R75)</f>
        <v>0</v>
      </c>
      <c r="S79" s="39">
        <f t="shared" ref="S79:Z79" si="49">SUM(S5:S75)</f>
        <v>1978631.1533333333</v>
      </c>
      <c r="T79" s="39">
        <f t="shared" si="49"/>
        <v>2891373</v>
      </c>
      <c r="U79" s="39">
        <f t="shared" si="49"/>
        <v>8760000</v>
      </c>
      <c r="V79" s="39">
        <f t="shared" si="49"/>
        <v>7251153</v>
      </c>
      <c r="W79" s="39">
        <f t="shared" si="49"/>
        <v>38279869.046666667</v>
      </c>
      <c r="X79" s="40">
        <f>SUM(X43:X78)</f>
        <v>57750961</v>
      </c>
      <c r="Y79" s="40">
        <f t="shared" si="49"/>
        <v>0</v>
      </c>
      <c r="Z79" s="41">
        <f t="shared" si="49"/>
        <v>0</v>
      </c>
      <c r="AA79" s="40">
        <f>SUM(AA4:AA78)</f>
        <v>200502410.95333332</v>
      </c>
    </row>
    <row r="80" spans="1:27" x14ac:dyDescent="0.25">
      <c r="A80" s="99"/>
      <c r="B80" s="99"/>
      <c r="X80" s="99"/>
      <c r="Y80" s="99"/>
      <c r="Z80" s="102"/>
      <c r="AA80" s="99"/>
    </row>
    <row r="81" spans="2:31" x14ac:dyDescent="0.25">
      <c r="E81" s="107"/>
      <c r="F81" s="107"/>
      <c r="G81" s="107"/>
      <c r="X81" s="124"/>
      <c r="Y81" s="124"/>
      <c r="AA81" s="124"/>
    </row>
    <row r="82" spans="2:31" ht="12.75" x14ac:dyDescent="0.25">
      <c r="D82" s="99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99"/>
      <c r="Y82" s="99"/>
      <c r="Z82" s="102"/>
      <c r="AA82" s="40"/>
    </row>
    <row r="83" spans="2:31" ht="12.75" x14ac:dyDescent="0.25">
      <c r="D83" s="99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99"/>
      <c r="Y83" s="99"/>
      <c r="Z83" s="102"/>
      <c r="AA83" s="40"/>
    </row>
    <row r="84" spans="2:31" x14ac:dyDescent="0.25">
      <c r="C84" s="109"/>
      <c r="D84" s="99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99"/>
      <c r="Y84" s="99"/>
      <c r="Z84" s="102"/>
      <c r="AA84" s="108"/>
    </row>
    <row r="85" spans="2:31" x14ac:dyDescent="0.25">
      <c r="C85" s="109"/>
      <c r="D85" s="99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99"/>
      <c r="Y85" s="99"/>
      <c r="Z85" s="102"/>
      <c r="AA85" s="99"/>
      <c r="AB85" s="99"/>
      <c r="AC85" s="99"/>
      <c r="AD85" s="99"/>
      <c r="AE85" s="99"/>
    </row>
    <row r="86" spans="2:31" x14ac:dyDescent="0.25">
      <c r="B86" s="99"/>
      <c r="C86" s="10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07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99"/>
      <c r="AC86" s="99"/>
      <c r="AD86" s="99"/>
      <c r="AE86" s="99"/>
    </row>
    <row r="87" spans="2:31" x14ac:dyDescent="0.25">
      <c r="B87" s="99"/>
      <c r="C87" s="109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99"/>
      <c r="Y87" s="99"/>
      <c r="Z87" s="102"/>
      <c r="AA87" s="99"/>
      <c r="AB87" s="99"/>
      <c r="AC87" s="99"/>
      <c r="AD87" s="99"/>
      <c r="AE87" s="99"/>
    </row>
    <row r="88" spans="2:31" x14ac:dyDescent="0.25">
      <c r="B88" s="99"/>
      <c r="C88" s="109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99"/>
      <c r="Y88" s="99"/>
      <c r="Z88" s="102"/>
      <c r="AA88" s="99"/>
      <c r="AB88" s="99"/>
      <c r="AC88" s="99"/>
      <c r="AD88" s="99"/>
      <c r="AE88" s="99"/>
    </row>
    <row r="89" spans="2:31" x14ac:dyDescent="0.25">
      <c r="B89" s="99"/>
      <c r="C89" s="109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99"/>
      <c r="Y89" s="99"/>
      <c r="Z89" s="102"/>
      <c r="AA89" s="99"/>
      <c r="AB89" s="99"/>
      <c r="AC89" s="99"/>
      <c r="AD89" s="99"/>
      <c r="AE89" s="99"/>
    </row>
    <row r="90" spans="2:31" x14ac:dyDescent="0.25">
      <c r="B90" s="99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05"/>
      <c r="Z90" s="112"/>
      <c r="AA90" s="105"/>
      <c r="AB90" s="99"/>
      <c r="AC90" s="99"/>
      <c r="AD90" s="99"/>
      <c r="AE90" s="99"/>
    </row>
    <row r="91" spans="2:31" x14ac:dyDescent="0.25">
      <c r="B91" s="125"/>
      <c r="C91" s="109"/>
      <c r="D91" s="105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5"/>
      <c r="Y91" s="105"/>
      <c r="Z91" s="112"/>
      <c r="AA91" s="105"/>
      <c r="AB91" s="99"/>
      <c r="AC91" s="99"/>
      <c r="AD91" s="99"/>
      <c r="AE91" s="99"/>
    </row>
    <row r="92" spans="2:31" x14ac:dyDescent="0.25">
      <c r="B92" s="99"/>
      <c r="C92" s="109"/>
      <c r="D92" s="99"/>
      <c r="E92" s="107"/>
      <c r="F92" s="107"/>
      <c r="G92" s="126"/>
      <c r="H92" s="107"/>
      <c r="I92" s="107"/>
      <c r="J92" s="107"/>
      <c r="K92" s="107"/>
      <c r="L92" s="107"/>
      <c r="M92" s="107"/>
      <c r="N92" s="107"/>
      <c r="O92" s="107"/>
      <c r="P92" s="107"/>
      <c r="Q92" s="127"/>
      <c r="R92" s="127"/>
      <c r="S92" s="127"/>
      <c r="T92" s="127"/>
      <c r="U92" s="12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2:31" x14ac:dyDescent="0.25">
      <c r="B93" s="99"/>
      <c r="C93" s="104"/>
      <c r="D93" s="105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5"/>
      <c r="Y93" s="105"/>
      <c r="Z93" s="112"/>
      <c r="AA93" s="105"/>
      <c r="AB93" s="99"/>
      <c r="AC93" s="99"/>
      <c r="AD93" s="99"/>
      <c r="AE93" s="99"/>
    </row>
    <row r="94" spans="2:31" x14ac:dyDescent="0.25">
      <c r="B94" s="105"/>
      <c r="C94" s="104"/>
      <c r="D94" s="105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5"/>
      <c r="Y94" s="105"/>
      <c r="Z94" s="112"/>
      <c r="AA94" s="105"/>
      <c r="AB94" s="99"/>
      <c r="AC94" s="99"/>
      <c r="AD94" s="99"/>
      <c r="AE94" s="99"/>
    </row>
    <row r="95" spans="2:31" x14ac:dyDescent="0.25">
      <c r="B95" s="99"/>
      <c r="C95" s="104"/>
      <c r="D95" s="105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105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3:31" x14ac:dyDescent="0.25">
      <c r="C97" s="104"/>
      <c r="D97" s="105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3:31" x14ac:dyDescent="0.25">
      <c r="C98" s="104"/>
      <c r="D98" s="105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3:31" x14ac:dyDescent="0.25">
      <c r="C99" s="104"/>
      <c r="D99" s="105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3:31" x14ac:dyDescent="0.25">
      <c r="C100" s="104"/>
      <c r="D100" s="105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3:31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  <c r="AB101" s="99"/>
      <c r="AC101" s="99"/>
      <c r="AD101" s="99"/>
      <c r="AE101" s="99"/>
    </row>
    <row r="102" spans="3:31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3:31" x14ac:dyDescent="0.25">
      <c r="C103" s="104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3:31" x14ac:dyDescent="0.25">
      <c r="C104" s="104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3:31" x14ac:dyDescent="0.25">
      <c r="C105" s="104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  <c r="AB105" s="99"/>
      <c r="AC105" s="99"/>
      <c r="AD105" s="99"/>
      <c r="AE105" s="99"/>
    </row>
    <row r="106" spans="3:31" x14ac:dyDescent="0.25">
      <c r="C106" s="104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  <c r="AB106" s="99"/>
      <c r="AC106" s="99"/>
      <c r="AD106" s="99"/>
      <c r="AE106" s="99"/>
    </row>
    <row r="107" spans="3:31" x14ac:dyDescent="0.25">
      <c r="C107" s="104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  <c r="AB107" s="99"/>
      <c r="AC107" s="99"/>
      <c r="AD107" s="99"/>
      <c r="AE107" s="99"/>
    </row>
    <row r="108" spans="3:31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  <c r="AB108" s="99"/>
      <c r="AC108" s="99"/>
      <c r="AD108" s="99"/>
      <c r="AE108" s="99"/>
    </row>
    <row r="109" spans="3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  <c r="AB109" s="99"/>
      <c r="AC109" s="99"/>
      <c r="AD109" s="99"/>
      <c r="AE109" s="99"/>
    </row>
    <row r="110" spans="3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  <c r="AB110" s="99"/>
      <c r="AC110" s="99"/>
      <c r="AD110" s="99"/>
      <c r="AE110" s="99"/>
    </row>
    <row r="111" spans="3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  <c r="AB111" s="99"/>
      <c r="AC111" s="99"/>
      <c r="AD111" s="99"/>
      <c r="AE111" s="99"/>
    </row>
    <row r="112" spans="3:31" x14ac:dyDescent="0.25">
      <c r="C112" s="104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  <c r="AB112" s="99"/>
      <c r="AC112" s="99"/>
      <c r="AD112" s="99"/>
      <c r="AE112" s="99"/>
    </row>
    <row r="113" spans="2:31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  <c r="AB113" s="99"/>
      <c r="AC113" s="99"/>
      <c r="AD113" s="99"/>
      <c r="AE113" s="99"/>
    </row>
    <row r="114" spans="2:31" x14ac:dyDescent="0.25">
      <c r="C114" s="109"/>
      <c r="D114" s="99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07"/>
      <c r="W114" s="107"/>
      <c r="X114" s="99"/>
      <c r="Y114" s="99"/>
      <c r="Z114" s="102"/>
      <c r="AA114" s="99"/>
      <c r="AB114" s="99"/>
      <c r="AC114" s="99"/>
      <c r="AD114" s="99"/>
      <c r="AE114" s="99"/>
    </row>
    <row r="115" spans="2:31" x14ac:dyDescent="0.25">
      <c r="B115" s="99"/>
      <c r="C115" s="109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99"/>
      <c r="AC115" s="99"/>
      <c r="AD115" s="99"/>
      <c r="AE115" s="99"/>
    </row>
    <row r="116" spans="2:31" x14ac:dyDescent="0.25">
      <c r="B116" s="99"/>
      <c r="C116" s="109"/>
      <c r="D116" s="99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5"/>
      <c r="Y116" s="105"/>
      <c r="Z116" s="112"/>
      <c r="AA116" s="105"/>
      <c r="AB116" s="99"/>
      <c r="AC116" s="99"/>
      <c r="AD116" s="99"/>
      <c r="AE116" s="99"/>
    </row>
    <row r="117" spans="2:31" x14ac:dyDescent="0.25">
      <c r="B117" s="99"/>
      <c r="C117" s="104"/>
      <c r="D117" s="105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5"/>
      <c r="Y117" s="105"/>
      <c r="Z117" s="112"/>
      <c r="AA117" s="105"/>
    </row>
    <row r="118" spans="2:31" x14ac:dyDescent="0.25">
      <c r="B118" s="113"/>
      <c r="C118" s="104"/>
      <c r="D118" s="105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5"/>
      <c r="Y118" s="105"/>
      <c r="Z118" s="112"/>
      <c r="AA118" s="105"/>
    </row>
    <row r="119" spans="2:31" x14ac:dyDescent="0.25">
      <c r="C119" s="104"/>
      <c r="D119" s="105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8"/>
      <c r="Y119" s="108"/>
      <c r="Z119" s="102"/>
      <c r="AA119" s="108"/>
    </row>
    <row r="120" spans="2:31" x14ac:dyDescent="0.25">
      <c r="C120" s="104"/>
      <c r="D120" s="105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8"/>
      <c r="Y120" s="108"/>
      <c r="Z120" s="102"/>
      <c r="AA120" s="108"/>
    </row>
    <row r="121" spans="2:31" x14ac:dyDescent="0.25">
      <c r="C121" s="104"/>
      <c r="D121" s="105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8"/>
      <c r="Y121" s="108"/>
      <c r="Z121" s="102"/>
      <c r="AA121" s="108"/>
    </row>
    <row r="122" spans="2:31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8"/>
      <c r="Y122" s="108"/>
      <c r="Z122" s="102"/>
      <c r="AA122" s="108"/>
    </row>
    <row r="123" spans="2:31" x14ac:dyDescent="0.25">
      <c r="C123" s="104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8"/>
      <c r="Y123" s="108"/>
      <c r="Z123" s="102"/>
      <c r="AA123" s="108"/>
    </row>
    <row r="124" spans="2:31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31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8"/>
      <c r="Y125" s="108"/>
      <c r="Z125" s="102"/>
      <c r="AA125" s="108"/>
    </row>
    <row r="126" spans="2:31" x14ac:dyDescent="0.25">
      <c r="B126" s="99"/>
      <c r="C126" s="109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31" x14ac:dyDescent="0.25">
      <c r="B127" s="99"/>
      <c r="C127" s="109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31" x14ac:dyDescent="0.25">
      <c r="B128" s="99"/>
      <c r="C128" s="109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14"/>
      <c r="Y128" s="114"/>
      <c r="Z128" s="102"/>
      <c r="AA128" s="114"/>
    </row>
    <row r="129" spans="2:27" x14ac:dyDescent="0.25">
      <c r="B129" s="99"/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15"/>
      <c r="Y129" s="115"/>
      <c r="Z129" s="102"/>
      <c r="AA129" s="115"/>
    </row>
    <row r="130" spans="2:27" x14ac:dyDescent="0.25">
      <c r="C130" s="109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2:27" x14ac:dyDescent="0.25">
      <c r="C131" s="109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2:27" x14ac:dyDescent="0.25">
      <c r="C132" s="109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2:27" x14ac:dyDescent="0.25">
      <c r="C133" s="109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2:27" x14ac:dyDescent="0.25">
      <c r="C134" s="109"/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2:27" x14ac:dyDescent="0.25">
      <c r="C135" s="109"/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99"/>
      <c r="Y135" s="99"/>
      <c r="Z135" s="102"/>
      <c r="AA135" s="99"/>
    </row>
    <row r="136" spans="2:27" x14ac:dyDescent="0.25">
      <c r="C136" s="109"/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99"/>
      <c r="Y136" s="99"/>
      <c r="Z136" s="102"/>
      <c r="AA136" s="99"/>
    </row>
    <row r="137" spans="2:27" x14ac:dyDescent="0.25">
      <c r="C137" s="109"/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>
        <v>3003000</v>
      </c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2:27" x14ac:dyDescent="0.25">
      <c r="C138" s="104"/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2:27" x14ac:dyDescent="0.25">
      <c r="C139" s="104"/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0" spans="2:27" x14ac:dyDescent="0.25">
      <c r="C140" s="104"/>
      <c r="D140" s="99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99"/>
      <c r="Y140" s="99"/>
      <c r="Z140" s="102"/>
      <c r="AA140" s="99"/>
    </row>
    <row r="141" spans="2:27" x14ac:dyDescent="0.25">
      <c r="C141" s="104"/>
      <c r="D141" s="99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99"/>
      <c r="Y141" s="99"/>
      <c r="Z141" s="102"/>
      <c r="AA141" s="99"/>
    </row>
    <row r="142" spans="2:27" x14ac:dyDescent="0.25">
      <c r="C142" s="109">
        <v>42614840</v>
      </c>
      <c r="D142" s="99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>
        <v>412608</v>
      </c>
      <c r="X142" s="99"/>
      <c r="Y142" s="99"/>
      <c r="Z142" s="102"/>
      <c r="AA142" s="99"/>
    </row>
    <row r="143" spans="2:27" x14ac:dyDescent="0.25">
      <c r="C143" s="109">
        <v>9675182</v>
      </c>
      <c r="D143" s="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>
        <v>1880000</v>
      </c>
      <c r="X143" s="99"/>
      <c r="Y143" s="99"/>
      <c r="Z143" s="102"/>
      <c r="AA143" s="99"/>
    </row>
    <row r="144" spans="2:27" x14ac:dyDescent="0.25">
      <c r="C144" s="109">
        <v>17903600</v>
      </c>
      <c r="D144" s="99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99"/>
      <c r="Y144" s="99"/>
      <c r="Z144" s="102"/>
      <c r="AA144" s="99"/>
    </row>
    <row r="145" spans="3:27" x14ac:dyDescent="0.25">
      <c r="C145" s="109">
        <f>SUM(C142:C144)</f>
        <v>70193622</v>
      </c>
      <c r="D145" s="99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99"/>
      <c r="Y145" s="99"/>
      <c r="Z145" s="102"/>
      <c r="AA145" s="99"/>
    </row>
    <row r="146" spans="3:27" x14ac:dyDescent="0.25">
      <c r="C146" s="109">
        <v>400000</v>
      </c>
      <c r="D146" s="99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99"/>
      <c r="Y146" s="99"/>
      <c r="Z146" s="102"/>
      <c r="AA146" s="99"/>
    </row>
    <row r="147" spans="3:27" x14ac:dyDescent="0.25">
      <c r="C147" s="109">
        <f>+C145+C146</f>
        <v>70593622</v>
      </c>
      <c r="D147" s="99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99"/>
      <c r="Y147" s="99"/>
      <c r="Z147" s="102"/>
      <c r="AA147" s="99"/>
    </row>
    <row r="150" spans="3:27" x14ac:dyDescent="0.25">
      <c r="C150" s="100">
        <v>64000000</v>
      </c>
    </row>
    <row r="151" spans="3:27" x14ac:dyDescent="0.25">
      <c r="C151" s="100">
        <v>11000000</v>
      </c>
    </row>
    <row r="152" spans="3:27" x14ac:dyDescent="0.25">
      <c r="C152" s="100">
        <f>+C150+C151</f>
        <v>75000000</v>
      </c>
    </row>
    <row r="156" spans="3:27" x14ac:dyDescent="0.25">
      <c r="C156" s="100">
        <v>2745000</v>
      </c>
    </row>
    <row r="157" spans="3:27" x14ac:dyDescent="0.25">
      <c r="C157" s="100">
        <v>3185000</v>
      </c>
    </row>
    <row r="158" spans="3:27" x14ac:dyDescent="0.25">
      <c r="C158" s="100">
        <v>1080000</v>
      </c>
    </row>
    <row r="159" spans="3:27" x14ac:dyDescent="0.25">
      <c r="C159" s="100">
        <v>4850100</v>
      </c>
    </row>
    <row r="160" spans="3:27" x14ac:dyDescent="0.25">
      <c r="C160" s="100">
        <v>5027500</v>
      </c>
    </row>
    <row r="161" spans="3:3" x14ac:dyDescent="0.25">
      <c r="C161" s="100">
        <v>4566000</v>
      </c>
    </row>
    <row r="162" spans="3:3" x14ac:dyDescent="0.25">
      <c r="C162" s="100">
        <v>1050000</v>
      </c>
    </row>
    <row r="163" spans="3:3" x14ac:dyDescent="0.25">
      <c r="C163" s="100">
        <v>3877333</v>
      </c>
    </row>
    <row r="164" spans="3:3" x14ac:dyDescent="0.25">
      <c r="C164" s="100">
        <v>6732440</v>
      </c>
    </row>
    <row r="165" spans="3:3" x14ac:dyDescent="0.25">
      <c r="C165" s="100">
        <v>3460000</v>
      </c>
    </row>
    <row r="166" spans="3:3" x14ac:dyDescent="0.25">
      <c r="C166" s="100">
        <v>588800</v>
      </c>
    </row>
    <row r="167" spans="3:3" x14ac:dyDescent="0.25">
      <c r="C167" s="100">
        <v>1868000</v>
      </c>
    </row>
    <row r="168" spans="3:3" x14ac:dyDescent="0.25">
      <c r="C168" s="100">
        <v>10313000</v>
      </c>
    </row>
    <row r="169" spans="3:3" x14ac:dyDescent="0.25">
      <c r="C169" s="100">
        <v>3443800</v>
      </c>
    </row>
    <row r="170" spans="3:3" x14ac:dyDescent="0.25">
      <c r="C170" s="100">
        <v>8136400</v>
      </c>
    </row>
    <row r="171" spans="3:3" x14ac:dyDescent="0.25">
      <c r="C171" s="100">
        <v>9675183</v>
      </c>
    </row>
    <row r="172" spans="3:3" x14ac:dyDescent="0.25">
      <c r="C172" s="100">
        <f>SUM(C156:C171)</f>
        <v>70598556</v>
      </c>
    </row>
  </sheetData>
  <mergeCells count="7">
    <mergeCell ref="D115:AA115"/>
    <mergeCell ref="C1:X1"/>
    <mergeCell ref="E2:N2"/>
    <mergeCell ref="O2:W2"/>
    <mergeCell ref="A3:A41"/>
    <mergeCell ref="A43:A75"/>
    <mergeCell ref="E114:U1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D0E-B2B4-485E-8F8E-9BA93CF6FEED}">
  <dimension ref="A1:AE151"/>
  <sheetViews>
    <sheetView topLeftCell="O1" workbookViewId="0">
      <selection activeCell="AF22" sqref="AF22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hidden="1" customWidth="1"/>
    <col min="10" max="10" width="5.42578125" style="101" hidden="1" customWidth="1"/>
    <col min="11" max="11" width="8" style="101" hidden="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7.28515625" style="101" customWidth="1"/>
    <col min="19" max="19" width="7.42578125" style="101" customWidth="1"/>
    <col min="20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150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22</v>
      </c>
      <c r="S3" s="97" t="s">
        <v>23</v>
      </c>
      <c r="T3" s="97" t="s">
        <v>24</v>
      </c>
      <c r="U3" s="97" t="s">
        <v>151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>
        <f>+G4*0.01</f>
        <v>45000</v>
      </c>
      <c r="S4" s="39">
        <v>98752</v>
      </c>
      <c r="T4" s="39"/>
      <c r="U4" s="39"/>
      <c r="V4" s="39"/>
      <c r="W4" s="39">
        <f>SUM(O4:V4)</f>
        <v>503752</v>
      </c>
      <c r="X4" s="40">
        <f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152</v>
      </c>
      <c r="D5" s="38" t="s">
        <v>32</v>
      </c>
      <c r="E5" s="39">
        <v>3000000</v>
      </c>
      <c r="F5" s="39">
        <v>14</v>
      </c>
      <c r="G5" s="39">
        <f>+E5/30*F5</f>
        <v>1400000</v>
      </c>
      <c r="H5" s="39"/>
      <c r="I5" s="39"/>
      <c r="J5" s="39"/>
      <c r="K5" s="39"/>
      <c r="L5" s="39"/>
      <c r="M5" s="39"/>
      <c r="N5" s="39">
        <f>SUM(G5:M5)</f>
        <v>1400000</v>
      </c>
      <c r="O5" s="39">
        <f>+G5*4%</f>
        <v>56000</v>
      </c>
      <c r="P5" s="39">
        <f>+O5</f>
        <v>56000</v>
      </c>
      <c r="Q5" s="39"/>
      <c r="R5" s="39"/>
      <c r="S5" s="39"/>
      <c r="T5" s="39"/>
      <c r="U5" s="39"/>
      <c r="V5" s="39"/>
      <c r="W5" s="39">
        <f>SUM(O5:V5)</f>
        <v>112000</v>
      </c>
      <c r="X5" s="40">
        <f>+N5-W5</f>
        <v>1288000</v>
      </c>
      <c r="Y5" s="40"/>
      <c r="Z5" s="41"/>
      <c r="AA5" s="40">
        <f>X5+Y5-Z5</f>
        <v>1288000</v>
      </c>
    </row>
    <row r="6" spans="1:27" ht="12.75" x14ac:dyDescent="0.25">
      <c r="A6" s="120"/>
      <c r="B6" s="123">
        <v>3</v>
      </c>
      <c r="C6" s="37" t="s">
        <v>31</v>
      </c>
      <c r="D6" s="38" t="s">
        <v>32</v>
      </c>
      <c r="E6" s="39">
        <v>4000000</v>
      </c>
      <c r="F6" s="39">
        <v>30</v>
      </c>
      <c r="G6" s="39">
        <f>+E6/30*F6</f>
        <v>4000000.0000000005</v>
      </c>
      <c r="H6" s="39"/>
      <c r="I6" s="39"/>
      <c r="J6" s="39"/>
      <c r="K6" s="39"/>
      <c r="L6" s="39"/>
      <c r="M6" s="39"/>
      <c r="N6" s="39">
        <f>SUM(G6:M6)</f>
        <v>4000000.0000000005</v>
      </c>
      <c r="O6" s="39">
        <f>+G6*4%</f>
        <v>160000.00000000003</v>
      </c>
      <c r="P6" s="39">
        <f>+O6</f>
        <v>160000.00000000003</v>
      </c>
      <c r="Q6" s="39"/>
      <c r="R6" s="39">
        <f>+G6*0.01</f>
        <v>40000.000000000007</v>
      </c>
      <c r="S6" s="39">
        <v>31064</v>
      </c>
      <c r="T6" s="39"/>
      <c r="U6" s="39"/>
      <c r="V6" s="39"/>
      <c r="W6" s="39">
        <f>SUM(O6:V6)</f>
        <v>391064.00000000006</v>
      </c>
      <c r="X6" s="40">
        <f>+N6-W6</f>
        <v>3608936.0000000005</v>
      </c>
      <c r="Y6" s="40"/>
      <c r="Z6" s="41"/>
      <c r="AA6" s="40">
        <f>X6+Y6-Z6</f>
        <v>3608936.0000000005</v>
      </c>
    </row>
    <row r="7" spans="1:27" ht="12.75" x14ac:dyDescent="0.25">
      <c r="A7" s="120"/>
      <c r="B7" s="123">
        <v>4</v>
      </c>
      <c r="C7" s="37" t="s">
        <v>33</v>
      </c>
      <c r="D7" s="38" t="s">
        <v>32</v>
      </c>
      <c r="E7" s="39">
        <v>5133000</v>
      </c>
      <c r="F7" s="39">
        <v>30</v>
      </c>
      <c r="G7" s="39">
        <f>+E7/30*F7</f>
        <v>5133000</v>
      </c>
      <c r="H7" s="39"/>
      <c r="I7" s="39"/>
      <c r="J7" s="39"/>
      <c r="K7" s="39"/>
      <c r="L7" s="39"/>
      <c r="M7" s="39"/>
      <c r="N7" s="39">
        <f t="shared" ref="N7:N42" si="0">SUM(G7:M7)</f>
        <v>5133000</v>
      </c>
      <c r="O7" s="39">
        <f>+G7*4%</f>
        <v>205320</v>
      </c>
      <c r="P7" s="39">
        <f>+O7</f>
        <v>205320</v>
      </c>
      <c r="Q7" s="39"/>
      <c r="R7" s="39">
        <f>+G7*0.01</f>
        <v>51330</v>
      </c>
      <c r="S7" s="48">
        <v>111299</v>
      </c>
      <c r="T7" s="39"/>
      <c r="U7" s="39"/>
      <c r="V7" s="39"/>
      <c r="W7" s="39">
        <f>SUM(O7:V7)</f>
        <v>573269</v>
      </c>
      <c r="X7" s="40">
        <f>+N7-W7</f>
        <v>4559731</v>
      </c>
      <c r="Y7" s="40"/>
      <c r="Z7" s="41"/>
      <c r="AA7" s="40">
        <f>X7+Y7-Z7</f>
        <v>4559731</v>
      </c>
    </row>
    <row r="8" spans="1:27" ht="12.75" x14ac:dyDescent="0.25">
      <c r="A8" s="120"/>
      <c r="B8" s="123">
        <v>5</v>
      </c>
      <c r="C8" s="37" t="s">
        <v>34</v>
      </c>
      <c r="D8" s="38" t="s">
        <v>32</v>
      </c>
      <c r="E8" s="39">
        <v>4180000</v>
      </c>
      <c r="F8" s="39">
        <v>30</v>
      </c>
      <c r="G8" s="39">
        <f>+E8/30*F8</f>
        <v>4180000.0000000005</v>
      </c>
      <c r="H8" s="39"/>
      <c r="I8" s="39"/>
      <c r="J8" s="39"/>
      <c r="K8" s="39"/>
      <c r="L8" s="39"/>
      <c r="M8" s="39">
        <v>1881000</v>
      </c>
      <c r="N8" s="39">
        <f t="shared" si="0"/>
        <v>6061000</v>
      </c>
      <c r="O8" s="39">
        <f>+G8*4%</f>
        <v>167200.00000000003</v>
      </c>
      <c r="P8" s="39">
        <f>+O8</f>
        <v>167200.00000000003</v>
      </c>
      <c r="Q8" s="39"/>
      <c r="R8" s="39">
        <f>+G8*0.01</f>
        <v>41800.000000000007</v>
      </c>
      <c r="S8" s="48">
        <v>31064</v>
      </c>
      <c r="T8" s="39"/>
      <c r="U8" s="39"/>
      <c r="V8" s="39"/>
      <c r="W8" s="39">
        <f>SUM(O8:V8)</f>
        <v>407264.00000000006</v>
      </c>
      <c r="X8" s="40">
        <f>+N8-W8</f>
        <v>5653736</v>
      </c>
      <c r="Y8" s="40"/>
      <c r="Z8" s="41"/>
      <c r="AA8" s="40">
        <f>X8+Y8-Z8</f>
        <v>5653736</v>
      </c>
    </row>
    <row r="9" spans="1:27" ht="12.75" x14ac:dyDescent="0.25">
      <c r="A9" s="120"/>
      <c r="B9" s="123">
        <v>6</v>
      </c>
      <c r="C9" s="37" t="s">
        <v>130</v>
      </c>
      <c r="D9" s="38" t="s">
        <v>32</v>
      </c>
      <c r="E9" s="39">
        <v>4200000</v>
      </c>
      <c r="F9" s="39">
        <v>30</v>
      </c>
      <c r="G9" s="39">
        <f>E9/30*F9</f>
        <v>4200000</v>
      </c>
      <c r="H9" s="39"/>
      <c r="I9" s="39"/>
      <c r="J9" s="39"/>
      <c r="K9" s="39"/>
      <c r="L9" s="39"/>
      <c r="M9" s="39"/>
      <c r="N9" s="39">
        <f t="shared" si="0"/>
        <v>4200000</v>
      </c>
      <c r="O9" s="39">
        <f t="shared" ref="O9:O10" si="1">+G9*4%</f>
        <v>168000</v>
      </c>
      <c r="P9" s="39">
        <f>O9</f>
        <v>168000</v>
      </c>
      <c r="Q9" s="39"/>
      <c r="R9" s="39">
        <f>+G9*1%</f>
        <v>42000</v>
      </c>
      <c r="S9" s="48">
        <v>2545</v>
      </c>
      <c r="T9" s="39"/>
      <c r="U9" s="39"/>
      <c r="V9" s="39"/>
      <c r="W9" s="39">
        <f>SUM(O9:V9)</f>
        <v>380545</v>
      </c>
      <c r="X9" s="40">
        <f>N9-W9</f>
        <v>3819455</v>
      </c>
      <c r="Y9" s="40"/>
      <c r="Z9" s="41"/>
      <c r="AA9" s="40">
        <f t="shared" ref="AA9:AA10" si="2">X9+Y9-Z9</f>
        <v>3819455</v>
      </c>
    </row>
    <row r="10" spans="1:27" ht="12.75" x14ac:dyDescent="0.25">
      <c r="A10" s="120"/>
      <c r="B10" s="123">
        <v>7</v>
      </c>
      <c r="C10" s="37" t="s">
        <v>153</v>
      </c>
      <c r="D10" s="38" t="s">
        <v>32</v>
      </c>
      <c r="E10" s="39">
        <v>5500000</v>
      </c>
      <c r="F10" s="39">
        <v>14</v>
      </c>
      <c r="G10" s="39">
        <f>E10/30*F10</f>
        <v>2566666.666666667</v>
      </c>
      <c r="H10" s="39"/>
      <c r="I10" s="39"/>
      <c r="J10" s="39"/>
      <c r="K10" s="39"/>
      <c r="L10" s="39"/>
      <c r="M10" s="39"/>
      <c r="N10" s="39">
        <f t="shared" si="0"/>
        <v>2566666.666666667</v>
      </c>
      <c r="O10" s="39">
        <f t="shared" si="1"/>
        <v>102666.66666666669</v>
      </c>
      <c r="P10" s="39">
        <f>O10</f>
        <v>102666.66666666669</v>
      </c>
      <c r="Q10" s="39"/>
      <c r="R10" s="39"/>
      <c r="S10" s="48">
        <v>31064</v>
      </c>
      <c r="T10" s="39"/>
      <c r="U10" s="39"/>
      <c r="V10" s="39"/>
      <c r="W10" s="39">
        <f>SUM(O10:V10)</f>
        <v>236397.33333333337</v>
      </c>
      <c r="X10" s="40">
        <f>N10-W10</f>
        <v>2330269.3333333335</v>
      </c>
      <c r="Y10" s="40"/>
      <c r="Z10" s="41"/>
      <c r="AA10" s="40">
        <f t="shared" si="2"/>
        <v>2330269.3333333335</v>
      </c>
    </row>
    <row r="11" spans="1:27" ht="12.75" x14ac:dyDescent="0.25">
      <c r="A11" s="120"/>
      <c r="B11" s="123">
        <v>8</v>
      </c>
      <c r="C11" s="37" t="s">
        <v>36</v>
      </c>
      <c r="D11" s="38" t="s">
        <v>32</v>
      </c>
      <c r="E11" s="39">
        <v>4500000</v>
      </c>
      <c r="F11" s="39">
        <v>30</v>
      </c>
      <c r="G11" s="39">
        <f>E11/30*F11</f>
        <v>4500000</v>
      </c>
      <c r="H11" s="39"/>
      <c r="I11" s="39"/>
      <c r="J11" s="39"/>
      <c r="K11" s="39"/>
      <c r="L11" s="39"/>
      <c r="M11" s="39"/>
      <c r="N11" s="39">
        <f t="shared" si="0"/>
        <v>4500000</v>
      </c>
      <c r="O11" s="39">
        <f t="shared" ref="O11:O14" si="3">G11*4%</f>
        <v>180000</v>
      </c>
      <c r="P11" s="39">
        <f>O11</f>
        <v>180000</v>
      </c>
      <c r="Q11" s="39"/>
      <c r="R11" s="39">
        <f>G11*1%</f>
        <v>45000</v>
      </c>
      <c r="S11" s="39">
        <v>98752</v>
      </c>
      <c r="T11" s="39"/>
      <c r="U11" s="39"/>
      <c r="V11" s="39"/>
      <c r="W11" s="39">
        <f>SUM(O11:V11)</f>
        <v>503752</v>
      </c>
      <c r="X11" s="40">
        <f>N11-W11</f>
        <v>3996248</v>
      </c>
      <c r="Y11" s="40"/>
      <c r="Z11" s="41"/>
      <c r="AA11" s="40">
        <f>X11+Y11-Z11</f>
        <v>3996248</v>
      </c>
    </row>
    <row r="12" spans="1:27" ht="12.75" x14ac:dyDescent="0.25">
      <c r="A12" s="120"/>
      <c r="B12" s="123">
        <v>9</v>
      </c>
      <c r="C12" s="137" t="s">
        <v>38</v>
      </c>
      <c r="D12" s="96" t="s">
        <v>32</v>
      </c>
      <c r="E12" s="39">
        <v>4800000</v>
      </c>
      <c r="F12" s="39">
        <v>30</v>
      </c>
      <c r="G12" s="39">
        <f>+E12/30*F12</f>
        <v>4800000</v>
      </c>
      <c r="H12" s="39"/>
      <c r="I12" s="39"/>
      <c r="J12" s="39"/>
      <c r="K12" s="39"/>
      <c r="L12" s="39"/>
      <c r="M12" s="39"/>
      <c r="N12" s="39">
        <f t="shared" si="0"/>
        <v>4800000</v>
      </c>
      <c r="O12" s="39">
        <f t="shared" si="3"/>
        <v>192000</v>
      </c>
      <c r="P12" s="39">
        <f>+O12</f>
        <v>192000</v>
      </c>
      <c r="Q12" s="39"/>
      <c r="R12" s="39">
        <f>+G12*0.01</f>
        <v>48000</v>
      </c>
      <c r="S12" s="39">
        <v>5939</v>
      </c>
      <c r="T12" s="39"/>
      <c r="U12" s="39"/>
      <c r="V12" s="39"/>
      <c r="W12" s="39">
        <f>SUM(O12:V12)</f>
        <v>437939</v>
      </c>
      <c r="X12" s="40">
        <f>+N12-W12</f>
        <v>4362061</v>
      </c>
      <c r="Y12" s="40"/>
      <c r="Z12" s="41"/>
      <c r="AA12" s="40">
        <f t="shared" ref="AA12:AA78" si="4">X12+Y12-Z12</f>
        <v>4362061</v>
      </c>
    </row>
    <row r="13" spans="1:27" ht="12.75" x14ac:dyDescent="0.25">
      <c r="A13" s="120"/>
      <c r="B13" s="123">
        <v>10</v>
      </c>
      <c r="C13" s="137" t="s">
        <v>140</v>
      </c>
      <c r="D13" s="96" t="s">
        <v>32</v>
      </c>
      <c r="E13" s="39">
        <v>4000000</v>
      </c>
      <c r="F13" s="39">
        <v>30</v>
      </c>
      <c r="G13" s="39">
        <f>+E13/30*F13</f>
        <v>4000000.0000000005</v>
      </c>
      <c r="H13" s="39"/>
      <c r="I13" s="39"/>
      <c r="J13" s="39"/>
      <c r="K13" s="39"/>
      <c r="L13" s="39"/>
      <c r="M13" s="39"/>
      <c r="N13" s="39">
        <f t="shared" si="0"/>
        <v>4000000.0000000005</v>
      </c>
      <c r="O13" s="39">
        <f t="shared" si="3"/>
        <v>160000.00000000003</v>
      </c>
      <c r="P13" s="39">
        <f>+O13</f>
        <v>160000.00000000003</v>
      </c>
      <c r="Q13" s="39"/>
      <c r="R13" s="39">
        <f>+G13*0.01</f>
        <v>40000.000000000007</v>
      </c>
      <c r="S13" s="39">
        <v>31064</v>
      </c>
      <c r="T13" s="39"/>
      <c r="U13" s="39"/>
      <c r="V13" s="39"/>
      <c r="W13" s="39">
        <f>SUM(O13:V13)</f>
        <v>391064.00000000006</v>
      </c>
      <c r="X13" s="40">
        <f>+N13-W13</f>
        <v>3608936.0000000005</v>
      </c>
      <c r="Y13" s="40"/>
      <c r="Z13" s="41"/>
      <c r="AA13" s="40">
        <f t="shared" si="4"/>
        <v>3608936.0000000005</v>
      </c>
    </row>
    <row r="14" spans="1:27" ht="12.75" x14ac:dyDescent="0.25">
      <c r="A14" s="120"/>
      <c r="B14" s="123">
        <v>11</v>
      </c>
      <c r="C14" s="118" t="s">
        <v>40</v>
      </c>
      <c r="D14" s="45" t="s">
        <v>32</v>
      </c>
      <c r="E14" s="39">
        <v>3500000</v>
      </c>
      <c r="F14" s="39">
        <v>30</v>
      </c>
      <c r="G14" s="39">
        <f t="shared" ref="G14:G17" si="5">+E14/30*F14</f>
        <v>3500000</v>
      </c>
      <c r="H14" s="39"/>
      <c r="I14" s="39"/>
      <c r="J14" s="39"/>
      <c r="K14" s="39"/>
      <c r="L14" s="39"/>
      <c r="M14" s="39">
        <v>500000</v>
      </c>
      <c r="N14" s="39">
        <f t="shared" si="0"/>
        <v>4000000</v>
      </c>
      <c r="O14" s="39">
        <f t="shared" si="3"/>
        <v>140000</v>
      </c>
      <c r="P14" s="39">
        <f>O14</f>
        <v>140000</v>
      </c>
      <c r="Q14" s="39"/>
      <c r="R14" s="39">
        <f>G14*1%</f>
        <v>35000</v>
      </c>
      <c r="S14" s="39">
        <v>0</v>
      </c>
      <c r="T14" s="39"/>
      <c r="U14" s="39"/>
      <c r="V14" s="39"/>
      <c r="W14" s="39">
        <f>SUM(O14:V14)</f>
        <v>315000</v>
      </c>
      <c r="X14" s="40">
        <f>+N14-W14</f>
        <v>3685000</v>
      </c>
      <c r="Y14" s="40"/>
      <c r="Z14" s="41"/>
      <c r="AA14" s="40">
        <f t="shared" si="4"/>
        <v>3685000</v>
      </c>
    </row>
    <row r="15" spans="1:27" ht="12.75" x14ac:dyDescent="0.25">
      <c r="A15" s="120"/>
      <c r="B15" s="123">
        <v>12</v>
      </c>
      <c r="C15" s="118" t="s">
        <v>141</v>
      </c>
      <c r="D15" s="45" t="s">
        <v>32</v>
      </c>
      <c r="E15" s="39">
        <v>4500000</v>
      </c>
      <c r="F15" s="39">
        <v>30</v>
      </c>
      <c r="G15" s="39">
        <f t="shared" si="5"/>
        <v>4500000</v>
      </c>
      <c r="H15" s="39"/>
      <c r="I15" s="39"/>
      <c r="J15" s="39"/>
      <c r="K15" s="39"/>
      <c r="L15" s="39"/>
      <c r="M15" s="39"/>
      <c r="N15" s="39">
        <f t="shared" si="0"/>
        <v>4500000</v>
      </c>
      <c r="O15" s="39">
        <f>G15*4%</f>
        <v>180000</v>
      </c>
      <c r="P15" s="39">
        <f>O15</f>
        <v>180000</v>
      </c>
      <c r="Q15" s="39"/>
      <c r="R15" s="39">
        <f>G15*1%</f>
        <v>45000</v>
      </c>
      <c r="S15" s="39">
        <v>99000</v>
      </c>
      <c r="T15" s="39"/>
      <c r="U15" s="39"/>
      <c r="V15" s="39"/>
      <c r="W15" s="39">
        <f>SUM(O15:V15)</f>
        <v>504000</v>
      </c>
      <c r="X15" s="40">
        <f>+N15-W15</f>
        <v>3996000</v>
      </c>
      <c r="Y15" s="40"/>
      <c r="Z15" s="41"/>
      <c r="AA15" s="40">
        <f t="shared" si="4"/>
        <v>3996000</v>
      </c>
    </row>
    <row r="16" spans="1:27" ht="12.75" x14ac:dyDescent="0.25">
      <c r="A16" s="120"/>
      <c r="B16" s="123">
        <v>13</v>
      </c>
      <c r="C16" s="37" t="s">
        <v>42</v>
      </c>
      <c r="D16" s="38" t="s">
        <v>32</v>
      </c>
      <c r="E16" s="39">
        <v>4410000</v>
      </c>
      <c r="F16" s="39">
        <v>30</v>
      </c>
      <c r="G16" s="39">
        <f t="shared" si="5"/>
        <v>4410000</v>
      </c>
      <c r="H16" s="39"/>
      <c r="I16" s="39"/>
      <c r="J16" s="39"/>
      <c r="K16" s="39"/>
      <c r="L16" s="39"/>
      <c r="M16" s="39"/>
      <c r="N16" s="39">
        <f t="shared" si="0"/>
        <v>4410000</v>
      </c>
      <c r="O16" s="39">
        <f>+G16*4%</f>
        <v>176400</v>
      </c>
      <c r="P16" s="39">
        <f>+O16</f>
        <v>176400</v>
      </c>
      <c r="Q16" s="39"/>
      <c r="R16" s="39">
        <f>+G16*0.01</f>
        <v>44100</v>
      </c>
      <c r="S16" s="48">
        <v>29568</v>
      </c>
      <c r="T16" s="39">
        <v>400000</v>
      </c>
      <c r="U16" s="39"/>
      <c r="V16" s="39"/>
      <c r="W16" s="39">
        <f>SUM(O16:V16)</f>
        <v>826468</v>
      </c>
      <c r="X16" s="40">
        <f>+N16-W16</f>
        <v>3583532</v>
      </c>
      <c r="Y16" s="40"/>
      <c r="Z16" s="41"/>
      <c r="AA16" s="40">
        <f t="shared" si="4"/>
        <v>3583532</v>
      </c>
    </row>
    <row r="17" spans="1:27" ht="12.75" x14ac:dyDescent="0.25">
      <c r="A17" s="120"/>
      <c r="B17" s="123">
        <v>14</v>
      </c>
      <c r="C17" s="37" t="s">
        <v>104</v>
      </c>
      <c r="D17" s="38" t="s">
        <v>32</v>
      </c>
      <c r="E17" s="39">
        <v>4500000</v>
      </c>
      <c r="F17" s="39">
        <v>30</v>
      </c>
      <c r="G17" s="39">
        <f t="shared" si="5"/>
        <v>4500000</v>
      </c>
      <c r="H17" s="39"/>
      <c r="I17" s="39"/>
      <c r="J17" s="39"/>
      <c r="K17" s="39"/>
      <c r="L17" s="39"/>
      <c r="M17" s="39">
        <v>300000</v>
      </c>
      <c r="N17" s="39">
        <f t="shared" si="0"/>
        <v>4800000</v>
      </c>
      <c r="O17" s="39">
        <f>+G17*4%</f>
        <v>180000</v>
      </c>
      <c r="P17" s="39">
        <f>+O17</f>
        <v>180000</v>
      </c>
      <c r="Q17" s="39"/>
      <c r="R17" s="39">
        <f>+G17*0.01</f>
        <v>45000</v>
      </c>
      <c r="S17" s="48">
        <v>98752</v>
      </c>
      <c r="T17" s="39"/>
      <c r="U17" s="39">
        <v>170809</v>
      </c>
      <c r="V17" s="39"/>
      <c r="W17" s="39">
        <f>SUM(O17:V17)</f>
        <v>674561</v>
      </c>
      <c r="X17" s="40">
        <f>+N17-W17</f>
        <v>4125439</v>
      </c>
      <c r="Y17" s="40"/>
      <c r="Z17" s="41"/>
      <c r="AA17" s="40">
        <f t="shared" si="4"/>
        <v>4125439</v>
      </c>
    </row>
    <row r="18" spans="1:27" ht="25.5" x14ac:dyDescent="0.25">
      <c r="A18" s="120"/>
      <c r="B18" s="123">
        <v>15</v>
      </c>
      <c r="C18" s="37" t="s">
        <v>43</v>
      </c>
      <c r="D18" s="38" t="s">
        <v>32</v>
      </c>
      <c r="E18" s="39">
        <v>5000000</v>
      </c>
      <c r="F18" s="39">
        <v>30</v>
      </c>
      <c r="G18" s="39">
        <f t="shared" ref="G18:G24" si="6">E18/30*F18</f>
        <v>5000000</v>
      </c>
      <c r="H18" s="39"/>
      <c r="I18" s="39"/>
      <c r="J18" s="39"/>
      <c r="K18" s="39"/>
      <c r="L18" s="39"/>
      <c r="M18" s="39">
        <v>900000</v>
      </c>
      <c r="N18" s="39">
        <f>SUM(G18:M18)</f>
        <v>5900000</v>
      </c>
      <c r="O18" s="39">
        <f t="shared" ref="O18:O20" si="7">+G18*4%</f>
        <v>200000</v>
      </c>
      <c r="P18" s="39">
        <f>+O18</f>
        <v>200000</v>
      </c>
      <c r="Q18" s="39"/>
      <c r="R18" s="39">
        <f>+G18*0.01</f>
        <v>50000</v>
      </c>
      <c r="S18" s="48">
        <v>98752</v>
      </c>
      <c r="T18" s="39"/>
      <c r="U18" s="39"/>
      <c r="V18" s="39"/>
      <c r="W18" s="39">
        <f>SUM(O18:V18)</f>
        <v>548752</v>
      </c>
      <c r="X18" s="40">
        <f>N18-W18</f>
        <v>5351248</v>
      </c>
      <c r="Y18" s="40"/>
      <c r="Z18" s="41"/>
      <c r="AA18" s="40">
        <f t="shared" si="4"/>
        <v>5351248</v>
      </c>
    </row>
    <row r="19" spans="1:27" ht="12.75" x14ac:dyDescent="0.25">
      <c r="A19" s="120"/>
      <c r="B19" s="123">
        <v>16</v>
      </c>
      <c r="C19" s="37" t="s">
        <v>44</v>
      </c>
      <c r="D19" s="38" t="s">
        <v>32</v>
      </c>
      <c r="E19" s="39">
        <v>4500000</v>
      </c>
      <c r="F19" s="39">
        <v>30</v>
      </c>
      <c r="G19" s="39">
        <f t="shared" si="6"/>
        <v>4500000</v>
      </c>
      <c r="H19" s="39"/>
      <c r="I19" s="39"/>
      <c r="J19" s="39"/>
      <c r="K19" s="39"/>
      <c r="L19" s="39"/>
      <c r="M19" s="39"/>
      <c r="N19" s="39">
        <f t="shared" si="0"/>
        <v>4500000</v>
      </c>
      <c r="O19" s="39">
        <f t="shared" si="7"/>
        <v>180000</v>
      </c>
      <c r="P19" s="39">
        <f>O19</f>
        <v>180000</v>
      </c>
      <c r="Q19" s="39"/>
      <c r="R19" s="39">
        <v>45000</v>
      </c>
      <c r="S19" s="48">
        <v>98752</v>
      </c>
      <c r="T19" s="39"/>
      <c r="U19" s="39"/>
      <c r="V19" s="39">
        <v>395152</v>
      </c>
      <c r="W19" s="39">
        <f>SUM(O19:V19)</f>
        <v>898904</v>
      </c>
      <c r="X19" s="40">
        <f>N19-W19</f>
        <v>3601096</v>
      </c>
      <c r="Y19" s="40"/>
      <c r="Z19" s="41"/>
      <c r="AA19" s="40">
        <f t="shared" si="4"/>
        <v>3601096</v>
      </c>
    </row>
    <row r="20" spans="1:27" ht="12.75" x14ac:dyDescent="0.25">
      <c r="A20" s="120"/>
      <c r="B20" s="123">
        <v>17</v>
      </c>
      <c r="C20" s="37" t="s">
        <v>131</v>
      </c>
      <c r="D20" s="38" t="s">
        <v>32</v>
      </c>
      <c r="E20" s="39">
        <v>4000000</v>
      </c>
      <c r="F20" s="39">
        <v>30</v>
      </c>
      <c r="G20" s="39">
        <f t="shared" si="6"/>
        <v>4000000.0000000005</v>
      </c>
      <c r="H20" s="39"/>
      <c r="I20" s="39"/>
      <c r="J20" s="39"/>
      <c r="K20" s="39"/>
      <c r="L20" s="39"/>
      <c r="M20" s="39"/>
      <c r="N20" s="39">
        <f t="shared" si="0"/>
        <v>4000000.0000000005</v>
      </c>
      <c r="O20" s="39">
        <f t="shared" si="7"/>
        <v>160000.00000000003</v>
      </c>
      <c r="P20" s="39">
        <f>O20</f>
        <v>160000.00000000003</v>
      </c>
      <c r="Q20" s="39"/>
      <c r="R20" s="39">
        <f>+G20*1%</f>
        <v>40000.000000000007</v>
      </c>
      <c r="S20" s="48">
        <v>31064</v>
      </c>
      <c r="T20" s="39"/>
      <c r="U20" s="39"/>
      <c r="V20" s="39"/>
      <c r="W20" s="39">
        <f>SUM(O20:V20)</f>
        <v>391064.00000000006</v>
      </c>
      <c r="X20" s="40">
        <f>N20-W20</f>
        <v>3608936.0000000005</v>
      </c>
      <c r="Y20" s="40"/>
      <c r="Z20" s="41"/>
      <c r="AA20" s="40">
        <f t="shared" si="4"/>
        <v>3608936.0000000005</v>
      </c>
    </row>
    <row r="21" spans="1:27" ht="12.75" x14ac:dyDescent="0.25">
      <c r="A21" s="120"/>
      <c r="B21" s="123">
        <v>18</v>
      </c>
      <c r="C21" s="37" t="s">
        <v>45</v>
      </c>
      <c r="D21" s="38" t="s">
        <v>32</v>
      </c>
      <c r="E21" s="39">
        <v>4180000</v>
      </c>
      <c r="F21" s="39">
        <v>30</v>
      </c>
      <c r="G21" s="39">
        <f t="shared" si="6"/>
        <v>4180000.0000000005</v>
      </c>
      <c r="H21" s="39"/>
      <c r="I21" s="39"/>
      <c r="J21" s="39"/>
      <c r="K21" s="39"/>
      <c r="L21" s="39"/>
      <c r="M21" s="39">
        <v>1515250</v>
      </c>
      <c r="N21" s="39">
        <f t="shared" si="0"/>
        <v>5695250</v>
      </c>
      <c r="O21" s="39">
        <f>+G21*4%</f>
        <v>167200.00000000003</v>
      </c>
      <c r="P21" s="39">
        <f>+O21</f>
        <v>167200.00000000003</v>
      </c>
      <c r="Q21" s="39"/>
      <c r="R21" s="39">
        <f>+G21*0.01</f>
        <v>41800.000000000007</v>
      </c>
      <c r="S21" s="48">
        <v>2545</v>
      </c>
      <c r="T21" s="39">
        <v>800000</v>
      </c>
      <c r="U21" s="39">
        <v>70750</v>
      </c>
      <c r="V21" s="39">
        <f>884747</f>
        <v>884747</v>
      </c>
      <c r="W21" s="39">
        <f>SUM(O21:V21)</f>
        <v>2134242</v>
      </c>
      <c r="X21" s="40">
        <f>+N21-W21</f>
        <v>3561008</v>
      </c>
      <c r="Y21" s="40"/>
      <c r="Z21" s="41"/>
      <c r="AA21" s="40">
        <f t="shared" si="4"/>
        <v>3561008</v>
      </c>
    </row>
    <row r="22" spans="1:27" ht="12.75" x14ac:dyDescent="0.25">
      <c r="A22" s="120"/>
      <c r="B22" s="123">
        <v>19</v>
      </c>
      <c r="C22" s="37" t="s">
        <v>142</v>
      </c>
      <c r="D22" s="38" t="s">
        <v>32</v>
      </c>
      <c r="E22" s="39">
        <v>4000000</v>
      </c>
      <c r="F22" s="39">
        <v>30</v>
      </c>
      <c r="G22" s="39">
        <f t="shared" si="6"/>
        <v>4000000.0000000005</v>
      </c>
      <c r="H22" s="39"/>
      <c r="I22" s="39"/>
      <c r="J22" s="39"/>
      <c r="K22" s="39"/>
      <c r="L22" s="39"/>
      <c r="M22" s="39"/>
      <c r="N22" s="39">
        <f t="shared" si="0"/>
        <v>4000000.0000000005</v>
      </c>
      <c r="O22" s="39">
        <f>+G22*4%</f>
        <v>160000.00000000003</v>
      </c>
      <c r="P22" s="39">
        <f>+O22</f>
        <v>160000.00000000003</v>
      </c>
      <c r="Q22" s="39"/>
      <c r="R22" s="39">
        <f>+G22*0.01</f>
        <v>40000.000000000007</v>
      </c>
      <c r="S22" s="48">
        <v>31000</v>
      </c>
      <c r="T22" s="39"/>
      <c r="U22" s="39"/>
      <c r="V22" s="39"/>
      <c r="W22" s="39">
        <f>SUM(O22:V22)</f>
        <v>391000.00000000006</v>
      </c>
      <c r="X22" s="40">
        <f>+N22-W22</f>
        <v>3609000.0000000005</v>
      </c>
      <c r="Y22" s="40"/>
      <c r="Z22" s="41"/>
      <c r="AA22" s="40">
        <f t="shared" si="4"/>
        <v>3609000.0000000005</v>
      </c>
    </row>
    <row r="23" spans="1:27" ht="12.75" x14ac:dyDescent="0.25">
      <c r="A23" s="120"/>
      <c r="B23" s="123">
        <v>20</v>
      </c>
      <c r="C23" s="37" t="s">
        <v>46</v>
      </c>
      <c r="D23" s="38" t="s">
        <v>32</v>
      </c>
      <c r="E23" s="39">
        <v>4702500</v>
      </c>
      <c r="F23" s="39">
        <v>30</v>
      </c>
      <c r="G23" s="39">
        <f t="shared" si="6"/>
        <v>4702500</v>
      </c>
      <c r="H23" s="39"/>
      <c r="I23" s="39"/>
      <c r="J23" s="39"/>
      <c r="K23" s="39"/>
      <c r="L23" s="39"/>
      <c r="M23" s="39"/>
      <c r="N23" s="39">
        <f t="shared" si="0"/>
        <v>4702500</v>
      </c>
      <c r="O23" s="39">
        <f t="shared" ref="O23:O34" si="8">+G23*4%</f>
        <v>188100</v>
      </c>
      <c r="P23" s="39">
        <f>+O23</f>
        <v>188100</v>
      </c>
      <c r="Q23" s="39"/>
      <c r="R23" s="39">
        <f>N23*1%</f>
        <v>47025</v>
      </c>
      <c r="S23" s="48">
        <v>126165</v>
      </c>
      <c r="T23" s="39"/>
      <c r="U23" s="39"/>
      <c r="V23" s="39"/>
      <c r="W23" s="39">
        <f>SUM(O23:V23)</f>
        <v>549390</v>
      </c>
      <c r="X23" s="40">
        <f>N23-W23</f>
        <v>4153110</v>
      </c>
      <c r="Y23" s="40"/>
      <c r="Z23" s="41"/>
      <c r="AA23" s="40">
        <f t="shared" si="4"/>
        <v>4153110</v>
      </c>
    </row>
    <row r="24" spans="1:27" ht="12.75" x14ac:dyDescent="0.25">
      <c r="A24" s="120"/>
      <c r="B24" s="123">
        <v>21</v>
      </c>
      <c r="C24" s="46" t="s">
        <v>154</v>
      </c>
      <c r="D24" s="38" t="s">
        <v>32</v>
      </c>
      <c r="E24" s="39">
        <v>4500000</v>
      </c>
      <c r="F24" s="39">
        <v>20</v>
      </c>
      <c r="G24" s="39">
        <f t="shared" si="6"/>
        <v>3000000</v>
      </c>
      <c r="H24" s="39"/>
      <c r="I24" s="39"/>
      <c r="J24" s="39"/>
      <c r="K24" s="39"/>
      <c r="L24" s="39"/>
      <c r="M24" s="39">
        <f>+(300000/30)*F24</f>
        <v>200000</v>
      </c>
      <c r="N24" s="39">
        <f t="shared" ref="N24" si="9">SUM(G24:M24)</f>
        <v>3200000</v>
      </c>
      <c r="O24" s="39">
        <f t="shared" si="8"/>
        <v>120000</v>
      </c>
      <c r="P24" s="39">
        <f>+O24</f>
        <v>120000</v>
      </c>
      <c r="Q24" s="39"/>
      <c r="R24" s="39">
        <f>+G24*1%</f>
        <v>30000</v>
      </c>
      <c r="S24" s="48">
        <v>66000</v>
      </c>
      <c r="T24" s="39"/>
      <c r="U24" s="39"/>
      <c r="V24" s="39"/>
      <c r="W24" s="39">
        <f>SUM(O24:V24)</f>
        <v>336000</v>
      </c>
      <c r="X24" s="40">
        <f>N24-W24</f>
        <v>2864000</v>
      </c>
      <c r="Y24" s="40"/>
      <c r="Z24" s="41"/>
      <c r="AA24" s="40">
        <f t="shared" si="4"/>
        <v>2864000</v>
      </c>
    </row>
    <row r="25" spans="1:27" ht="12.75" x14ac:dyDescent="0.25">
      <c r="A25" s="120"/>
      <c r="B25" s="123">
        <v>22</v>
      </c>
      <c r="C25" s="138" t="s">
        <v>47</v>
      </c>
      <c r="D25" s="96" t="s">
        <v>32</v>
      </c>
      <c r="E25" s="39">
        <v>4200000</v>
      </c>
      <c r="F25" s="39">
        <v>30</v>
      </c>
      <c r="G25" s="39">
        <f t="shared" ref="G25:G47" si="10">+E25/30*F25</f>
        <v>4200000</v>
      </c>
      <c r="H25" s="39"/>
      <c r="I25" s="39"/>
      <c r="J25" s="39"/>
      <c r="K25" s="39"/>
      <c r="L25" s="39"/>
      <c r="M25" s="39">
        <v>300000</v>
      </c>
      <c r="N25" s="39">
        <f t="shared" si="0"/>
        <v>4500000</v>
      </c>
      <c r="O25" s="39">
        <f t="shared" si="8"/>
        <v>168000</v>
      </c>
      <c r="P25" s="39">
        <f>O25</f>
        <v>168000</v>
      </c>
      <c r="Q25" s="39"/>
      <c r="R25" s="39">
        <f>E25*1%</f>
        <v>42000</v>
      </c>
      <c r="S25" s="48">
        <v>58139</v>
      </c>
      <c r="T25" s="39"/>
      <c r="U25" s="39"/>
      <c r="V25" s="39"/>
      <c r="W25" s="39">
        <f>SUM(O25:V25)</f>
        <v>436139</v>
      </c>
      <c r="X25" s="40">
        <f>N25-W25</f>
        <v>4063861</v>
      </c>
      <c r="Y25" s="40"/>
      <c r="Z25" s="41"/>
      <c r="AA25" s="40">
        <f t="shared" si="4"/>
        <v>4063861</v>
      </c>
    </row>
    <row r="26" spans="1:27" ht="12.75" x14ac:dyDescent="0.25">
      <c r="A26" s="120"/>
      <c r="B26" s="123">
        <v>23</v>
      </c>
      <c r="C26" s="37" t="s">
        <v>126</v>
      </c>
      <c r="D26" s="38" t="s">
        <v>32</v>
      </c>
      <c r="E26" s="39">
        <v>3000000</v>
      </c>
      <c r="F26" s="39">
        <v>30</v>
      </c>
      <c r="G26" s="39">
        <f>E26/30*F26</f>
        <v>3000000</v>
      </c>
      <c r="H26" s="39"/>
      <c r="I26" s="39"/>
      <c r="J26" s="39"/>
      <c r="K26" s="39"/>
      <c r="L26" s="39"/>
      <c r="M26" s="39"/>
      <c r="N26" s="39">
        <f t="shared" ref="N26" si="11">SUM(G26:M26)</f>
        <v>3000000</v>
      </c>
      <c r="O26" s="39">
        <f>+G26*4%</f>
        <v>120000</v>
      </c>
      <c r="P26" s="39">
        <f>O26</f>
        <v>120000</v>
      </c>
      <c r="Q26" s="39"/>
      <c r="R26" s="39">
        <f>+G26*1%</f>
        <v>30000</v>
      </c>
      <c r="S26" s="48">
        <v>0</v>
      </c>
      <c r="T26" s="39"/>
      <c r="U26" s="39"/>
      <c r="V26" s="39"/>
      <c r="W26" s="39">
        <f>SUM(O26:V26)</f>
        <v>270000</v>
      </c>
      <c r="X26" s="40">
        <f>N26-W26</f>
        <v>2730000</v>
      </c>
      <c r="Y26" s="40"/>
      <c r="Z26" s="41"/>
      <c r="AA26" s="40">
        <f t="shared" si="4"/>
        <v>2730000</v>
      </c>
    </row>
    <row r="27" spans="1:27" ht="12.75" x14ac:dyDescent="0.25">
      <c r="A27" s="120"/>
      <c r="B27" s="123">
        <v>24</v>
      </c>
      <c r="C27" s="138" t="s">
        <v>120</v>
      </c>
      <c r="D27" s="96" t="s">
        <v>32</v>
      </c>
      <c r="E27" s="39">
        <v>4500000</v>
      </c>
      <c r="F27" s="39">
        <v>30</v>
      </c>
      <c r="G27" s="39">
        <f t="shared" si="10"/>
        <v>4500000</v>
      </c>
      <c r="H27" s="39"/>
      <c r="I27" s="39"/>
      <c r="J27" s="39"/>
      <c r="K27" s="39"/>
      <c r="L27" s="39"/>
      <c r="M27" s="39"/>
      <c r="N27" s="39">
        <f t="shared" si="0"/>
        <v>4500000</v>
      </c>
      <c r="O27" s="39">
        <f t="shared" si="8"/>
        <v>180000</v>
      </c>
      <c r="P27" s="39">
        <f>O27</f>
        <v>180000</v>
      </c>
      <c r="Q27" s="39"/>
      <c r="R27" s="39">
        <f>N27*1%</f>
        <v>45000</v>
      </c>
      <c r="S27" s="48">
        <v>34627</v>
      </c>
      <c r="T27" s="39"/>
      <c r="U27" s="39"/>
      <c r="V27" s="39"/>
      <c r="W27" s="39">
        <f>SUM(O27:V27)</f>
        <v>439627</v>
      </c>
      <c r="X27" s="40">
        <f>N27-W27</f>
        <v>4060373</v>
      </c>
      <c r="Y27" s="40"/>
      <c r="Z27" s="41"/>
      <c r="AA27" s="40">
        <f t="shared" si="4"/>
        <v>4060373</v>
      </c>
    </row>
    <row r="28" spans="1:27" ht="12.75" x14ac:dyDescent="0.25">
      <c r="A28" s="120"/>
      <c r="B28" s="123">
        <v>25</v>
      </c>
      <c r="C28" s="37" t="s">
        <v>48</v>
      </c>
      <c r="D28" s="38" t="s">
        <v>32</v>
      </c>
      <c r="E28" s="39">
        <v>4800000</v>
      </c>
      <c r="F28" s="39">
        <v>30</v>
      </c>
      <c r="G28" s="39">
        <f t="shared" si="10"/>
        <v>4800000</v>
      </c>
      <c r="H28" s="39"/>
      <c r="I28" s="39"/>
      <c r="J28" s="39"/>
      <c r="K28" s="39"/>
      <c r="L28" s="39"/>
      <c r="M28" s="39"/>
      <c r="N28" s="39">
        <f t="shared" si="0"/>
        <v>4800000</v>
      </c>
      <c r="O28" s="39">
        <f t="shared" si="8"/>
        <v>192000</v>
      </c>
      <c r="P28" s="39">
        <f t="shared" ref="P28:P34" si="12">+O28</f>
        <v>192000</v>
      </c>
      <c r="Q28" s="39"/>
      <c r="R28" s="39">
        <f>+G28*0.01</f>
        <v>48000</v>
      </c>
      <c r="S28" s="39">
        <v>139364</v>
      </c>
      <c r="T28" s="39"/>
      <c r="U28" s="39">
        <v>116235</v>
      </c>
      <c r="V28" s="39"/>
      <c r="W28" s="39">
        <f>SUM(O28:V28)</f>
        <v>687599</v>
      </c>
      <c r="X28" s="40">
        <f>+N28-W28</f>
        <v>4112401</v>
      </c>
      <c r="Y28" s="40"/>
      <c r="Z28" s="41"/>
      <c r="AA28" s="40">
        <f t="shared" si="4"/>
        <v>4112401</v>
      </c>
    </row>
    <row r="29" spans="1:27" ht="12.75" x14ac:dyDescent="0.25">
      <c r="A29" s="120"/>
      <c r="B29" s="123">
        <v>26</v>
      </c>
      <c r="C29" s="37" t="s">
        <v>143</v>
      </c>
      <c r="D29" s="38" t="s">
        <v>32</v>
      </c>
      <c r="E29" s="39">
        <v>4300020</v>
      </c>
      <c r="F29" s="39">
        <v>30</v>
      </c>
      <c r="G29" s="39">
        <f t="shared" si="10"/>
        <v>4300020</v>
      </c>
      <c r="H29" s="39"/>
      <c r="I29" s="39"/>
      <c r="J29" s="39"/>
      <c r="K29" s="39"/>
      <c r="L29" s="39"/>
      <c r="M29" s="39"/>
      <c r="N29" s="39">
        <f t="shared" si="0"/>
        <v>4300020</v>
      </c>
      <c r="O29" s="39">
        <f t="shared" si="8"/>
        <v>172000.80000000002</v>
      </c>
      <c r="P29" s="39">
        <f t="shared" si="12"/>
        <v>172000.80000000002</v>
      </c>
      <c r="Q29" s="39"/>
      <c r="R29" s="39">
        <f>+G29*0.01</f>
        <v>43000.200000000004</v>
      </c>
      <c r="S29" s="39">
        <v>99000</v>
      </c>
      <c r="T29" s="39"/>
      <c r="U29" s="39"/>
      <c r="V29" s="39"/>
      <c r="W29" s="39">
        <f>SUM(O29:V29)</f>
        <v>486001.80000000005</v>
      </c>
      <c r="X29" s="40">
        <f>+N29-W29</f>
        <v>3814018.2</v>
      </c>
      <c r="Y29" s="40"/>
      <c r="Z29" s="41"/>
      <c r="AA29" s="40">
        <f t="shared" si="4"/>
        <v>3814018.2</v>
      </c>
    </row>
    <row r="30" spans="1:27" ht="12.75" x14ac:dyDescent="0.25">
      <c r="A30" s="120"/>
      <c r="B30" s="123">
        <v>27</v>
      </c>
      <c r="C30" s="37" t="s">
        <v>49</v>
      </c>
      <c r="D30" s="38" t="s">
        <v>32</v>
      </c>
      <c r="E30" s="39">
        <v>4023250</v>
      </c>
      <c r="F30" s="39">
        <v>30</v>
      </c>
      <c r="G30" s="39">
        <f t="shared" si="10"/>
        <v>4023250.0000000005</v>
      </c>
      <c r="H30" s="39"/>
      <c r="I30" s="39"/>
      <c r="J30" s="39"/>
      <c r="K30" s="39"/>
      <c r="L30" s="39"/>
      <c r="M30" s="39"/>
      <c r="N30" s="39">
        <f t="shared" si="0"/>
        <v>4023250.0000000005</v>
      </c>
      <c r="O30" s="39">
        <f t="shared" si="8"/>
        <v>160930.00000000003</v>
      </c>
      <c r="P30" s="39">
        <f t="shared" si="12"/>
        <v>160930.00000000003</v>
      </c>
      <c r="Q30" s="39"/>
      <c r="R30" s="39">
        <f>+G30*0.01</f>
        <v>40232.500000000007</v>
      </c>
      <c r="S30" s="39">
        <v>2545</v>
      </c>
      <c r="T30" s="39"/>
      <c r="U30" s="39"/>
      <c r="V30" s="39"/>
      <c r="W30" s="39">
        <f>SUM(O30:V30)</f>
        <v>364637.50000000006</v>
      </c>
      <c r="X30" s="40">
        <f>+N30-W30</f>
        <v>3658612.5000000005</v>
      </c>
      <c r="Y30" s="40"/>
      <c r="Z30" s="41"/>
      <c r="AA30" s="40">
        <f t="shared" si="4"/>
        <v>3658612.5000000005</v>
      </c>
    </row>
    <row r="31" spans="1:27" ht="12.75" x14ac:dyDescent="0.25">
      <c r="A31" s="120"/>
      <c r="B31" s="123">
        <v>28</v>
      </c>
      <c r="C31" s="37" t="s">
        <v>50</v>
      </c>
      <c r="D31" s="38" t="s">
        <v>32</v>
      </c>
      <c r="E31" s="39">
        <v>6583500</v>
      </c>
      <c r="F31" s="39">
        <v>30</v>
      </c>
      <c r="G31" s="39">
        <f t="shared" si="10"/>
        <v>6583500</v>
      </c>
      <c r="H31" s="39"/>
      <c r="I31" s="39"/>
      <c r="J31" s="39"/>
      <c r="K31" s="39"/>
      <c r="L31" s="39"/>
      <c r="M31" s="39"/>
      <c r="N31" s="39">
        <f t="shared" si="0"/>
        <v>6583500</v>
      </c>
      <c r="O31" s="39">
        <f t="shared" si="8"/>
        <v>263340</v>
      </c>
      <c r="P31" s="39">
        <f t="shared" si="12"/>
        <v>263340</v>
      </c>
      <c r="Q31" s="39"/>
      <c r="R31" s="39">
        <f>+G31*0.01</f>
        <v>65835</v>
      </c>
      <c r="S31" s="48">
        <v>83706</v>
      </c>
      <c r="T31" s="39">
        <v>800000</v>
      </c>
      <c r="U31" s="39"/>
      <c r="V31" s="39"/>
      <c r="W31" s="39">
        <f>SUM(O31:V31)</f>
        <v>1476221</v>
      </c>
      <c r="X31" s="40">
        <f>+N31-W31</f>
        <v>5107279</v>
      </c>
      <c r="Y31" s="40"/>
      <c r="Z31" s="41"/>
      <c r="AA31" s="40">
        <f t="shared" si="4"/>
        <v>5107279</v>
      </c>
    </row>
    <row r="32" spans="1:27" ht="12.75" x14ac:dyDescent="0.25">
      <c r="A32" s="120"/>
      <c r="B32" s="123">
        <v>29</v>
      </c>
      <c r="C32" s="37" t="s">
        <v>51</v>
      </c>
      <c r="D32" s="38" t="s">
        <v>32</v>
      </c>
      <c r="E32" s="39">
        <v>3500000</v>
      </c>
      <c r="F32" s="39">
        <v>30</v>
      </c>
      <c r="G32" s="39">
        <f t="shared" si="10"/>
        <v>3500000</v>
      </c>
      <c r="H32" s="39"/>
      <c r="I32" s="39"/>
      <c r="J32" s="39"/>
      <c r="K32" s="39"/>
      <c r="L32" s="39"/>
      <c r="M32" s="39">
        <v>500000</v>
      </c>
      <c r="N32" s="39">
        <f t="shared" si="0"/>
        <v>4000000</v>
      </c>
      <c r="O32" s="39">
        <f t="shared" si="8"/>
        <v>140000</v>
      </c>
      <c r="P32" s="39">
        <f t="shared" si="12"/>
        <v>140000</v>
      </c>
      <c r="Q32" s="39"/>
      <c r="R32" s="39">
        <f>+G32*0.01</f>
        <v>35000</v>
      </c>
      <c r="S32" s="39">
        <v>0</v>
      </c>
      <c r="T32" s="39"/>
      <c r="U32" s="39"/>
      <c r="V32" s="39">
        <v>551399</v>
      </c>
      <c r="W32" s="39">
        <f>SUM(O32:V32)</f>
        <v>866399</v>
      </c>
      <c r="X32" s="40">
        <f>+N32-W32</f>
        <v>3133601</v>
      </c>
      <c r="Y32" s="40"/>
      <c r="Z32" s="41"/>
      <c r="AA32" s="40">
        <f t="shared" si="4"/>
        <v>3133601</v>
      </c>
    </row>
    <row r="33" spans="1:27" ht="12.75" x14ac:dyDescent="0.25">
      <c r="A33" s="120"/>
      <c r="B33" s="123">
        <v>30</v>
      </c>
      <c r="C33" s="37" t="s">
        <v>127</v>
      </c>
      <c r="D33" s="38" t="s">
        <v>32</v>
      </c>
      <c r="E33" s="39">
        <v>4000000</v>
      </c>
      <c r="F33" s="39">
        <v>30</v>
      </c>
      <c r="G33" s="39">
        <f t="shared" si="10"/>
        <v>4000000.0000000005</v>
      </c>
      <c r="H33" s="39"/>
      <c r="I33" s="39"/>
      <c r="J33" s="39"/>
      <c r="K33" s="39"/>
      <c r="L33" s="39"/>
      <c r="M33" s="39"/>
      <c r="N33" s="39">
        <f>SUM(G33:M33)</f>
        <v>4000000.0000000005</v>
      </c>
      <c r="O33" s="39">
        <f>+G33*4%</f>
        <v>160000.00000000003</v>
      </c>
      <c r="P33" s="39">
        <f>+O33</f>
        <v>160000.00000000003</v>
      </c>
      <c r="Q33" s="39"/>
      <c r="R33" s="39">
        <f>+G33*1%</f>
        <v>40000.000000000007</v>
      </c>
      <c r="S33" s="39">
        <v>0</v>
      </c>
      <c r="T33" s="39"/>
      <c r="U33" s="39"/>
      <c r="V33" s="39">
        <v>500000</v>
      </c>
      <c r="W33" s="39">
        <f>SUM(O33:V33)</f>
        <v>860000</v>
      </c>
      <c r="X33" s="40">
        <f>+N33-W33</f>
        <v>3140000.0000000005</v>
      </c>
      <c r="Y33" s="40"/>
      <c r="Z33" s="41"/>
      <c r="AA33" s="40">
        <f t="shared" si="4"/>
        <v>3140000.0000000005</v>
      </c>
    </row>
    <row r="34" spans="1:27" ht="12.75" x14ac:dyDescent="0.25">
      <c r="A34" s="120"/>
      <c r="B34" s="123">
        <v>31</v>
      </c>
      <c r="C34" s="118" t="s">
        <v>53</v>
      </c>
      <c r="D34" s="45" t="s">
        <v>32</v>
      </c>
      <c r="E34" s="39">
        <v>4500000</v>
      </c>
      <c r="F34" s="39">
        <v>30</v>
      </c>
      <c r="G34" s="39">
        <f t="shared" si="10"/>
        <v>4500000</v>
      </c>
      <c r="H34" s="39"/>
      <c r="I34" s="39"/>
      <c r="J34" s="39"/>
      <c r="K34" s="39"/>
      <c r="L34" s="39"/>
      <c r="M34" s="39"/>
      <c r="N34" s="39">
        <f t="shared" si="0"/>
        <v>4500000</v>
      </c>
      <c r="O34" s="39">
        <f t="shared" si="8"/>
        <v>180000</v>
      </c>
      <c r="P34" s="39">
        <f t="shared" si="12"/>
        <v>180000</v>
      </c>
      <c r="Q34" s="39"/>
      <c r="R34" s="39">
        <f>N34*1%</f>
        <v>45000</v>
      </c>
      <c r="S34" s="39">
        <v>34627</v>
      </c>
      <c r="T34" s="39"/>
      <c r="U34" s="39"/>
      <c r="V34" s="39"/>
      <c r="W34" s="39">
        <f>SUM(O34:V34)</f>
        <v>439627</v>
      </c>
      <c r="X34" s="40">
        <f>N34-W34</f>
        <v>4060373</v>
      </c>
      <c r="Y34" s="40"/>
      <c r="Z34" s="41"/>
      <c r="AA34" s="40">
        <f t="shared" si="4"/>
        <v>4060373</v>
      </c>
    </row>
    <row r="35" spans="1:27" ht="12.75" x14ac:dyDescent="0.25">
      <c r="A35" s="120"/>
      <c r="B35" s="123">
        <v>32</v>
      </c>
      <c r="C35" s="139" t="s">
        <v>144</v>
      </c>
      <c r="D35" s="42" t="s">
        <v>32</v>
      </c>
      <c r="E35" s="39">
        <v>5000000</v>
      </c>
      <c r="F35" s="39">
        <v>30</v>
      </c>
      <c r="G35" s="39">
        <f t="shared" si="10"/>
        <v>5000000</v>
      </c>
      <c r="H35" s="39"/>
      <c r="I35" s="39"/>
      <c r="J35" s="39"/>
      <c r="K35" s="39"/>
      <c r="L35" s="39"/>
      <c r="M35" s="39"/>
      <c r="N35" s="39">
        <f t="shared" ref="N35" si="13">SUM(G35:M35)</f>
        <v>5000000</v>
      </c>
      <c r="O35" s="39">
        <f>G35*4%</f>
        <v>200000</v>
      </c>
      <c r="P35" s="39">
        <f>O35</f>
        <v>200000</v>
      </c>
      <c r="Q35" s="39"/>
      <c r="R35" s="39">
        <f>G35*1%</f>
        <v>50000</v>
      </c>
      <c r="S35" s="39">
        <v>166000</v>
      </c>
      <c r="T35" s="39"/>
      <c r="U35" s="39"/>
      <c r="V35" s="39"/>
      <c r="W35" s="39">
        <f>SUM(O35:V35)</f>
        <v>616000</v>
      </c>
      <c r="X35" s="40">
        <f>N35-W35</f>
        <v>4384000</v>
      </c>
      <c r="Y35" s="40"/>
      <c r="Z35" s="41"/>
      <c r="AA35" s="40">
        <f t="shared" si="4"/>
        <v>4384000</v>
      </c>
    </row>
    <row r="36" spans="1:27" ht="12.75" x14ac:dyDescent="0.25">
      <c r="A36" s="120"/>
      <c r="B36" s="123">
        <v>33</v>
      </c>
      <c r="C36" s="139" t="s">
        <v>54</v>
      </c>
      <c r="D36" s="42" t="s">
        <v>32</v>
      </c>
      <c r="E36" s="39">
        <v>4667710</v>
      </c>
      <c r="F36" s="39">
        <v>30</v>
      </c>
      <c r="G36" s="39">
        <f t="shared" si="10"/>
        <v>4667710</v>
      </c>
      <c r="H36" s="39"/>
      <c r="I36" s="39"/>
      <c r="J36" s="39"/>
      <c r="K36" s="39"/>
      <c r="L36" s="39"/>
      <c r="M36" s="39">
        <f>400000/30*F36</f>
        <v>400000</v>
      </c>
      <c r="N36" s="39">
        <f t="shared" si="0"/>
        <v>5067710</v>
      </c>
      <c r="O36" s="39">
        <f>G36*4%</f>
        <v>186708.4</v>
      </c>
      <c r="P36" s="39">
        <f>O36</f>
        <v>186708.4</v>
      </c>
      <c r="Q36" s="39"/>
      <c r="R36" s="39">
        <f>G36*1%</f>
        <v>46677.1</v>
      </c>
      <c r="S36" s="39">
        <v>166439</v>
      </c>
      <c r="T36" s="39"/>
      <c r="U36" s="39"/>
      <c r="V36" s="39"/>
      <c r="W36" s="39">
        <f>SUM(O36:V36)</f>
        <v>586532.89999999991</v>
      </c>
      <c r="X36" s="40">
        <f>N36-W36</f>
        <v>4481177.0999999996</v>
      </c>
      <c r="Y36" s="40"/>
      <c r="Z36" s="41"/>
      <c r="AA36" s="40">
        <f t="shared" si="4"/>
        <v>4481177.0999999996</v>
      </c>
    </row>
    <row r="37" spans="1:27" ht="25.5" x14ac:dyDescent="0.25">
      <c r="A37" s="120"/>
      <c r="B37" s="123">
        <v>34</v>
      </c>
      <c r="C37" s="37" t="s">
        <v>55</v>
      </c>
      <c r="D37" s="38" t="s">
        <v>32</v>
      </c>
      <c r="E37" s="39">
        <v>4410000</v>
      </c>
      <c r="F37" s="39">
        <v>30</v>
      </c>
      <c r="G37" s="39">
        <f>+E37/30*F37</f>
        <v>4410000</v>
      </c>
      <c r="H37" s="39"/>
      <c r="I37" s="39"/>
      <c r="J37" s="39"/>
      <c r="K37" s="39"/>
      <c r="L37" s="39"/>
      <c r="M37" s="39"/>
      <c r="N37" s="39">
        <f t="shared" si="0"/>
        <v>4410000</v>
      </c>
      <c r="O37" s="39">
        <f t="shared" ref="O37:O43" si="14">+G37*4%</f>
        <v>176400</v>
      </c>
      <c r="P37" s="39">
        <f t="shared" ref="P37:P42" si="15">+O37</f>
        <v>176400</v>
      </c>
      <c r="Q37" s="39"/>
      <c r="R37" s="39">
        <f>+G37*0.01</f>
        <v>44100</v>
      </c>
      <c r="S37" s="39">
        <v>2545</v>
      </c>
      <c r="T37" s="39"/>
      <c r="U37" s="39"/>
      <c r="V37" s="39">
        <v>1300000</v>
      </c>
      <c r="W37" s="39">
        <f>SUM(O37:V37)</f>
        <v>1699445</v>
      </c>
      <c r="X37" s="40">
        <f>+N37-W37</f>
        <v>2710555</v>
      </c>
      <c r="Y37" s="40"/>
      <c r="Z37" s="41"/>
      <c r="AA37" s="40">
        <f t="shared" si="4"/>
        <v>2710555</v>
      </c>
    </row>
    <row r="38" spans="1:27" ht="12.75" x14ac:dyDescent="0.25">
      <c r="A38" s="120"/>
      <c r="B38" s="123">
        <v>35</v>
      </c>
      <c r="C38" s="37" t="s">
        <v>145</v>
      </c>
      <c r="D38" s="38" t="s">
        <v>32</v>
      </c>
      <c r="E38" s="39">
        <v>4500000</v>
      </c>
      <c r="F38" s="39">
        <v>30</v>
      </c>
      <c r="G38" s="39">
        <f t="shared" ref="G38:G39" si="16">+E38/30*F38</f>
        <v>4500000</v>
      </c>
      <c r="H38" s="39"/>
      <c r="I38" s="39"/>
      <c r="J38" s="39"/>
      <c r="K38" s="39"/>
      <c r="L38" s="39"/>
      <c r="M38" s="39"/>
      <c r="N38" s="39">
        <f t="shared" si="0"/>
        <v>4500000</v>
      </c>
      <c r="O38" s="39">
        <f t="shared" si="14"/>
        <v>180000</v>
      </c>
      <c r="P38" s="39">
        <f t="shared" si="15"/>
        <v>180000</v>
      </c>
      <c r="Q38" s="39"/>
      <c r="R38" s="39">
        <f>+G38*0.01</f>
        <v>45000</v>
      </c>
      <c r="S38" s="39">
        <v>99000</v>
      </c>
      <c r="T38" s="39"/>
      <c r="U38" s="39"/>
      <c r="V38" s="39"/>
      <c r="W38" s="39">
        <f>SUM(O38:V38)</f>
        <v>504000</v>
      </c>
      <c r="X38" s="40">
        <f>+N38-W38</f>
        <v>3996000</v>
      </c>
      <c r="Y38" s="40"/>
      <c r="Z38" s="41"/>
      <c r="AA38" s="40">
        <f t="shared" si="4"/>
        <v>3996000</v>
      </c>
    </row>
    <row r="39" spans="1:27" ht="12.75" x14ac:dyDescent="0.25">
      <c r="A39" s="120"/>
      <c r="B39" s="123">
        <v>36</v>
      </c>
      <c r="C39" s="37" t="s">
        <v>132</v>
      </c>
      <c r="D39" s="38" t="s">
        <v>32</v>
      </c>
      <c r="E39" s="39">
        <v>2000000</v>
      </c>
      <c r="F39" s="39">
        <v>30</v>
      </c>
      <c r="G39" s="39">
        <f t="shared" si="16"/>
        <v>2000000.0000000002</v>
      </c>
      <c r="H39" s="39"/>
      <c r="I39" s="39"/>
      <c r="J39" s="39"/>
      <c r="K39" s="39"/>
      <c r="L39" s="39"/>
      <c r="M39" s="39"/>
      <c r="N39" s="39">
        <f t="shared" si="0"/>
        <v>2000000.0000000002</v>
      </c>
      <c r="O39" s="39">
        <f t="shared" si="14"/>
        <v>80000.000000000015</v>
      </c>
      <c r="P39" s="39">
        <f t="shared" si="15"/>
        <v>80000.000000000015</v>
      </c>
      <c r="Q39" s="39"/>
      <c r="R39" s="39"/>
      <c r="S39" s="39"/>
      <c r="T39" s="39"/>
      <c r="U39" s="39"/>
      <c r="V39" s="39"/>
      <c r="W39" s="39">
        <f>SUM(O39:V39)</f>
        <v>160000.00000000003</v>
      </c>
      <c r="X39" s="40">
        <f>+N39-W39</f>
        <v>1840000.0000000002</v>
      </c>
      <c r="Y39" s="40"/>
      <c r="Z39" s="41"/>
      <c r="AA39" s="40">
        <f t="shared" si="4"/>
        <v>1840000.0000000002</v>
      </c>
    </row>
    <row r="40" spans="1:27" ht="12.75" x14ac:dyDescent="0.25">
      <c r="A40" s="120"/>
      <c r="B40" s="123">
        <v>37</v>
      </c>
      <c r="C40" s="37" t="s">
        <v>109</v>
      </c>
      <c r="D40" s="38" t="s">
        <v>32</v>
      </c>
      <c r="E40" s="39">
        <v>4200000</v>
      </c>
      <c r="F40" s="39">
        <v>30</v>
      </c>
      <c r="G40" s="39">
        <f t="shared" si="10"/>
        <v>4200000</v>
      </c>
      <c r="H40" s="39"/>
      <c r="I40" s="39"/>
      <c r="J40" s="39"/>
      <c r="K40" s="39"/>
      <c r="L40" s="39"/>
      <c r="M40" s="39"/>
      <c r="N40" s="39">
        <f t="shared" si="0"/>
        <v>4200000</v>
      </c>
      <c r="O40" s="39">
        <f t="shared" si="14"/>
        <v>168000</v>
      </c>
      <c r="P40" s="39">
        <f t="shared" si="15"/>
        <v>168000</v>
      </c>
      <c r="Q40" s="39"/>
      <c r="R40" s="39">
        <v>42000</v>
      </c>
      <c r="S40" s="39">
        <v>2545</v>
      </c>
      <c r="T40" s="39"/>
      <c r="U40" s="39"/>
      <c r="V40" s="39">
        <v>1050000</v>
      </c>
      <c r="W40" s="39">
        <f>SUM(O40:V40)</f>
        <v>1430545</v>
      </c>
      <c r="X40" s="40">
        <f>+N40-W40</f>
        <v>2769455</v>
      </c>
      <c r="Y40" s="40"/>
      <c r="Z40" s="41"/>
      <c r="AA40" s="40">
        <f t="shared" si="4"/>
        <v>2769455</v>
      </c>
    </row>
    <row r="41" spans="1:27" ht="12.75" x14ac:dyDescent="0.25">
      <c r="A41" s="120"/>
      <c r="B41" s="123">
        <v>38</v>
      </c>
      <c r="C41" s="37" t="s">
        <v>128</v>
      </c>
      <c r="D41" s="38" t="s">
        <v>32</v>
      </c>
      <c r="E41" s="39">
        <v>4500000</v>
      </c>
      <c r="F41" s="39">
        <v>30</v>
      </c>
      <c r="G41" s="39">
        <f t="shared" si="10"/>
        <v>4500000</v>
      </c>
      <c r="H41" s="39"/>
      <c r="I41" s="39"/>
      <c r="J41" s="39"/>
      <c r="K41" s="39"/>
      <c r="L41" s="39"/>
      <c r="M41" s="39"/>
      <c r="N41" s="39">
        <f t="shared" si="0"/>
        <v>4500000</v>
      </c>
      <c r="O41" s="39">
        <f t="shared" si="14"/>
        <v>180000</v>
      </c>
      <c r="P41" s="39">
        <f t="shared" si="15"/>
        <v>180000</v>
      </c>
      <c r="Q41" s="39"/>
      <c r="R41" s="39">
        <f>+G41*1%</f>
        <v>45000</v>
      </c>
      <c r="S41" s="39">
        <v>34627</v>
      </c>
      <c r="T41" s="39"/>
      <c r="U41" s="39"/>
      <c r="V41" s="39"/>
      <c r="W41" s="39">
        <f>SUM(O41:V41)</f>
        <v>439627</v>
      </c>
      <c r="X41" s="40">
        <f>+N41-W41</f>
        <v>4060373</v>
      </c>
      <c r="Y41" s="40"/>
      <c r="Z41" s="41"/>
      <c r="AA41" s="40">
        <f t="shared" si="4"/>
        <v>4060373</v>
      </c>
    </row>
    <row r="42" spans="1:27" ht="12.75" x14ac:dyDescent="0.25">
      <c r="A42" s="120"/>
      <c r="B42" s="123">
        <v>39</v>
      </c>
      <c r="C42" s="137" t="s">
        <v>56</v>
      </c>
      <c r="D42" s="96" t="s">
        <v>32</v>
      </c>
      <c r="E42" s="39">
        <v>4180000</v>
      </c>
      <c r="F42" s="39">
        <v>30</v>
      </c>
      <c r="G42" s="39">
        <f t="shared" si="10"/>
        <v>4180000.0000000005</v>
      </c>
      <c r="H42" s="39"/>
      <c r="I42" s="39"/>
      <c r="J42" s="39"/>
      <c r="K42" s="39"/>
      <c r="L42" s="39"/>
      <c r="M42" s="39">
        <v>522500</v>
      </c>
      <c r="N42" s="39">
        <f t="shared" si="0"/>
        <v>4702500</v>
      </c>
      <c r="O42" s="39">
        <f t="shared" si="14"/>
        <v>167200.00000000003</v>
      </c>
      <c r="P42" s="39">
        <f t="shared" si="15"/>
        <v>167200.00000000003</v>
      </c>
      <c r="Q42" s="39"/>
      <c r="R42" s="39">
        <f>+G42*0.01</f>
        <v>41800.000000000007</v>
      </c>
      <c r="S42" s="39">
        <v>55432</v>
      </c>
      <c r="T42" s="39"/>
      <c r="U42" s="39"/>
      <c r="V42" s="39"/>
      <c r="W42" s="39">
        <f>SUM(O42:V42)</f>
        <v>431632.00000000006</v>
      </c>
      <c r="X42" s="40">
        <f>+N42-W42</f>
        <v>4270868</v>
      </c>
      <c r="Y42" s="40"/>
      <c r="Z42" s="41"/>
      <c r="AA42" s="40">
        <f t="shared" si="4"/>
        <v>4270868</v>
      </c>
    </row>
    <row r="43" spans="1:27" ht="30.75" customHeight="1" x14ac:dyDescent="0.25">
      <c r="A43" s="120"/>
      <c r="B43" s="123">
        <v>40</v>
      </c>
      <c r="C43" s="37" t="s">
        <v>121</v>
      </c>
      <c r="D43" s="38" t="s">
        <v>32</v>
      </c>
      <c r="E43" s="39">
        <v>4500000</v>
      </c>
      <c r="F43" s="39">
        <v>30</v>
      </c>
      <c r="G43" s="39">
        <f t="shared" si="10"/>
        <v>4500000</v>
      </c>
      <c r="H43" s="39"/>
      <c r="I43" s="39"/>
      <c r="J43" s="39"/>
      <c r="K43" s="39"/>
      <c r="L43" s="39"/>
      <c r="M43" s="39">
        <v>300000</v>
      </c>
      <c r="N43" s="39">
        <f t="shared" ref="N43:N44" si="17">SUM(G43:M43)</f>
        <v>4800000</v>
      </c>
      <c r="O43" s="39">
        <f t="shared" si="14"/>
        <v>180000</v>
      </c>
      <c r="P43" s="39">
        <f>O43</f>
        <v>180000</v>
      </c>
      <c r="Q43" s="39"/>
      <c r="R43" s="39">
        <v>45000</v>
      </c>
      <c r="S43" s="39">
        <v>98752</v>
      </c>
      <c r="T43" s="39"/>
      <c r="U43" s="39"/>
      <c r="V43" s="39"/>
      <c r="W43" s="39">
        <f>SUM(O43:V43)</f>
        <v>503752</v>
      </c>
      <c r="X43" s="40">
        <f>N43-W43</f>
        <v>4296248</v>
      </c>
      <c r="Y43" s="40"/>
      <c r="Z43" s="41"/>
      <c r="AA43" s="40">
        <f t="shared" si="4"/>
        <v>4296248</v>
      </c>
    </row>
    <row r="44" spans="1:27" ht="12.75" x14ac:dyDescent="0.25">
      <c r="A44" s="120"/>
      <c r="B44" s="123">
        <v>41</v>
      </c>
      <c r="C44" s="37" t="s">
        <v>59</v>
      </c>
      <c r="D44" s="38" t="s">
        <v>32</v>
      </c>
      <c r="E44" s="39">
        <v>5747500</v>
      </c>
      <c r="F44" s="39">
        <v>30</v>
      </c>
      <c r="G44" s="39">
        <f t="shared" si="10"/>
        <v>5747500</v>
      </c>
      <c r="H44" s="39"/>
      <c r="I44" s="39"/>
      <c r="J44" s="39"/>
      <c r="K44" s="39"/>
      <c r="L44" s="39"/>
      <c r="M44" s="39">
        <v>1000000</v>
      </c>
      <c r="N44" s="39">
        <f t="shared" si="17"/>
        <v>6747500</v>
      </c>
      <c r="O44" s="39">
        <v>229900</v>
      </c>
      <c r="P44" s="39">
        <f>+O44</f>
        <v>229900</v>
      </c>
      <c r="Q44" s="39"/>
      <c r="R44" s="39">
        <f>+G44*0.01</f>
        <v>57475</v>
      </c>
      <c r="S44" s="39">
        <v>91627</v>
      </c>
      <c r="T44" s="39">
        <v>1000000</v>
      </c>
      <c r="U44" s="39"/>
      <c r="V44" s="39"/>
      <c r="W44" s="39">
        <f>SUM(O44:V44)</f>
        <v>1608902</v>
      </c>
      <c r="X44" s="40">
        <f>N44-W44</f>
        <v>5138598</v>
      </c>
      <c r="Y44" s="40"/>
      <c r="Z44" s="41"/>
      <c r="AA44" s="40">
        <f t="shared" si="4"/>
        <v>5138598</v>
      </c>
    </row>
    <row r="45" spans="1:27" ht="12.75" x14ac:dyDescent="0.25">
      <c r="A45" s="120" t="s">
        <v>60</v>
      </c>
      <c r="B45" s="123">
        <v>42</v>
      </c>
      <c r="C45" s="37" t="s">
        <v>61</v>
      </c>
      <c r="D45" s="38" t="s">
        <v>32</v>
      </c>
      <c r="E45" s="39">
        <v>2000000</v>
      </c>
      <c r="F45" s="39">
        <v>30</v>
      </c>
      <c r="G45" s="39">
        <f t="shared" si="10"/>
        <v>2000000.0000000002</v>
      </c>
      <c r="H45" s="39"/>
      <c r="I45" s="39"/>
      <c r="J45" s="39"/>
      <c r="K45" s="39"/>
      <c r="L45" s="39"/>
      <c r="M45" s="39">
        <v>500000</v>
      </c>
      <c r="N45" s="39">
        <f>SUM(G45:M45)</f>
        <v>2500000</v>
      </c>
      <c r="O45" s="39">
        <f>+G45*4%</f>
        <v>80000.000000000015</v>
      </c>
      <c r="P45" s="39">
        <f>+O45</f>
        <v>80000.000000000015</v>
      </c>
      <c r="Q45" s="39"/>
      <c r="R45" s="39"/>
      <c r="S45" s="48">
        <v>0</v>
      </c>
      <c r="T45" s="39"/>
      <c r="U45" s="39">
        <v>154980</v>
      </c>
      <c r="V45" s="39">
        <v>152804</v>
      </c>
      <c r="W45" s="39">
        <f>SUM(O45:V45)</f>
        <v>467784</v>
      </c>
      <c r="X45" s="40">
        <f>+N45-W45</f>
        <v>2032216</v>
      </c>
      <c r="Y45" s="40"/>
      <c r="Z45" s="41"/>
      <c r="AA45" s="40">
        <f t="shared" si="4"/>
        <v>2032216</v>
      </c>
    </row>
    <row r="46" spans="1:27" ht="12.75" x14ac:dyDescent="0.25">
      <c r="A46" s="120"/>
      <c r="B46" s="123">
        <v>43</v>
      </c>
      <c r="C46" s="37" t="s">
        <v>147</v>
      </c>
      <c r="D46" s="38" t="s">
        <v>32</v>
      </c>
      <c r="E46" s="39">
        <v>644350</v>
      </c>
      <c r="F46" s="39">
        <v>30</v>
      </c>
      <c r="G46" s="39">
        <f t="shared" si="10"/>
        <v>644350</v>
      </c>
      <c r="H46" s="39"/>
      <c r="I46" s="39"/>
      <c r="J46" s="39"/>
      <c r="K46" s="39"/>
      <c r="L46" s="39"/>
      <c r="M46" s="39"/>
      <c r="N46" s="39">
        <f>SUM(G46:M46)</f>
        <v>644350</v>
      </c>
      <c r="O46" s="39"/>
      <c r="P46" s="39"/>
      <c r="Q46" s="39"/>
      <c r="R46" s="39"/>
      <c r="S46" s="48"/>
      <c r="T46" s="39"/>
      <c r="U46" s="39"/>
      <c r="V46" s="39"/>
      <c r="W46" s="39"/>
      <c r="X46" s="40">
        <f>+N46-W46</f>
        <v>644350</v>
      </c>
      <c r="Y46" s="40"/>
      <c r="Z46" s="41"/>
      <c r="AA46" s="40">
        <f t="shared" si="4"/>
        <v>644350</v>
      </c>
    </row>
    <row r="47" spans="1:27" ht="12.75" x14ac:dyDescent="0.25">
      <c r="A47" s="120"/>
      <c r="B47" s="123">
        <v>44</v>
      </c>
      <c r="C47" s="37" t="s">
        <v>133</v>
      </c>
      <c r="D47" s="38" t="s">
        <v>32</v>
      </c>
      <c r="E47" s="39">
        <v>322250</v>
      </c>
      <c r="F47" s="39">
        <v>30</v>
      </c>
      <c r="G47" s="39">
        <f t="shared" si="10"/>
        <v>322250</v>
      </c>
      <c r="H47" s="39"/>
      <c r="I47" s="39"/>
      <c r="J47" s="39"/>
      <c r="K47" s="39"/>
      <c r="L47" s="39"/>
      <c r="M47" s="39"/>
      <c r="N47" s="39">
        <f>SUM(G47:M47)</f>
        <v>322250</v>
      </c>
      <c r="O47" s="39"/>
      <c r="P47" s="39"/>
      <c r="Q47" s="39"/>
      <c r="R47" s="39"/>
      <c r="S47" s="48"/>
      <c r="T47" s="39"/>
      <c r="U47" s="39"/>
      <c r="V47" s="39"/>
      <c r="W47" s="39">
        <f>SUM(O47:V47)</f>
        <v>0</v>
      </c>
      <c r="X47" s="40">
        <f>+N47-W47</f>
        <v>322250</v>
      </c>
      <c r="Y47" s="40"/>
      <c r="Z47" s="41"/>
      <c r="AA47" s="40">
        <f t="shared" si="4"/>
        <v>322250</v>
      </c>
    </row>
    <row r="48" spans="1:27" ht="41.25" customHeight="1" x14ac:dyDescent="0.25">
      <c r="A48" s="120"/>
      <c r="B48" s="123">
        <v>45</v>
      </c>
      <c r="C48" s="37" t="s">
        <v>148</v>
      </c>
      <c r="D48" s="38" t="s">
        <v>32</v>
      </c>
      <c r="E48" s="39">
        <v>1100000</v>
      </c>
      <c r="F48" s="39">
        <v>30</v>
      </c>
      <c r="G48" s="39">
        <f>E48/30*F48</f>
        <v>1100000</v>
      </c>
      <c r="H48" s="39">
        <f>(74000/30)*F48</f>
        <v>74000</v>
      </c>
      <c r="I48" s="39"/>
      <c r="J48" s="39"/>
      <c r="K48" s="39"/>
      <c r="L48" s="39"/>
      <c r="M48" s="39"/>
      <c r="N48" s="39">
        <f t="shared" ref="N48" si="18">SUM(G48:M48)</f>
        <v>1174000</v>
      </c>
      <c r="O48" s="39">
        <f>+G48*4%</f>
        <v>44000</v>
      </c>
      <c r="P48" s="39">
        <f>+O48</f>
        <v>44000</v>
      </c>
      <c r="Q48" s="39"/>
      <c r="R48" s="39"/>
      <c r="S48" s="39">
        <v>0</v>
      </c>
      <c r="T48" s="39"/>
      <c r="U48" s="39"/>
      <c r="V48" s="39">
        <v>250000</v>
      </c>
      <c r="W48" s="39">
        <f>SUM(O48:V48)</f>
        <v>338000</v>
      </c>
      <c r="X48" s="40">
        <f>+N48-W48</f>
        <v>836000</v>
      </c>
      <c r="Y48" s="40"/>
      <c r="Z48" s="41"/>
      <c r="AA48" s="40">
        <f t="shared" si="4"/>
        <v>836000</v>
      </c>
    </row>
    <row r="49" spans="1:30" ht="12.75" x14ac:dyDescent="0.25">
      <c r="A49" s="120"/>
      <c r="B49" s="123">
        <v>46</v>
      </c>
      <c r="C49" s="37" t="s">
        <v>65</v>
      </c>
      <c r="D49" s="38" t="s">
        <v>32</v>
      </c>
      <c r="E49" s="39">
        <v>800000</v>
      </c>
      <c r="F49" s="39">
        <v>30</v>
      </c>
      <c r="G49" s="39">
        <f>E49/30*F49</f>
        <v>800000</v>
      </c>
      <c r="H49" s="39">
        <v>74000</v>
      </c>
      <c r="I49" s="39"/>
      <c r="J49" s="39"/>
      <c r="K49" s="39"/>
      <c r="L49" s="39"/>
      <c r="M49" s="39"/>
      <c r="N49" s="39">
        <f t="shared" ref="N49:N66" si="19">SUM(G49:M49)</f>
        <v>874000</v>
      </c>
      <c r="O49" s="39">
        <f>+G49*4%</f>
        <v>32000</v>
      </c>
      <c r="P49" s="39">
        <f>+O49</f>
        <v>32000</v>
      </c>
      <c r="Q49" s="39"/>
      <c r="R49" s="39"/>
      <c r="S49" s="39">
        <v>0</v>
      </c>
      <c r="T49" s="39"/>
      <c r="U49" s="39"/>
      <c r="V49" s="39"/>
      <c r="W49" s="39">
        <f>SUM(O49:V49)</f>
        <v>64000</v>
      </c>
      <c r="X49" s="40">
        <f>+N49-W49</f>
        <v>810000</v>
      </c>
      <c r="Y49" s="40"/>
      <c r="Z49" s="41"/>
      <c r="AA49" s="40">
        <f t="shared" si="4"/>
        <v>810000</v>
      </c>
    </row>
    <row r="50" spans="1:30" ht="12.75" x14ac:dyDescent="0.25">
      <c r="A50" s="120"/>
      <c r="B50" s="123">
        <v>47</v>
      </c>
      <c r="C50" s="37" t="s">
        <v>66</v>
      </c>
      <c r="D50" s="38" t="s">
        <v>32</v>
      </c>
      <c r="E50" s="39">
        <v>644350</v>
      </c>
      <c r="F50" s="39">
        <v>30</v>
      </c>
      <c r="G50" s="39">
        <f>E50/30*F50</f>
        <v>644350</v>
      </c>
      <c r="H50" s="39"/>
      <c r="I50" s="39"/>
      <c r="J50" s="39"/>
      <c r="K50" s="39"/>
      <c r="L50" s="39"/>
      <c r="M50" s="39"/>
      <c r="N50" s="39">
        <f t="shared" si="19"/>
        <v>644350</v>
      </c>
      <c r="O50" s="39"/>
      <c r="P50" s="39"/>
      <c r="Q50" s="39"/>
      <c r="R50" s="39"/>
      <c r="S50" s="39">
        <v>0</v>
      </c>
      <c r="T50" s="39"/>
      <c r="U50" s="39"/>
      <c r="V50" s="39"/>
      <c r="W50" s="39">
        <f>SUM(O50:V50)</f>
        <v>0</v>
      </c>
      <c r="X50" s="40">
        <f>N50</f>
        <v>644350</v>
      </c>
      <c r="Y50" s="40"/>
      <c r="Z50" s="41"/>
      <c r="AA50" s="40">
        <f t="shared" si="4"/>
        <v>644350</v>
      </c>
    </row>
    <row r="51" spans="1:30" ht="12.75" x14ac:dyDescent="0.25">
      <c r="A51" s="120"/>
      <c r="B51" s="123">
        <v>48</v>
      </c>
      <c r="C51" s="118" t="s">
        <v>67</v>
      </c>
      <c r="D51" s="45" t="s">
        <v>32</v>
      </c>
      <c r="E51" s="39">
        <v>2000000</v>
      </c>
      <c r="F51" s="39">
        <v>30</v>
      </c>
      <c r="G51" s="39">
        <f>+E51/30*F51</f>
        <v>2000000.0000000002</v>
      </c>
      <c r="H51" s="39"/>
      <c r="I51" s="39"/>
      <c r="J51" s="39"/>
      <c r="K51" s="39"/>
      <c r="L51" s="39"/>
      <c r="M51" s="39"/>
      <c r="N51" s="39">
        <f t="shared" si="19"/>
        <v>2000000.0000000002</v>
      </c>
      <c r="O51" s="39">
        <f>G51*4%</f>
        <v>80000.000000000015</v>
      </c>
      <c r="P51" s="39">
        <f>+O51</f>
        <v>80000.000000000015</v>
      </c>
      <c r="Q51" s="39"/>
      <c r="R51" s="39"/>
      <c r="S51" s="39">
        <v>0</v>
      </c>
      <c r="T51" s="39"/>
      <c r="U51" s="39"/>
      <c r="V51" s="39"/>
      <c r="W51" s="39">
        <f>SUM(O51:V51)</f>
        <v>160000.00000000003</v>
      </c>
      <c r="X51" s="40">
        <f>N51-W51</f>
        <v>1840000.0000000002</v>
      </c>
      <c r="Y51" s="40"/>
      <c r="Z51" s="41"/>
      <c r="AA51" s="40">
        <f t="shared" si="4"/>
        <v>1840000.0000000002</v>
      </c>
    </row>
    <row r="52" spans="1:30" ht="12.75" x14ac:dyDescent="0.25">
      <c r="A52" s="120"/>
      <c r="B52" s="123">
        <v>49</v>
      </c>
      <c r="C52" s="37" t="s">
        <v>68</v>
      </c>
      <c r="D52" s="38" t="s">
        <v>32</v>
      </c>
      <c r="E52" s="39">
        <v>2500000</v>
      </c>
      <c r="F52" s="39">
        <v>30</v>
      </c>
      <c r="G52" s="39">
        <f t="shared" ref="G52:G53" si="20">+E52/30*F52</f>
        <v>2500000</v>
      </c>
      <c r="H52" s="39"/>
      <c r="I52" s="39"/>
      <c r="J52" s="39"/>
      <c r="K52" s="39"/>
      <c r="L52" s="39"/>
      <c r="M52" s="39">
        <v>500000</v>
      </c>
      <c r="N52" s="39">
        <f t="shared" si="19"/>
        <v>3000000</v>
      </c>
      <c r="O52" s="39">
        <f>G52*4%</f>
        <v>100000</v>
      </c>
      <c r="P52" s="39">
        <f>O52</f>
        <v>100000</v>
      </c>
      <c r="Q52" s="39"/>
      <c r="R52" s="39"/>
      <c r="S52" s="39">
        <v>0</v>
      </c>
      <c r="T52" s="39"/>
      <c r="U52" s="39"/>
      <c r="V52" s="39">
        <v>766228</v>
      </c>
      <c r="W52" s="39">
        <f>SUM(O52:V52)</f>
        <v>966228</v>
      </c>
      <c r="X52" s="40">
        <f>N52-W52</f>
        <v>2033772</v>
      </c>
      <c r="Y52" s="40"/>
      <c r="Z52" s="41"/>
      <c r="AA52" s="40">
        <f t="shared" si="4"/>
        <v>2033772</v>
      </c>
    </row>
    <row r="53" spans="1:30" ht="12.75" x14ac:dyDescent="0.25">
      <c r="A53" s="120"/>
      <c r="B53" s="123">
        <v>50</v>
      </c>
      <c r="C53" s="37" t="s">
        <v>134</v>
      </c>
      <c r="D53" s="38" t="s">
        <v>32</v>
      </c>
      <c r="E53" s="39">
        <v>322250</v>
      </c>
      <c r="F53" s="39">
        <v>30</v>
      </c>
      <c r="G53" s="39">
        <f t="shared" si="20"/>
        <v>322250</v>
      </c>
      <c r="H53" s="39"/>
      <c r="I53" s="39"/>
      <c r="J53" s="39"/>
      <c r="K53" s="39"/>
      <c r="L53" s="39"/>
      <c r="M53" s="39"/>
      <c r="N53" s="39">
        <f t="shared" si="19"/>
        <v>322250</v>
      </c>
      <c r="O53" s="39"/>
      <c r="P53" s="39"/>
      <c r="Q53" s="39"/>
      <c r="R53" s="39"/>
      <c r="S53" s="39"/>
      <c r="T53" s="39"/>
      <c r="U53" s="39"/>
      <c r="V53" s="39"/>
      <c r="W53" s="39">
        <f>SUM(O53:V53)</f>
        <v>0</v>
      </c>
      <c r="X53" s="40">
        <f>N53-W53</f>
        <v>322250</v>
      </c>
      <c r="Y53" s="40"/>
      <c r="Z53" s="41"/>
      <c r="AA53" s="40">
        <f t="shared" si="4"/>
        <v>322250</v>
      </c>
    </row>
    <row r="54" spans="1:30" ht="12.75" x14ac:dyDescent="0.25">
      <c r="A54" s="120"/>
      <c r="B54" s="123">
        <v>51</v>
      </c>
      <c r="C54" s="37" t="s">
        <v>70</v>
      </c>
      <c r="D54" s="38" t="s">
        <v>32</v>
      </c>
      <c r="E54" s="39">
        <v>2000000</v>
      </c>
      <c r="F54" s="39">
        <v>30</v>
      </c>
      <c r="G54" s="39">
        <f>E54/30*F54</f>
        <v>2000000.0000000002</v>
      </c>
      <c r="H54" s="39"/>
      <c r="I54" s="39"/>
      <c r="J54" s="39"/>
      <c r="K54" s="39"/>
      <c r="L54" s="39"/>
      <c r="M54" s="39"/>
      <c r="N54" s="39">
        <f t="shared" si="19"/>
        <v>2000000.0000000002</v>
      </c>
      <c r="O54" s="39">
        <f t="shared" ref="O54" si="21">G54*4%</f>
        <v>80000.000000000015</v>
      </c>
      <c r="P54" s="39">
        <f>O54</f>
        <v>80000.000000000015</v>
      </c>
      <c r="Q54" s="39"/>
      <c r="R54" s="39"/>
      <c r="S54" s="39">
        <v>0</v>
      </c>
      <c r="T54" s="39"/>
      <c r="U54" s="39"/>
      <c r="V54" s="39"/>
      <c r="W54" s="39">
        <f>SUM(O54:V54)</f>
        <v>160000.00000000003</v>
      </c>
      <c r="X54" s="40">
        <f>N54-W54</f>
        <v>1840000.0000000002</v>
      </c>
      <c r="Y54" s="40"/>
      <c r="Z54" s="41"/>
      <c r="AA54" s="40">
        <f t="shared" si="4"/>
        <v>1840000.0000000002</v>
      </c>
    </row>
    <row r="55" spans="1:30" ht="12.75" x14ac:dyDescent="0.25">
      <c r="A55" s="120"/>
      <c r="B55" s="123">
        <v>52</v>
      </c>
      <c r="C55" s="37" t="s">
        <v>71</v>
      </c>
      <c r="D55" s="38" t="s">
        <v>32</v>
      </c>
      <c r="E55" s="39">
        <v>1300000</v>
      </c>
      <c r="F55" s="39">
        <v>30</v>
      </c>
      <c r="G55" s="39">
        <f>E55/30*F55</f>
        <v>1300000</v>
      </c>
      <c r="H55" s="39"/>
      <c r="I55" s="39"/>
      <c r="J55" s="39"/>
      <c r="K55" s="39"/>
      <c r="L55" s="39"/>
      <c r="M55" s="39"/>
      <c r="N55" s="39">
        <f t="shared" si="19"/>
        <v>1300000</v>
      </c>
      <c r="O55" s="39">
        <f>G55*4%</f>
        <v>52000</v>
      </c>
      <c r="P55" s="39">
        <f>O55</f>
        <v>52000</v>
      </c>
      <c r="Q55" s="39"/>
      <c r="R55" s="39"/>
      <c r="S55" s="39">
        <v>0</v>
      </c>
      <c r="T55" s="39"/>
      <c r="U55" s="39"/>
      <c r="V55" s="39"/>
      <c r="W55" s="39">
        <f>SUM(O55:V55)</f>
        <v>104000</v>
      </c>
      <c r="X55" s="40">
        <f>N55-W55</f>
        <v>1196000</v>
      </c>
      <c r="Y55" s="40"/>
      <c r="Z55" s="41"/>
      <c r="AA55" s="40">
        <f t="shared" si="4"/>
        <v>1196000</v>
      </c>
      <c r="AD55" s="43">
        <f>1196000+644000</f>
        <v>1840000</v>
      </c>
    </row>
    <row r="56" spans="1:30" ht="12.75" x14ac:dyDescent="0.25">
      <c r="A56" s="120"/>
      <c r="B56" s="123">
        <v>53</v>
      </c>
      <c r="C56" s="118" t="s">
        <v>135</v>
      </c>
      <c r="D56" s="45" t="s">
        <v>32</v>
      </c>
      <c r="E56" s="39">
        <v>322250</v>
      </c>
      <c r="F56" s="39">
        <v>30</v>
      </c>
      <c r="G56" s="39">
        <f>+E56/30*F56</f>
        <v>322250</v>
      </c>
      <c r="H56" s="39"/>
      <c r="I56" s="39"/>
      <c r="J56" s="39"/>
      <c r="K56" s="39"/>
      <c r="L56" s="39"/>
      <c r="M56" s="39"/>
      <c r="N56" s="39">
        <f t="shared" si="19"/>
        <v>322250</v>
      </c>
      <c r="O56" s="39"/>
      <c r="P56" s="39"/>
      <c r="Q56" s="39"/>
      <c r="R56" s="39"/>
      <c r="S56" s="39"/>
      <c r="T56" s="39"/>
      <c r="U56" s="39"/>
      <c r="V56" s="39"/>
      <c r="W56" s="39">
        <f>SUM(O56:V56)</f>
        <v>0</v>
      </c>
      <c r="X56" s="40">
        <f>N56-W56</f>
        <v>322250</v>
      </c>
      <c r="Y56" s="40"/>
      <c r="Z56" s="41"/>
      <c r="AA56" s="40">
        <f t="shared" si="4"/>
        <v>322250</v>
      </c>
      <c r="AD56" s="43">
        <f>1840000-1196000</f>
        <v>644000</v>
      </c>
    </row>
    <row r="57" spans="1:30" ht="12.75" x14ac:dyDescent="0.25">
      <c r="A57" s="120"/>
      <c r="B57" s="123">
        <v>54</v>
      </c>
      <c r="C57" s="118" t="s">
        <v>112</v>
      </c>
      <c r="D57" s="45" t="s">
        <v>32</v>
      </c>
      <c r="E57" s="39">
        <v>1500000</v>
      </c>
      <c r="F57" s="39">
        <v>30</v>
      </c>
      <c r="G57" s="39">
        <f>+E57/30*F57</f>
        <v>1500000</v>
      </c>
      <c r="H57" s="39"/>
      <c r="I57" s="39"/>
      <c r="J57" s="39"/>
      <c r="K57" s="39"/>
      <c r="L57" s="39"/>
      <c r="M57" s="39">
        <v>500000</v>
      </c>
      <c r="N57" s="39">
        <f t="shared" si="19"/>
        <v>2000000</v>
      </c>
      <c r="O57" s="39">
        <f t="shared" ref="O57:O60" si="22">+G57*4%</f>
        <v>60000</v>
      </c>
      <c r="P57" s="39">
        <f>+O57</f>
        <v>60000</v>
      </c>
      <c r="Q57" s="39"/>
      <c r="R57" s="39"/>
      <c r="S57" s="39">
        <v>0</v>
      </c>
      <c r="T57" s="39"/>
      <c r="U57" s="39">
        <v>108360</v>
      </c>
      <c r="V57" s="39"/>
      <c r="W57" s="39">
        <f>SUM(O57:V57)</f>
        <v>228360</v>
      </c>
      <c r="X57" s="40">
        <f>N57-W57</f>
        <v>1771640</v>
      </c>
      <c r="Y57" s="40"/>
      <c r="Z57" s="41"/>
      <c r="AA57" s="40">
        <f>X57+Y57-Z57</f>
        <v>1771640</v>
      </c>
    </row>
    <row r="58" spans="1:30" ht="12.75" x14ac:dyDescent="0.25">
      <c r="A58" s="120"/>
      <c r="B58" s="123">
        <v>55</v>
      </c>
      <c r="C58" s="37" t="s">
        <v>74</v>
      </c>
      <c r="D58" s="38" t="s">
        <v>32</v>
      </c>
      <c r="E58" s="39">
        <v>1500000</v>
      </c>
      <c r="F58" s="39">
        <v>30</v>
      </c>
      <c r="G58" s="39">
        <f>+E58/30*F58</f>
        <v>1500000</v>
      </c>
      <c r="H58" s="39"/>
      <c r="I58" s="39"/>
      <c r="J58" s="39"/>
      <c r="K58" s="39"/>
      <c r="L58" s="39"/>
      <c r="M58" s="39">
        <v>100000</v>
      </c>
      <c r="N58" s="39">
        <f t="shared" si="19"/>
        <v>1600000</v>
      </c>
      <c r="O58" s="39">
        <f t="shared" si="22"/>
        <v>60000</v>
      </c>
      <c r="P58" s="39">
        <f t="shared" ref="P58:P66" si="23">+O58</f>
        <v>60000</v>
      </c>
      <c r="Q58" s="39"/>
      <c r="R58" s="39"/>
      <c r="S58" s="39">
        <v>0</v>
      </c>
      <c r="T58" s="39"/>
      <c r="U58" s="39"/>
      <c r="V58" s="39"/>
      <c r="W58" s="39">
        <f>SUM(O58:V58)</f>
        <v>120000</v>
      </c>
      <c r="X58" s="40">
        <f>+N58-W58</f>
        <v>1480000</v>
      </c>
      <c r="Y58" s="40"/>
      <c r="Z58" s="41"/>
      <c r="AA58" s="40">
        <f t="shared" si="4"/>
        <v>1480000</v>
      </c>
    </row>
    <row r="59" spans="1:30" ht="26.25" customHeight="1" x14ac:dyDescent="0.25">
      <c r="A59" s="120"/>
      <c r="B59" s="123">
        <v>56</v>
      </c>
      <c r="C59" s="37" t="s">
        <v>75</v>
      </c>
      <c r="D59" s="38" t="s">
        <v>32</v>
      </c>
      <c r="E59" s="39">
        <v>3000000</v>
      </c>
      <c r="F59" s="39">
        <v>30</v>
      </c>
      <c r="G59" s="39">
        <f t="shared" ref="G59:G66" si="24">+E59/30*F59</f>
        <v>3000000</v>
      </c>
      <c r="H59" s="39"/>
      <c r="I59" s="39"/>
      <c r="J59" s="39"/>
      <c r="K59" s="39"/>
      <c r="L59" s="39"/>
      <c r="M59" s="39"/>
      <c r="N59" s="39">
        <f t="shared" si="19"/>
        <v>3000000</v>
      </c>
      <c r="O59" s="39">
        <f t="shared" si="22"/>
        <v>120000</v>
      </c>
      <c r="P59" s="39">
        <f t="shared" si="23"/>
        <v>120000</v>
      </c>
      <c r="Q59" s="39"/>
      <c r="R59" s="39">
        <f>N59*1%</f>
        <v>30000</v>
      </c>
      <c r="S59" s="39">
        <v>0</v>
      </c>
      <c r="T59" s="39"/>
      <c r="U59" s="39"/>
      <c r="V59" s="39">
        <v>802634</v>
      </c>
      <c r="W59" s="39">
        <f>SUM(O59:V59)</f>
        <v>1072634</v>
      </c>
      <c r="X59" s="40">
        <f>+N59-W59</f>
        <v>1927366</v>
      </c>
      <c r="Y59" s="40"/>
      <c r="Z59" s="41"/>
      <c r="AA59" s="40">
        <f t="shared" si="4"/>
        <v>1927366</v>
      </c>
    </row>
    <row r="60" spans="1:30" ht="12.75" x14ac:dyDescent="0.25">
      <c r="A60" s="120"/>
      <c r="B60" s="123">
        <v>57</v>
      </c>
      <c r="C60" s="37" t="s">
        <v>76</v>
      </c>
      <c r="D60" s="38" t="s">
        <v>32</v>
      </c>
      <c r="E60" s="39">
        <v>2500000</v>
      </c>
      <c r="F60" s="39">
        <v>30</v>
      </c>
      <c r="G60" s="39">
        <f t="shared" si="24"/>
        <v>2500000</v>
      </c>
      <c r="H60" s="39"/>
      <c r="I60" s="39"/>
      <c r="J60" s="39"/>
      <c r="K60" s="39"/>
      <c r="L60" s="39">
        <v>90000</v>
      </c>
      <c r="M60" s="39">
        <v>500000</v>
      </c>
      <c r="N60" s="39">
        <f t="shared" si="19"/>
        <v>3090000</v>
      </c>
      <c r="O60" s="39">
        <f t="shared" si="22"/>
        <v>100000</v>
      </c>
      <c r="P60" s="39">
        <f t="shared" si="23"/>
        <v>100000</v>
      </c>
      <c r="Q60" s="39"/>
      <c r="R60" s="39">
        <v>0</v>
      </c>
      <c r="S60" s="39">
        <v>0</v>
      </c>
      <c r="T60" s="39"/>
      <c r="U60" s="39"/>
      <c r="V60" s="39"/>
      <c r="W60" s="39">
        <f>SUM(O60:V60)</f>
        <v>200000</v>
      </c>
      <c r="X60" s="40">
        <f>+N60-W60</f>
        <v>2890000</v>
      </c>
      <c r="Y60" s="40"/>
      <c r="Z60" s="41"/>
      <c r="AA60" s="40">
        <f t="shared" si="4"/>
        <v>2890000</v>
      </c>
      <c r="AB60" s="43" t="s">
        <v>99</v>
      </c>
    </row>
    <row r="61" spans="1:30" ht="12.75" x14ac:dyDescent="0.25">
      <c r="A61" s="120"/>
      <c r="B61" s="123">
        <v>58</v>
      </c>
      <c r="C61" s="37" t="s">
        <v>78</v>
      </c>
      <c r="D61" s="38" t="s">
        <v>32</v>
      </c>
      <c r="E61" s="39">
        <v>2500000</v>
      </c>
      <c r="F61" s="39">
        <v>30</v>
      </c>
      <c r="G61" s="39">
        <f t="shared" si="24"/>
        <v>2500000</v>
      </c>
      <c r="H61" s="39"/>
      <c r="I61" s="39"/>
      <c r="J61" s="39"/>
      <c r="K61" s="39"/>
      <c r="L61" s="39"/>
      <c r="M61" s="39"/>
      <c r="N61" s="39">
        <f t="shared" si="19"/>
        <v>2500000</v>
      </c>
      <c r="O61" s="39">
        <f>G61*4%</f>
        <v>100000</v>
      </c>
      <c r="P61" s="39">
        <f t="shared" si="23"/>
        <v>100000</v>
      </c>
      <c r="Q61" s="39"/>
      <c r="R61" s="39"/>
      <c r="S61" s="48">
        <v>0</v>
      </c>
      <c r="T61" s="39"/>
      <c r="U61" s="39"/>
      <c r="V61" s="39"/>
      <c r="W61" s="39">
        <f>SUM(O61:V61)</f>
        <v>200000</v>
      </c>
      <c r="X61" s="40">
        <f>+N61-W61</f>
        <v>2300000</v>
      </c>
      <c r="Y61" s="40"/>
      <c r="Z61" s="41"/>
      <c r="AA61" s="40">
        <f t="shared" si="4"/>
        <v>2300000</v>
      </c>
    </row>
    <row r="62" spans="1:30" ht="12.75" x14ac:dyDescent="0.25">
      <c r="A62" s="120"/>
      <c r="B62" s="123">
        <v>59</v>
      </c>
      <c r="C62" s="37" t="s">
        <v>122</v>
      </c>
      <c r="D62" s="38" t="s">
        <v>32</v>
      </c>
      <c r="E62" s="39">
        <v>1300000</v>
      </c>
      <c r="F62" s="39">
        <v>30</v>
      </c>
      <c r="G62" s="39">
        <f t="shared" si="24"/>
        <v>1300000</v>
      </c>
      <c r="H62" s="39"/>
      <c r="I62" s="39"/>
      <c r="J62" s="39"/>
      <c r="K62" s="39"/>
      <c r="L62" s="39"/>
      <c r="M62" s="39"/>
      <c r="N62" s="39">
        <f t="shared" si="19"/>
        <v>1300000</v>
      </c>
      <c r="O62" s="39">
        <f>G62*4%</f>
        <v>52000</v>
      </c>
      <c r="P62" s="39">
        <f t="shared" si="23"/>
        <v>52000</v>
      </c>
      <c r="Q62" s="39"/>
      <c r="R62" s="39"/>
      <c r="S62" s="48">
        <v>0</v>
      </c>
      <c r="T62" s="39"/>
      <c r="U62" s="39">
        <v>108360</v>
      </c>
      <c r="V62" s="39"/>
      <c r="W62" s="39">
        <f>SUM(O62:V62)</f>
        <v>212360</v>
      </c>
      <c r="X62" s="40">
        <f>+N62-W62</f>
        <v>1087640</v>
      </c>
      <c r="Y62" s="40"/>
      <c r="Z62" s="41"/>
      <c r="AA62" s="40">
        <f t="shared" si="4"/>
        <v>1087640</v>
      </c>
    </row>
    <row r="63" spans="1:30" ht="12.75" x14ac:dyDescent="0.25">
      <c r="A63" s="120"/>
      <c r="B63" s="123">
        <v>60</v>
      </c>
      <c r="C63" s="37" t="s">
        <v>79</v>
      </c>
      <c r="D63" s="38" t="s">
        <v>32</v>
      </c>
      <c r="E63" s="39">
        <v>1300000</v>
      </c>
      <c r="F63" s="39">
        <v>30</v>
      </c>
      <c r="G63" s="39">
        <f t="shared" si="24"/>
        <v>1300000</v>
      </c>
      <c r="H63" s="39"/>
      <c r="I63" s="39"/>
      <c r="J63" s="39"/>
      <c r="K63" s="39"/>
      <c r="L63" s="39"/>
      <c r="M63" s="39">
        <v>300000</v>
      </c>
      <c r="N63" s="39">
        <f t="shared" si="19"/>
        <v>1600000</v>
      </c>
      <c r="O63" s="39">
        <f>+G63*4%</f>
        <v>52000</v>
      </c>
      <c r="P63" s="39">
        <f t="shared" si="23"/>
        <v>52000</v>
      </c>
      <c r="Q63" s="39"/>
      <c r="R63" s="39"/>
      <c r="S63" s="39">
        <v>0</v>
      </c>
      <c r="T63" s="39"/>
      <c r="U63" s="39"/>
      <c r="V63" s="39">
        <v>257196</v>
      </c>
      <c r="W63" s="39">
        <f>SUM(O63:V63)</f>
        <v>361196</v>
      </c>
      <c r="X63" s="40">
        <f>+N63-W63</f>
        <v>1238804</v>
      </c>
      <c r="Y63" s="40"/>
      <c r="Z63" s="41"/>
      <c r="AA63" s="40">
        <f t="shared" si="4"/>
        <v>1238804</v>
      </c>
    </row>
    <row r="64" spans="1:30" ht="12.75" x14ac:dyDescent="0.25">
      <c r="A64" s="120"/>
      <c r="B64" s="123">
        <v>61</v>
      </c>
      <c r="C64" s="37" t="s">
        <v>80</v>
      </c>
      <c r="D64" s="38" t="s">
        <v>32</v>
      </c>
      <c r="E64" s="39">
        <v>4500000</v>
      </c>
      <c r="F64" s="39">
        <v>30</v>
      </c>
      <c r="G64" s="39">
        <f t="shared" si="24"/>
        <v>4500000</v>
      </c>
      <c r="H64" s="39"/>
      <c r="I64" s="39"/>
      <c r="J64" s="39"/>
      <c r="K64" s="39"/>
      <c r="L64" s="39"/>
      <c r="M64" s="39"/>
      <c r="N64" s="39">
        <f t="shared" si="19"/>
        <v>4500000</v>
      </c>
      <c r="O64" s="39">
        <f>+G64*4%</f>
        <v>180000</v>
      </c>
      <c r="P64" s="39">
        <f t="shared" si="23"/>
        <v>180000</v>
      </c>
      <c r="Q64" s="39"/>
      <c r="R64" s="39">
        <v>45000</v>
      </c>
      <c r="S64" s="39">
        <v>73073</v>
      </c>
      <c r="T64" s="39"/>
      <c r="U64" s="39"/>
      <c r="V64" s="39"/>
      <c r="W64" s="39">
        <f>SUM(O64:V64)</f>
        <v>478073</v>
      </c>
      <c r="X64" s="40">
        <f>N64-W64</f>
        <v>4021927</v>
      </c>
      <c r="Y64" s="40"/>
      <c r="Z64" s="41"/>
      <c r="AA64" s="40">
        <f t="shared" si="4"/>
        <v>4021927</v>
      </c>
    </row>
    <row r="65" spans="1:27" ht="12.75" x14ac:dyDescent="0.25">
      <c r="A65" s="120"/>
      <c r="B65" s="123">
        <v>62</v>
      </c>
      <c r="C65" s="37" t="s">
        <v>81</v>
      </c>
      <c r="D65" s="38" t="s">
        <v>32</v>
      </c>
      <c r="E65" s="39">
        <v>1500000</v>
      </c>
      <c r="F65" s="39">
        <v>30</v>
      </c>
      <c r="G65" s="39">
        <f t="shared" si="24"/>
        <v>1500000</v>
      </c>
      <c r="H65" s="39"/>
      <c r="I65" s="39"/>
      <c r="J65" s="39"/>
      <c r="K65" s="39"/>
      <c r="L65" s="39"/>
      <c r="M65" s="39"/>
      <c r="N65" s="39">
        <f t="shared" si="19"/>
        <v>1500000</v>
      </c>
      <c r="O65" s="39">
        <f>G65*4%</f>
        <v>60000</v>
      </c>
      <c r="P65" s="39">
        <f t="shared" si="23"/>
        <v>60000</v>
      </c>
      <c r="Q65" s="39"/>
      <c r="R65" s="39"/>
      <c r="S65" s="39">
        <v>0</v>
      </c>
      <c r="T65" s="39"/>
      <c r="U65" s="39"/>
      <c r="V65" s="39"/>
      <c r="W65" s="39">
        <f>SUM(O65:V65)</f>
        <v>120000</v>
      </c>
      <c r="X65" s="40">
        <f>N65-W65</f>
        <v>1380000</v>
      </c>
      <c r="Y65" s="40"/>
      <c r="Z65" s="41"/>
      <c r="AA65" s="40">
        <f t="shared" si="4"/>
        <v>1380000</v>
      </c>
    </row>
    <row r="66" spans="1:27" ht="12.75" x14ac:dyDescent="0.25">
      <c r="A66" s="120"/>
      <c r="B66" s="123">
        <v>63</v>
      </c>
      <c r="C66" s="37" t="s">
        <v>82</v>
      </c>
      <c r="D66" s="38" t="s">
        <v>32</v>
      </c>
      <c r="E66" s="39">
        <v>2000000</v>
      </c>
      <c r="F66" s="39">
        <v>30</v>
      </c>
      <c r="G66" s="39">
        <f t="shared" si="24"/>
        <v>2000000.0000000002</v>
      </c>
      <c r="H66" s="39"/>
      <c r="I66" s="39"/>
      <c r="J66" s="39"/>
      <c r="K66" s="39"/>
      <c r="L66" s="39"/>
      <c r="M66" s="39">
        <v>500000</v>
      </c>
      <c r="N66" s="39">
        <f t="shared" si="19"/>
        <v>2500000</v>
      </c>
      <c r="O66" s="39">
        <f>G66*4%</f>
        <v>80000.000000000015</v>
      </c>
      <c r="P66" s="39">
        <f t="shared" si="23"/>
        <v>80000.000000000015</v>
      </c>
      <c r="Q66" s="39"/>
      <c r="R66" s="39"/>
      <c r="S66" s="39">
        <v>0</v>
      </c>
      <c r="T66" s="39"/>
      <c r="U66" s="39"/>
      <c r="V66" s="39"/>
      <c r="W66" s="39">
        <f>SUM(O66:V66)</f>
        <v>160000.00000000003</v>
      </c>
      <c r="X66" s="40">
        <f>N66-W66</f>
        <v>2340000</v>
      </c>
      <c r="Y66" s="40"/>
      <c r="Z66" s="41"/>
      <c r="AA66" s="40">
        <f t="shared" si="4"/>
        <v>2340000</v>
      </c>
    </row>
    <row r="67" spans="1:27" ht="12.75" x14ac:dyDescent="0.25">
      <c r="A67" s="120"/>
      <c r="B67" s="123">
        <v>64</v>
      </c>
      <c r="C67" s="118" t="s">
        <v>84</v>
      </c>
      <c r="D67" s="45" t="s">
        <v>32</v>
      </c>
      <c r="E67" s="39">
        <v>644350</v>
      </c>
      <c r="F67" s="39">
        <v>30</v>
      </c>
      <c r="G67" s="39">
        <f>+E67/30*F67</f>
        <v>644350</v>
      </c>
      <c r="H67" s="39">
        <v>74000</v>
      </c>
      <c r="I67" s="39"/>
      <c r="J67" s="39"/>
      <c r="K67" s="39"/>
      <c r="L67" s="39"/>
      <c r="M67" s="39">
        <v>100000</v>
      </c>
      <c r="N67" s="39">
        <f t="shared" ref="N67:N78" si="25">SUM(G67:M67)</f>
        <v>818350</v>
      </c>
      <c r="O67" s="39">
        <f>+G67*4%</f>
        <v>25774</v>
      </c>
      <c r="P67" s="39">
        <f>+O67</f>
        <v>25774</v>
      </c>
      <c r="Q67" s="39"/>
      <c r="R67" s="39"/>
      <c r="S67" s="39">
        <v>0</v>
      </c>
      <c r="T67" s="39"/>
      <c r="U67" s="39"/>
      <c r="V67" s="39"/>
      <c r="W67" s="39">
        <f>SUM(O67:V67)</f>
        <v>51548</v>
      </c>
      <c r="X67" s="40">
        <f>N67-W67</f>
        <v>766802</v>
      </c>
      <c r="Y67" s="40"/>
      <c r="Z67" s="41"/>
      <c r="AA67" s="40">
        <f t="shared" si="4"/>
        <v>766802</v>
      </c>
    </row>
    <row r="68" spans="1:27" ht="12.75" x14ac:dyDescent="0.25">
      <c r="A68" s="120"/>
      <c r="B68" s="123">
        <v>65</v>
      </c>
      <c r="C68" s="37" t="s">
        <v>85</v>
      </c>
      <c r="D68" s="38" t="s">
        <v>32</v>
      </c>
      <c r="E68" s="39">
        <v>15400000</v>
      </c>
      <c r="F68" s="39">
        <v>30</v>
      </c>
      <c r="G68" s="39">
        <f t="shared" ref="G68:G73" si="26">+E68/30*F68</f>
        <v>15400000</v>
      </c>
      <c r="H68" s="39"/>
      <c r="I68" s="39"/>
      <c r="J68" s="39"/>
      <c r="K68" s="39"/>
      <c r="L68" s="39"/>
      <c r="M68" s="39">
        <v>600000</v>
      </c>
      <c r="N68" s="39">
        <f t="shared" si="25"/>
        <v>16000000</v>
      </c>
      <c r="O68" s="39">
        <f>G68*4%</f>
        <v>616000</v>
      </c>
      <c r="P68" s="39">
        <f>O68</f>
        <v>616000</v>
      </c>
      <c r="Q68" s="39">
        <v>95900</v>
      </c>
      <c r="R68" s="39">
        <f>G68*2%</f>
        <v>308000</v>
      </c>
      <c r="S68" s="39">
        <v>1014000</v>
      </c>
      <c r="T68" s="39">
        <v>5000000</v>
      </c>
      <c r="U68" s="39">
        <v>480769</v>
      </c>
      <c r="V68" s="39"/>
      <c r="W68" s="39">
        <f>SUM(O68:V68)</f>
        <v>8130669</v>
      </c>
      <c r="X68" s="40">
        <f>+N68-W68</f>
        <v>7869331</v>
      </c>
      <c r="Y68" s="40"/>
      <c r="Z68" s="41"/>
      <c r="AA68" s="40">
        <f t="shared" si="4"/>
        <v>7869331</v>
      </c>
    </row>
    <row r="69" spans="1:27" ht="12.75" x14ac:dyDescent="0.25">
      <c r="A69" s="120"/>
      <c r="B69" s="123">
        <v>66</v>
      </c>
      <c r="C69" s="37" t="s">
        <v>86</v>
      </c>
      <c r="D69" s="38" t="s">
        <v>32</v>
      </c>
      <c r="E69" s="39">
        <v>4500000</v>
      </c>
      <c r="F69" s="39">
        <v>30</v>
      </c>
      <c r="G69" s="39">
        <f t="shared" si="26"/>
        <v>4500000</v>
      </c>
      <c r="H69" s="39"/>
      <c r="I69" s="39"/>
      <c r="J69" s="39"/>
      <c r="K69" s="39"/>
      <c r="L69" s="39"/>
      <c r="M69" s="39"/>
      <c r="N69" s="39">
        <f t="shared" si="25"/>
        <v>4500000</v>
      </c>
      <c r="O69" s="39">
        <f>+G69*4%</f>
        <v>180000</v>
      </c>
      <c r="P69" s="39">
        <f>+O69</f>
        <v>180000</v>
      </c>
      <c r="Q69" s="39"/>
      <c r="R69" s="39">
        <f>+G69*1%</f>
        <v>45000</v>
      </c>
      <c r="S69" s="39">
        <v>90000</v>
      </c>
      <c r="T69" s="39"/>
      <c r="U69" s="39">
        <v>398554</v>
      </c>
      <c r="V69" s="39">
        <f>887544</f>
        <v>887544</v>
      </c>
      <c r="W69" s="39">
        <f>SUM(O69:V69)</f>
        <v>1781098</v>
      </c>
      <c r="X69" s="40">
        <f>+N69-W69</f>
        <v>2718902</v>
      </c>
      <c r="Y69" s="40"/>
      <c r="Z69" s="41"/>
      <c r="AA69" s="40">
        <f t="shared" si="4"/>
        <v>2718902</v>
      </c>
    </row>
    <row r="70" spans="1:27" ht="12.75" x14ac:dyDescent="0.25">
      <c r="A70" s="120"/>
      <c r="B70" s="123">
        <v>67</v>
      </c>
      <c r="C70" s="37" t="s">
        <v>87</v>
      </c>
      <c r="D70" s="38" t="s">
        <v>32</v>
      </c>
      <c r="E70" s="39">
        <v>1000000</v>
      </c>
      <c r="F70" s="39">
        <v>30</v>
      </c>
      <c r="G70" s="39">
        <f t="shared" si="26"/>
        <v>1000000.0000000001</v>
      </c>
      <c r="H70" s="39">
        <v>74000</v>
      </c>
      <c r="I70" s="39"/>
      <c r="J70" s="39"/>
      <c r="K70" s="39"/>
      <c r="L70" s="39"/>
      <c r="M70" s="39"/>
      <c r="N70" s="39">
        <f t="shared" si="25"/>
        <v>1074000</v>
      </c>
      <c r="O70" s="39">
        <f>+G70*4%</f>
        <v>40000.000000000007</v>
      </c>
      <c r="P70" s="39">
        <f>+O70</f>
        <v>40000.000000000007</v>
      </c>
      <c r="Q70" s="39"/>
      <c r="R70" s="39"/>
      <c r="S70" s="39">
        <v>0</v>
      </c>
      <c r="T70" s="39"/>
      <c r="U70" s="39"/>
      <c r="V70" s="39"/>
      <c r="W70" s="39">
        <f>SUM(O70:V70)</f>
        <v>80000.000000000015</v>
      </c>
      <c r="X70" s="40">
        <f>+N70-W70</f>
        <v>994000</v>
      </c>
      <c r="Y70" s="40"/>
      <c r="Z70" s="41"/>
      <c r="AA70" s="40">
        <f t="shared" si="4"/>
        <v>994000</v>
      </c>
    </row>
    <row r="71" spans="1:27" ht="12.75" x14ac:dyDescent="0.25">
      <c r="A71" s="120"/>
      <c r="B71" s="123">
        <v>68</v>
      </c>
      <c r="C71" s="118" t="s">
        <v>88</v>
      </c>
      <c r="D71" s="45" t="s">
        <v>32</v>
      </c>
      <c r="E71" s="39">
        <v>1500000</v>
      </c>
      <c r="F71" s="39">
        <v>30</v>
      </c>
      <c r="G71" s="39">
        <f t="shared" si="26"/>
        <v>1500000</v>
      </c>
      <c r="H71" s="39"/>
      <c r="I71" s="39"/>
      <c r="J71" s="39"/>
      <c r="K71" s="39"/>
      <c r="L71" s="39"/>
      <c r="M71" s="39"/>
      <c r="N71" s="39">
        <f t="shared" si="25"/>
        <v>1500000</v>
      </c>
      <c r="O71" s="39">
        <f>G71*4%</f>
        <v>60000</v>
      </c>
      <c r="P71" s="39">
        <f>G71*4%</f>
        <v>60000</v>
      </c>
      <c r="Q71" s="39"/>
      <c r="R71" s="39"/>
      <c r="S71" s="39">
        <v>0</v>
      </c>
      <c r="T71" s="39"/>
      <c r="U71" s="39"/>
      <c r="V71" s="39"/>
      <c r="W71" s="39">
        <f>SUM(O71:V71)</f>
        <v>120000</v>
      </c>
      <c r="X71" s="40">
        <f>N71-W71</f>
        <v>1380000</v>
      </c>
      <c r="Y71" s="40"/>
      <c r="Z71" s="41"/>
      <c r="AA71" s="40">
        <f t="shared" si="4"/>
        <v>1380000</v>
      </c>
    </row>
    <row r="72" spans="1:27" ht="12.75" x14ac:dyDescent="0.25">
      <c r="A72" s="120"/>
      <c r="B72" s="123">
        <v>69</v>
      </c>
      <c r="C72" s="37" t="s">
        <v>89</v>
      </c>
      <c r="D72" s="38" t="s">
        <v>32</v>
      </c>
      <c r="E72" s="39">
        <v>1300000</v>
      </c>
      <c r="F72" s="39">
        <v>30</v>
      </c>
      <c r="G72" s="39">
        <f t="shared" si="26"/>
        <v>1300000</v>
      </c>
      <c r="H72" s="39"/>
      <c r="I72" s="39"/>
      <c r="J72" s="39"/>
      <c r="K72" s="39"/>
      <c r="L72" s="39"/>
      <c r="M72" s="39"/>
      <c r="N72" s="39">
        <f t="shared" si="25"/>
        <v>1300000</v>
      </c>
      <c r="O72" s="39">
        <f>G72*4%</f>
        <v>52000</v>
      </c>
      <c r="P72" s="39">
        <f>O72</f>
        <v>52000</v>
      </c>
      <c r="Q72" s="39"/>
      <c r="R72" s="39"/>
      <c r="S72" s="39">
        <v>0</v>
      </c>
      <c r="T72" s="39"/>
      <c r="U72" s="39"/>
      <c r="V72" s="39"/>
      <c r="W72" s="39">
        <f>SUM(O72:V72)</f>
        <v>104000</v>
      </c>
      <c r="X72" s="40">
        <f>+N72-W72</f>
        <v>1196000</v>
      </c>
      <c r="Y72" s="40"/>
      <c r="Z72" s="41"/>
      <c r="AA72" s="40">
        <f t="shared" si="4"/>
        <v>1196000</v>
      </c>
    </row>
    <row r="73" spans="1:27" ht="12.75" x14ac:dyDescent="0.25">
      <c r="A73" s="120"/>
      <c r="B73" s="123">
        <v>70</v>
      </c>
      <c r="C73" s="37" t="s">
        <v>90</v>
      </c>
      <c r="D73" s="38" t="s">
        <v>32</v>
      </c>
      <c r="E73" s="39">
        <v>4000000</v>
      </c>
      <c r="F73" s="39">
        <v>30</v>
      </c>
      <c r="G73" s="39">
        <f t="shared" si="26"/>
        <v>4000000.0000000005</v>
      </c>
      <c r="H73" s="39"/>
      <c r="I73" s="39"/>
      <c r="J73" s="39"/>
      <c r="K73" s="39"/>
      <c r="L73" s="39"/>
      <c r="M73" s="39"/>
      <c r="N73" s="39">
        <f t="shared" si="25"/>
        <v>4000000.0000000005</v>
      </c>
      <c r="O73" s="39">
        <v>160000</v>
      </c>
      <c r="P73" s="39">
        <f>O73</f>
        <v>160000</v>
      </c>
      <c r="Q73" s="39"/>
      <c r="R73" s="39">
        <v>40000</v>
      </c>
      <c r="S73" s="39">
        <v>31064</v>
      </c>
      <c r="T73" s="39"/>
      <c r="U73" s="39">
        <v>108360</v>
      </c>
      <c r="V73" s="39"/>
      <c r="W73" s="39">
        <f>SUM(O73:V73)</f>
        <v>499424</v>
      </c>
      <c r="X73" s="40">
        <f>+N73-W73</f>
        <v>3500576.0000000005</v>
      </c>
      <c r="Y73" s="40"/>
      <c r="Z73" s="41"/>
      <c r="AA73" s="40">
        <f t="shared" si="4"/>
        <v>3500576.0000000005</v>
      </c>
    </row>
    <row r="74" spans="1:27" ht="12.75" x14ac:dyDescent="0.25">
      <c r="A74" s="120"/>
      <c r="B74" s="123">
        <v>71</v>
      </c>
      <c r="C74" s="118" t="s">
        <v>93</v>
      </c>
      <c r="D74" s="45" t="s">
        <v>32</v>
      </c>
      <c r="E74" s="39">
        <v>1300000</v>
      </c>
      <c r="F74" s="39">
        <v>30</v>
      </c>
      <c r="G74" s="39">
        <f>+E74/30*F74</f>
        <v>1300000</v>
      </c>
      <c r="H74" s="39"/>
      <c r="I74" s="39"/>
      <c r="J74" s="39"/>
      <c r="K74" s="39"/>
      <c r="L74" s="39"/>
      <c r="M74" s="39"/>
      <c r="N74" s="39">
        <f t="shared" si="25"/>
        <v>1300000</v>
      </c>
      <c r="O74" s="39">
        <f>G74*4%</f>
        <v>52000</v>
      </c>
      <c r="P74" s="39">
        <f>O74</f>
        <v>52000</v>
      </c>
      <c r="Q74" s="39"/>
      <c r="R74" s="39"/>
      <c r="S74" s="39">
        <v>0</v>
      </c>
      <c r="T74" s="39"/>
      <c r="U74" s="39"/>
      <c r="V74" s="39"/>
      <c r="W74" s="39">
        <f>SUM(O74:V74)</f>
        <v>104000</v>
      </c>
      <c r="X74" s="40">
        <f>N74-W74</f>
        <v>1196000</v>
      </c>
      <c r="Y74" s="40"/>
      <c r="Z74" s="41"/>
      <c r="AA74" s="40">
        <f t="shared" si="4"/>
        <v>1196000</v>
      </c>
    </row>
    <row r="75" spans="1:27" ht="12.75" x14ac:dyDescent="0.25">
      <c r="A75" s="120"/>
      <c r="B75" s="123">
        <v>72</v>
      </c>
      <c r="C75" s="37" t="s">
        <v>94</v>
      </c>
      <c r="D75" s="38" t="s">
        <v>32</v>
      </c>
      <c r="E75" s="39">
        <v>644350</v>
      </c>
      <c r="F75" s="39">
        <v>30</v>
      </c>
      <c r="G75" s="39">
        <f>+E75/30*F75</f>
        <v>644350</v>
      </c>
      <c r="H75" s="39">
        <v>74000</v>
      </c>
      <c r="I75" s="39"/>
      <c r="J75" s="39"/>
      <c r="K75" s="39"/>
      <c r="L75" s="39"/>
      <c r="M75" s="39"/>
      <c r="N75" s="39">
        <f t="shared" si="25"/>
        <v>718350</v>
      </c>
      <c r="O75" s="39">
        <f>G75*4%</f>
        <v>25774</v>
      </c>
      <c r="P75" s="39">
        <f>O75</f>
        <v>25774</v>
      </c>
      <c r="Q75" s="39"/>
      <c r="R75" s="39"/>
      <c r="S75" s="39">
        <v>0</v>
      </c>
      <c r="T75" s="39"/>
      <c r="U75" s="39"/>
      <c r="V75" s="39"/>
      <c r="W75" s="39">
        <f>SUM(O75:V75)</f>
        <v>51548</v>
      </c>
      <c r="X75" s="40">
        <f>+N75-W75</f>
        <v>666802</v>
      </c>
      <c r="Y75" s="40"/>
      <c r="Z75" s="41"/>
      <c r="AA75" s="40">
        <f t="shared" si="4"/>
        <v>666802</v>
      </c>
    </row>
    <row r="76" spans="1:27" ht="12.75" x14ac:dyDescent="0.25">
      <c r="A76" s="120"/>
      <c r="B76" s="123">
        <v>73</v>
      </c>
      <c r="C76" s="138" t="s">
        <v>95</v>
      </c>
      <c r="D76" s="38" t="s">
        <v>32</v>
      </c>
      <c r="E76" s="39">
        <v>800000</v>
      </c>
      <c r="F76" s="39">
        <v>30</v>
      </c>
      <c r="G76" s="39">
        <f>E76</f>
        <v>800000</v>
      </c>
      <c r="H76" s="39">
        <v>74000</v>
      </c>
      <c r="I76" s="39"/>
      <c r="J76" s="39"/>
      <c r="K76" s="39"/>
      <c r="L76" s="39"/>
      <c r="M76" s="39"/>
      <c r="N76" s="39">
        <f t="shared" si="25"/>
        <v>874000</v>
      </c>
      <c r="O76" s="39">
        <f>G76*4%</f>
        <v>32000</v>
      </c>
      <c r="P76" s="39">
        <f>O76</f>
        <v>32000</v>
      </c>
      <c r="Q76" s="39"/>
      <c r="R76" s="39"/>
      <c r="S76" s="39">
        <v>0</v>
      </c>
      <c r="T76" s="39"/>
      <c r="U76" s="39"/>
      <c r="V76" s="39"/>
      <c r="W76" s="39">
        <f>SUM(O76:V76)</f>
        <v>64000</v>
      </c>
      <c r="X76" s="40">
        <f>+N76-W76</f>
        <v>810000</v>
      </c>
      <c r="Y76" s="40"/>
      <c r="Z76" s="41"/>
      <c r="AA76" s="40">
        <f t="shared" si="4"/>
        <v>810000</v>
      </c>
    </row>
    <row r="77" spans="1:27" ht="12.75" x14ac:dyDescent="0.25">
      <c r="A77" s="140"/>
      <c r="B77" s="123">
        <v>74</v>
      </c>
      <c r="C77" s="37" t="s">
        <v>137</v>
      </c>
      <c r="D77" s="38" t="s">
        <v>32</v>
      </c>
      <c r="E77" s="39">
        <v>1300000</v>
      </c>
      <c r="F77" s="39">
        <v>30</v>
      </c>
      <c r="G77" s="39">
        <f t="shared" ref="G77:G80" si="27">+E77/30*F77</f>
        <v>1300000</v>
      </c>
      <c r="H77" s="39"/>
      <c r="I77" s="39"/>
      <c r="J77" s="39"/>
      <c r="K77" s="39"/>
      <c r="L77" s="39"/>
      <c r="M77" s="39"/>
      <c r="N77" s="39">
        <f t="shared" ref="N77" si="28">SUM(G77:M77)</f>
        <v>1300000</v>
      </c>
      <c r="O77" s="39">
        <f>+G77*4%</f>
        <v>52000</v>
      </c>
      <c r="P77" s="39">
        <f t="shared" ref="P77" si="29">+O77</f>
        <v>52000</v>
      </c>
      <c r="Q77" s="39"/>
      <c r="R77" s="39"/>
      <c r="S77" s="39"/>
      <c r="T77" s="39"/>
      <c r="U77" s="39"/>
      <c r="V77" s="39"/>
      <c r="W77" s="39">
        <f>SUM(O77:V77)</f>
        <v>104000</v>
      </c>
      <c r="X77" s="40">
        <f>+N77-W77</f>
        <v>1196000</v>
      </c>
      <c r="Y77" s="40"/>
      <c r="Z77" s="41"/>
      <c r="AA77" s="40">
        <f t="shared" si="4"/>
        <v>1196000</v>
      </c>
    </row>
    <row r="78" spans="1:27" ht="12.75" x14ac:dyDescent="0.25">
      <c r="A78" s="140"/>
      <c r="B78" s="123">
        <v>75</v>
      </c>
      <c r="C78" s="138" t="s">
        <v>116</v>
      </c>
      <c r="D78" s="96" t="s">
        <v>32</v>
      </c>
      <c r="E78" s="39">
        <v>2000000</v>
      </c>
      <c r="F78" s="39">
        <v>30</v>
      </c>
      <c r="G78" s="39">
        <f t="shared" si="27"/>
        <v>2000000.0000000002</v>
      </c>
      <c r="H78" s="39"/>
      <c r="I78" s="39"/>
      <c r="J78" s="39"/>
      <c r="K78" s="39"/>
      <c r="L78" s="39"/>
      <c r="M78" s="39">
        <v>500000</v>
      </c>
      <c r="N78" s="39">
        <f t="shared" si="25"/>
        <v>2500000</v>
      </c>
      <c r="O78" s="39">
        <f>G78*4%</f>
        <v>80000.000000000015</v>
      </c>
      <c r="P78" s="39">
        <f>G78*4%</f>
        <v>80000.000000000015</v>
      </c>
      <c r="Q78" s="39"/>
      <c r="R78" s="39"/>
      <c r="S78" s="39">
        <v>0</v>
      </c>
      <c r="T78" s="39"/>
      <c r="U78" s="39"/>
      <c r="V78" s="39"/>
      <c r="W78" s="39">
        <f>SUM(O78:V78)</f>
        <v>160000.00000000003</v>
      </c>
      <c r="X78" s="40">
        <f>N78-W78</f>
        <v>2340000</v>
      </c>
      <c r="Y78" s="40"/>
      <c r="Z78" s="41"/>
      <c r="AA78" s="40">
        <f t="shared" si="4"/>
        <v>2340000</v>
      </c>
    </row>
    <row r="79" spans="1:27" ht="18" x14ac:dyDescent="0.25">
      <c r="A79" s="140"/>
      <c r="B79" s="123">
        <v>76</v>
      </c>
      <c r="C79" s="138" t="s">
        <v>155</v>
      </c>
      <c r="D79" s="96" t="s">
        <v>32</v>
      </c>
      <c r="E79" s="39">
        <v>644350</v>
      </c>
      <c r="F79" s="39">
        <v>25</v>
      </c>
      <c r="G79" s="39">
        <f t="shared" si="27"/>
        <v>536958.33333333326</v>
      </c>
      <c r="H79" s="39"/>
      <c r="I79" s="39"/>
      <c r="J79" s="39"/>
      <c r="K79" s="39"/>
      <c r="L79" s="39"/>
      <c r="M79" s="39"/>
      <c r="N79" s="39">
        <f t="shared" ref="N79" si="30">SUM(G79:M79)</f>
        <v>536958.33333333326</v>
      </c>
      <c r="O79" s="39"/>
      <c r="P79" s="39"/>
      <c r="Q79" s="39"/>
      <c r="R79" s="39"/>
      <c r="S79" s="39">
        <v>0</v>
      </c>
      <c r="T79" s="39"/>
      <c r="U79" s="39"/>
      <c r="V79" s="39"/>
      <c r="W79" s="39">
        <f>SUM(O79:V79)</f>
        <v>0</v>
      </c>
      <c r="X79" s="40">
        <f>N79-W79</f>
        <v>536958.33333333326</v>
      </c>
      <c r="Y79" s="40"/>
      <c r="Z79" s="41"/>
      <c r="AA79" s="40">
        <f t="shared" ref="AA79:AA80" si="31">X79+Y79-Z79</f>
        <v>536958.33333333326</v>
      </c>
    </row>
    <row r="80" spans="1:27" ht="12.75" x14ac:dyDescent="0.25">
      <c r="A80" s="140"/>
      <c r="B80" s="123">
        <v>77</v>
      </c>
      <c r="C80" s="138" t="s">
        <v>149</v>
      </c>
      <c r="D80" s="96" t="s">
        <v>32</v>
      </c>
      <c r="E80" s="39">
        <v>644350</v>
      </c>
      <c r="F80" s="39">
        <v>30</v>
      </c>
      <c r="G80" s="39">
        <f t="shared" si="27"/>
        <v>644350</v>
      </c>
      <c r="H80" s="39"/>
      <c r="I80" s="39"/>
      <c r="J80" s="39"/>
      <c r="K80" s="39"/>
      <c r="L80" s="39"/>
      <c r="M80" s="39"/>
      <c r="N80" s="39">
        <f t="shared" ref="N80" si="32">SUM(G80:M80)</f>
        <v>644350</v>
      </c>
      <c r="O80" s="39"/>
      <c r="P80" s="39"/>
      <c r="Q80" s="39"/>
      <c r="R80" s="39"/>
      <c r="S80" s="39">
        <v>0</v>
      </c>
      <c r="T80" s="39"/>
      <c r="U80" s="39"/>
      <c r="V80" s="39"/>
      <c r="W80" s="39">
        <f>SUM(O80:V80)</f>
        <v>0</v>
      </c>
      <c r="X80" s="40">
        <f>N80-W80</f>
        <v>644350</v>
      </c>
      <c r="Y80" s="40"/>
      <c r="Z80" s="41"/>
      <c r="AA80" s="40">
        <f t="shared" si="31"/>
        <v>644350</v>
      </c>
    </row>
    <row r="81" spans="1:31" ht="12.75" x14ac:dyDescent="0.25">
      <c r="A81" s="45"/>
      <c r="B81" s="123"/>
      <c r="C81" s="37" t="s">
        <v>96</v>
      </c>
      <c r="D81" s="45"/>
      <c r="E81" s="39">
        <f>SUM(E6:E76)</f>
        <v>237861630</v>
      </c>
      <c r="F81" s="39" t="s">
        <v>1</v>
      </c>
      <c r="G81" s="39">
        <f>SUM(G6:G76)</f>
        <v>233428296.66666669</v>
      </c>
      <c r="H81" s="39">
        <f>SUM(H6:H76)</f>
        <v>444000</v>
      </c>
      <c r="I81" s="39">
        <f>SUM(I6:I76)</f>
        <v>0</v>
      </c>
      <c r="J81" s="39">
        <f>SUM(J6:J76)</f>
        <v>0</v>
      </c>
      <c r="K81" s="39"/>
      <c r="L81" s="39">
        <f t="shared" ref="L81:Z81" si="33">SUM(L6:L76)</f>
        <v>90000</v>
      </c>
      <c r="M81" s="39">
        <f t="shared" si="33"/>
        <v>11918750</v>
      </c>
      <c r="N81" s="39">
        <f t="shared" si="33"/>
        <v>245881046.66666669</v>
      </c>
      <c r="O81" s="39">
        <f t="shared" si="33"/>
        <v>9246913.8666666672</v>
      </c>
      <c r="P81" s="39">
        <f t="shared" si="33"/>
        <v>9246913.8666666672</v>
      </c>
      <c r="Q81" s="39">
        <f t="shared" si="33"/>
        <v>95900</v>
      </c>
      <c r="R81" s="39">
        <f t="shared" si="33"/>
        <v>2090174.8</v>
      </c>
      <c r="S81" s="39">
        <f t="shared" si="33"/>
        <v>3401501</v>
      </c>
      <c r="T81" s="39">
        <f t="shared" si="33"/>
        <v>8000000</v>
      </c>
      <c r="U81" s="39"/>
      <c r="V81" s="39">
        <f t="shared" si="33"/>
        <v>7797704</v>
      </c>
      <c r="W81" s="39">
        <f t="shared" si="33"/>
        <v>41596284.533333331</v>
      </c>
      <c r="X81" s="40">
        <f>SUM(X4:X80)</f>
        <v>214286318.46666667</v>
      </c>
      <c r="Y81" s="40">
        <f t="shared" si="33"/>
        <v>0</v>
      </c>
      <c r="Z81" s="41">
        <f t="shared" si="33"/>
        <v>0</v>
      </c>
      <c r="AA81" s="40">
        <f>SUM(AA4:AA80)</f>
        <v>214286318.46666667</v>
      </c>
    </row>
    <row r="82" spans="1:31" x14ac:dyDescent="0.25">
      <c r="E82" s="107"/>
      <c r="F82" s="107"/>
      <c r="G82" s="107"/>
      <c r="X82" s="124"/>
      <c r="Y82" s="124"/>
      <c r="AA82" s="124"/>
    </row>
    <row r="83" spans="1:31" x14ac:dyDescent="0.25">
      <c r="C83" s="104"/>
      <c r="D83" s="99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1:31" x14ac:dyDescent="0.25">
      <c r="C84" s="104"/>
      <c r="D84" s="99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1:31" x14ac:dyDescent="0.25">
      <c r="C85" s="104"/>
      <c r="D85" s="99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1:31" x14ac:dyDescent="0.25">
      <c r="C86" s="104"/>
      <c r="D86" s="99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1:31" x14ac:dyDescent="0.25">
      <c r="C87" s="104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1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1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1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1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1:31" x14ac:dyDescent="0.25">
      <c r="C92" s="109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1:31" x14ac:dyDescent="0.25">
      <c r="C93" s="109"/>
      <c r="D93" s="99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99"/>
      <c r="V93" s="107"/>
      <c r="W93" s="107"/>
      <c r="X93" s="99"/>
      <c r="Y93" s="99"/>
      <c r="Z93" s="102"/>
      <c r="AA93" s="99"/>
      <c r="AB93" s="99"/>
      <c r="AC93" s="99"/>
      <c r="AD93" s="99"/>
      <c r="AE93" s="99"/>
    </row>
    <row r="94" spans="1:31" x14ac:dyDescent="0.25">
      <c r="B94" s="99"/>
      <c r="C94" s="109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99"/>
      <c r="AC94" s="99"/>
      <c r="AD94" s="99"/>
      <c r="AE94" s="99"/>
    </row>
    <row r="95" spans="1:31" x14ac:dyDescent="0.25">
      <c r="B95" s="99"/>
      <c r="C95" s="109"/>
      <c r="D95" s="99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5"/>
      <c r="Y95" s="105"/>
      <c r="Z95" s="112"/>
      <c r="AA95" s="105"/>
      <c r="AB95" s="99"/>
      <c r="AC95" s="99"/>
      <c r="AD95" s="99"/>
      <c r="AE95" s="99"/>
    </row>
    <row r="96" spans="1:31" x14ac:dyDescent="0.25">
      <c r="B96" s="99"/>
      <c r="C96" s="104"/>
      <c r="D96" s="105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5"/>
      <c r="Y96" s="105"/>
      <c r="Z96" s="112"/>
      <c r="AA96" s="105"/>
    </row>
    <row r="97" spans="2:27" x14ac:dyDescent="0.25">
      <c r="B97" s="113"/>
      <c r="C97" s="104"/>
      <c r="D97" s="105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5"/>
      <c r="Y97" s="105"/>
      <c r="Z97" s="112"/>
      <c r="AA97" s="105"/>
    </row>
    <row r="98" spans="2:27" x14ac:dyDescent="0.25">
      <c r="C98" s="104"/>
      <c r="D98" s="105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</row>
    <row r="99" spans="2:27" x14ac:dyDescent="0.25">
      <c r="C99" s="104"/>
      <c r="D99" s="105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</row>
    <row r="100" spans="2:27" x14ac:dyDescent="0.25">
      <c r="C100" s="104"/>
      <c r="D100" s="105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</row>
    <row r="101" spans="2:27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</row>
    <row r="102" spans="2:27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</row>
    <row r="103" spans="2:27" x14ac:dyDescent="0.25">
      <c r="C103" s="109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99"/>
      <c r="Y103" s="99"/>
      <c r="Z103" s="102"/>
      <c r="AA103" s="99"/>
    </row>
    <row r="104" spans="2:27" x14ac:dyDescent="0.25">
      <c r="C104" s="109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</row>
    <row r="105" spans="2:27" x14ac:dyDescent="0.25">
      <c r="B105" s="99"/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</row>
    <row r="106" spans="2:27" x14ac:dyDescent="0.25">
      <c r="B106" s="99"/>
      <c r="C106" s="109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99"/>
      <c r="Y106" s="99"/>
      <c r="Z106" s="102"/>
      <c r="AA106" s="99"/>
    </row>
    <row r="107" spans="2:27" x14ac:dyDescent="0.25">
      <c r="B107" s="99"/>
      <c r="C107" s="109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14"/>
      <c r="Y107" s="114"/>
      <c r="Z107" s="102"/>
      <c r="AA107" s="114"/>
    </row>
    <row r="108" spans="2:27" x14ac:dyDescent="0.25">
      <c r="B108" s="99"/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15"/>
      <c r="Y108" s="115"/>
      <c r="Z108" s="102"/>
      <c r="AA108" s="115"/>
    </row>
    <row r="109" spans="2:27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27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27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27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3:27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3:27" x14ac:dyDescent="0.25"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3:27" x14ac:dyDescent="0.25"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3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>
        <v>3003000</v>
      </c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3:27" x14ac:dyDescent="0.25">
      <c r="C117" s="104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3:27" x14ac:dyDescent="0.25">
      <c r="C118" s="104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3:27" x14ac:dyDescent="0.25">
      <c r="C119" s="104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3:27" x14ac:dyDescent="0.25">
      <c r="C120" s="104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3:27" x14ac:dyDescent="0.25">
      <c r="C121" s="109">
        <v>42614840</v>
      </c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>
        <v>412608</v>
      </c>
      <c r="X121" s="99"/>
      <c r="Y121" s="99"/>
      <c r="Z121" s="102"/>
      <c r="AA121" s="99"/>
    </row>
    <row r="122" spans="3:27" x14ac:dyDescent="0.25">
      <c r="C122" s="109">
        <v>9675182</v>
      </c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>
        <v>1880000</v>
      </c>
      <c r="X122" s="99"/>
      <c r="Y122" s="99"/>
      <c r="Z122" s="102"/>
      <c r="AA122" s="99"/>
    </row>
    <row r="123" spans="3:27" x14ac:dyDescent="0.25">
      <c r="C123" s="109">
        <v>17903600</v>
      </c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3:27" x14ac:dyDescent="0.25">
      <c r="C124" s="109">
        <f>SUM(C121:C123)</f>
        <v>70193622</v>
      </c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3:27" x14ac:dyDescent="0.25">
      <c r="C125" s="109">
        <v>400000</v>
      </c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3:27" x14ac:dyDescent="0.25">
      <c r="C126" s="109">
        <f>+C124+C125</f>
        <v>70593622</v>
      </c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9" spans="3:3" x14ac:dyDescent="0.25">
      <c r="C129" s="100">
        <v>64000000</v>
      </c>
    </row>
    <row r="130" spans="3:3" x14ac:dyDescent="0.25">
      <c r="C130" s="100">
        <v>11000000</v>
      </c>
    </row>
    <row r="131" spans="3:3" x14ac:dyDescent="0.25">
      <c r="C131" s="100">
        <f>+C129+C130</f>
        <v>75000000</v>
      </c>
    </row>
    <row r="135" spans="3:3" x14ac:dyDescent="0.25">
      <c r="C135" s="100">
        <v>2745000</v>
      </c>
    </row>
    <row r="136" spans="3:3" x14ac:dyDescent="0.25">
      <c r="C136" s="100">
        <v>3185000</v>
      </c>
    </row>
    <row r="137" spans="3:3" x14ac:dyDescent="0.25">
      <c r="C137" s="100">
        <v>1080000</v>
      </c>
    </row>
    <row r="138" spans="3:3" x14ac:dyDescent="0.25">
      <c r="C138" s="100">
        <v>4850100</v>
      </c>
    </row>
    <row r="139" spans="3:3" x14ac:dyDescent="0.25">
      <c r="C139" s="100">
        <v>5027500</v>
      </c>
    </row>
    <row r="140" spans="3:3" x14ac:dyDescent="0.25">
      <c r="C140" s="100">
        <v>4566000</v>
      </c>
    </row>
    <row r="141" spans="3:3" x14ac:dyDescent="0.25">
      <c r="C141" s="100">
        <v>1050000</v>
      </c>
    </row>
    <row r="142" spans="3:3" x14ac:dyDescent="0.25">
      <c r="C142" s="100">
        <v>3877333</v>
      </c>
    </row>
    <row r="143" spans="3:3" x14ac:dyDescent="0.25">
      <c r="C143" s="100">
        <v>6732440</v>
      </c>
    </row>
    <row r="144" spans="3:3" x14ac:dyDescent="0.25">
      <c r="C144" s="100">
        <v>3460000</v>
      </c>
    </row>
    <row r="145" spans="3:3" x14ac:dyDescent="0.25">
      <c r="C145" s="100">
        <v>588800</v>
      </c>
    </row>
    <row r="146" spans="3:3" x14ac:dyDescent="0.25">
      <c r="C146" s="100">
        <v>1868000</v>
      </c>
    </row>
    <row r="147" spans="3:3" x14ac:dyDescent="0.25">
      <c r="C147" s="100">
        <v>10313000</v>
      </c>
    </row>
    <row r="148" spans="3:3" x14ac:dyDescent="0.25">
      <c r="C148" s="100">
        <v>3443800</v>
      </c>
    </row>
    <row r="149" spans="3:3" x14ac:dyDescent="0.25">
      <c r="C149" s="100">
        <v>8136400</v>
      </c>
    </row>
    <row r="150" spans="3:3" x14ac:dyDescent="0.25">
      <c r="C150" s="100">
        <v>9675183</v>
      </c>
    </row>
    <row r="151" spans="3:3" x14ac:dyDescent="0.25">
      <c r="C151" s="100">
        <f>SUM(C135:C150)</f>
        <v>70598556</v>
      </c>
    </row>
  </sheetData>
  <mergeCells count="7">
    <mergeCell ref="D94:AA94"/>
    <mergeCell ref="C1:X1"/>
    <mergeCell ref="E2:N2"/>
    <mergeCell ref="O2:W2"/>
    <mergeCell ref="A3:A44"/>
    <mergeCell ref="A45:A76"/>
    <mergeCell ref="E93:T9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15AE-170A-4D4C-A962-A658AF7A7675}">
  <dimension ref="A1:AE179"/>
  <sheetViews>
    <sheetView topLeftCell="E1" workbookViewId="0">
      <selection activeCell="X15" sqref="X15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8.28515625" style="101" customWidth="1"/>
    <col min="8" max="8" width="6.855468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10.42578125" style="101" customWidth="1"/>
    <col min="18" max="18" width="7.28515625" style="101" customWidth="1"/>
    <col min="19" max="19" width="7.42578125" style="101" customWidth="1"/>
    <col min="20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156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89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139</v>
      </c>
      <c r="J3" s="97" t="s">
        <v>101</v>
      </c>
      <c r="K3" s="97" t="s">
        <v>14</v>
      </c>
      <c r="L3" s="97" t="s">
        <v>157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22</v>
      </c>
      <c r="S3" s="97" t="s">
        <v>23</v>
      </c>
      <c r="T3" s="97" t="s">
        <v>24</v>
      </c>
      <c r="U3" s="97" t="s">
        <v>151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95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 t="shared" ref="G4:G9" si="0"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 t="shared" ref="O4:O11" si="1">+G4*4%</f>
        <v>180000</v>
      </c>
      <c r="P4" s="39">
        <f t="shared" ref="P4:P9" si="2">+O4</f>
        <v>180000</v>
      </c>
      <c r="Q4" s="39"/>
      <c r="R4" s="39">
        <f>+G4*0.01</f>
        <v>45000</v>
      </c>
      <c r="S4" s="39">
        <v>98752</v>
      </c>
      <c r="T4" s="39"/>
      <c r="U4" s="39"/>
      <c r="V4" s="39"/>
      <c r="W4" s="39">
        <f>SUM(O4:V4)</f>
        <v>503752</v>
      </c>
      <c r="X4" s="40">
        <f>+N4-W4</f>
        <v>3996248</v>
      </c>
      <c r="Y4" s="40"/>
      <c r="Z4" s="41"/>
      <c r="AA4" s="40">
        <f t="shared" ref="AA4:AA11" si="3">X4+Y4-Z4</f>
        <v>3996248</v>
      </c>
    </row>
    <row r="5" spans="1:27" ht="12.75" x14ac:dyDescent="0.25">
      <c r="A5" s="95"/>
      <c r="B5" s="123">
        <v>2</v>
      </c>
      <c r="C5" s="37" t="s">
        <v>152</v>
      </c>
      <c r="D5" s="38" t="s">
        <v>32</v>
      </c>
      <c r="E5" s="39">
        <v>3000000</v>
      </c>
      <c r="F5" s="39">
        <v>30</v>
      </c>
      <c r="G5" s="39">
        <f t="shared" si="0"/>
        <v>3000000</v>
      </c>
      <c r="H5" s="39"/>
      <c r="I5" s="39"/>
      <c r="J5" s="39"/>
      <c r="K5" s="39"/>
      <c r="L5" s="39"/>
      <c r="M5" s="39"/>
      <c r="N5" s="39">
        <f>SUM(G5:M5)</f>
        <v>3000000</v>
      </c>
      <c r="O5" s="39">
        <f t="shared" si="1"/>
        <v>120000</v>
      </c>
      <c r="P5" s="39">
        <f t="shared" si="2"/>
        <v>120000</v>
      </c>
      <c r="Q5" s="39"/>
      <c r="R5" s="39">
        <f>+G5*0.01</f>
        <v>30000</v>
      </c>
      <c r="S5" s="39">
        <v>0</v>
      </c>
      <c r="T5" s="39"/>
      <c r="U5" s="39"/>
      <c r="V5" s="39"/>
      <c r="W5" s="39">
        <f>SUM(O5:V5)</f>
        <v>270000</v>
      </c>
      <c r="X5" s="40">
        <f>+N5-W5</f>
        <v>2730000</v>
      </c>
      <c r="Y5" s="40"/>
      <c r="Z5" s="41"/>
      <c r="AA5" s="40">
        <f t="shared" si="3"/>
        <v>2730000</v>
      </c>
    </row>
    <row r="6" spans="1:27" ht="12.75" x14ac:dyDescent="0.25">
      <c r="A6" s="95"/>
      <c r="B6" s="123">
        <v>3</v>
      </c>
      <c r="C6" s="37" t="s">
        <v>31</v>
      </c>
      <c r="D6" s="38" t="s">
        <v>32</v>
      </c>
      <c r="E6" s="39">
        <v>4000000</v>
      </c>
      <c r="F6" s="39">
        <v>30</v>
      </c>
      <c r="G6" s="39">
        <f t="shared" si="0"/>
        <v>4000000.0000000005</v>
      </c>
      <c r="H6" s="39"/>
      <c r="I6" s="39"/>
      <c r="J6" s="39"/>
      <c r="K6" s="39"/>
      <c r="L6" s="39"/>
      <c r="M6" s="39"/>
      <c r="N6" s="39">
        <f>SUM(G6:M6)</f>
        <v>4000000.0000000005</v>
      </c>
      <c r="O6" s="39">
        <f t="shared" si="1"/>
        <v>160000.00000000003</v>
      </c>
      <c r="P6" s="39">
        <f t="shared" si="2"/>
        <v>160000.00000000003</v>
      </c>
      <c r="Q6" s="39"/>
      <c r="R6" s="39">
        <f>+G6*0.01</f>
        <v>40000.000000000007</v>
      </c>
      <c r="S6" s="39">
        <v>31064</v>
      </c>
      <c r="T6" s="39"/>
      <c r="U6" s="39"/>
      <c r="V6" s="39"/>
      <c r="W6" s="39">
        <f>SUM(O6:V6)</f>
        <v>391064.00000000006</v>
      </c>
      <c r="X6" s="40">
        <f>+N6-W6</f>
        <v>3608936.0000000005</v>
      </c>
      <c r="Y6" s="40"/>
      <c r="Z6" s="41"/>
      <c r="AA6" s="40">
        <f t="shared" si="3"/>
        <v>3608936.0000000005</v>
      </c>
    </row>
    <row r="7" spans="1:27" ht="12.75" x14ac:dyDescent="0.25">
      <c r="A7" s="95"/>
      <c r="B7" s="123">
        <v>4</v>
      </c>
      <c r="C7" s="37" t="s">
        <v>158</v>
      </c>
      <c r="D7" s="38" t="s">
        <v>32</v>
      </c>
      <c r="E7" s="39">
        <v>3500000</v>
      </c>
      <c r="F7" s="39">
        <v>31</v>
      </c>
      <c r="G7" s="39">
        <f t="shared" si="0"/>
        <v>3616666.666666667</v>
      </c>
      <c r="H7" s="39"/>
      <c r="I7" s="39"/>
      <c r="J7" s="39"/>
      <c r="K7" s="39"/>
      <c r="L7" s="39"/>
      <c r="M7" s="39">
        <f>(500000/30)*31</f>
        <v>516666.66666666669</v>
      </c>
      <c r="N7" s="39">
        <f>SUM(G7:M7)</f>
        <v>4133333.3333333335</v>
      </c>
      <c r="O7" s="39">
        <f t="shared" si="1"/>
        <v>144666.66666666669</v>
      </c>
      <c r="P7" s="39">
        <f t="shared" si="2"/>
        <v>144666.66666666669</v>
      </c>
      <c r="Q7" s="39"/>
      <c r="R7" s="39">
        <f>+G7*0.01</f>
        <v>36166.666666666672</v>
      </c>
      <c r="S7" s="39">
        <v>0</v>
      </c>
      <c r="T7" s="39"/>
      <c r="U7" s="39"/>
      <c r="V7" s="39"/>
      <c r="W7" s="39">
        <f>SUM(O7:V7)</f>
        <v>325500.00000000006</v>
      </c>
      <c r="X7" s="40">
        <f>+N7-W7</f>
        <v>3807833.3333333335</v>
      </c>
      <c r="Y7" s="40"/>
      <c r="Z7" s="41"/>
      <c r="AA7" s="40">
        <f t="shared" si="3"/>
        <v>3807833.3333333335</v>
      </c>
    </row>
    <row r="8" spans="1:27" ht="12.75" x14ac:dyDescent="0.25">
      <c r="A8" s="95"/>
      <c r="B8" s="123">
        <v>5</v>
      </c>
      <c r="C8" s="37" t="s">
        <v>33</v>
      </c>
      <c r="D8" s="38" t="s">
        <v>32</v>
      </c>
      <c r="E8" s="39">
        <v>5133000</v>
      </c>
      <c r="F8" s="39">
        <v>30</v>
      </c>
      <c r="G8" s="39">
        <f t="shared" si="0"/>
        <v>5133000</v>
      </c>
      <c r="H8" s="39"/>
      <c r="I8" s="39"/>
      <c r="J8" s="39"/>
      <c r="K8" s="39"/>
      <c r="L8" s="39"/>
      <c r="M8" s="39"/>
      <c r="N8" s="39">
        <f t="shared" ref="N8:N43" si="4">SUM(G8:M8)</f>
        <v>5133000</v>
      </c>
      <c r="O8" s="39">
        <f t="shared" si="1"/>
        <v>205320</v>
      </c>
      <c r="P8" s="39">
        <f t="shared" si="2"/>
        <v>205320</v>
      </c>
      <c r="Q8" s="39"/>
      <c r="R8" s="39">
        <f>+G8*0.01</f>
        <v>51330</v>
      </c>
      <c r="S8" s="48">
        <v>111299</v>
      </c>
      <c r="T8" s="39"/>
      <c r="U8" s="39"/>
      <c r="V8" s="39"/>
      <c r="W8" s="39">
        <f>SUM(O8:V8)</f>
        <v>573269</v>
      </c>
      <c r="X8" s="40">
        <f>+N8-W8</f>
        <v>4559731</v>
      </c>
      <c r="Y8" s="40"/>
      <c r="Z8" s="41"/>
      <c r="AA8" s="40">
        <f t="shared" si="3"/>
        <v>4559731</v>
      </c>
    </row>
    <row r="9" spans="1:27" ht="12.75" x14ac:dyDescent="0.25">
      <c r="A9" s="95"/>
      <c r="B9" s="123">
        <v>6</v>
      </c>
      <c r="C9" s="37" t="s">
        <v>34</v>
      </c>
      <c r="D9" s="38" t="s">
        <v>32</v>
      </c>
      <c r="E9" s="39">
        <v>4180000</v>
      </c>
      <c r="F9" s="39">
        <v>30</v>
      </c>
      <c r="G9" s="39">
        <f t="shared" si="0"/>
        <v>4180000.0000000005</v>
      </c>
      <c r="H9" s="39"/>
      <c r="I9" s="39"/>
      <c r="J9" s="39"/>
      <c r="K9" s="39"/>
      <c r="L9" s="39"/>
      <c r="M9" s="39">
        <v>1881000</v>
      </c>
      <c r="N9" s="39">
        <f t="shared" si="4"/>
        <v>6061000</v>
      </c>
      <c r="O9" s="39">
        <f t="shared" si="1"/>
        <v>167200.00000000003</v>
      </c>
      <c r="P9" s="39">
        <f t="shared" si="2"/>
        <v>167200.00000000003</v>
      </c>
      <c r="Q9" s="39"/>
      <c r="R9" s="39">
        <f>+G9*0.01</f>
        <v>41800.000000000007</v>
      </c>
      <c r="S9" s="48">
        <v>31064</v>
      </c>
      <c r="T9" s="39"/>
      <c r="U9" s="39"/>
      <c r="V9" s="39"/>
      <c r="W9" s="39">
        <f>SUM(O9:V9)</f>
        <v>407264.00000000006</v>
      </c>
      <c r="X9" s="40">
        <f>+N9-W9</f>
        <v>5653736</v>
      </c>
      <c r="Y9" s="40"/>
      <c r="Z9" s="41"/>
      <c r="AA9" s="40">
        <f t="shared" si="3"/>
        <v>5653736</v>
      </c>
    </row>
    <row r="10" spans="1:27" ht="12.75" x14ac:dyDescent="0.25">
      <c r="A10" s="95"/>
      <c r="B10" s="123">
        <v>7</v>
      </c>
      <c r="C10" s="37" t="s">
        <v>130</v>
      </c>
      <c r="D10" s="38" t="s">
        <v>32</v>
      </c>
      <c r="E10" s="39">
        <v>4200000</v>
      </c>
      <c r="F10" s="39">
        <v>30</v>
      </c>
      <c r="G10" s="39">
        <f>E10/30*F10</f>
        <v>4200000</v>
      </c>
      <c r="H10" s="39"/>
      <c r="I10" s="39"/>
      <c r="J10" s="39"/>
      <c r="K10" s="39"/>
      <c r="L10" s="39"/>
      <c r="M10" s="39"/>
      <c r="N10" s="39">
        <f t="shared" si="4"/>
        <v>4200000</v>
      </c>
      <c r="O10" s="39">
        <f t="shared" si="1"/>
        <v>168000</v>
      </c>
      <c r="P10" s="39">
        <f>O10</f>
        <v>168000</v>
      </c>
      <c r="Q10" s="39"/>
      <c r="R10" s="39">
        <f>+G10*1%</f>
        <v>42000</v>
      </c>
      <c r="S10" s="48">
        <v>2545</v>
      </c>
      <c r="T10" s="39"/>
      <c r="U10" s="39"/>
      <c r="V10" s="39"/>
      <c r="W10" s="39">
        <f>SUM(O10:V10)</f>
        <v>380545</v>
      </c>
      <c r="X10" s="40">
        <f>N10-W10</f>
        <v>3819455</v>
      </c>
      <c r="Y10" s="40"/>
      <c r="Z10" s="41"/>
      <c r="AA10" s="40">
        <f t="shared" si="3"/>
        <v>3819455</v>
      </c>
    </row>
    <row r="11" spans="1:27" ht="12.75" x14ac:dyDescent="0.25">
      <c r="A11" s="95"/>
      <c r="B11" s="123">
        <v>8</v>
      </c>
      <c r="C11" s="37" t="s">
        <v>153</v>
      </c>
      <c r="D11" s="38" t="s">
        <v>32</v>
      </c>
      <c r="E11" s="39">
        <v>5500000</v>
      </c>
      <c r="F11" s="39">
        <v>30</v>
      </c>
      <c r="G11" s="39">
        <f>E11/30*F11</f>
        <v>5500000</v>
      </c>
      <c r="H11" s="39"/>
      <c r="I11" s="39"/>
      <c r="J11" s="39"/>
      <c r="K11" s="39"/>
      <c r="L11" s="39"/>
      <c r="M11" s="39"/>
      <c r="N11" s="39">
        <f t="shared" si="4"/>
        <v>5500000</v>
      </c>
      <c r="O11" s="39">
        <f t="shared" si="1"/>
        <v>220000</v>
      </c>
      <c r="P11" s="39">
        <f>O11</f>
        <v>220000</v>
      </c>
      <c r="Q11" s="39"/>
      <c r="R11" s="39">
        <f>+G11*1%</f>
        <v>55000</v>
      </c>
      <c r="S11" s="48">
        <v>234000</v>
      </c>
      <c r="T11" s="39"/>
      <c r="U11" s="39"/>
      <c r="V11" s="39"/>
      <c r="W11" s="39">
        <f>SUM(O11:V11)</f>
        <v>729000</v>
      </c>
      <c r="X11" s="40">
        <f>N11-W11</f>
        <v>4771000</v>
      </c>
      <c r="Y11" s="40"/>
      <c r="Z11" s="41"/>
      <c r="AA11" s="40">
        <f t="shared" si="3"/>
        <v>4771000</v>
      </c>
    </row>
    <row r="12" spans="1:27" ht="12.75" x14ac:dyDescent="0.25">
      <c r="A12" s="95"/>
      <c r="B12" s="123">
        <v>9</v>
      </c>
      <c r="C12" s="37" t="s">
        <v>36</v>
      </c>
      <c r="D12" s="38" t="s">
        <v>32</v>
      </c>
      <c r="E12" s="39">
        <v>4500000</v>
      </c>
      <c r="F12" s="39">
        <v>30</v>
      </c>
      <c r="G12" s="39">
        <f>E12/30*F12</f>
        <v>4500000</v>
      </c>
      <c r="H12" s="39"/>
      <c r="I12" s="39"/>
      <c r="J12" s="39"/>
      <c r="K12" s="39"/>
      <c r="L12" s="39"/>
      <c r="M12" s="39"/>
      <c r="N12" s="39">
        <f t="shared" si="4"/>
        <v>4500000</v>
      </c>
      <c r="O12" s="39">
        <f t="shared" ref="O12:O15" si="5">G12*4%</f>
        <v>180000</v>
      </c>
      <c r="P12" s="39">
        <f>O12</f>
        <v>180000</v>
      </c>
      <c r="Q12" s="39"/>
      <c r="R12" s="39">
        <f>G12*1%</f>
        <v>45000</v>
      </c>
      <c r="S12" s="39">
        <v>98752</v>
      </c>
      <c r="T12" s="39"/>
      <c r="U12" s="39"/>
      <c r="V12" s="39"/>
      <c r="W12" s="39">
        <f>SUM(O12:V12)</f>
        <v>503752</v>
      </c>
      <c r="X12" s="40">
        <f>N12-W12</f>
        <v>3996248</v>
      </c>
      <c r="Y12" s="40"/>
      <c r="Z12" s="41"/>
      <c r="AA12" s="40">
        <f>X12+Y12-Z12</f>
        <v>3996248</v>
      </c>
    </row>
    <row r="13" spans="1:27" ht="12.75" x14ac:dyDescent="0.25">
      <c r="A13" s="95"/>
      <c r="B13" s="123">
        <v>10</v>
      </c>
      <c r="C13" s="137" t="s">
        <v>38</v>
      </c>
      <c r="D13" s="96" t="s">
        <v>32</v>
      </c>
      <c r="E13" s="39">
        <v>4800000</v>
      </c>
      <c r="F13" s="39">
        <v>30</v>
      </c>
      <c r="G13" s="39">
        <f>+E13/30*F13</f>
        <v>4800000</v>
      </c>
      <c r="H13" s="39"/>
      <c r="I13" s="39"/>
      <c r="J13" s="39"/>
      <c r="K13" s="39"/>
      <c r="L13" s="39"/>
      <c r="M13" s="39"/>
      <c r="N13" s="39">
        <f t="shared" si="4"/>
        <v>4800000</v>
      </c>
      <c r="O13" s="39">
        <f t="shared" si="5"/>
        <v>192000</v>
      </c>
      <c r="P13" s="39">
        <f>+O13</f>
        <v>192000</v>
      </c>
      <c r="Q13" s="39"/>
      <c r="R13" s="39">
        <f>+G13*0.01</f>
        <v>48000</v>
      </c>
      <c r="S13" s="39">
        <v>5939</v>
      </c>
      <c r="T13" s="39"/>
      <c r="U13" s="39"/>
      <c r="V13" s="39"/>
      <c r="W13" s="39">
        <f>SUM(O13:V13)</f>
        <v>437939</v>
      </c>
      <c r="X13" s="40">
        <f>+N13-W13</f>
        <v>4362061</v>
      </c>
      <c r="Y13" s="40"/>
      <c r="Z13" s="41"/>
      <c r="AA13" s="40">
        <f t="shared" ref="AA13:AA84" si="6">X13+Y13-Z13</f>
        <v>4362061</v>
      </c>
    </row>
    <row r="14" spans="1:27" ht="12.75" x14ac:dyDescent="0.25">
      <c r="A14" s="95"/>
      <c r="B14" s="123">
        <v>11</v>
      </c>
      <c r="C14" s="137" t="s">
        <v>140</v>
      </c>
      <c r="D14" s="96" t="s">
        <v>32</v>
      </c>
      <c r="E14" s="39">
        <v>4000000</v>
      </c>
      <c r="F14" s="39">
        <v>30</v>
      </c>
      <c r="G14" s="39">
        <f>+E14/30*F14</f>
        <v>4000000.0000000005</v>
      </c>
      <c r="H14" s="39"/>
      <c r="I14" s="39"/>
      <c r="J14" s="39"/>
      <c r="K14" s="39"/>
      <c r="L14" s="39"/>
      <c r="M14" s="39"/>
      <c r="N14" s="39">
        <f t="shared" si="4"/>
        <v>4000000.0000000005</v>
      </c>
      <c r="O14" s="39">
        <f t="shared" si="5"/>
        <v>160000.00000000003</v>
      </c>
      <c r="P14" s="39">
        <f>+O14</f>
        <v>160000.00000000003</v>
      </c>
      <c r="Q14" s="39"/>
      <c r="R14" s="39">
        <f>+G14*0.01</f>
        <v>40000.000000000007</v>
      </c>
      <c r="S14" s="39">
        <v>31064</v>
      </c>
      <c r="T14" s="39"/>
      <c r="U14" s="39"/>
      <c r="V14" s="39"/>
      <c r="W14" s="39">
        <f>SUM(O14:V14)</f>
        <v>391064.00000000006</v>
      </c>
      <c r="X14" s="40">
        <f>+N14-W14</f>
        <v>3608936.0000000005</v>
      </c>
      <c r="Y14" s="40"/>
      <c r="Z14" s="41"/>
      <c r="AA14" s="40">
        <f t="shared" si="6"/>
        <v>3608936.0000000005</v>
      </c>
    </row>
    <row r="15" spans="1:27" ht="12.75" x14ac:dyDescent="0.25">
      <c r="A15" s="95"/>
      <c r="B15" s="123">
        <v>12</v>
      </c>
      <c r="C15" s="118" t="s">
        <v>40</v>
      </c>
      <c r="D15" s="45" t="s">
        <v>32</v>
      </c>
      <c r="E15" s="39">
        <v>3500000</v>
      </c>
      <c r="F15" s="39">
        <v>30</v>
      </c>
      <c r="G15" s="39">
        <f t="shared" ref="G15:G18" si="7">+E15/30*F15</f>
        <v>3500000</v>
      </c>
      <c r="H15" s="39"/>
      <c r="I15" s="39"/>
      <c r="J15" s="39"/>
      <c r="K15" s="39"/>
      <c r="L15" s="39"/>
      <c r="M15" s="39">
        <v>500000</v>
      </c>
      <c r="N15" s="39">
        <f t="shared" si="4"/>
        <v>4000000</v>
      </c>
      <c r="O15" s="39">
        <f t="shared" si="5"/>
        <v>140000</v>
      </c>
      <c r="P15" s="39">
        <f>O15</f>
        <v>140000</v>
      </c>
      <c r="Q15" s="39"/>
      <c r="R15" s="39">
        <f>G15*1%</f>
        <v>35000</v>
      </c>
      <c r="S15" s="39">
        <v>0</v>
      </c>
      <c r="T15" s="39"/>
      <c r="U15" s="39"/>
      <c r="V15" s="39"/>
      <c r="W15" s="39">
        <f>SUM(O15:V15)</f>
        <v>315000</v>
      </c>
      <c r="X15" s="40">
        <f>+N15-W15</f>
        <v>3685000</v>
      </c>
      <c r="Y15" s="40"/>
      <c r="Z15" s="41"/>
      <c r="AA15" s="40">
        <f t="shared" si="6"/>
        <v>3685000</v>
      </c>
    </row>
    <row r="16" spans="1:27" ht="12.75" x14ac:dyDescent="0.25">
      <c r="A16" s="95"/>
      <c r="B16" s="123">
        <v>13</v>
      </c>
      <c r="C16" s="37" t="s">
        <v>42</v>
      </c>
      <c r="D16" s="38" t="s">
        <v>32</v>
      </c>
      <c r="E16" s="39">
        <v>4410000</v>
      </c>
      <c r="F16" s="39">
        <v>30</v>
      </c>
      <c r="G16" s="39">
        <f t="shared" si="7"/>
        <v>4410000</v>
      </c>
      <c r="H16" s="39"/>
      <c r="I16" s="39"/>
      <c r="J16" s="39"/>
      <c r="K16" s="39"/>
      <c r="L16" s="39"/>
      <c r="M16" s="39"/>
      <c r="N16" s="39">
        <f t="shared" si="4"/>
        <v>4410000</v>
      </c>
      <c r="O16" s="39">
        <f>+G16*4%</f>
        <v>176400</v>
      </c>
      <c r="P16" s="39">
        <f>+O16</f>
        <v>176400</v>
      </c>
      <c r="Q16" s="39"/>
      <c r="R16" s="39">
        <f>+G16*0.01</f>
        <v>44100</v>
      </c>
      <c r="S16" s="48">
        <v>29568</v>
      </c>
      <c r="T16" s="39">
        <v>400000</v>
      </c>
      <c r="U16" s="39"/>
      <c r="V16" s="39"/>
      <c r="W16" s="39">
        <f>SUM(O16:V16)</f>
        <v>826468</v>
      </c>
      <c r="X16" s="40">
        <f>+N16-W16</f>
        <v>3583532</v>
      </c>
      <c r="Y16" s="40"/>
      <c r="Z16" s="41"/>
      <c r="AA16" s="40">
        <f t="shared" si="6"/>
        <v>3583532</v>
      </c>
    </row>
    <row r="17" spans="1:27" ht="12.75" x14ac:dyDescent="0.25">
      <c r="A17" s="95"/>
      <c r="B17" s="123">
        <v>14</v>
      </c>
      <c r="C17" s="37" t="s">
        <v>159</v>
      </c>
      <c r="D17" s="38" t="s">
        <v>32</v>
      </c>
      <c r="E17" s="39">
        <v>3500000</v>
      </c>
      <c r="F17" s="39">
        <v>31</v>
      </c>
      <c r="G17" s="39">
        <f t="shared" si="7"/>
        <v>3616666.666666667</v>
      </c>
      <c r="H17" s="39"/>
      <c r="I17" s="39"/>
      <c r="J17" s="39"/>
      <c r="K17" s="39"/>
      <c r="L17" s="39"/>
      <c r="M17" s="39"/>
      <c r="N17" s="39">
        <f t="shared" si="4"/>
        <v>3616666.666666667</v>
      </c>
      <c r="O17" s="39">
        <f>+G17*4%</f>
        <v>144666.66666666669</v>
      </c>
      <c r="P17" s="39">
        <f>+O17</f>
        <v>144666.66666666669</v>
      </c>
      <c r="Q17" s="39"/>
      <c r="R17" s="39">
        <f>+G17*0.01</f>
        <v>36166.666666666672</v>
      </c>
      <c r="S17" s="48"/>
      <c r="T17" s="39"/>
      <c r="U17" s="39"/>
      <c r="V17" s="39"/>
      <c r="W17" s="39">
        <f>SUM(O17:V17)</f>
        <v>325500.00000000006</v>
      </c>
      <c r="X17" s="40">
        <f>+N17-W17</f>
        <v>3291166.666666667</v>
      </c>
      <c r="Y17" s="40"/>
      <c r="Z17" s="41"/>
      <c r="AA17" s="40">
        <f t="shared" si="6"/>
        <v>3291166.666666667</v>
      </c>
    </row>
    <row r="18" spans="1:27" ht="12.75" x14ac:dyDescent="0.25">
      <c r="A18" s="95"/>
      <c r="B18" s="123">
        <v>15</v>
      </c>
      <c r="C18" s="37" t="s">
        <v>104</v>
      </c>
      <c r="D18" s="38" t="s">
        <v>32</v>
      </c>
      <c r="E18" s="39">
        <v>4500000</v>
      </c>
      <c r="F18" s="39">
        <v>30</v>
      </c>
      <c r="G18" s="39">
        <f t="shared" si="7"/>
        <v>4500000</v>
      </c>
      <c r="H18" s="39"/>
      <c r="I18" s="39"/>
      <c r="J18" s="39"/>
      <c r="K18" s="39"/>
      <c r="L18" s="39"/>
      <c r="M18" s="39">
        <v>300000</v>
      </c>
      <c r="N18" s="39">
        <f t="shared" si="4"/>
        <v>4800000</v>
      </c>
      <c r="O18" s="39">
        <f>+G18*4%</f>
        <v>180000</v>
      </c>
      <c r="P18" s="39">
        <f>+O18</f>
        <v>180000</v>
      </c>
      <c r="Q18" s="39"/>
      <c r="R18" s="39">
        <f>+G18*0.01</f>
        <v>45000</v>
      </c>
      <c r="S18" s="48">
        <v>98752</v>
      </c>
      <c r="T18" s="39"/>
      <c r="U18" s="39">
        <v>170809</v>
      </c>
      <c r="V18" s="39"/>
      <c r="W18" s="39">
        <f>SUM(O18:V18)</f>
        <v>674561</v>
      </c>
      <c r="X18" s="40">
        <f>+N18-W18</f>
        <v>4125439</v>
      </c>
      <c r="Y18" s="40"/>
      <c r="Z18" s="41"/>
      <c r="AA18" s="40">
        <f t="shared" si="6"/>
        <v>4125439</v>
      </c>
    </row>
    <row r="19" spans="1:27" ht="25.5" x14ac:dyDescent="0.25">
      <c r="A19" s="95"/>
      <c r="B19" s="123">
        <v>16</v>
      </c>
      <c r="C19" s="37" t="s">
        <v>43</v>
      </c>
      <c r="D19" s="38" t="s">
        <v>32</v>
      </c>
      <c r="E19" s="39">
        <v>5000000</v>
      </c>
      <c r="F19" s="39">
        <v>30</v>
      </c>
      <c r="G19" s="39">
        <f t="shared" ref="G19:G25" si="8">E19/30*F19</f>
        <v>5000000</v>
      </c>
      <c r="H19" s="39"/>
      <c r="I19" s="39"/>
      <c r="J19" s="39"/>
      <c r="K19" s="39"/>
      <c r="L19" s="39"/>
      <c r="M19" s="39">
        <v>900000</v>
      </c>
      <c r="N19" s="39">
        <f>SUM(G19:M19)</f>
        <v>5900000</v>
      </c>
      <c r="O19" s="39">
        <f t="shared" ref="O19:O21" si="9">+G19*4%</f>
        <v>200000</v>
      </c>
      <c r="P19" s="39">
        <f>+O19</f>
        <v>200000</v>
      </c>
      <c r="Q19" s="39"/>
      <c r="R19" s="39">
        <f>+G19*0.01</f>
        <v>50000</v>
      </c>
      <c r="S19" s="48">
        <v>98752</v>
      </c>
      <c r="T19" s="39"/>
      <c r="U19" s="39"/>
      <c r="V19" s="39"/>
      <c r="W19" s="39">
        <f>SUM(O19:V19)</f>
        <v>548752</v>
      </c>
      <c r="X19" s="40">
        <f>N19-W19</f>
        <v>5351248</v>
      </c>
      <c r="Y19" s="40"/>
      <c r="Z19" s="41"/>
      <c r="AA19" s="40">
        <f t="shared" si="6"/>
        <v>5351248</v>
      </c>
    </row>
    <row r="20" spans="1:27" ht="12.75" x14ac:dyDescent="0.25">
      <c r="A20" s="95"/>
      <c r="B20" s="123">
        <v>17</v>
      </c>
      <c r="C20" s="37" t="s">
        <v>44</v>
      </c>
      <c r="D20" s="38" t="s">
        <v>32</v>
      </c>
      <c r="E20" s="39">
        <v>4500000</v>
      </c>
      <c r="F20" s="39">
        <v>30</v>
      </c>
      <c r="G20" s="39">
        <f t="shared" si="8"/>
        <v>4500000</v>
      </c>
      <c r="H20" s="39"/>
      <c r="I20" s="39"/>
      <c r="J20" s="39"/>
      <c r="K20" s="39"/>
      <c r="L20" s="39"/>
      <c r="M20" s="39"/>
      <c r="N20" s="39">
        <f t="shared" si="4"/>
        <v>4500000</v>
      </c>
      <c r="O20" s="39">
        <f t="shared" si="9"/>
        <v>180000</v>
      </c>
      <c r="P20" s="39">
        <f>O20</f>
        <v>180000</v>
      </c>
      <c r="Q20" s="39"/>
      <c r="R20" s="39">
        <v>45000</v>
      </c>
      <c r="S20" s="48">
        <v>98752</v>
      </c>
      <c r="T20" s="39"/>
      <c r="U20" s="39"/>
      <c r="V20" s="39"/>
      <c r="W20" s="39">
        <f>SUM(O20:V20)</f>
        <v>503752</v>
      </c>
      <c r="X20" s="40">
        <f>N20-W20</f>
        <v>3996248</v>
      </c>
      <c r="Y20" s="40"/>
      <c r="Z20" s="41"/>
      <c r="AA20" s="40">
        <f t="shared" si="6"/>
        <v>3996248</v>
      </c>
    </row>
    <row r="21" spans="1:27" ht="12.75" x14ac:dyDescent="0.25">
      <c r="A21" s="95"/>
      <c r="B21" s="123">
        <v>18</v>
      </c>
      <c r="C21" s="37" t="s">
        <v>131</v>
      </c>
      <c r="D21" s="38" t="s">
        <v>32</v>
      </c>
      <c r="E21" s="39">
        <v>4000000</v>
      </c>
      <c r="F21" s="39">
        <v>30</v>
      </c>
      <c r="G21" s="39">
        <f t="shared" si="8"/>
        <v>4000000.0000000005</v>
      </c>
      <c r="H21" s="39"/>
      <c r="I21" s="39"/>
      <c r="J21" s="39"/>
      <c r="K21" s="39"/>
      <c r="L21" s="39"/>
      <c r="M21" s="39"/>
      <c r="N21" s="39">
        <f t="shared" si="4"/>
        <v>4000000.0000000005</v>
      </c>
      <c r="O21" s="39">
        <f t="shared" si="9"/>
        <v>160000.00000000003</v>
      </c>
      <c r="P21" s="39">
        <f>O21</f>
        <v>160000.00000000003</v>
      </c>
      <c r="Q21" s="39"/>
      <c r="R21" s="39">
        <f>+G21*1%</f>
        <v>40000.000000000007</v>
      </c>
      <c r="S21" s="48">
        <v>31064</v>
      </c>
      <c r="T21" s="39"/>
      <c r="U21" s="39"/>
      <c r="V21" s="39"/>
      <c r="W21" s="39">
        <f>SUM(O21:V21)</f>
        <v>391064.00000000006</v>
      </c>
      <c r="X21" s="40">
        <f>N21-W21</f>
        <v>3608936.0000000005</v>
      </c>
      <c r="Y21" s="40"/>
      <c r="Z21" s="41"/>
      <c r="AA21" s="40">
        <f t="shared" si="6"/>
        <v>3608936.0000000005</v>
      </c>
    </row>
    <row r="22" spans="1:27" ht="12.75" x14ac:dyDescent="0.25">
      <c r="A22" s="95"/>
      <c r="B22" s="123">
        <v>19</v>
      </c>
      <c r="C22" s="37" t="s">
        <v>45</v>
      </c>
      <c r="D22" s="38" t="s">
        <v>32</v>
      </c>
      <c r="E22" s="39">
        <v>4180000</v>
      </c>
      <c r="F22" s="39">
        <v>30</v>
      </c>
      <c r="G22" s="39">
        <f t="shared" si="8"/>
        <v>4180000.0000000005</v>
      </c>
      <c r="H22" s="39"/>
      <c r="I22" s="39"/>
      <c r="J22" s="39"/>
      <c r="K22" s="39"/>
      <c r="L22" s="39"/>
      <c r="M22" s="39">
        <v>1515250</v>
      </c>
      <c r="N22" s="39">
        <f t="shared" si="4"/>
        <v>5695250</v>
      </c>
      <c r="O22" s="39">
        <f>+G22*4%</f>
        <v>167200.00000000003</v>
      </c>
      <c r="P22" s="39">
        <f>+O22</f>
        <v>167200.00000000003</v>
      </c>
      <c r="Q22" s="39"/>
      <c r="R22" s="39">
        <f>+G22*0.01</f>
        <v>41800.000000000007</v>
      </c>
      <c r="S22" s="48">
        <v>2545</v>
      </c>
      <c r="T22" s="39">
        <v>800000</v>
      </c>
      <c r="U22" s="39"/>
      <c r="V22" s="39">
        <f>884747</f>
        <v>884747</v>
      </c>
      <c r="W22" s="39">
        <f>SUM(O22:V22)</f>
        <v>2063492</v>
      </c>
      <c r="X22" s="40">
        <f>+N22-W22</f>
        <v>3631758</v>
      </c>
      <c r="Y22" s="40"/>
      <c r="Z22" s="41"/>
      <c r="AA22" s="40">
        <f t="shared" si="6"/>
        <v>3631758</v>
      </c>
    </row>
    <row r="23" spans="1:27" ht="12.75" x14ac:dyDescent="0.25">
      <c r="A23" s="95"/>
      <c r="B23" s="123">
        <v>20</v>
      </c>
      <c r="C23" s="37" t="s">
        <v>142</v>
      </c>
      <c r="D23" s="38" t="s">
        <v>32</v>
      </c>
      <c r="E23" s="39">
        <v>4000000</v>
      </c>
      <c r="F23" s="39">
        <v>30</v>
      </c>
      <c r="G23" s="39">
        <f t="shared" si="8"/>
        <v>4000000.0000000005</v>
      </c>
      <c r="H23" s="39"/>
      <c r="I23" s="39"/>
      <c r="J23" s="39"/>
      <c r="K23" s="39"/>
      <c r="L23" s="39"/>
      <c r="M23" s="39"/>
      <c r="N23" s="39">
        <f t="shared" si="4"/>
        <v>4000000.0000000005</v>
      </c>
      <c r="O23" s="39">
        <f>+G23*4%</f>
        <v>160000.00000000003</v>
      </c>
      <c r="P23" s="39">
        <f>+O23</f>
        <v>160000.00000000003</v>
      </c>
      <c r="Q23" s="39"/>
      <c r="R23" s="39">
        <f>+G23*0.01</f>
        <v>40000.000000000007</v>
      </c>
      <c r="S23" s="48">
        <v>31000</v>
      </c>
      <c r="T23" s="39"/>
      <c r="U23" s="39"/>
      <c r="V23" s="39"/>
      <c r="W23" s="39">
        <f>SUM(O23:V23)</f>
        <v>391000.00000000006</v>
      </c>
      <c r="X23" s="40">
        <f>+N23-W23</f>
        <v>3609000.0000000005</v>
      </c>
      <c r="Y23" s="40"/>
      <c r="Z23" s="41"/>
      <c r="AA23" s="40">
        <f t="shared" si="6"/>
        <v>3609000.0000000005</v>
      </c>
    </row>
    <row r="24" spans="1:27" ht="12.75" x14ac:dyDescent="0.25">
      <c r="A24" s="95"/>
      <c r="B24" s="123">
        <v>21</v>
      </c>
      <c r="C24" s="37" t="s">
        <v>46</v>
      </c>
      <c r="D24" s="38" t="s">
        <v>32</v>
      </c>
      <c r="E24" s="39">
        <v>4702500</v>
      </c>
      <c r="F24" s="39">
        <v>30</v>
      </c>
      <c r="G24" s="39">
        <f t="shared" si="8"/>
        <v>4702500</v>
      </c>
      <c r="H24" s="39"/>
      <c r="I24" s="39"/>
      <c r="J24" s="39"/>
      <c r="K24" s="39"/>
      <c r="L24" s="39"/>
      <c r="M24" s="39"/>
      <c r="N24" s="39">
        <f t="shared" si="4"/>
        <v>4702500</v>
      </c>
      <c r="O24" s="39">
        <f t="shared" ref="O24:O35" si="10">+G24*4%</f>
        <v>188100</v>
      </c>
      <c r="P24" s="39">
        <f>+O24</f>
        <v>188100</v>
      </c>
      <c r="Q24" s="39"/>
      <c r="R24" s="39">
        <f>N24*1%</f>
        <v>47025</v>
      </c>
      <c r="S24" s="48">
        <v>126165</v>
      </c>
      <c r="T24" s="39"/>
      <c r="U24" s="39"/>
      <c r="V24" s="39"/>
      <c r="W24" s="39">
        <f>SUM(O24:V24)</f>
        <v>549390</v>
      </c>
      <c r="X24" s="40">
        <f>N24-W24</f>
        <v>4153110</v>
      </c>
      <c r="Y24" s="40"/>
      <c r="Z24" s="41"/>
      <c r="AA24" s="40">
        <f t="shared" si="6"/>
        <v>4153110</v>
      </c>
    </row>
    <row r="25" spans="1:27" ht="12.75" x14ac:dyDescent="0.25">
      <c r="A25" s="95"/>
      <c r="B25" s="123">
        <v>22</v>
      </c>
      <c r="C25" s="46" t="s">
        <v>154</v>
      </c>
      <c r="D25" s="38" t="s">
        <v>32</v>
      </c>
      <c r="E25" s="39">
        <v>4500000</v>
      </c>
      <c r="F25" s="39">
        <v>30</v>
      </c>
      <c r="G25" s="39">
        <f t="shared" si="8"/>
        <v>4500000</v>
      </c>
      <c r="H25" s="39"/>
      <c r="I25" s="39"/>
      <c r="J25" s="39"/>
      <c r="K25" s="39"/>
      <c r="L25" s="39"/>
      <c r="M25" s="39">
        <f>+(300000/30)*F25</f>
        <v>300000</v>
      </c>
      <c r="N25" s="39">
        <f t="shared" ref="N25" si="11">SUM(G25:M25)</f>
        <v>4800000</v>
      </c>
      <c r="O25" s="39">
        <f>+G25*4%</f>
        <v>180000</v>
      </c>
      <c r="P25" s="39">
        <f>+O25</f>
        <v>180000</v>
      </c>
      <c r="Q25" s="39"/>
      <c r="R25" s="39">
        <f>+G25*1%</f>
        <v>45000</v>
      </c>
      <c r="S25" s="48">
        <v>99000</v>
      </c>
      <c r="T25" s="39"/>
      <c r="U25" s="39"/>
      <c r="V25" s="39"/>
      <c r="W25" s="39">
        <f>SUM(O25:V25)</f>
        <v>504000</v>
      </c>
      <c r="X25" s="40">
        <f>N25-W25</f>
        <v>4296000</v>
      </c>
      <c r="Y25" s="40"/>
      <c r="Z25" s="41"/>
      <c r="AA25" s="40">
        <f t="shared" si="6"/>
        <v>4296000</v>
      </c>
    </row>
    <row r="26" spans="1:27" ht="12.75" x14ac:dyDescent="0.25">
      <c r="A26" s="95"/>
      <c r="B26" s="123">
        <v>23</v>
      </c>
      <c r="C26" s="138" t="s">
        <v>47</v>
      </c>
      <c r="D26" s="96" t="s">
        <v>32</v>
      </c>
      <c r="E26" s="39">
        <v>4200000</v>
      </c>
      <c r="F26" s="39">
        <v>30</v>
      </c>
      <c r="G26" s="39">
        <f t="shared" ref="G26:G50" si="12">+E26/30*F26</f>
        <v>4200000</v>
      </c>
      <c r="H26" s="39"/>
      <c r="I26" s="39"/>
      <c r="J26" s="39"/>
      <c r="K26" s="39"/>
      <c r="L26" s="39"/>
      <c r="M26" s="39">
        <v>300000</v>
      </c>
      <c r="N26" s="39">
        <f t="shared" si="4"/>
        <v>4500000</v>
      </c>
      <c r="O26" s="39">
        <f t="shared" si="10"/>
        <v>168000</v>
      </c>
      <c r="P26" s="39">
        <f>O26</f>
        <v>168000</v>
      </c>
      <c r="Q26" s="39"/>
      <c r="R26" s="39">
        <f>E26*1%</f>
        <v>42000</v>
      </c>
      <c r="S26" s="48">
        <v>58139</v>
      </c>
      <c r="T26" s="39"/>
      <c r="U26" s="39"/>
      <c r="V26" s="39"/>
      <c r="W26" s="39">
        <f>SUM(O26:V26)</f>
        <v>436139</v>
      </c>
      <c r="X26" s="40">
        <f>N26-W26</f>
        <v>4063861</v>
      </c>
      <c r="Y26" s="40"/>
      <c r="Z26" s="41"/>
      <c r="AA26" s="40">
        <f t="shared" si="6"/>
        <v>4063861</v>
      </c>
    </row>
    <row r="27" spans="1:27" ht="12.75" x14ac:dyDescent="0.25">
      <c r="A27" s="95"/>
      <c r="B27" s="123">
        <v>24</v>
      </c>
      <c r="C27" s="37" t="s">
        <v>126</v>
      </c>
      <c r="D27" s="38" t="s">
        <v>32</v>
      </c>
      <c r="E27" s="39">
        <v>3000000</v>
      </c>
      <c r="F27" s="39">
        <v>30</v>
      </c>
      <c r="G27" s="39">
        <f>E27/30*F27</f>
        <v>3000000</v>
      </c>
      <c r="H27" s="39"/>
      <c r="I27" s="39"/>
      <c r="J27" s="39"/>
      <c r="K27" s="39"/>
      <c r="L27" s="39"/>
      <c r="M27" s="39"/>
      <c r="N27" s="39">
        <f t="shared" ref="N27" si="13">SUM(G27:M27)</f>
        <v>3000000</v>
      </c>
      <c r="O27" s="39">
        <f>+G27*4%</f>
        <v>120000</v>
      </c>
      <c r="P27" s="39">
        <f>O27</f>
        <v>120000</v>
      </c>
      <c r="Q27" s="39"/>
      <c r="R27" s="39">
        <f>+G27*1%</f>
        <v>30000</v>
      </c>
      <c r="S27" s="48">
        <v>0</v>
      </c>
      <c r="T27" s="39"/>
      <c r="U27" s="39"/>
      <c r="V27" s="39"/>
      <c r="W27" s="39">
        <f>SUM(O27:V27)</f>
        <v>270000</v>
      </c>
      <c r="X27" s="40">
        <f>N27-W27</f>
        <v>2730000</v>
      </c>
      <c r="Y27" s="40"/>
      <c r="Z27" s="41"/>
      <c r="AA27" s="40">
        <f t="shared" si="6"/>
        <v>2730000</v>
      </c>
    </row>
    <row r="28" spans="1:27" ht="12.75" x14ac:dyDescent="0.25">
      <c r="A28" s="95"/>
      <c r="B28" s="123">
        <v>25</v>
      </c>
      <c r="C28" s="138" t="s">
        <v>120</v>
      </c>
      <c r="D28" s="96" t="s">
        <v>32</v>
      </c>
      <c r="E28" s="39">
        <v>4500000</v>
      </c>
      <c r="F28" s="39">
        <v>30</v>
      </c>
      <c r="G28" s="39">
        <f t="shared" si="12"/>
        <v>4500000</v>
      </c>
      <c r="H28" s="39"/>
      <c r="I28" s="39"/>
      <c r="J28" s="39"/>
      <c r="K28" s="39"/>
      <c r="L28" s="39"/>
      <c r="M28" s="39"/>
      <c r="N28" s="39">
        <f t="shared" si="4"/>
        <v>4500000</v>
      </c>
      <c r="O28" s="39">
        <f t="shared" si="10"/>
        <v>180000</v>
      </c>
      <c r="P28" s="39">
        <f>O28</f>
        <v>180000</v>
      </c>
      <c r="Q28" s="39"/>
      <c r="R28" s="39">
        <f>N28*1%</f>
        <v>45000</v>
      </c>
      <c r="S28" s="48">
        <v>34627</v>
      </c>
      <c r="T28" s="39"/>
      <c r="U28" s="39"/>
      <c r="V28" s="39"/>
      <c r="W28" s="39">
        <f>SUM(O28:V28)</f>
        <v>439627</v>
      </c>
      <c r="X28" s="40">
        <f>N28-W28</f>
        <v>4060373</v>
      </c>
      <c r="Y28" s="40"/>
      <c r="Z28" s="41"/>
      <c r="AA28" s="40">
        <f t="shared" si="6"/>
        <v>4060373</v>
      </c>
    </row>
    <row r="29" spans="1:27" ht="12.75" x14ac:dyDescent="0.25">
      <c r="A29" s="95"/>
      <c r="B29" s="123">
        <v>26</v>
      </c>
      <c r="C29" s="37" t="s">
        <v>48</v>
      </c>
      <c r="D29" s="38" t="s">
        <v>32</v>
      </c>
      <c r="E29" s="39">
        <v>4800000</v>
      </c>
      <c r="F29" s="39">
        <v>30</v>
      </c>
      <c r="G29" s="39">
        <f t="shared" si="12"/>
        <v>4800000</v>
      </c>
      <c r="H29" s="39"/>
      <c r="I29" s="39"/>
      <c r="J29" s="39"/>
      <c r="K29" s="39"/>
      <c r="L29" s="39"/>
      <c r="M29" s="39"/>
      <c r="N29" s="39">
        <f t="shared" si="4"/>
        <v>4800000</v>
      </c>
      <c r="O29" s="39">
        <f t="shared" si="10"/>
        <v>192000</v>
      </c>
      <c r="P29" s="39">
        <f t="shared" ref="P29:P35" si="14">+O29</f>
        <v>192000</v>
      </c>
      <c r="Q29" s="39"/>
      <c r="R29" s="39">
        <f>+G29*0.01</f>
        <v>48000</v>
      </c>
      <c r="S29" s="39">
        <v>139364</v>
      </c>
      <c r="T29" s="39"/>
      <c r="U29" s="39"/>
      <c r="V29" s="39"/>
      <c r="W29" s="39">
        <f>SUM(O29:V29)</f>
        <v>571364</v>
      </c>
      <c r="X29" s="40">
        <f>+N29-W29</f>
        <v>4228636</v>
      </c>
      <c r="Y29" s="40"/>
      <c r="Z29" s="41"/>
      <c r="AA29" s="40">
        <f t="shared" si="6"/>
        <v>4228636</v>
      </c>
    </row>
    <row r="30" spans="1:27" ht="12.75" x14ac:dyDescent="0.25">
      <c r="A30" s="95"/>
      <c r="B30" s="123">
        <v>27</v>
      </c>
      <c r="C30" s="37" t="s">
        <v>143</v>
      </c>
      <c r="D30" s="38" t="s">
        <v>32</v>
      </c>
      <c r="E30" s="39">
        <v>4500000</v>
      </c>
      <c r="F30" s="39">
        <v>30</v>
      </c>
      <c r="G30" s="39">
        <f t="shared" si="12"/>
        <v>4500000</v>
      </c>
      <c r="H30" s="39"/>
      <c r="I30" s="39"/>
      <c r="J30" s="39"/>
      <c r="K30" s="39"/>
      <c r="L30" s="39"/>
      <c r="M30" s="39"/>
      <c r="N30" s="39">
        <f t="shared" si="4"/>
        <v>4500000</v>
      </c>
      <c r="O30" s="39">
        <f t="shared" si="10"/>
        <v>180000</v>
      </c>
      <c r="P30" s="39">
        <f t="shared" si="14"/>
        <v>180000</v>
      </c>
      <c r="Q30" s="39"/>
      <c r="R30" s="39">
        <f>+G30*0.01</f>
        <v>45000</v>
      </c>
      <c r="S30" s="39">
        <v>99000</v>
      </c>
      <c r="T30" s="39"/>
      <c r="U30" s="39"/>
      <c r="V30" s="39"/>
      <c r="W30" s="39">
        <f>SUM(O30:V30)</f>
        <v>504000</v>
      </c>
      <c r="X30" s="40">
        <f>+N30-W30</f>
        <v>3996000</v>
      </c>
      <c r="Y30" s="40"/>
      <c r="Z30" s="41"/>
      <c r="AA30" s="40">
        <f t="shared" si="6"/>
        <v>3996000</v>
      </c>
    </row>
    <row r="31" spans="1:27" ht="12.75" x14ac:dyDescent="0.25">
      <c r="A31" s="95"/>
      <c r="B31" s="123">
        <v>28</v>
      </c>
      <c r="C31" s="37" t="s">
        <v>49</v>
      </c>
      <c r="D31" s="38" t="s">
        <v>32</v>
      </c>
      <c r="E31" s="39">
        <v>4023250</v>
      </c>
      <c r="F31" s="39">
        <v>30</v>
      </c>
      <c r="G31" s="39">
        <f t="shared" si="12"/>
        <v>4023250.0000000005</v>
      </c>
      <c r="H31" s="39"/>
      <c r="I31" s="39"/>
      <c r="J31" s="39"/>
      <c r="K31" s="39"/>
      <c r="L31" s="39"/>
      <c r="M31" s="39"/>
      <c r="N31" s="39">
        <f t="shared" si="4"/>
        <v>4023250.0000000005</v>
      </c>
      <c r="O31" s="39">
        <f t="shared" si="10"/>
        <v>160930.00000000003</v>
      </c>
      <c r="P31" s="39">
        <f t="shared" si="14"/>
        <v>160930.00000000003</v>
      </c>
      <c r="Q31" s="39"/>
      <c r="R31" s="39">
        <f>+G31*0.01</f>
        <v>40232.500000000007</v>
      </c>
      <c r="S31" s="39">
        <v>2545</v>
      </c>
      <c r="T31" s="39"/>
      <c r="U31" s="39"/>
      <c r="V31" s="39"/>
      <c r="W31" s="39">
        <f>SUM(O31:V31)</f>
        <v>364637.50000000006</v>
      </c>
      <c r="X31" s="40">
        <f>+N31-W31</f>
        <v>3658612.5000000005</v>
      </c>
      <c r="Y31" s="40"/>
      <c r="Z31" s="41"/>
      <c r="AA31" s="40">
        <f t="shared" si="6"/>
        <v>3658612.5000000005</v>
      </c>
    </row>
    <row r="32" spans="1:27" ht="12.75" x14ac:dyDescent="0.25">
      <c r="A32" s="95"/>
      <c r="B32" s="123">
        <v>29</v>
      </c>
      <c r="C32" s="37" t="s">
        <v>50</v>
      </c>
      <c r="D32" s="38" t="s">
        <v>32</v>
      </c>
      <c r="E32" s="39">
        <v>6583500</v>
      </c>
      <c r="F32" s="39">
        <v>30</v>
      </c>
      <c r="G32" s="39">
        <f t="shared" si="12"/>
        <v>6583500</v>
      </c>
      <c r="H32" s="39"/>
      <c r="I32" s="39"/>
      <c r="J32" s="39"/>
      <c r="K32" s="39"/>
      <c r="L32" s="39"/>
      <c r="M32" s="39"/>
      <c r="N32" s="39">
        <f t="shared" si="4"/>
        <v>6583500</v>
      </c>
      <c r="O32" s="39">
        <f t="shared" si="10"/>
        <v>263340</v>
      </c>
      <c r="P32" s="39">
        <f t="shared" si="14"/>
        <v>263340</v>
      </c>
      <c r="Q32" s="39"/>
      <c r="R32" s="39">
        <f>+G32*0.01</f>
        <v>65835</v>
      </c>
      <c r="S32" s="48">
        <v>83706</v>
      </c>
      <c r="T32" s="39">
        <v>1560000</v>
      </c>
      <c r="U32" s="39"/>
      <c r="V32" s="39"/>
      <c r="W32" s="39">
        <f>SUM(O32:V32)</f>
        <v>2236221</v>
      </c>
      <c r="X32" s="40">
        <f>+N32-W32</f>
        <v>4347279</v>
      </c>
      <c r="Y32" s="40"/>
      <c r="Z32" s="41"/>
      <c r="AA32" s="40">
        <f t="shared" si="6"/>
        <v>4347279</v>
      </c>
    </row>
    <row r="33" spans="1:27" ht="12.75" x14ac:dyDescent="0.25">
      <c r="A33" s="95"/>
      <c r="B33" s="123">
        <v>30</v>
      </c>
      <c r="C33" s="37" t="s">
        <v>51</v>
      </c>
      <c r="D33" s="38" t="s">
        <v>32</v>
      </c>
      <c r="E33" s="39">
        <v>3500000</v>
      </c>
      <c r="F33" s="39">
        <v>30</v>
      </c>
      <c r="G33" s="39">
        <f t="shared" si="12"/>
        <v>3500000</v>
      </c>
      <c r="H33" s="39"/>
      <c r="I33" s="39"/>
      <c r="J33" s="39"/>
      <c r="K33" s="39"/>
      <c r="L33" s="39"/>
      <c r="M33" s="39">
        <v>500000</v>
      </c>
      <c r="N33" s="39">
        <f t="shared" si="4"/>
        <v>4000000</v>
      </c>
      <c r="O33" s="39">
        <f t="shared" si="10"/>
        <v>140000</v>
      </c>
      <c r="P33" s="39">
        <f t="shared" si="14"/>
        <v>140000</v>
      </c>
      <c r="Q33" s="39"/>
      <c r="R33" s="39">
        <f>+G33*0.01</f>
        <v>35000</v>
      </c>
      <c r="S33" s="39">
        <v>0</v>
      </c>
      <c r="T33" s="39"/>
      <c r="U33" s="39"/>
      <c r="V33" s="39">
        <v>551399</v>
      </c>
      <c r="W33" s="39">
        <f>SUM(O33:V33)</f>
        <v>866399</v>
      </c>
      <c r="X33" s="40">
        <f>+N33-W33</f>
        <v>3133601</v>
      </c>
      <c r="Y33" s="40"/>
      <c r="Z33" s="41"/>
      <c r="AA33" s="40">
        <f t="shared" si="6"/>
        <v>3133601</v>
      </c>
    </row>
    <row r="34" spans="1:27" ht="12.75" x14ac:dyDescent="0.25">
      <c r="A34" s="95"/>
      <c r="B34" s="123">
        <v>31</v>
      </c>
      <c r="C34" s="37" t="s">
        <v>127</v>
      </c>
      <c r="D34" s="38" t="s">
        <v>32</v>
      </c>
      <c r="E34" s="39">
        <v>4000000</v>
      </c>
      <c r="F34" s="39">
        <v>30</v>
      </c>
      <c r="G34" s="39">
        <f t="shared" si="12"/>
        <v>4000000.0000000005</v>
      </c>
      <c r="H34" s="39"/>
      <c r="I34" s="39"/>
      <c r="J34" s="39"/>
      <c r="K34" s="39"/>
      <c r="L34" s="39"/>
      <c r="M34" s="39"/>
      <c r="N34" s="39">
        <f>SUM(G34:M34)</f>
        <v>4000000.0000000005</v>
      </c>
      <c r="O34" s="39">
        <f>+G34*4%</f>
        <v>160000.00000000003</v>
      </c>
      <c r="P34" s="39">
        <f>+O34</f>
        <v>160000.00000000003</v>
      </c>
      <c r="Q34" s="39"/>
      <c r="R34" s="39">
        <f>+G34*1%</f>
        <v>40000.000000000007</v>
      </c>
      <c r="S34" s="39">
        <v>0</v>
      </c>
      <c r="T34" s="39"/>
      <c r="U34" s="39"/>
      <c r="V34" s="39">
        <v>500000</v>
      </c>
      <c r="W34" s="39">
        <f>SUM(O34:V34)</f>
        <v>860000</v>
      </c>
      <c r="X34" s="40">
        <f>+N34-W34</f>
        <v>3140000.0000000005</v>
      </c>
      <c r="Y34" s="40"/>
      <c r="Z34" s="41"/>
      <c r="AA34" s="40">
        <f t="shared" si="6"/>
        <v>3140000.0000000005</v>
      </c>
    </row>
    <row r="35" spans="1:27" ht="12.75" x14ac:dyDescent="0.25">
      <c r="A35" s="95"/>
      <c r="B35" s="123">
        <v>32</v>
      </c>
      <c r="C35" s="118" t="s">
        <v>53</v>
      </c>
      <c r="D35" s="45" t="s">
        <v>32</v>
      </c>
      <c r="E35" s="39">
        <v>4500000</v>
      </c>
      <c r="F35" s="39">
        <v>30</v>
      </c>
      <c r="G35" s="39">
        <f t="shared" si="12"/>
        <v>4500000</v>
      </c>
      <c r="H35" s="39"/>
      <c r="I35" s="39"/>
      <c r="J35" s="39"/>
      <c r="K35" s="39"/>
      <c r="L35" s="39"/>
      <c r="M35" s="39"/>
      <c r="N35" s="39">
        <f t="shared" si="4"/>
        <v>4500000</v>
      </c>
      <c r="O35" s="39">
        <f t="shared" si="10"/>
        <v>180000</v>
      </c>
      <c r="P35" s="39">
        <f t="shared" si="14"/>
        <v>180000</v>
      </c>
      <c r="Q35" s="39"/>
      <c r="R35" s="39">
        <f>N35*1%</f>
        <v>45000</v>
      </c>
      <c r="S35" s="39">
        <v>34627</v>
      </c>
      <c r="T35" s="39"/>
      <c r="U35" s="39"/>
      <c r="V35" s="39"/>
      <c r="W35" s="39">
        <f>SUM(O35:V35)</f>
        <v>439627</v>
      </c>
      <c r="X35" s="40">
        <f>N35-W35</f>
        <v>4060373</v>
      </c>
      <c r="Y35" s="40"/>
      <c r="Z35" s="41"/>
      <c r="AA35" s="40">
        <f t="shared" si="6"/>
        <v>4060373</v>
      </c>
    </row>
    <row r="36" spans="1:27" ht="12.75" x14ac:dyDescent="0.25">
      <c r="A36" s="95"/>
      <c r="B36" s="123">
        <v>33</v>
      </c>
      <c r="C36" s="139" t="s">
        <v>54</v>
      </c>
      <c r="D36" s="42" t="s">
        <v>32</v>
      </c>
      <c r="E36" s="39">
        <v>5000000</v>
      </c>
      <c r="F36" s="39">
        <v>30</v>
      </c>
      <c r="G36" s="39">
        <f t="shared" si="12"/>
        <v>5000000</v>
      </c>
      <c r="H36" s="39"/>
      <c r="I36" s="39"/>
      <c r="J36" s="39"/>
      <c r="K36" s="39"/>
      <c r="L36" s="39"/>
      <c r="M36" s="39">
        <f>400000/30*F36</f>
        <v>400000</v>
      </c>
      <c r="N36" s="39">
        <f t="shared" si="4"/>
        <v>5400000</v>
      </c>
      <c r="O36" s="39">
        <f>G36*4%</f>
        <v>200000</v>
      </c>
      <c r="P36" s="39">
        <f>O36</f>
        <v>200000</v>
      </c>
      <c r="Q36" s="39"/>
      <c r="R36" s="39">
        <f>G36*1%</f>
        <v>50000</v>
      </c>
      <c r="S36" s="39">
        <v>166439</v>
      </c>
      <c r="T36" s="39"/>
      <c r="U36" s="39"/>
      <c r="V36" s="39"/>
      <c r="W36" s="39">
        <f>SUM(O36:V36)</f>
        <v>616439</v>
      </c>
      <c r="X36" s="40">
        <f>N36-W36</f>
        <v>4783561</v>
      </c>
      <c r="Y36" s="40"/>
      <c r="Z36" s="41"/>
      <c r="AA36" s="40">
        <f t="shared" si="6"/>
        <v>4783561</v>
      </c>
    </row>
    <row r="37" spans="1:27" ht="12.75" x14ac:dyDescent="0.25">
      <c r="A37" s="95"/>
      <c r="B37" s="123">
        <v>34</v>
      </c>
      <c r="C37" s="139" t="s">
        <v>160</v>
      </c>
      <c r="D37" s="42" t="s">
        <v>32</v>
      </c>
      <c r="E37" s="39">
        <v>4500000</v>
      </c>
      <c r="F37" s="39">
        <v>30</v>
      </c>
      <c r="G37" s="39">
        <f t="shared" si="12"/>
        <v>4500000</v>
      </c>
      <c r="H37" s="39"/>
      <c r="I37" s="39"/>
      <c r="J37" s="39"/>
      <c r="K37" s="39"/>
      <c r="L37" s="39"/>
      <c r="M37" s="39"/>
      <c r="N37" s="39">
        <f t="shared" si="4"/>
        <v>4500000</v>
      </c>
      <c r="O37" s="39">
        <f>G37*4%</f>
        <v>180000</v>
      </c>
      <c r="P37" s="39">
        <f>O37</f>
        <v>180000</v>
      </c>
      <c r="Q37" s="39"/>
      <c r="R37" s="39">
        <f>G37*1%</f>
        <v>45000</v>
      </c>
      <c r="S37" s="39">
        <v>99000</v>
      </c>
      <c r="T37" s="39"/>
      <c r="U37" s="39"/>
      <c r="V37" s="39"/>
      <c r="W37" s="39">
        <f>SUM(O37:V37)</f>
        <v>504000</v>
      </c>
      <c r="X37" s="40">
        <f>N37-W37</f>
        <v>3996000</v>
      </c>
      <c r="Y37" s="40"/>
      <c r="Z37" s="41"/>
      <c r="AA37" s="40">
        <f t="shared" si="6"/>
        <v>3996000</v>
      </c>
    </row>
    <row r="38" spans="1:27" ht="25.5" x14ac:dyDescent="0.25">
      <c r="A38" s="95"/>
      <c r="B38" s="123">
        <v>35</v>
      </c>
      <c r="C38" s="37" t="s">
        <v>55</v>
      </c>
      <c r="D38" s="38" t="s">
        <v>32</v>
      </c>
      <c r="E38" s="39">
        <v>4410000</v>
      </c>
      <c r="F38" s="39">
        <v>30</v>
      </c>
      <c r="G38" s="39">
        <f>+E38/30*F38</f>
        <v>4410000</v>
      </c>
      <c r="H38" s="39"/>
      <c r="I38" s="39"/>
      <c r="J38" s="39"/>
      <c r="K38" s="39"/>
      <c r="L38" s="39"/>
      <c r="M38" s="39"/>
      <c r="N38" s="39">
        <f t="shared" si="4"/>
        <v>4410000</v>
      </c>
      <c r="O38" s="39">
        <f t="shared" ref="O38:O44" si="15">+G38*4%</f>
        <v>176400</v>
      </c>
      <c r="P38" s="39">
        <f t="shared" ref="P38:P43" si="16">+O38</f>
        <v>176400</v>
      </c>
      <c r="Q38" s="39"/>
      <c r="R38" s="39">
        <f>+G38*0.01</f>
        <v>44100</v>
      </c>
      <c r="S38" s="39">
        <v>2545</v>
      </c>
      <c r="T38" s="39"/>
      <c r="U38" s="39"/>
      <c r="V38" s="39">
        <v>1300000</v>
      </c>
      <c r="W38" s="39">
        <f>SUM(O38:V38)</f>
        <v>1699445</v>
      </c>
      <c r="X38" s="40">
        <f>+N38-W38</f>
        <v>2710555</v>
      </c>
      <c r="Y38" s="40"/>
      <c r="Z38" s="41"/>
      <c r="AA38" s="40">
        <f t="shared" si="6"/>
        <v>2710555</v>
      </c>
    </row>
    <row r="39" spans="1:27" ht="12.75" x14ac:dyDescent="0.25">
      <c r="A39" s="95"/>
      <c r="B39" s="123">
        <v>36</v>
      </c>
      <c r="C39" s="37" t="s">
        <v>145</v>
      </c>
      <c r="D39" s="38" t="s">
        <v>32</v>
      </c>
      <c r="E39" s="39">
        <v>4500000</v>
      </c>
      <c r="F39" s="39">
        <v>30</v>
      </c>
      <c r="G39" s="39">
        <f t="shared" ref="G39:G40" si="17">+E39/30*F39</f>
        <v>4500000</v>
      </c>
      <c r="H39" s="39"/>
      <c r="I39" s="39"/>
      <c r="J39" s="39"/>
      <c r="K39" s="39"/>
      <c r="L39" s="39"/>
      <c r="M39" s="39"/>
      <c r="N39" s="39">
        <f t="shared" si="4"/>
        <v>4500000</v>
      </c>
      <c r="O39" s="39">
        <f t="shared" si="15"/>
        <v>180000</v>
      </c>
      <c r="P39" s="39">
        <f t="shared" si="16"/>
        <v>180000</v>
      </c>
      <c r="Q39" s="39"/>
      <c r="R39" s="39">
        <f>+G39*0.01</f>
        <v>45000</v>
      </c>
      <c r="S39" s="39">
        <v>99000</v>
      </c>
      <c r="T39" s="39"/>
      <c r="U39" s="39"/>
      <c r="V39" s="39"/>
      <c r="W39" s="39">
        <f>SUM(O39:V39)</f>
        <v>504000</v>
      </c>
      <c r="X39" s="40">
        <f>+N39-W39</f>
        <v>3996000</v>
      </c>
      <c r="Y39" s="40"/>
      <c r="Z39" s="41"/>
      <c r="AA39" s="40">
        <f t="shared" si="6"/>
        <v>3996000</v>
      </c>
    </row>
    <row r="40" spans="1:27" ht="12.75" x14ac:dyDescent="0.25">
      <c r="A40" s="95"/>
      <c r="B40" s="123">
        <v>37</v>
      </c>
      <c r="C40" s="37" t="s">
        <v>132</v>
      </c>
      <c r="D40" s="38" t="s">
        <v>32</v>
      </c>
      <c r="E40" s="39">
        <v>2000000</v>
      </c>
      <c r="F40" s="39">
        <v>30</v>
      </c>
      <c r="G40" s="39">
        <f t="shared" si="17"/>
        <v>2000000.0000000002</v>
      </c>
      <c r="H40" s="39"/>
      <c r="I40" s="39"/>
      <c r="J40" s="39"/>
      <c r="K40" s="39"/>
      <c r="L40" s="39"/>
      <c r="M40" s="39"/>
      <c r="N40" s="39">
        <f t="shared" si="4"/>
        <v>2000000.0000000002</v>
      </c>
      <c r="O40" s="39">
        <f t="shared" si="15"/>
        <v>80000.000000000015</v>
      </c>
      <c r="P40" s="39">
        <f t="shared" si="16"/>
        <v>80000.000000000015</v>
      </c>
      <c r="Q40" s="39"/>
      <c r="R40" s="39"/>
      <c r="S40" s="39"/>
      <c r="T40" s="39"/>
      <c r="U40" s="39"/>
      <c r="V40" s="39"/>
      <c r="W40" s="39">
        <f>SUM(O40:V40)</f>
        <v>160000.00000000003</v>
      </c>
      <c r="X40" s="40">
        <f>+N40-W40</f>
        <v>1840000.0000000002</v>
      </c>
      <c r="Y40" s="40"/>
      <c r="Z40" s="41"/>
      <c r="AA40" s="40">
        <f t="shared" si="6"/>
        <v>1840000.0000000002</v>
      </c>
    </row>
    <row r="41" spans="1:27" ht="12.75" x14ac:dyDescent="0.25">
      <c r="A41" s="95"/>
      <c r="B41" s="123">
        <v>38</v>
      </c>
      <c r="C41" s="37" t="s">
        <v>109</v>
      </c>
      <c r="D41" s="38" t="s">
        <v>32</v>
      </c>
      <c r="E41" s="39">
        <v>4200000</v>
      </c>
      <c r="F41" s="39">
        <v>30</v>
      </c>
      <c r="G41" s="39">
        <f t="shared" si="12"/>
        <v>4200000</v>
      </c>
      <c r="H41" s="39"/>
      <c r="I41" s="39"/>
      <c r="J41" s="39"/>
      <c r="K41" s="39"/>
      <c r="L41" s="39"/>
      <c r="M41" s="39"/>
      <c r="N41" s="39">
        <f t="shared" si="4"/>
        <v>4200000</v>
      </c>
      <c r="O41" s="39">
        <f t="shared" si="15"/>
        <v>168000</v>
      </c>
      <c r="P41" s="39">
        <f t="shared" si="16"/>
        <v>168000</v>
      </c>
      <c r="Q41" s="39"/>
      <c r="R41" s="39">
        <v>42000</v>
      </c>
      <c r="S41" s="39">
        <v>2545</v>
      </c>
      <c r="T41" s="39"/>
      <c r="U41" s="39"/>
      <c r="V41" s="39">
        <v>1020000</v>
      </c>
      <c r="W41" s="39">
        <f>SUM(O41:V41)</f>
        <v>1400545</v>
      </c>
      <c r="X41" s="40">
        <f>+N41-W41</f>
        <v>2799455</v>
      </c>
      <c r="Y41" s="40"/>
      <c r="Z41" s="41"/>
      <c r="AA41" s="40">
        <f t="shared" si="6"/>
        <v>2799455</v>
      </c>
    </row>
    <row r="42" spans="1:27" ht="12.75" x14ac:dyDescent="0.25">
      <c r="A42" s="95"/>
      <c r="B42" s="123">
        <v>39</v>
      </c>
      <c r="C42" s="37" t="s">
        <v>128</v>
      </c>
      <c r="D42" s="38" t="s">
        <v>32</v>
      </c>
      <c r="E42" s="39">
        <v>4500000</v>
      </c>
      <c r="F42" s="39">
        <v>30</v>
      </c>
      <c r="G42" s="39">
        <f t="shared" si="12"/>
        <v>4500000</v>
      </c>
      <c r="H42" s="39"/>
      <c r="I42" s="39"/>
      <c r="J42" s="39"/>
      <c r="K42" s="39"/>
      <c r="L42" s="39"/>
      <c r="M42" s="39"/>
      <c r="N42" s="39">
        <f t="shared" si="4"/>
        <v>4500000</v>
      </c>
      <c r="O42" s="39">
        <f t="shared" si="15"/>
        <v>180000</v>
      </c>
      <c r="P42" s="39">
        <f t="shared" si="16"/>
        <v>180000</v>
      </c>
      <c r="Q42" s="39"/>
      <c r="R42" s="39">
        <f>+G42*1%</f>
        <v>45000</v>
      </c>
      <c r="S42" s="39">
        <v>34627</v>
      </c>
      <c r="T42" s="39"/>
      <c r="U42" s="39"/>
      <c r="V42" s="39"/>
      <c r="W42" s="39">
        <f>SUM(O42:V42)</f>
        <v>439627</v>
      </c>
      <c r="X42" s="40">
        <f>+N42-W42</f>
        <v>4060373</v>
      </c>
      <c r="Y42" s="40"/>
      <c r="Z42" s="41"/>
      <c r="AA42" s="40">
        <f t="shared" si="6"/>
        <v>4060373</v>
      </c>
    </row>
    <row r="43" spans="1:27" ht="12.75" x14ac:dyDescent="0.25">
      <c r="A43" s="95"/>
      <c r="B43" s="123">
        <v>40</v>
      </c>
      <c r="C43" s="137" t="s">
        <v>56</v>
      </c>
      <c r="D43" s="96" t="s">
        <v>32</v>
      </c>
      <c r="E43" s="39">
        <v>4180000</v>
      </c>
      <c r="F43" s="39">
        <v>30</v>
      </c>
      <c r="G43" s="39">
        <f t="shared" si="12"/>
        <v>4180000.0000000005</v>
      </c>
      <c r="H43" s="39"/>
      <c r="I43" s="39"/>
      <c r="J43" s="39"/>
      <c r="K43" s="39"/>
      <c r="L43" s="39"/>
      <c r="M43" s="39">
        <v>522500</v>
      </c>
      <c r="N43" s="39">
        <f t="shared" si="4"/>
        <v>4702500</v>
      </c>
      <c r="O43" s="39">
        <f t="shared" si="15"/>
        <v>167200.00000000003</v>
      </c>
      <c r="P43" s="39">
        <f t="shared" si="16"/>
        <v>167200.00000000003</v>
      </c>
      <c r="Q43" s="39"/>
      <c r="R43" s="39">
        <f>+G43*0.01</f>
        <v>41800.000000000007</v>
      </c>
      <c r="S43" s="39">
        <v>55432</v>
      </c>
      <c r="T43" s="39"/>
      <c r="U43" s="39"/>
      <c r="V43" s="39"/>
      <c r="W43" s="39">
        <f>SUM(O43:V43)</f>
        <v>431632.00000000006</v>
      </c>
      <c r="X43" s="40">
        <f>+N43-W43</f>
        <v>4270868</v>
      </c>
      <c r="Y43" s="40"/>
      <c r="Z43" s="41"/>
      <c r="AA43" s="40">
        <f t="shared" si="6"/>
        <v>4270868</v>
      </c>
    </row>
    <row r="44" spans="1:27" ht="30.75" customHeight="1" x14ac:dyDescent="0.25">
      <c r="A44" s="95"/>
      <c r="B44" s="123">
        <v>41</v>
      </c>
      <c r="C44" s="37" t="s">
        <v>121</v>
      </c>
      <c r="D44" s="38" t="s">
        <v>32</v>
      </c>
      <c r="E44" s="39">
        <v>4500000</v>
      </c>
      <c r="F44" s="39">
        <v>30</v>
      </c>
      <c r="G44" s="39">
        <f t="shared" si="12"/>
        <v>4500000</v>
      </c>
      <c r="H44" s="39"/>
      <c r="I44" s="39"/>
      <c r="J44" s="39"/>
      <c r="K44" s="39"/>
      <c r="L44" s="39"/>
      <c r="M44" s="39">
        <v>300000</v>
      </c>
      <c r="N44" s="39">
        <f t="shared" ref="N44:N46" si="18">SUM(G44:M44)</f>
        <v>4800000</v>
      </c>
      <c r="O44" s="39">
        <f t="shared" si="15"/>
        <v>180000</v>
      </c>
      <c r="P44" s="39">
        <f>O44</f>
        <v>180000</v>
      </c>
      <c r="Q44" s="39"/>
      <c r="R44" s="39">
        <v>45000</v>
      </c>
      <c r="S44" s="39">
        <v>98752</v>
      </c>
      <c r="T44" s="39"/>
      <c r="U44" s="39"/>
      <c r="V44" s="39"/>
      <c r="W44" s="39">
        <f>SUM(O44:V44)</f>
        <v>503752</v>
      </c>
      <c r="X44" s="40">
        <f>N44-W44</f>
        <v>4296248</v>
      </c>
      <c r="Y44" s="40"/>
      <c r="Z44" s="41"/>
      <c r="AA44" s="40">
        <f t="shared" si="6"/>
        <v>4296248</v>
      </c>
    </row>
    <row r="45" spans="1:27" ht="12.75" x14ac:dyDescent="0.25">
      <c r="A45" s="95"/>
      <c r="B45" s="123">
        <v>42</v>
      </c>
      <c r="C45" s="37" t="s">
        <v>59</v>
      </c>
      <c r="D45" s="38" t="s">
        <v>32</v>
      </c>
      <c r="E45" s="39">
        <v>5747500</v>
      </c>
      <c r="F45" s="39">
        <v>30</v>
      </c>
      <c r="G45" s="39">
        <f t="shared" si="12"/>
        <v>5747500</v>
      </c>
      <c r="H45" s="39"/>
      <c r="I45" s="39"/>
      <c r="J45" s="39"/>
      <c r="K45" s="39"/>
      <c r="L45" s="39"/>
      <c r="M45" s="39">
        <v>1000000</v>
      </c>
      <c r="N45" s="39">
        <f t="shared" si="18"/>
        <v>6747500</v>
      </c>
      <c r="O45" s="39">
        <v>229900</v>
      </c>
      <c r="P45" s="39">
        <f>+O45</f>
        <v>229900</v>
      </c>
      <c r="Q45" s="39"/>
      <c r="R45" s="39">
        <f>+G45*0.01</f>
        <v>57475</v>
      </c>
      <c r="S45" s="39">
        <v>91627</v>
      </c>
      <c r="T45" s="39">
        <v>1000000</v>
      </c>
      <c r="U45" s="39"/>
      <c r="V45" s="39"/>
      <c r="W45" s="39">
        <f>SUM(O45:V45)</f>
        <v>1608902</v>
      </c>
      <c r="X45" s="40">
        <f>N45-W45</f>
        <v>5138598</v>
      </c>
      <c r="Y45" s="40"/>
      <c r="Z45" s="41"/>
      <c r="AA45" s="40">
        <f t="shared" si="6"/>
        <v>5138598</v>
      </c>
    </row>
    <row r="46" spans="1:27" ht="12.75" x14ac:dyDescent="0.25">
      <c r="A46" s="98"/>
      <c r="B46" s="123">
        <v>43</v>
      </c>
      <c r="C46" s="37" t="s">
        <v>161</v>
      </c>
      <c r="D46" s="38" t="s">
        <v>32</v>
      </c>
      <c r="E46" s="39">
        <v>4000000</v>
      </c>
      <c r="F46" s="39">
        <v>30</v>
      </c>
      <c r="G46" s="39">
        <f t="shared" si="12"/>
        <v>4000000.0000000005</v>
      </c>
      <c r="H46" s="39"/>
      <c r="I46" s="39"/>
      <c r="J46" s="39"/>
      <c r="K46" s="39"/>
      <c r="L46" s="39"/>
      <c r="M46" s="39"/>
      <c r="N46" s="39">
        <f t="shared" si="18"/>
        <v>4000000.0000000005</v>
      </c>
      <c r="O46" s="39">
        <f>+G46*4%</f>
        <v>160000.00000000003</v>
      </c>
      <c r="P46" s="39">
        <f>+G46*4%</f>
        <v>160000.00000000003</v>
      </c>
      <c r="Q46" s="39"/>
      <c r="R46" s="39">
        <f>+G46*0.01</f>
        <v>40000.000000000007</v>
      </c>
      <c r="S46" s="39">
        <v>31000</v>
      </c>
      <c r="T46" s="39"/>
      <c r="U46" s="39"/>
      <c r="V46" s="39"/>
      <c r="W46" s="39">
        <f>SUM(O46:V46)</f>
        <v>391000.00000000006</v>
      </c>
      <c r="X46" s="40">
        <f>N46-W46</f>
        <v>3609000.0000000005</v>
      </c>
      <c r="Y46" s="40"/>
      <c r="Z46" s="41"/>
      <c r="AA46" s="40">
        <f t="shared" si="6"/>
        <v>3609000.0000000005</v>
      </c>
    </row>
    <row r="47" spans="1:27" ht="12.75" x14ac:dyDescent="0.25">
      <c r="A47" s="120" t="s">
        <v>60</v>
      </c>
      <c r="B47" s="123">
        <v>44</v>
      </c>
      <c r="C47" s="37" t="s">
        <v>61</v>
      </c>
      <c r="D47" s="38" t="s">
        <v>32</v>
      </c>
      <c r="E47" s="39">
        <v>2000000</v>
      </c>
      <c r="F47" s="39">
        <v>30</v>
      </c>
      <c r="G47" s="39">
        <f t="shared" si="12"/>
        <v>2000000.0000000002</v>
      </c>
      <c r="H47" s="39"/>
      <c r="I47" s="39"/>
      <c r="J47" s="39"/>
      <c r="K47" s="39"/>
      <c r="L47" s="39"/>
      <c r="M47" s="39">
        <v>500000</v>
      </c>
      <c r="N47" s="39">
        <f>SUM(G47:M47)</f>
        <v>2500000</v>
      </c>
      <c r="O47" s="39">
        <f>+G47*4%</f>
        <v>80000.000000000015</v>
      </c>
      <c r="P47" s="39">
        <f>+O47</f>
        <v>80000.000000000015</v>
      </c>
      <c r="Q47" s="39"/>
      <c r="R47" s="39"/>
      <c r="S47" s="48">
        <v>0</v>
      </c>
      <c r="T47" s="39"/>
      <c r="U47" s="39">
        <v>154980</v>
      </c>
      <c r="V47" s="39">
        <v>152804</v>
      </c>
      <c r="W47" s="39">
        <f>SUM(O47:V47)</f>
        <v>467784</v>
      </c>
      <c r="X47" s="40">
        <f>+N47-W47</f>
        <v>2032216</v>
      </c>
      <c r="Y47" s="40"/>
      <c r="Z47" s="41"/>
      <c r="AA47" s="40">
        <f t="shared" si="6"/>
        <v>2032216</v>
      </c>
    </row>
    <row r="48" spans="1:27" ht="12.75" x14ac:dyDescent="0.25">
      <c r="A48" s="120"/>
      <c r="B48" s="123">
        <v>45</v>
      </c>
      <c r="C48" s="37" t="s">
        <v>147</v>
      </c>
      <c r="D48" s="38" t="s">
        <v>32</v>
      </c>
      <c r="E48" s="39">
        <v>644350</v>
      </c>
      <c r="F48" s="39">
        <v>30</v>
      </c>
      <c r="G48" s="39">
        <f t="shared" si="12"/>
        <v>644350</v>
      </c>
      <c r="H48" s="39"/>
      <c r="I48" s="39"/>
      <c r="J48" s="39"/>
      <c r="K48" s="39"/>
      <c r="L48" s="39"/>
      <c r="M48" s="39"/>
      <c r="N48" s="39">
        <f>SUM(G48:M48)</f>
        <v>644350</v>
      </c>
      <c r="O48" s="39"/>
      <c r="P48" s="39"/>
      <c r="Q48" s="39"/>
      <c r="R48" s="39"/>
      <c r="S48" s="48"/>
      <c r="T48" s="39"/>
      <c r="U48" s="39"/>
      <c r="V48" s="39"/>
      <c r="W48" s="39"/>
      <c r="X48" s="40">
        <f>+N48-W48</f>
        <v>644350</v>
      </c>
      <c r="Y48" s="40"/>
      <c r="Z48" s="41"/>
      <c r="AA48" s="40">
        <f t="shared" si="6"/>
        <v>644350</v>
      </c>
    </row>
    <row r="49" spans="1:30" ht="12.75" x14ac:dyDescent="0.25">
      <c r="A49" s="120"/>
      <c r="B49" s="123">
        <v>46</v>
      </c>
      <c r="C49" s="37" t="s">
        <v>133</v>
      </c>
      <c r="D49" s="38" t="s">
        <v>32</v>
      </c>
      <c r="E49" s="39">
        <v>322250</v>
      </c>
      <c r="F49" s="39">
        <v>30</v>
      </c>
      <c r="G49" s="39">
        <f t="shared" si="12"/>
        <v>322250</v>
      </c>
      <c r="H49" s="39"/>
      <c r="I49" s="39"/>
      <c r="J49" s="39"/>
      <c r="K49" s="39"/>
      <c r="L49" s="39"/>
      <c r="M49" s="39"/>
      <c r="N49" s="39">
        <f>SUM(G49:M49)</f>
        <v>322250</v>
      </c>
      <c r="O49" s="39"/>
      <c r="P49" s="39"/>
      <c r="Q49" s="39"/>
      <c r="R49" s="39"/>
      <c r="S49" s="48"/>
      <c r="T49" s="39"/>
      <c r="U49" s="39"/>
      <c r="V49" s="39"/>
      <c r="W49" s="39">
        <f>SUM(O49:V49)</f>
        <v>0</v>
      </c>
      <c r="X49" s="40">
        <f>+N49-W49</f>
        <v>322250</v>
      </c>
      <c r="Y49" s="40"/>
      <c r="Z49" s="41"/>
      <c r="AA49" s="40">
        <f t="shared" si="6"/>
        <v>322250</v>
      </c>
    </row>
    <row r="50" spans="1:30" ht="12.75" x14ac:dyDescent="0.25">
      <c r="A50" s="120"/>
      <c r="B50" s="123">
        <v>47</v>
      </c>
      <c r="C50" s="37" t="s">
        <v>162</v>
      </c>
      <c r="D50" s="38" t="s">
        <v>163</v>
      </c>
      <c r="E50" s="39">
        <v>800000</v>
      </c>
      <c r="F50" s="39">
        <v>17</v>
      </c>
      <c r="G50" s="39">
        <f t="shared" si="12"/>
        <v>453333.33333333337</v>
      </c>
      <c r="H50" s="39">
        <f>+(74000/30)*17</f>
        <v>41933.333333333328</v>
      </c>
      <c r="I50" s="39"/>
      <c r="J50" s="39"/>
      <c r="K50" s="39"/>
      <c r="L50" s="39">
        <v>41272</v>
      </c>
      <c r="M50" s="39"/>
      <c r="N50" s="39">
        <f>SUM(G50:M50)</f>
        <v>536538.66666666674</v>
      </c>
      <c r="O50" s="39">
        <f>+G50*4%</f>
        <v>18133.333333333336</v>
      </c>
      <c r="P50" s="39">
        <f>+G50*4%</f>
        <v>18133.333333333336</v>
      </c>
      <c r="Q50" s="39"/>
      <c r="R50" s="39"/>
      <c r="S50" s="48"/>
      <c r="T50" s="39"/>
      <c r="U50" s="39"/>
      <c r="V50" s="39"/>
      <c r="W50" s="39">
        <f>SUM(O50:V50)</f>
        <v>36266.666666666672</v>
      </c>
      <c r="X50" s="40">
        <f>+N50-W50</f>
        <v>500272.00000000006</v>
      </c>
      <c r="Y50" s="40"/>
      <c r="Z50" s="41"/>
      <c r="AA50" s="40">
        <f t="shared" si="6"/>
        <v>500272.00000000006</v>
      </c>
    </row>
    <row r="51" spans="1:30" ht="41.25" customHeight="1" x14ac:dyDescent="0.25">
      <c r="A51" s="120"/>
      <c r="B51" s="123">
        <v>48</v>
      </c>
      <c r="C51" s="37" t="s">
        <v>148</v>
      </c>
      <c r="D51" s="38" t="s">
        <v>32</v>
      </c>
      <c r="E51" s="39">
        <v>1100000</v>
      </c>
      <c r="F51" s="39">
        <v>30</v>
      </c>
      <c r="G51" s="39">
        <f>E51/30*F51</f>
        <v>1100000</v>
      </c>
      <c r="H51" s="39">
        <f>(74000/30)*F51</f>
        <v>74000</v>
      </c>
      <c r="I51" s="39"/>
      <c r="J51" s="39"/>
      <c r="K51" s="39"/>
      <c r="L51" s="39"/>
      <c r="M51" s="39"/>
      <c r="N51" s="39">
        <f t="shared" ref="N51" si="19">SUM(G51:M51)</f>
        <v>1174000</v>
      </c>
      <c r="O51" s="39">
        <f>+G51*4%</f>
        <v>44000</v>
      </c>
      <c r="P51" s="39">
        <f>+O51</f>
        <v>44000</v>
      </c>
      <c r="Q51" s="39"/>
      <c r="R51" s="39"/>
      <c r="S51" s="39">
        <v>0</v>
      </c>
      <c r="T51" s="39"/>
      <c r="U51" s="39"/>
      <c r="V51" s="39">
        <v>38028</v>
      </c>
      <c r="W51" s="39">
        <f>SUM(O51:V51)</f>
        <v>126028</v>
      </c>
      <c r="X51" s="40">
        <f>+N51-W51</f>
        <v>1047972</v>
      </c>
      <c r="Y51" s="40"/>
      <c r="Z51" s="41"/>
      <c r="AA51" s="40">
        <f t="shared" si="6"/>
        <v>1047972</v>
      </c>
    </row>
    <row r="52" spans="1:30" ht="12.75" x14ac:dyDescent="0.25">
      <c r="A52" s="120"/>
      <c r="B52" s="123">
        <v>49</v>
      </c>
      <c r="C52" s="37" t="s">
        <v>65</v>
      </c>
      <c r="D52" s="38" t="s">
        <v>32</v>
      </c>
      <c r="E52" s="39">
        <v>800000</v>
      </c>
      <c r="F52" s="39">
        <v>30</v>
      </c>
      <c r="G52" s="39">
        <f>E52/30*F52</f>
        <v>800000</v>
      </c>
      <c r="H52" s="39">
        <v>74000</v>
      </c>
      <c r="I52" s="39"/>
      <c r="J52" s="39"/>
      <c r="K52" s="39"/>
      <c r="L52" s="39"/>
      <c r="M52" s="39"/>
      <c r="N52" s="39">
        <f t="shared" ref="N52:N71" si="20">SUM(G52:M52)</f>
        <v>874000</v>
      </c>
      <c r="O52" s="39">
        <f>+G52*4%</f>
        <v>32000</v>
      </c>
      <c r="P52" s="39">
        <f>+O52</f>
        <v>32000</v>
      </c>
      <c r="Q52" s="39"/>
      <c r="R52" s="39"/>
      <c r="S52" s="39">
        <v>0</v>
      </c>
      <c r="T52" s="39"/>
      <c r="U52" s="39"/>
      <c r="V52" s="39"/>
      <c r="W52" s="39">
        <f>SUM(O52:V52)</f>
        <v>64000</v>
      </c>
      <c r="X52" s="40">
        <f>+N52-W52</f>
        <v>810000</v>
      </c>
      <c r="Y52" s="40"/>
      <c r="Z52" s="41"/>
      <c r="AA52" s="40">
        <f t="shared" si="6"/>
        <v>810000</v>
      </c>
    </row>
    <row r="53" spans="1:30" ht="12.75" x14ac:dyDescent="0.25">
      <c r="A53" s="120"/>
      <c r="B53" s="123">
        <v>50</v>
      </c>
      <c r="C53" s="37" t="s">
        <v>66</v>
      </c>
      <c r="D53" s="38" t="s">
        <v>32</v>
      </c>
      <c r="E53" s="39">
        <v>644350</v>
      </c>
      <c r="F53" s="39">
        <v>30</v>
      </c>
      <c r="G53" s="39">
        <f>E53/30*F53</f>
        <v>644350</v>
      </c>
      <c r="H53" s="39"/>
      <c r="I53" s="39"/>
      <c r="J53" s="39"/>
      <c r="K53" s="39"/>
      <c r="L53" s="39"/>
      <c r="M53" s="39"/>
      <c r="N53" s="39">
        <f t="shared" si="20"/>
        <v>644350</v>
      </c>
      <c r="O53" s="39"/>
      <c r="P53" s="39"/>
      <c r="Q53" s="39"/>
      <c r="R53" s="39"/>
      <c r="S53" s="39">
        <v>0</v>
      </c>
      <c r="T53" s="39"/>
      <c r="U53" s="39"/>
      <c r="V53" s="39"/>
      <c r="W53" s="39">
        <f>SUM(O53:V53)</f>
        <v>0</v>
      </c>
      <c r="X53" s="40">
        <f>N53</f>
        <v>644350</v>
      </c>
      <c r="Y53" s="40"/>
      <c r="Z53" s="41"/>
      <c r="AA53" s="40">
        <f t="shared" si="6"/>
        <v>644350</v>
      </c>
    </row>
    <row r="54" spans="1:30" ht="12.75" x14ac:dyDescent="0.25">
      <c r="A54" s="120"/>
      <c r="B54" s="123">
        <v>51</v>
      </c>
      <c r="C54" s="118" t="s">
        <v>67</v>
      </c>
      <c r="D54" s="45" t="s">
        <v>32</v>
      </c>
      <c r="E54" s="39">
        <v>2000000</v>
      </c>
      <c r="F54" s="39">
        <v>30</v>
      </c>
      <c r="G54" s="39">
        <f>+E54/30*F54</f>
        <v>2000000.0000000002</v>
      </c>
      <c r="H54" s="39"/>
      <c r="I54" s="39"/>
      <c r="J54" s="39"/>
      <c r="K54" s="39"/>
      <c r="L54" s="39"/>
      <c r="M54" s="39"/>
      <c r="N54" s="39">
        <f t="shared" si="20"/>
        <v>2000000.0000000002</v>
      </c>
      <c r="O54" s="39">
        <f>G54*4%</f>
        <v>80000.000000000015</v>
      </c>
      <c r="P54" s="39">
        <f>+O54</f>
        <v>80000.000000000015</v>
      </c>
      <c r="Q54" s="39"/>
      <c r="R54" s="39"/>
      <c r="S54" s="39">
        <v>0</v>
      </c>
      <c r="T54" s="39"/>
      <c r="U54" s="39"/>
      <c r="V54" s="39"/>
      <c r="W54" s="39">
        <f>SUM(O54:V54)</f>
        <v>160000.00000000003</v>
      </c>
      <c r="X54" s="40">
        <f>N54-W54</f>
        <v>1840000.0000000002</v>
      </c>
      <c r="Y54" s="40"/>
      <c r="Z54" s="41"/>
      <c r="AA54" s="40">
        <f t="shared" si="6"/>
        <v>1840000.0000000002</v>
      </c>
    </row>
    <row r="55" spans="1:30" ht="12.75" x14ac:dyDescent="0.25">
      <c r="A55" s="120"/>
      <c r="B55" s="123">
        <v>52</v>
      </c>
      <c r="C55" s="37" t="s">
        <v>68</v>
      </c>
      <c r="D55" s="38" t="s">
        <v>32</v>
      </c>
      <c r="E55" s="39">
        <v>2500000</v>
      </c>
      <c r="F55" s="39">
        <v>30</v>
      </c>
      <c r="G55" s="39">
        <f t="shared" ref="G55:G56" si="21">+E55/30*F55</f>
        <v>2500000</v>
      </c>
      <c r="H55" s="39"/>
      <c r="I55" s="39"/>
      <c r="J55" s="39"/>
      <c r="K55" s="39"/>
      <c r="L55" s="39"/>
      <c r="M55" s="39">
        <v>500000</v>
      </c>
      <c r="N55" s="39">
        <f t="shared" si="20"/>
        <v>3000000</v>
      </c>
      <c r="O55" s="39">
        <f>G55*4%</f>
        <v>100000</v>
      </c>
      <c r="P55" s="39">
        <f>O55</f>
        <v>100000</v>
      </c>
      <c r="Q55" s="39"/>
      <c r="R55" s="39"/>
      <c r="S55" s="39">
        <v>0</v>
      </c>
      <c r="T55" s="39"/>
      <c r="U55" s="39"/>
      <c r="V55" s="39">
        <v>766228</v>
      </c>
      <c r="W55" s="39">
        <f>SUM(O55:V55)</f>
        <v>966228</v>
      </c>
      <c r="X55" s="40">
        <f>N55-W55</f>
        <v>2033772</v>
      </c>
      <c r="Y55" s="40"/>
      <c r="Z55" s="41"/>
      <c r="AA55" s="40">
        <f t="shared" si="6"/>
        <v>2033772</v>
      </c>
    </row>
    <row r="56" spans="1:30" ht="12.75" x14ac:dyDescent="0.25">
      <c r="A56" s="120"/>
      <c r="B56" s="123">
        <v>53</v>
      </c>
      <c r="C56" s="37" t="s">
        <v>134</v>
      </c>
      <c r="D56" s="38" t="s">
        <v>32</v>
      </c>
      <c r="E56" s="39">
        <v>322250</v>
      </c>
      <c r="F56" s="39">
        <v>30</v>
      </c>
      <c r="G56" s="39">
        <f t="shared" si="21"/>
        <v>322250</v>
      </c>
      <c r="H56" s="39"/>
      <c r="I56" s="39"/>
      <c r="J56" s="39"/>
      <c r="K56" s="39"/>
      <c r="L56" s="39"/>
      <c r="M56" s="39"/>
      <c r="N56" s="39">
        <f t="shared" si="20"/>
        <v>322250</v>
      </c>
      <c r="O56" s="39"/>
      <c r="P56" s="39"/>
      <c r="Q56" s="39"/>
      <c r="R56" s="39"/>
      <c r="S56" s="39"/>
      <c r="T56" s="39"/>
      <c r="U56" s="39"/>
      <c r="V56" s="39"/>
      <c r="W56" s="39">
        <f>SUM(O56:V56)</f>
        <v>0</v>
      </c>
      <c r="X56" s="40">
        <f>N56-W56</f>
        <v>322250</v>
      </c>
      <c r="Y56" s="40"/>
      <c r="Z56" s="41"/>
      <c r="AA56" s="40">
        <f t="shared" si="6"/>
        <v>322250</v>
      </c>
    </row>
    <row r="57" spans="1:30" ht="12.75" x14ac:dyDescent="0.25">
      <c r="A57" s="120"/>
      <c r="B57" s="123">
        <v>54</v>
      </c>
      <c r="C57" s="37" t="s">
        <v>70</v>
      </c>
      <c r="D57" s="38" t="s">
        <v>32</v>
      </c>
      <c r="E57" s="39">
        <v>2000000</v>
      </c>
      <c r="F57" s="39">
        <v>30</v>
      </c>
      <c r="G57" s="39">
        <f>E57/30*F57</f>
        <v>2000000.0000000002</v>
      </c>
      <c r="H57" s="39"/>
      <c r="I57" s="39"/>
      <c r="J57" s="39"/>
      <c r="K57" s="39"/>
      <c r="L57" s="39"/>
      <c r="M57" s="39"/>
      <c r="N57" s="39">
        <f t="shared" si="20"/>
        <v>2000000.0000000002</v>
      </c>
      <c r="O57" s="39">
        <f t="shared" ref="O57" si="22">G57*4%</f>
        <v>80000.000000000015</v>
      </c>
      <c r="P57" s="39">
        <f>O57</f>
        <v>80000.000000000015</v>
      </c>
      <c r="Q57" s="39"/>
      <c r="R57" s="39"/>
      <c r="S57" s="39">
        <v>0</v>
      </c>
      <c r="T57" s="39"/>
      <c r="U57" s="39"/>
      <c r="V57" s="39"/>
      <c r="W57" s="39">
        <f>SUM(O57:V57)</f>
        <v>160000.00000000003</v>
      </c>
      <c r="X57" s="40">
        <f>N57-W57</f>
        <v>1840000.0000000002</v>
      </c>
      <c r="Y57" s="40"/>
      <c r="Z57" s="41"/>
      <c r="AA57" s="40">
        <f t="shared" si="6"/>
        <v>1840000.0000000002</v>
      </c>
    </row>
    <row r="58" spans="1:30" ht="12.75" x14ac:dyDescent="0.25">
      <c r="A58" s="120"/>
      <c r="B58" s="123">
        <v>55</v>
      </c>
      <c r="C58" s="37" t="s">
        <v>71</v>
      </c>
      <c r="D58" s="38" t="s">
        <v>32</v>
      </c>
      <c r="E58" s="39">
        <v>1300000</v>
      </c>
      <c r="F58" s="39">
        <v>30</v>
      </c>
      <c r="G58" s="39">
        <f>E58/30*F58</f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>
        <v>0</v>
      </c>
      <c r="T58" s="39"/>
      <c r="U58" s="39"/>
      <c r="V58" s="39"/>
      <c r="W58" s="39">
        <f>SUM(O58:V58)</f>
        <v>104000</v>
      </c>
      <c r="X58" s="40">
        <f>N58-W58</f>
        <v>1196000</v>
      </c>
      <c r="Y58" s="40"/>
      <c r="Z58" s="41"/>
      <c r="AA58" s="40">
        <f t="shared" si="6"/>
        <v>1196000</v>
      </c>
      <c r="AD58" s="43">
        <f>1196000+644000</f>
        <v>1840000</v>
      </c>
    </row>
    <row r="59" spans="1:30" ht="12.75" x14ac:dyDescent="0.25">
      <c r="A59" s="120"/>
      <c r="B59" s="123">
        <v>56</v>
      </c>
      <c r="C59" s="118" t="s">
        <v>135</v>
      </c>
      <c r="D59" s="45" t="s">
        <v>32</v>
      </c>
      <c r="E59" s="39">
        <v>322250</v>
      </c>
      <c r="F59" s="39">
        <v>30</v>
      </c>
      <c r="G59" s="39">
        <f>+E59/30*F59</f>
        <v>322250</v>
      </c>
      <c r="H59" s="39"/>
      <c r="I59" s="39"/>
      <c r="J59" s="39"/>
      <c r="K59" s="39"/>
      <c r="L59" s="39"/>
      <c r="M59" s="39"/>
      <c r="N59" s="39">
        <f t="shared" si="20"/>
        <v>322250</v>
      </c>
      <c r="O59" s="39"/>
      <c r="P59" s="39"/>
      <c r="Q59" s="39"/>
      <c r="R59" s="39"/>
      <c r="S59" s="39"/>
      <c r="T59" s="39"/>
      <c r="U59" s="39"/>
      <c r="V59" s="39"/>
      <c r="W59" s="39">
        <f>SUM(O59:V59)</f>
        <v>0</v>
      </c>
      <c r="X59" s="40">
        <f>N59-W59</f>
        <v>322250</v>
      </c>
      <c r="Y59" s="40"/>
      <c r="Z59" s="41"/>
      <c r="AA59" s="40">
        <f t="shared" si="6"/>
        <v>322250</v>
      </c>
      <c r="AD59" s="43">
        <f>1840000-1196000</f>
        <v>644000</v>
      </c>
    </row>
    <row r="60" spans="1:30" ht="12.75" x14ac:dyDescent="0.25">
      <c r="A60" s="120"/>
      <c r="B60" s="123">
        <v>57</v>
      </c>
      <c r="C60" s="37" t="s">
        <v>164</v>
      </c>
      <c r="D60" s="38" t="s">
        <v>163</v>
      </c>
      <c r="E60" s="39">
        <v>800000</v>
      </c>
      <c r="F60" s="39">
        <v>17</v>
      </c>
      <c r="G60" s="39">
        <f t="shared" ref="G60" si="23">+E60/30*F60</f>
        <v>453333.33333333337</v>
      </c>
      <c r="H60" s="39">
        <f>+(74000/30)*17</f>
        <v>41933.333333333328</v>
      </c>
      <c r="I60" s="39"/>
      <c r="J60" s="39"/>
      <c r="K60" s="39"/>
      <c r="L60" s="39">
        <v>41272</v>
      </c>
      <c r="M60" s="39"/>
      <c r="N60" s="39">
        <f>SUM(G60:M60)</f>
        <v>536538.66666666674</v>
      </c>
      <c r="O60" s="39">
        <f>+G60*4%</f>
        <v>18133.333333333336</v>
      </c>
      <c r="P60" s="39">
        <f>+G60*4%</f>
        <v>18133.333333333336</v>
      </c>
      <c r="Q60" s="39"/>
      <c r="R60" s="39"/>
      <c r="S60" s="48"/>
      <c r="T60" s="39"/>
      <c r="U60" s="39"/>
      <c r="V60" s="39"/>
      <c r="W60" s="39">
        <f>SUM(O60:V60)</f>
        <v>36266.666666666672</v>
      </c>
      <c r="X60" s="40">
        <f>+N60-W60</f>
        <v>500272.00000000006</v>
      </c>
      <c r="Y60" s="40"/>
      <c r="Z60" s="41"/>
      <c r="AA60" s="40">
        <f t="shared" si="6"/>
        <v>500272.00000000006</v>
      </c>
    </row>
    <row r="61" spans="1:30" ht="12.75" x14ac:dyDescent="0.25">
      <c r="A61" s="120"/>
      <c r="B61" s="123">
        <v>58</v>
      </c>
      <c r="C61" s="118" t="s">
        <v>112</v>
      </c>
      <c r="D61" s="45" t="s">
        <v>32</v>
      </c>
      <c r="E61" s="39">
        <v>1500000</v>
      </c>
      <c r="F61" s="39">
        <v>30</v>
      </c>
      <c r="G61" s="39">
        <f>+E61/30*F61</f>
        <v>1500000</v>
      </c>
      <c r="H61" s="39"/>
      <c r="I61" s="39"/>
      <c r="J61" s="39"/>
      <c r="K61" s="39"/>
      <c r="L61" s="39"/>
      <c r="M61" s="39">
        <v>500000</v>
      </c>
      <c r="N61" s="39">
        <f t="shared" si="20"/>
        <v>2000000</v>
      </c>
      <c r="O61" s="39">
        <f t="shared" ref="O61:O64" si="24">+G61*4%</f>
        <v>60000</v>
      </c>
      <c r="P61" s="39">
        <f>+O61</f>
        <v>60000</v>
      </c>
      <c r="Q61" s="39"/>
      <c r="R61" s="39"/>
      <c r="S61" s="39">
        <v>0</v>
      </c>
      <c r="T61" s="39"/>
      <c r="U61" s="39">
        <v>108360</v>
      </c>
      <c r="V61" s="39"/>
      <c r="W61" s="39">
        <f>SUM(O61:V61)</f>
        <v>228360</v>
      </c>
      <c r="X61" s="40">
        <f>N61-W61</f>
        <v>1771640</v>
      </c>
      <c r="Y61" s="40"/>
      <c r="Z61" s="41"/>
      <c r="AA61" s="40">
        <f>X61+Y61-Z61</f>
        <v>1771640</v>
      </c>
    </row>
    <row r="62" spans="1:30" ht="12.75" x14ac:dyDescent="0.25">
      <c r="A62" s="120"/>
      <c r="B62" s="123">
        <v>59</v>
      </c>
      <c r="C62" s="37" t="s">
        <v>74</v>
      </c>
      <c r="D62" s="38" t="s">
        <v>32</v>
      </c>
      <c r="E62" s="39">
        <v>1500000</v>
      </c>
      <c r="F62" s="39">
        <v>30</v>
      </c>
      <c r="G62" s="39">
        <f>+E62/30*F62</f>
        <v>1500000</v>
      </c>
      <c r="H62" s="39"/>
      <c r="I62" s="39"/>
      <c r="J62" s="39"/>
      <c r="K62" s="39"/>
      <c r="L62" s="39"/>
      <c r="M62" s="39">
        <v>100000</v>
      </c>
      <c r="N62" s="39">
        <f t="shared" si="20"/>
        <v>1600000</v>
      </c>
      <c r="O62" s="39">
        <f t="shared" si="24"/>
        <v>60000</v>
      </c>
      <c r="P62" s="39">
        <f t="shared" ref="P62:P71" si="25">+O62</f>
        <v>60000</v>
      </c>
      <c r="Q62" s="39"/>
      <c r="R62" s="39"/>
      <c r="S62" s="39">
        <v>0</v>
      </c>
      <c r="T62" s="39"/>
      <c r="U62" s="39"/>
      <c r="V62" s="39"/>
      <c r="W62" s="39">
        <f>SUM(O62:V62)</f>
        <v>120000</v>
      </c>
      <c r="X62" s="40">
        <f>+N62-W62</f>
        <v>1480000</v>
      </c>
      <c r="Y62" s="40"/>
      <c r="Z62" s="41"/>
      <c r="AA62" s="40">
        <f t="shared" si="6"/>
        <v>1480000</v>
      </c>
    </row>
    <row r="63" spans="1:30" ht="26.25" customHeight="1" x14ac:dyDescent="0.25">
      <c r="A63" s="120"/>
      <c r="B63" s="123">
        <v>60</v>
      </c>
      <c r="C63" s="37" t="s">
        <v>75</v>
      </c>
      <c r="D63" s="38" t="s">
        <v>32</v>
      </c>
      <c r="E63" s="39">
        <v>3000000</v>
      </c>
      <c r="F63" s="39">
        <v>30</v>
      </c>
      <c r="G63" s="39">
        <f t="shared" ref="G63:G71" si="26">+E63/30*F63</f>
        <v>3000000</v>
      </c>
      <c r="H63" s="39"/>
      <c r="I63" s="39"/>
      <c r="J63" s="39"/>
      <c r="K63" s="39"/>
      <c r="L63" s="39"/>
      <c r="M63" s="39"/>
      <c r="N63" s="39">
        <f t="shared" si="20"/>
        <v>3000000</v>
      </c>
      <c r="O63" s="39">
        <f t="shared" si="24"/>
        <v>120000</v>
      </c>
      <c r="P63" s="39">
        <f t="shared" si="25"/>
        <v>120000</v>
      </c>
      <c r="Q63" s="39"/>
      <c r="R63" s="39">
        <f>N63*1%</f>
        <v>30000</v>
      </c>
      <c r="S63" s="39">
        <v>0</v>
      </c>
      <c r="T63" s="39"/>
      <c r="U63" s="39"/>
      <c r="V63" s="39">
        <v>802634</v>
      </c>
      <c r="W63" s="39">
        <f>SUM(O63:V63)</f>
        <v>1072634</v>
      </c>
      <c r="X63" s="40">
        <f>+N63-W63</f>
        <v>1927366</v>
      </c>
      <c r="Y63" s="40"/>
      <c r="Z63" s="41"/>
      <c r="AA63" s="40">
        <f t="shared" si="6"/>
        <v>1927366</v>
      </c>
    </row>
    <row r="64" spans="1:30" ht="12.75" x14ac:dyDescent="0.25">
      <c r="A64" s="120"/>
      <c r="B64" s="123">
        <v>61</v>
      </c>
      <c r="C64" s="37" t="s">
        <v>76</v>
      </c>
      <c r="D64" s="38" t="s">
        <v>32</v>
      </c>
      <c r="E64" s="39">
        <v>2500000</v>
      </c>
      <c r="F64" s="39">
        <v>30</v>
      </c>
      <c r="G64" s="39">
        <f t="shared" si="26"/>
        <v>2500000</v>
      </c>
      <c r="H64" s="39"/>
      <c r="I64" s="39"/>
      <c r="J64" s="39"/>
      <c r="K64" s="39"/>
      <c r="L64" s="39">
        <v>90000</v>
      </c>
      <c r="M64" s="39">
        <v>500000</v>
      </c>
      <c r="N64" s="39">
        <f t="shared" si="20"/>
        <v>3090000</v>
      </c>
      <c r="O64" s="39">
        <f t="shared" si="24"/>
        <v>100000</v>
      </c>
      <c r="P64" s="39">
        <f t="shared" si="25"/>
        <v>100000</v>
      </c>
      <c r="Q64" s="39"/>
      <c r="R64" s="39">
        <v>0</v>
      </c>
      <c r="S64" s="39">
        <v>0</v>
      </c>
      <c r="T64" s="39"/>
      <c r="U64" s="39"/>
      <c r="V64" s="39"/>
      <c r="W64" s="39">
        <f>SUM(O64:V64)</f>
        <v>200000</v>
      </c>
      <c r="X64" s="40">
        <f>+N64-W64</f>
        <v>2890000</v>
      </c>
      <c r="Y64" s="40"/>
      <c r="Z64" s="41"/>
      <c r="AA64" s="40">
        <f t="shared" si="6"/>
        <v>2890000</v>
      </c>
      <c r="AB64" s="43" t="s">
        <v>99</v>
      </c>
    </row>
    <row r="65" spans="1:27" ht="12.75" x14ac:dyDescent="0.25">
      <c r="A65" s="120"/>
      <c r="B65" s="123">
        <v>62</v>
      </c>
      <c r="C65" s="37" t="s">
        <v>78</v>
      </c>
      <c r="D65" s="38" t="s">
        <v>32</v>
      </c>
      <c r="E65" s="39">
        <v>2500000</v>
      </c>
      <c r="F65" s="39">
        <v>30</v>
      </c>
      <c r="G65" s="39">
        <f t="shared" si="26"/>
        <v>2500000</v>
      </c>
      <c r="H65" s="39"/>
      <c r="I65" s="39"/>
      <c r="J65" s="39"/>
      <c r="K65" s="39"/>
      <c r="L65" s="39"/>
      <c r="M65" s="39"/>
      <c r="N65" s="39">
        <f t="shared" si="20"/>
        <v>2500000</v>
      </c>
      <c r="O65" s="39">
        <f>G65*4%</f>
        <v>100000</v>
      </c>
      <c r="P65" s="39">
        <f t="shared" si="25"/>
        <v>100000</v>
      </c>
      <c r="Q65" s="39"/>
      <c r="R65" s="39"/>
      <c r="S65" s="48">
        <v>0</v>
      </c>
      <c r="T65" s="39"/>
      <c r="U65" s="39"/>
      <c r="V65" s="39"/>
      <c r="W65" s="39">
        <f>SUM(O65:V65)</f>
        <v>200000</v>
      </c>
      <c r="X65" s="40">
        <f>+N65-W65</f>
        <v>2300000</v>
      </c>
      <c r="Y65" s="40"/>
      <c r="Z65" s="41"/>
      <c r="AA65" s="40">
        <f t="shared" si="6"/>
        <v>2300000</v>
      </c>
    </row>
    <row r="66" spans="1:27" ht="12.75" x14ac:dyDescent="0.25">
      <c r="A66" s="120"/>
      <c r="B66" s="123">
        <v>63</v>
      </c>
      <c r="C66" s="37" t="s">
        <v>122</v>
      </c>
      <c r="D66" s="38" t="s">
        <v>32</v>
      </c>
      <c r="E66" s="39">
        <v>1300000</v>
      </c>
      <c r="F66" s="39">
        <v>30</v>
      </c>
      <c r="G66" s="39">
        <f t="shared" si="26"/>
        <v>1300000</v>
      </c>
      <c r="H66" s="39"/>
      <c r="I66" s="39"/>
      <c r="J66" s="39"/>
      <c r="K66" s="39"/>
      <c r="L66" s="39"/>
      <c r="M66" s="39">
        <v>27167</v>
      </c>
      <c r="N66" s="39">
        <f t="shared" si="20"/>
        <v>1327167</v>
      </c>
      <c r="O66" s="39">
        <f>G66*4%</f>
        <v>52000</v>
      </c>
      <c r="P66" s="39">
        <f t="shared" si="25"/>
        <v>52000</v>
      </c>
      <c r="Q66" s="39"/>
      <c r="R66" s="39"/>
      <c r="S66" s="48">
        <v>0</v>
      </c>
      <c r="T66" s="39"/>
      <c r="U66" s="39">
        <v>108360</v>
      </c>
      <c r="V66" s="39"/>
      <c r="W66" s="39">
        <f>SUM(O66:V66)</f>
        <v>212360</v>
      </c>
      <c r="X66" s="40">
        <f>+N66-W66</f>
        <v>1114807</v>
      </c>
      <c r="Y66" s="40"/>
      <c r="Z66" s="41"/>
      <c r="AA66" s="40">
        <f t="shared" si="6"/>
        <v>1114807</v>
      </c>
    </row>
    <row r="67" spans="1:27" ht="12.75" x14ac:dyDescent="0.25">
      <c r="A67" s="120"/>
      <c r="B67" s="123">
        <v>64</v>
      </c>
      <c r="C67" s="37" t="s">
        <v>79</v>
      </c>
      <c r="D67" s="38" t="s">
        <v>32</v>
      </c>
      <c r="E67" s="39">
        <v>1300000</v>
      </c>
      <c r="F67" s="39">
        <v>30</v>
      </c>
      <c r="G67" s="39">
        <f t="shared" si="26"/>
        <v>1300000</v>
      </c>
      <c r="H67" s="39"/>
      <c r="I67" s="39"/>
      <c r="J67" s="39"/>
      <c r="K67" s="39"/>
      <c r="L67" s="39"/>
      <c r="M67" s="39">
        <v>300000</v>
      </c>
      <c r="N67" s="39">
        <f t="shared" si="20"/>
        <v>1600000</v>
      </c>
      <c r="O67" s="39">
        <f>+G67*4%</f>
        <v>52000</v>
      </c>
      <c r="P67" s="39">
        <f t="shared" si="25"/>
        <v>52000</v>
      </c>
      <c r="Q67" s="39"/>
      <c r="R67" s="39"/>
      <c r="S67" s="39">
        <v>0</v>
      </c>
      <c r="T67" s="39"/>
      <c r="U67" s="39"/>
      <c r="V67" s="39">
        <v>257196</v>
      </c>
      <c r="W67" s="39">
        <f>SUM(O67:V67)</f>
        <v>361196</v>
      </c>
      <c r="X67" s="40">
        <f>+N67-W67</f>
        <v>1238804</v>
      </c>
      <c r="Y67" s="40"/>
      <c r="Z67" s="41"/>
      <c r="AA67" s="40">
        <f t="shared" si="6"/>
        <v>1238804</v>
      </c>
    </row>
    <row r="68" spans="1:27" ht="12.75" x14ac:dyDescent="0.25">
      <c r="A68" s="120"/>
      <c r="B68" s="123">
        <v>65</v>
      </c>
      <c r="C68" s="37" t="s">
        <v>165</v>
      </c>
      <c r="D68" s="38"/>
      <c r="E68" s="39">
        <v>1000000</v>
      </c>
      <c r="F68" s="39">
        <v>9</v>
      </c>
      <c r="G68" s="39">
        <f t="shared" si="26"/>
        <v>300000</v>
      </c>
      <c r="H68" s="39">
        <f>+(74000/30)*9</f>
        <v>22200</v>
      </c>
      <c r="I68" s="39"/>
      <c r="J68" s="39"/>
      <c r="K68" s="39"/>
      <c r="L68" s="39">
        <v>26850</v>
      </c>
      <c r="M68" s="39"/>
      <c r="N68" s="39">
        <f t="shared" ref="N68" si="27">SUM(G68:M68)</f>
        <v>349050</v>
      </c>
      <c r="O68" s="39">
        <f>+G68*4%</f>
        <v>12000</v>
      </c>
      <c r="P68" s="39">
        <f t="shared" si="25"/>
        <v>12000</v>
      </c>
      <c r="Q68" s="39"/>
      <c r="R68" s="39"/>
      <c r="S68" s="39">
        <v>0</v>
      </c>
      <c r="T68" s="39"/>
      <c r="U68" s="39"/>
      <c r="V68" s="39"/>
      <c r="W68" s="39">
        <f>SUM(O68:V68)</f>
        <v>24000</v>
      </c>
      <c r="X68" s="40">
        <f>+N68-W68</f>
        <v>325050</v>
      </c>
      <c r="Y68" s="40"/>
      <c r="Z68" s="41"/>
      <c r="AA68" s="40">
        <f t="shared" si="6"/>
        <v>325050</v>
      </c>
    </row>
    <row r="69" spans="1:27" ht="12.75" x14ac:dyDescent="0.25">
      <c r="A69" s="120"/>
      <c r="B69" s="123">
        <v>66</v>
      </c>
      <c r="C69" s="37" t="s">
        <v>80</v>
      </c>
      <c r="D69" s="38" t="s">
        <v>32</v>
      </c>
      <c r="E69" s="39">
        <v>4500000</v>
      </c>
      <c r="F69" s="39">
        <v>30</v>
      </c>
      <c r="G69" s="39">
        <f t="shared" si="26"/>
        <v>4500000</v>
      </c>
      <c r="H69" s="39"/>
      <c r="I69" s="39"/>
      <c r="J69" s="39"/>
      <c r="K69" s="39"/>
      <c r="L69" s="39"/>
      <c r="M69" s="39"/>
      <c r="N69" s="39">
        <f t="shared" si="20"/>
        <v>4500000</v>
      </c>
      <c r="O69" s="39">
        <f>+G69*4%</f>
        <v>180000</v>
      </c>
      <c r="P69" s="39">
        <f t="shared" si="25"/>
        <v>180000</v>
      </c>
      <c r="Q69" s="39"/>
      <c r="R69" s="39">
        <v>45000</v>
      </c>
      <c r="S69" s="39">
        <v>73073</v>
      </c>
      <c r="T69" s="39"/>
      <c r="U69" s="39"/>
      <c r="V69" s="39"/>
      <c r="W69" s="39">
        <f>SUM(O69:V69)</f>
        <v>478073</v>
      </c>
      <c r="X69" s="40">
        <f>N69-W69</f>
        <v>4021927</v>
      </c>
      <c r="Y69" s="40"/>
      <c r="Z69" s="41"/>
      <c r="AA69" s="40">
        <f t="shared" si="6"/>
        <v>4021927</v>
      </c>
    </row>
    <row r="70" spans="1:27" ht="12.75" x14ac:dyDescent="0.25">
      <c r="A70" s="120"/>
      <c r="B70" s="123">
        <v>67</v>
      </c>
      <c r="C70" s="37" t="s">
        <v>81</v>
      </c>
      <c r="D70" s="38" t="s">
        <v>32</v>
      </c>
      <c r="E70" s="39">
        <v>1500000</v>
      </c>
      <c r="F70" s="39">
        <v>30</v>
      </c>
      <c r="G70" s="39">
        <f t="shared" si="26"/>
        <v>1500000</v>
      </c>
      <c r="H70" s="39"/>
      <c r="I70" s="39"/>
      <c r="J70" s="39"/>
      <c r="K70" s="39"/>
      <c r="L70" s="39"/>
      <c r="M70" s="39"/>
      <c r="N70" s="39">
        <f t="shared" si="20"/>
        <v>1500000</v>
      </c>
      <c r="O70" s="39">
        <f>G70*4%</f>
        <v>60000</v>
      </c>
      <c r="P70" s="39">
        <f t="shared" si="25"/>
        <v>60000</v>
      </c>
      <c r="Q70" s="39"/>
      <c r="R70" s="39"/>
      <c r="S70" s="39">
        <v>0</v>
      </c>
      <c r="T70" s="39"/>
      <c r="U70" s="39"/>
      <c r="V70" s="39"/>
      <c r="W70" s="39">
        <f>SUM(O70:V70)</f>
        <v>120000</v>
      </c>
      <c r="X70" s="40">
        <f>N70-W70</f>
        <v>1380000</v>
      </c>
      <c r="Y70" s="40"/>
      <c r="Z70" s="41"/>
      <c r="AA70" s="40">
        <f t="shared" si="6"/>
        <v>1380000</v>
      </c>
    </row>
    <row r="71" spans="1:27" ht="12.75" x14ac:dyDescent="0.25">
      <c r="A71" s="120"/>
      <c r="B71" s="123">
        <v>68</v>
      </c>
      <c r="C71" s="37" t="s">
        <v>82</v>
      </c>
      <c r="D71" s="38" t="s">
        <v>32</v>
      </c>
      <c r="E71" s="39">
        <v>2000000</v>
      </c>
      <c r="F71" s="39">
        <v>30</v>
      </c>
      <c r="G71" s="39">
        <f t="shared" si="26"/>
        <v>2000000.0000000002</v>
      </c>
      <c r="H71" s="39"/>
      <c r="I71" s="39"/>
      <c r="J71" s="39"/>
      <c r="K71" s="39"/>
      <c r="L71" s="39"/>
      <c r="M71" s="39">
        <v>500000</v>
      </c>
      <c r="N71" s="39">
        <f t="shared" si="20"/>
        <v>2500000</v>
      </c>
      <c r="O71" s="39">
        <f>G71*4%</f>
        <v>80000.000000000015</v>
      </c>
      <c r="P71" s="39">
        <f t="shared" si="25"/>
        <v>80000.000000000015</v>
      </c>
      <c r="Q71" s="39"/>
      <c r="R71" s="39"/>
      <c r="S71" s="39">
        <v>0</v>
      </c>
      <c r="T71" s="39"/>
      <c r="U71" s="39"/>
      <c r="V71" s="39"/>
      <c r="W71" s="39">
        <f>SUM(O71:V71)</f>
        <v>160000.00000000003</v>
      </c>
      <c r="X71" s="40">
        <f>N71-W71</f>
        <v>2340000</v>
      </c>
      <c r="Y71" s="40"/>
      <c r="Z71" s="41"/>
      <c r="AA71" s="40">
        <f t="shared" si="6"/>
        <v>2340000</v>
      </c>
    </row>
    <row r="72" spans="1:27" ht="12.75" x14ac:dyDescent="0.25">
      <c r="A72" s="120"/>
      <c r="B72" s="123">
        <v>69</v>
      </c>
      <c r="C72" s="118" t="s">
        <v>84</v>
      </c>
      <c r="D72" s="45" t="s">
        <v>32</v>
      </c>
      <c r="E72" s="39">
        <v>644350</v>
      </c>
      <c r="F72" s="39">
        <v>30</v>
      </c>
      <c r="G72" s="39">
        <f>+E72/30*F72</f>
        <v>644350</v>
      </c>
      <c r="H72" s="39">
        <v>74000</v>
      </c>
      <c r="I72" s="39"/>
      <c r="J72" s="39"/>
      <c r="K72" s="39"/>
      <c r="L72" s="39"/>
      <c r="M72" s="39">
        <v>100000</v>
      </c>
      <c r="N72" s="39">
        <f t="shared" ref="N72:N84" si="28">SUM(G72:M72)</f>
        <v>818350</v>
      </c>
      <c r="O72" s="39">
        <f>+G72*4%</f>
        <v>25774</v>
      </c>
      <c r="P72" s="39">
        <f>+O72</f>
        <v>25774</v>
      </c>
      <c r="Q72" s="39"/>
      <c r="R72" s="39"/>
      <c r="S72" s="39">
        <v>0</v>
      </c>
      <c r="T72" s="39"/>
      <c r="U72" s="39"/>
      <c r="V72" s="39"/>
      <c r="W72" s="39">
        <f>SUM(O72:V72)</f>
        <v>51548</v>
      </c>
      <c r="X72" s="40">
        <f>N72-W72</f>
        <v>766802</v>
      </c>
      <c r="Y72" s="40"/>
      <c r="Z72" s="41"/>
      <c r="AA72" s="40">
        <f t="shared" si="6"/>
        <v>766802</v>
      </c>
    </row>
    <row r="73" spans="1:27" ht="12.75" x14ac:dyDescent="0.25">
      <c r="A73" s="120"/>
      <c r="B73" s="123">
        <v>70</v>
      </c>
      <c r="C73" s="37" t="s">
        <v>85</v>
      </c>
      <c r="D73" s="38" t="s">
        <v>32</v>
      </c>
      <c r="E73" s="39">
        <v>15400000</v>
      </c>
      <c r="F73" s="39">
        <v>30</v>
      </c>
      <c r="G73" s="39">
        <f t="shared" ref="G73:G79" si="29">+E73/30*F73</f>
        <v>15400000</v>
      </c>
      <c r="H73" s="39"/>
      <c r="I73" s="39"/>
      <c r="J73" s="39"/>
      <c r="K73" s="39"/>
      <c r="L73" s="39"/>
      <c r="M73" s="39">
        <v>600000</v>
      </c>
      <c r="N73" s="39">
        <f t="shared" si="28"/>
        <v>16000000</v>
      </c>
      <c r="O73" s="39">
        <f>G73*4%</f>
        <v>616000</v>
      </c>
      <c r="P73" s="39">
        <f>O73</f>
        <v>616000</v>
      </c>
      <c r="Q73" s="39">
        <v>95900</v>
      </c>
      <c r="R73" s="39">
        <f>G73*2%</f>
        <v>308000</v>
      </c>
      <c r="S73" s="39">
        <v>1014000</v>
      </c>
      <c r="T73" s="39">
        <v>5000000</v>
      </c>
      <c r="U73" s="39">
        <v>480769</v>
      </c>
      <c r="V73" s="39"/>
      <c r="W73" s="39">
        <f>SUM(O73:V73)</f>
        <v>8130669</v>
      </c>
      <c r="X73" s="40">
        <f>+N73-W73</f>
        <v>7869331</v>
      </c>
      <c r="Y73" s="40"/>
      <c r="Z73" s="41"/>
      <c r="AA73" s="40">
        <f t="shared" si="6"/>
        <v>7869331</v>
      </c>
    </row>
    <row r="74" spans="1:27" ht="12.75" x14ac:dyDescent="0.25">
      <c r="A74" s="120"/>
      <c r="B74" s="123">
        <v>71</v>
      </c>
      <c r="C74" s="37" t="s">
        <v>86</v>
      </c>
      <c r="D74" s="38" t="s">
        <v>32</v>
      </c>
      <c r="E74" s="39">
        <v>4500000</v>
      </c>
      <c r="F74" s="39">
        <v>30</v>
      </c>
      <c r="G74" s="39">
        <f t="shared" si="29"/>
        <v>4500000</v>
      </c>
      <c r="H74" s="39"/>
      <c r="I74" s="39"/>
      <c r="J74" s="39"/>
      <c r="K74" s="39"/>
      <c r="L74" s="39"/>
      <c r="M74" s="39"/>
      <c r="N74" s="39">
        <f t="shared" si="28"/>
        <v>4500000</v>
      </c>
      <c r="O74" s="39">
        <f>+G74*4%</f>
        <v>180000</v>
      </c>
      <c r="P74" s="39">
        <f>+O74</f>
        <v>180000</v>
      </c>
      <c r="Q74" s="39"/>
      <c r="R74" s="39">
        <f>+G74*1%</f>
        <v>45000</v>
      </c>
      <c r="S74" s="39">
        <v>90000</v>
      </c>
      <c r="T74" s="39"/>
      <c r="U74" s="39">
        <v>398554</v>
      </c>
      <c r="V74" s="39">
        <f>887544</f>
        <v>887544</v>
      </c>
      <c r="W74" s="39">
        <f>SUM(O74:V74)</f>
        <v>1781098</v>
      </c>
      <c r="X74" s="40">
        <f>+N74-W74</f>
        <v>2718902</v>
      </c>
      <c r="Y74" s="40"/>
      <c r="Z74" s="41"/>
      <c r="AA74" s="40">
        <f t="shared" si="6"/>
        <v>2718902</v>
      </c>
    </row>
    <row r="75" spans="1:27" ht="12.75" x14ac:dyDescent="0.25">
      <c r="A75" s="120"/>
      <c r="B75" s="123">
        <v>72</v>
      </c>
      <c r="C75" s="37" t="s">
        <v>87</v>
      </c>
      <c r="D75" s="38" t="s">
        <v>32</v>
      </c>
      <c r="E75" s="39">
        <v>1000000</v>
      </c>
      <c r="F75" s="39">
        <v>30</v>
      </c>
      <c r="G75" s="39">
        <f t="shared" si="29"/>
        <v>1000000.0000000001</v>
      </c>
      <c r="H75" s="39">
        <v>74000</v>
      </c>
      <c r="I75" s="39"/>
      <c r="J75" s="39"/>
      <c r="K75" s="39"/>
      <c r="L75" s="39"/>
      <c r="M75" s="39"/>
      <c r="N75" s="39">
        <f t="shared" si="28"/>
        <v>1074000</v>
      </c>
      <c r="O75" s="39">
        <f>+G75*4%</f>
        <v>40000.000000000007</v>
      </c>
      <c r="P75" s="39">
        <f>+O75</f>
        <v>40000.000000000007</v>
      </c>
      <c r="Q75" s="39"/>
      <c r="R75" s="39"/>
      <c r="S75" s="39">
        <v>0</v>
      </c>
      <c r="T75" s="39"/>
      <c r="U75" s="39"/>
      <c r="V75" s="39"/>
      <c r="W75" s="39">
        <f>SUM(O75:V75)</f>
        <v>80000.000000000015</v>
      </c>
      <c r="X75" s="40">
        <f>+N75-W75</f>
        <v>994000</v>
      </c>
      <c r="Y75" s="40"/>
      <c r="Z75" s="41"/>
      <c r="AA75" s="40">
        <f t="shared" si="6"/>
        <v>994000</v>
      </c>
    </row>
    <row r="76" spans="1:27" ht="12.75" x14ac:dyDescent="0.25">
      <c r="A76" s="120"/>
      <c r="B76" s="123">
        <v>73</v>
      </c>
      <c r="C76" s="118" t="s">
        <v>88</v>
      </c>
      <c r="D76" s="45" t="s">
        <v>32</v>
      </c>
      <c r="E76" s="39">
        <v>1500000</v>
      </c>
      <c r="F76" s="39">
        <v>30</v>
      </c>
      <c r="G76" s="39">
        <f t="shared" si="29"/>
        <v>1500000</v>
      </c>
      <c r="H76" s="39"/>
      <c r="I76" s="39"/>
      <c r="J76" s="39"/>
      <c r="K76" s="39"/>
      <c r="L76" s="39"/>
      <c r="M76" s="39"/>
      <c r="N76" s="39">
        <f t="shared" si="28"/>
        <v>1500000</v>
      </c>
      <c r="O76" s="39">
        <f>G76*4%</f>
        <v>60000</v>
      </c>
      <c r="P76" s="39">
        <f>G76*4%</f>
        <v>60000</v>
      </c>
      <c r="Q76" s="39"/>
      <c r="R76" s="39"/>
      <c r="S76" s="39">
        <v>0</v>
      </c>
      <c r="T76" s="39"/>
      <c r="U76" s="39"/>
      <c r="V76" s="39"/>
      <c r="W76" s="39">
        <f>SUM(O76:V76)</f>
        <v>120000</v>
      </c>
      <c r="X76" s="40">
        <f>N76-W76</f>
        <v>1380000</v>
      </c>
      <c r="Y76" s="40"/>
      <c r="Z76" s="41"/>
      <c r="AA76" s="40">
        <f t="shared" si="6"/>
        <v>1380000</v>
      </c>
    </row>
    <row r="77" spans="1:27" ht="12.75" x14ac:dyDescent="0.25">
      <c r="A77" s="120"/>
      <c r="B77" s="123">
        <v>74</v>
      </c>
      <c r="C77" s="37" t="s">
        <v>166</v>
      </c>
      <c r="D77" s="38" t="s">
        <v>163</v>
      </c>
      <c r="E77" s="39">
        <v>1400000</v>
      </c>
      <c r="F77" s="39">
        <v>17</v>
      </c>
      <c r="G77" s="39">
        <f t="shared" si="29"/>
        <v>793333.33333333326</v>
      </c>
      <c r="H77" s="39"/>
      <c r="I77" s="39"/>
      <c r="J77" s="39"/>
      <c r="K77" s="39"/>
      <c r="L77" s="39">
        <v>66111</v>
      </c>
      <c r="M77" s="39"/>
      <c r="N77" s="39">
        <f>SUM(G77:M77)</f>
        <v>859444.33333333326</v>
      </c>
      <c r="O77" s="39">
        <f>+G77*4%</f>
        <v>31733.333333333332</v>
      </c>
      <c r="P77" s="39">
        <f>+G77*4%</f>
        <v>31733.333333333332</v>
      </c>
      <c r="Q77" s="39"/>
      <c r="R77" s="39"/>
      <c r="S77" s="48"/>
      <c r="T77" s="39"/>
      <c r="U77" s="39"/>
      <c r="V77" s="39"/>
      <c r="W77" s="39">
        <f>SUM(O77:V77)</f>
        <v>63466.666666666664</v>
      </c>
      <c r="X77" s="40">
        <f>+N77-W77</f>
        <v>795977.66666666663</v>
      </c>
      <c r="Y77" s="40"/>
      <c r="Z77" s="41"/>
      <c r="AA77" s="40">
        <f t="shared" si="6"/>
        <v>795977.66666666663</v>
      </c>
    </row>
    <row r="78" spans="1:27" ht="12.75" x14ac:dyDescent="0.25">
      <c r="A78" s="120"/>
      <c r="B78" s="123">
        <v>75</v>
      </c>
      <c r="C78" s="37" t="s">
        <v>89</v>
      </c>
      <c r="D78" s="38" t="s">
        <v>32</v>
      </c>
      <c r="E78" s="39">
        <v>1300000</v>
      </c>
      <c r="F78" s="39">
        <v>30</v>
      </c>
      <c r="G78" s="39">
        <f t="shared" si="29"/>
        <v>1300000</v>
      </c>
      <c r="H78" s="39"/>
      <c r="I78" s="39"/>
      <c r="J78" s="39"/>
      <c r="K78" s="39"/>
      <c r="L78" s="39"/>
      <c r="M78" s="39"/>
      <c r="N78" s="39">
        <f t="shared" si="28"/>
        <v>1300000</v>
      </c>
      <c r="O78" s="39">
        <f>G78*4%</f>
        <v>52000</v>
      </c>
      <c r="P78" s="39">
        <f>O78</f>
        <v>52000</v>
      </c>
      <c r="Q78" s="39"/>
      <c r="R78" s="39"/>
      <c r="S78" s="39">
        <v>0</v>
      </c>
      <c r="T78" s="39"/>
      <c r="U78" s="39"/>
      <c r="V78" s="39"/>
      <c r="W78" s="39">
        <f>SUM(O78:V78)</f>
        <v>104000</v>
      </c>
      <c r="X78" s="40">
        <f>+N78-W78</f>
        <v>1196000</v>
      </c>
      <c r="Y78" s="40"/>
      <c r="Z78" s="41"/>
      <c r="AA78" s="40">
        <f t="shared" si="6"/>
        <v>1196000</v>
      </c>
    </row>
    <row r="79" spans="1:27" ht="12.75" x14ac:dyDescent="0.25">
      <c r="A79" s="120"/>
      <c r="B79" s="123">
        <v>76</v>
      </c>
      <c r="C79" s="37" t="s">
        <v>90</v>
      </c>
      <c r="D79" s="38" t="s">
        <v>32</v>
      </c>
      <c r="E79" s="39">
        <v>4000000</v>
      </c>
      <c r="F79" s="39">
        <v>30</v>
      </c>
      <c r="G79" s="39">
        <f t="shared" si="29"/>
        <v>4000000.0000000005</v>
      </c>
      <c r="H79" s="39"/>
      <c r="I79" s="39"/>
      <c r="J79" s="39"/>
      <c r="K79" s="39"/>
      <c r="L79" s="39"/>
      <c r="M79" s="39"/>
      <c r="N79" s="39">
        <f t="shared" si="28"/>
        <v>4000000.0000000005</v>
      </c>
      <c r="O79" s="39">
        <v>160000</v>
      </c>
      <c r="P79" s="39">
        <f>O79</f>
        <v>160000</v>
      </c>
      <c r="Q79" s="39"/>
      <c r="R79" s="39">
        <v>40000</v>
      </c>
      <c r="S79" s="39">
        <v>31064</v>
      </c>
      <c r="T79" s="39"/>
      <c r="U79" s="39">
        <v>108360</v>
      </c>
      <c r="V79" s="39"/>
      <c r="W79" s="39">
        <f>SUM(O79:V79)</f>
        <v>499424</v>
      </c>
      <c r="X79" s="40">
        <f>+N79-W79</f>
        <v>3500576.0000000005</v>
      </c>
      <c r="Y79" s="40"/>
      <c r="Z79" s="41"/>
      <c r="AA79" s="40">
        <f t="shared" si="6"/>
        <v>3500576.0000000005</v>
      </c>
    </row>
    <row r="80" spans="1:27" ht="12.75" x14ac:dyDescent="0.25">
      <c r="A80" s="120"/>
      <c r="B80" s="123">
        <v>77</v>
      </c>
      <c r="C80" s="118" t="s">
        <v>93</v>
      </c>
      <c r="D80" s="45" t="s">
        <v>32</v>
      </c>
      <c r="E80" s="39">
        <v>1300000</v>
      </c>
      <c r="F80" s="39">
        <v>30</v>
      </c>
      <c r="G80" s="39">
        <f>+E80/30*F80</f>
        <v>1300000</v>
      </c>
      <c r="H80" s="39"/>
      <c r="I80" s="39"/>
      <c r="J80" s="39"/>
      <c r="K80" s="39"/>
      <c r="L80" s="39"/>
      <c r="M80" s="39"/>
      <c r="N80" s="39">
        <f t="shared" si="28"/>
        <v>1300000</v>
      </c>
      <c r="O80" s="39">
        <f>G80*4%</f>
        <v>52000</v>
      </c>
      <c r="P80" s="39">
        <f>O80</f>
        <v>52000</v>
      </c>
      <c r="Q80" s="39"/>
      <c r="R80" s="39"/>
      <c r="S80" s="39">
        <v>0</v>
      </c>
      <c r="T80" s="39"/>
      <c r="U80" s="39"/>
      <c r="V80" s="39"/>
      <c r="W80" s="39">
        <f>SUM(O80:V80)</f>
        <v>104000</v>
      </c>
      <c r="X80" s="40">
        <f>N80-W80</f>
        <v>1196000</v>
      </c>
      <c r="Y80" s="40"/>
      <c r="Z80" s="41"/>
      <c r="AA80" s="40">
        <f t="shared" si="6"/>
        <v>1196000</v>
      </c>
    </row>
    <row r="81" spans="1:31" ht="12.75" x14ac:dyDescent="0.25">
      <c r="A81" s="120"/>
      <c r="B81" s="123">
        <v>78</v>
      </c>
      <c r="C81" s="37" t="s">
        <v>94</v>
      </c>
      <c r="D81" s="38" t="s">
        <v>32</v>
      </c>
      <c r="E81" s="39">
        <v>644350</v>
      </c>
      <c r="F81" s="39">
        <v>30</v>
      </c>
      <c r="G81" s="39">
        <f>+E81/30*F81</f>
        <v>644350</v>
      </c>
      <c r="H81" s="39">
        <v>74000</v>
      </c>
      <c r="I81" s="39"/>
      <c r="J81" s="39"/>
      <c r="K81" s="39"/>
      <c r="L81" s="39"/>
      <c r="M81" s="39"/>
      <c r="N81" s="39">
        <f t="shared" si="28"/>
        <v>718350</v>
      </c>
      <c r="O81" s="39">
        <f>G81*4%</f>
        <v>25774</v>
      </c>
      <c r="P81" s="39">
        <f>O81</f>
        <v>25774</v>
      </c>
      <c r="Q81" s="39"/>
      <c r="R81" s="39"/>
      <c r="S81" s="39">
        <v>0</v>
      </c>
      <c r="T81" s="39"/>
      <c r="U81" s="39"/>
      <c r="V81" s="39"/>
      <c r="W81" s="39">
        <f>SUM(O81:V81)</f>
        <v>51548</v>
      </c>
      <c r="X81" s="40">
        <f>+N81-W81</f>
        <v>666802</v>
      </c>
      <c r="Y81" s="40"/>
      <c r="Z81" s="41"/>
      <c r="AA81" s="40">
        <f t="shared" si="6"/>
        <v>666802</v>
      </c>
    </row>
    <row r="82" spans="1:31" ht="12.75" x14ac:dyDescent="0.25">
      <c r="A82" s="120"/>
      <c r="B82" s="123">
        <v>79</v>
      </c>
      <c r="C82" s="138" t="s">
        <v>95</v>
      </c>
      <c r="D82" s="38" t="s">
        <v>32</v>
      </c>
      <c r="E82" s="39">
        <v>800000</v>
      </c>
      <c r="F82" s="39">
        <v>30</v>
      </c>
      <c r="G82" s="39">
        <f>E82</f>
        <v>800000</v>
      </c>
      <c r="H82" s="39">
        <v>74000</v>
      </c>
      <c r="I82" s="39"/>
      <c r="J82" s="39"/>
      <c r="K82" s="39"/>
      <c r="L82" s="39"/>
      <c r="M82" s="39"/>
      <c r="N82" s="39">
        <f t="shared" si="28"/>
        <v>874000</v>
      </c>
      <c r="O82" s="39">
        <f>G82*4%</f>
        <v>32000</v>
      </c>
      <c r="P82" s="39">
        <f>O82</f>
        <v>32000</v>
      </c>
      <c r="Q82" s="39"/>
      <c r="R82" s="39"/>
      <c r="S82" s="39">
        <v>0</v>
      </c>
      <c r="T82" s="39"/>
      <c r="U82" s="39"/>
      <c r="V82" s="39"/>
      <c r="W82" s="39">
        <f>SUM(O82:V82)</f>
        <v>64000</v>
      </c>
      <c r="X82" s="40">
        <f>+N82-W82</f>
        <v>810000</v>
      </c>
      <c r="Y82" s="40"/>
      <c r="Z82" s="41"/>
      <c r="AA82" s="40">
        <f t="shared" si="6"/>
        <v>810000</v>
      </c>
    </row>
    <row r="83" spans="1:31" ht="12.75" x14ac:dyDescent="0.25">
      <c r="A83" s="140"/>
      <c r="B83" s="123">
        <v>80</v>
      </c>
      <c r="C83" s="37" t="s">
        <v>137</v>
      </c>
      <c r="D83" s="38" t="s">
        <v>32</v>
      </c>
      <c r="E83" s="39">
        <v>1300000</v>
      </c>
      <c r="F83" s="39">
        <v>30</v>
      </c>
      <c r="G83" s="39">
        <f t="shared" ref="G83:G86" si="30">+E83/30*F83</f>
        <v>1300000</v>
      </c>
      <c r="H83" s="39"/>
      <c r="I83" s="39"/>
      <c r="J83" s="39"/>
      <c r="K83" s="39"/>
      <c r="L83" s="39"/>
      <c r="M83" s="39"/>
      <c r="N83" s="39">
        <f t="shared" ref="N83" si="31">SUM(G83:M83)</f>
        <v>1300000</v>
      </c>
      <c r="O83" s="39">
        <f>+G83*4%</f>
        <v>52000</v>
      </c>
      <c r="P83" s="39">
        <f t="shared" ref="P83" si="32">+O83</f>
        <v>52000</v>
      </c>
      <c r="Q83" s="39"/>
      <c r="R83" s="39"/>
      <c r="S83" s="39"/>
      <c r="T83" s="39"/>
      <c r="U83" s="39"/>
      <c r="V83" s="39"/>
      <c r="W83" s="39">
        <f>SUM(O83:V83)</f>
        <v>104000</v>
      </c>
      <c r="X83" s="40">
        <f>+N83-W83</f>
        <v>1196000</v>
      </c>
      <c r="Y83" s="40"/>
      <c r="Z83" s="41"/>
      <c r="AA83" s="40">
        <f t="shared" si="6"/>
        <v>1196000</v>
      </c>
    </row>
    <row r="84" spans="1:31" ht="12.75" x14ac:dyDescent="0.25">
      <c r="A84" s="140"/>
      <c r="B84" s="123">
        <v>81</v>
      </c>
      <c r="C84" s="138" t="s">
        <v>116</v>
      </c>
      <c r="D84" s="96" t="s">
        <v>32</v>
      </c>
      <c r="E84" s="39">
        <v>2000000</v>
      </c>
      <c r="F84" s="39">
        <v>30</v>
      </c>
      <c r="G84" s="39">
        <f t="shared" si="30"/>
        <v>2000000.0000000002</v>
      </c>
      <c r="H84" s="39"/>
      <c r="I84" s="39"/>
      <c r="J84" s="39"/>
      <c r="K84" s="39"/>
      <c r="L84" s="39"/>
      <c r="M84" s="39">
        <v>500000</v>
      </c>
      <c r="N84" s="39">
        <f t="shared" si="28"/>
        <v>2500000</v>
      </c>
      <c r="O84" s="39">
        <f>G84*4%</f>
        <v>80000.000000000015</v>
      </c>
      <c r="P84" s="39">
        <f>G84*4%</f>
        <v>80000.000000000015</v>
      </c>
      <c r="Q84" s="39"/>
      <c r="R84" s="39"/>
      <c r="S84" s="39">
        <v>0</v>
      </c>
      <c r="T84" s="39"/>
      <c r="U84" s="39"/>
      <c r="V84" s="39"/>
      <c r="W84" s="39">
        <f>SUM(O84:V84)</f>
        <v>160000.00000000003</v>
      </c>
      <c r="X84" s="40">
        <f>N84-W84</f>
        <v>2340000</v>
      </c>
      <c r="Y84" s="40"/>
      <c r="Z84" s="41"/>
      <c r="AA84" s="40">
        <f t="shared" si="6"/>
        <v>2340000</v>
      </c>
    </row>
    <row r="85" spans="1:31" ht="18" x14ac:dyDescent="0.25">
      <c r="A85" s="140"/>
      <c r="B85" s="123">
        <v>82</v>
      </c>
      <c r="C85" s="138" t="s">
        <v>155</v>
      </c>
      <c r="D85" s="96" t="s">
        <v>32</v>
      </c>
      <c r="E85" s="39">
        <v>644350</v>
      </c>
      <c r="F85" s="39">
        <v>30</v>
      </c>
      <c r="G85" s="39">
        <f t="shared" si="30"/>
        <v>644350</v>
      </c>
      <c r="H85" s="39"/>
      <c r="I85" s="39"/>
      <c r="J85" s="39"/>
      <c r="K85" s="39"/>
      <c r="L85" s="39"/>
      <c r="M85" s="39"/>
      <c r="N85" s="39">
        <f t="shared" ref="N85" si="33">SUM(G85:M85)</f>
        <v>644350</v>
      </c>
      <c r="O85" s="39"/>
      <c r="P85" s="39"/>
      <c r="Q85" s="39"/>
      <c r="R85" s="39"/>
      <c r="S85" s="39">
        <v>0</v>
      </c>
      <c r="T85" s="39"/>
      <c r="U85" s="39"/>
      <c r="V85" s="39"/>
      <c r="W85" s="39">
        <f>SUM(O85:V85)</f>
        <v>0</v>
      </c>
      <c r="X85" s="40">
        <f>N85-W85</f>
        <v>644350</v>
      </c>
      <c r="Y85" s="40"/>
      <c r="Z85" s="41"/>
      <c r="AA85" s="40">
        <f t="shared" ref="AA85:AA86" si="34">X85+Y85-Z85</f>
        <v>644350</v>
      </c>
    </row>
    <row r="86" spans="1:31" ht="12.75" x14ac:dyDescent="0.25">
      <c r="A86" s="140"/>
      <c r="B86" s="123">
        <v>83</v>
      </c>
      <c r="C86" s="138" t="s">
        <v>149</v>
      </c>
      <c r="D86" s="96" t="s">
        <v>32</v>
      </c>
      <c r="E86" s="39">
        <v>644350</v>
      </c>
      <c r="F86" s="39">
        <v>18</v>
      </c>
      <c r="G86" s="39">
        <f t="shared" si="30"/>
        <v>386610</v>
      </c>
      <c r="H86" s="39"/>
      <c r="I86" s="39"/>
      <c r="J86" s="39"/>
      <c r="K86" s="39"/>
      <c r="L86" s="39"/>
      <c r="M86" s="39"/>
      <c r="N86" s="39">
        <f t="shared" ref="N86" si="35">SUM(G86:M86)</f>
        <v>386610</v>
      </c>
      <c r="O86" s="39"/>
      <c r="P86" s="39"/>
      <c r="Q86" s="39"/>
      <c r="R86" s="39"/>
      <c r="S86" s="39">
        <v>0</v>
      </c>
      <c r="T86" s="39"/>
      <c r="U86" s="39"/>
      <c r="V86" s="39"/>
      <c r="W86" s="39">
        <f>SUM(O86:V86)</f>
        <v>0</v>
      </c>
      <c r="X86" s="40">
        <f>N86-W86</f>
        <v>386610</v>
      </c>
      <c r="Y86" s="40"/>
      <c r="Z86" s="41"/>
      <c r="AA86" s="40">
        <f t="shared" si="34"/>
        <v>386610</v>
      </c>
    </row>
    <row r="87" spans="1:31" ht="12.75" x14ac:dyDescent="0.25">
      <c r="A87" s="45"/>
      <c r="B87" s="123"/>
      <c r="C87" s="37" t="s">
        <v>96</v>
      </c>
      <c r="D87" s="45"/>
      <c r="E87" s="39">
        <f>SUM(E6:E82)</f>
        <v>248393900</v>
      </c>
      <c r="F87" s="39" t="s">
        <v>1</v>
      </c>
      <c r="G87" s="39">
        <f>SUM(G6:G82)</f>
        <v>246627233.33333337</v>
      </c>
      <c r="H87" s="39">
        <f>SUM(H6:H82)</f>
        <v>550066.66666666663</v>
      </c>
      <c r="I87" s="39">
        <f>SUM(I6:I82)</f>
        <v>0</v>
      </c>
      <c r="J87" s="39">
        <f>SUM(J6:J82)</f>
        <v>0</v>
      </c>
      <c r="K87" s="39"/>
      <c r="L87" s="39">
        <f t="shared" ref="L87:Q87" si="36">SUM(L6:L82)</f>
        <v>265505</v>
      </c>
      <c r="M87" s="39">
        <f t="shared" si="36"/>
        <v>12562583.666666666</v>
      </c>
      <c r="N87" s="39">
        <f t="shared" si="36"/>
        <v>260005388.66666666</v>
      </c>
      <c r="O87" s="39">
        <f t="shared" si="36"/>
        <v>9774871.333333334</v>
      </c>
      <c r="P87" s="39">
        <f t="shared" si="36"/>
        <v>9774871.333333334</v>
      </c>
      <c r="Q87" s="39">
        <f t="shared" si="36"/>
        <v>95900</v>
      </c>
      <c r="R87" s="39">
        <f t="shared" ref="R87:Z87" si="37">SUM(R6:R82)</f>
        <v>2227830.8333333335</v>
      </c>
      <c r="S87" s="39">
        <f t="shared" si="37"/>
        <v>3502437</v>
      </c>
      <c r="T87" s="39">
        <f t="shared" si="37"/>
        <v>8760000</v>
      </c>
      <c r="U87" s="39"/>
      <c r="V87" s="39">
        <f t="shared" si="37"/>
        <v>7160580</v>
      </c>
      <c r="W87" s="39">
        <f t="shared" si="37"/>
        <v>42826682.5</v>
      </c>
      <c r="X87" s="40">
        <f>SUM(X4:X86)</f>
        <v>228471914.16666666</v>
      </c>
      <c r="Y87" s="40">
        <f t="shared" si="37"/>
        <v>0</v>
      </c>
      <c r="Z87" s="41">
        <f t="shared" si="37"/>
        <v>0</v>
      </c>
      <c r="AA87" s="40">
        <f>SUM(AA4:AA86)</f>
        <v>228471914.16666666</v>
      </c>
    </row>
    <row r="88" spans="1:31" x14ac:dyDescent="0.25">
      <c r="E88" s="107"/>
      <c r="F88" s="107"/>
      <c r="G88" s="107"/>
      <c r="X88" s="124"/>
      <c r="Y88" s="124"/>
      <c r="AA88" s="124"/>
    </row>
    <row r="89" spans="1:31" ht="12.75" x14ac:dyDescent="0.25"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40"/>
      <c r="Y89" s="99"/>
      <c r="Z89" s="102"/>
      <c r="AA89" s="40">
        <f>322250*3</f>
        <v>966750</v>
      </c>
    </row>
    <row r="90" spans="1:31" ht="12.75" x14ac:dyDescent="0.25"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 t="s">
        <v>167</v>
      </c>
      <c r="Q90" s="107" t="e">
        <f>+#REF!*8.33%</f>
        <v>#REF!</v>
      </c>
      <c r="R90" s="107"/>
      <c r="S90" s="107"/>
      <c r="T90" s="107"/>
      <c r="U90" s="107"/>
      <c r="V90" s="107"/>
      <c r="W90" s="107"/>
      <c r="X90" s="99"/>
      <c r="Y90" s="99"/>
      <c r="Z90" s="102"/>
      <c r="AA90" s="40">
        <f>644350*3</f>
        <v>1933050</v>
      </c>
    </row>
    <row r="91" spans="1:31" x14ac:dyDescent="0.25">
      <c r="C91" s="109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 t="s">
        <v>168</v>
      </c>
      <c r="Q91" s="107" t="e">
        <f>+#REF!*1%</f>
        <v>#REF!</v>
      </c>
      <c r="R91" s="107"/>
      <c r="S91" s="107"/>
      <c r="T91" s="107"/>
      <c r="U91" s="107"/>
      <c r="V91" s="107"/>
      <c r="W91" s="107"/>
      <c r="X91" s="99"/>
      <c r="Y91" s="99"/>
      <c r="Z91" s="102"/>
      <c r="AA91" s="108">
        <f>SUM(AA89:AA90)</f>
        <v>2899800</v>
      </c>
    </row>
    <row r="92" spans="1:31" x14ac:dyDescent="0.25">
      <c r="C92" s="109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 t="s">
        <v>169</v>
      </c>
      <c r="Q92" s="107" t="e">
        <f>+#REF!*4.17%</f>
        <v>#REF!</v>
      </c>
      <c r="R92" s="107"/>
      <c r="S92" s="107"/>
      <c r="T92" s="107"/>
      <c r="U92" s="107"/>
      <c r="V92" s="107"/>
      <c r="W92" s="107"/>
      <c r="X92" s="99"/>
      <c r="Y92" s="99"/>
      <c r="Z92" s="102"/>
      <c r="AA92" s="99"/>
      <c r="AB92" s="99"/>
      <c r="AC92" s="99"/>
      <c r="AD92" s="99"/>
      <c r="AE92" s="99"/>
    </row>
    <row r="93" spans="1:31" x14ac:dyDescent="0.25">
      <c r="B93" s="99"/>
      <c r="C93" s="10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 t="s">
        <v>170</v>
      </c>
      <c r="Q93" s="107" t="e">
        <f>+#REF!*8.33%</f>
        <v>#REF!</v>
      </c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99"/>
      <c r="AC93" s="99"/>
      <c r="AD93" s="99"/>
      <c r="AE93" s="99"/>
    </row>
    <row r="94" spans="1:31" x14ac:dyDescent="0.25">
      <c r="B94" s="99"/>
      <c r="C94" s="109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99"/>
      <c r="Y94" s="99"/>
      <c r="Z94" s="102"/>
      <c r="AA94" s="99"/>
      <c r="AB94" s="99"/>
      <c r="AC94" s="99"/>
      <c r="AD94" s="99"/>
      <c r="AE94" s="99"/>
    </row>
    <row r="95" spans="1:31" x14ac:dyDescent="0.25">
      <c r="B95" s="99"/>
      <c r="C95" s="109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99"/>
      <c r="Y95" s="99"/>
      <c r="Z95" s="102"/>
      <c r="AA95" s="99"/>
      <c r="AB95" s="99"/>
      <c r="AC95" s="99"/>
      <c r="AD95" s="99"/>
      <c r="AE95" s="99"/>
    </row>
    <row r="96" spans="1:31" x14ac:dyDescent="0.25">
      <c r="B96" s="99"/>
      <c r="C96" s="109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99"/>
      <c r="Y96" s="99"/>
      <c r="Z96" s="102"/>
      <c r="AA96" s="99"/>
      <c r="AB96" s="99"/>
      <c r="AC96" s="99"/>
      <c r="AD96" s="99"/>
      <c r="AE96" s="99"/>
    </row>
    <row r="97" spans="2:31" x14ac:dyDescent="0.25">
      <c r="B97" s="99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05"/>
      <c r="Z97" s="112"/>
      <c r="AA97" s="105"/>
      <c r="AB97" s="99"/>
      <c r="AC97" s="99"/>
      <c r="AD97" s="99"/>
      <c r="AE97" s="99"/>
    </row>
    <row r="98" spans="2:31" x14ac:dyDescent="0.25">
      <c r="B98" s="125"/>
      <c r="C98" s="109"/>
      <c r="D98" s="105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5"/>
      <c r="Y98" s="105"/>
      <c r="Z98" s="112"/>
      <c r="AA98" s="105"/>
      <c r="AB98" s="99"/>
      <c r="AC98" s="99"/>
      <c r="AD98" s="99"/>
      <c r="AE98" s="99"/>
    </row>
    <row r="99" spans="2:31" x14ac:dyDescent="0.25">
      <c r="B99" s="99"/>
      <c r="C99" s="109"/>
      <c r="D99" s="99"/>
      <c r="E99" s="107"/>
      <c r="F99" s="107"/>
      <c r="G99" s="126"/>
      <c r="H99" s="107"/>
      <c r="I99" s="107"/>
      <c r="J99" s="107"/>
      <c r="K99" s="107"/>
      <c r="L99" s="107"/>
      <c r="M99" s="107"/>
      <c r="N99" s="107"/>
      <c r="O99" s="107"/>
      <c r="P99" s="107"/>
      <c r="Q99" s="127"/>
      <c r="R99" s="127"/>
      <c r="S99" s="127"/>
      <c r="T99" s="127"/>
      <c r="U99" s="127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B100" s="99"/>
      <c r="C100" s="104"/>
      <c r="D100" s="105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5"/>
      <c r="Y100" s="105"/>
      <c r="Z100" s="112"/>
      <c r="AA100" s="105"/>
      <c r="AB100" s="99"/>
      <c r="AC100" s="99"/>
      <c r="AD100" s="99"/>
      <c r="AE100" s="99"/>
    </row>
    <row r="101" spans="2:31" x14ac:dyDescent="0.25">
      <c r="B101" s="105"/>
      <c r="C101" s="104"/>
      <c r="D101" s="105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5"/>
      <c r="Y101" s="105"/>
      <c r="Z101" s="112"/>
      <c r="AA101" s="105"/>
      <c r="AB101" s="99"/>
      <c r="AC101" s="99"/>
      <c r="AD101" s="99"/>
      <c r="AE101" s="99"/>
    </row>
    <row r="102" spans="2:31" x14ac:dyDescent="0.25">
      <c r="B102" s="99"/>
      <c r="C102" s="104"/>
      <c r="D102" s="105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2:31" x14ac:dyDescent="0.25">
      <c r="C103" s="104"/>
      <c r="D103" s="105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2:31" x14ac:dyDescent="0.25">
      <c r="C104" s="104"/>
      <c r="D104" s="105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  <c r="AB105" s="99"/>
      <c r="AC105" s="99"/>
      <c r="AD105" s="99"/>
      <c r="AE105" s="99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  <c r="AB106" s="99"/>
      <c r="AC106" s="99"/>
      <c r="AD106" s="99"/>
      <c r="AE106" s="99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  <c r="AB107" s="99"/>
      <c r="AC107" s="99"/>
      <c r="AD107" s="99"/>
      <c r="AE107" s="99"/>
    </row>
    <row r="108" spans="2:31" x14ac:dyDescent="0.25"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  <c r="AB108" s="99"/>
      <c r="AC108" s="99"/>
      <c r="AD108" s="99"/>
      <c r="AE108" s="99"/>
    </row>
    <row r="109" spans="2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  <c r="AB109" s="99"/>
      <c r="AC109" s="99"/>
      <c r="AD109" s="99"/>
      <c r="AE109" s="99"/>
    </row>
    <row r="110" spans="2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  <c r="AB110" s="99"/>
      <c r="AC110" s="99"/>
      <c r="AD110" s="99"/>
      <c r="AE110" s="99"/>
    </row>
    <row r="111" spans="2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  <c r="AB111" s="99"/>
      <c r="AC111" s="99"/>
      <c r="AD111" s="99"/>
      <c r="AE111" s="99"/>
    </row>
    <row r="112" spans="2:31" x14ac:dyDescent="0.25">
      <c r="C112" s="104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  <c r="AB112" s="99"/>
      <c r="AC112" s="99"/>
      <c r="AD112" s="99"/>
      <c r="AE112" s="99"/>
    </row>
    <row r="113" spans="2:31" x14ac:dyDescent="0.25">
      <c r="C113" s="104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  <c r="AB113" s="99"/>
      <c r="AC113" s="99"/>
      <c r="AD113" s="99"/>
      <c r="AE113" s="99"/>
    </row>
    <row r="114" spans="2:31" x14ac:dyDescent="0.25">
      <c r="C114" s="104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8"/>
      <c r="Y114" s="108"/>
      <c r="Z114" s="102"/>
      <c r="AA114" s="108"/>
      <c r="AB114" s="99"/>
      <c r="AC114" s="99"/>
      <c r="AD114" s="99"/>
      <c r="AE114" s="99"/>
    </row>
    <row r="115" spans="2:31" x14ac:dyDescent="0.25">
      <c r="C115" s="104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8"/>
      <c r="Y115" s="108"/>
      <c r="Z115" s="102"/>
      <c r="AA115" s="108"/>
      <c r="AB115" s="99"/>
      <c r="AC115" s="99"/>
      <c r="AD115" s="99"/>
      <c r="AE115" s="99"/>
    </row>
    <row r="116" spans="2:31" x14ac:dyDescent="0.25">
      <c r="C116" s="104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8"/>
      <c r="Y116" s="108"/>
      <c r="Z116" s="102"/>
      <c r="AA116" s="108"/>
      <c r="AB116" s="99"/>
      <c r="AC116" s="99"/>
      <c r="AD116" s="99"/>
      <c r="AE116" s="99"/>
    </row>
    <row r="117" spans="2:31" x14ac:dyDescent="0.25">
      <c r="C117" s="104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8"/>
      <c r="Y117" s="108"/>
      <c r="Z117" s="102"/>
      <c r="AA117" s="108"/>
      <c r="AB117" s="99"/>
      <c r="AC117" s="99"/>
      <c r="AD117" s="99"/>
      <c r="AE117" s="99"/>
    </row>
    <row r="118" spans="2:31" x14ac:dyDescent="0.25">
      <c r="C118" s="104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8"/>
      <c r="Y118" s="108"/>
      <c r="Z118" s="102"/>
      <c r="AA118" s="108"/>
      <c r="AB118" s="99"/>
      <c r="AC118" s="99"/>
      <c r="AD118" s="99"/>
      <c r="AE118" s="99"/>
    </row>
    <row r="119" spans="2:31" x14ac:dyDescent="0.25">
      <c r="C119" s="104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8"/>
      <c r="Y119" s="108"/>
      <c r="Z119" s="102"/>
      <c r="AA119" s="108"/>
      <c r="AB119" s="99"/>
      <c r="AC119" s="99"/>
      <c r="AD119" s="99"/>
      <c r="AE119" s="99"/>
    </row>
    <row r="120" spans="2:31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  <c r="AB120" s="99"/>
      <c r="AC120" s="99"/>
      <c r="AD120" s="99"/>
      <c r="AE120" s="99"/>
    </row>
    <row r="121" spans="2:31" x14ac:dyDescent="0.25">
      <c r="C121" s="109"/>
      <c r="D121" s="99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99"/>
      <c r="V121" s="107"/>
      <c r="W121" s="107"/>
      <c r="X121" s="99"/>
      <c r="Y121" s="99"/>
      <c r="Z121" s="102"/>
      <c r="AA121" s="99"/>
      <c r="AB121" s="99"/>
      <c r="AC121" s="99"/>
      <c r="AD121" s="99"/>
      <c r="AE121" s="99"/>
    </row>
    <row r="122" spans="2:31" x14ac:dyDescent="0.25">
      <c r="B122" s="99"/>
      <c r="C122" s="109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99"/>
      <c r="AC122" s="99"/>
      <c r="AD122" s="99"/>
      <c r="AE122" s="99"/>
    </row>
    <row r="123" spans="2:31" x14ac:dyDescent="0.25">
      <c r="B123" s="99"/>
      <c r="C123" s="109"/>
      <c r="D123" s="99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5"/>
      <c r="Y123" s="105"/>
      <c r="Z123" s="112"/>
      <c r="AA123" s="105"/>
      <c r="AB123" s="99"/>
      <c r="AC123" s="99"/>
      <c r="AD123" s="99"/>
      <c r="AE123" s="99"/>
    </row>
    <row r="124" spans="2:31" x14ac:dyDescent="0.25">
      <c r="B124" s="99"/>
      <c r="C124" s="104"/>
      <c r="D124" s="105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5"/>
      <c r="Y124" s="105"/>
      <c r="Z124" s="112"/>
      <c r="AA124" s="105"/>
    </row>
    <row r="125" spans="2:31" x14ac:dyDescent="0.25">
      <c r="B125" s="113"/>
      <c r="C125" s="104"/>
      <c r="D125" s="105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5"/>
      <c r="Y125" s="105"/>
      <c r="Z125" s="112"/>
      <c r="AA125" s="105"/>
    </row>
    <row r="126" spans="2:31" x14ac:dyDescent="0.25">
      <c r="C126" s="104"/>
      <c r="D126" s="105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8"/>
      <c r="Y126" s="108"/>
      <c r="Z126" s="102"/>
      <c r="AA126" s="108"/>
    </row>
    <row r="127" spans="2:31" x14ac:dyDescent="0.25">
      <c r="C127" s="104"/>
      <c r="D127" s="105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8"/>
      <c r="Y127" s="108"/>
      <c r="Z127" s="102"/>
      <c r="AA127" s="108"/>
    </row>
    <row r="128" spans="2:31" x14ac:dyDescent="0.25">
      <c r="C128" s="104"/>
      <c r="D128" s="105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8"/>
      <c r="Y128" s="108"/>
      <c r="Z128" s="102"/>
      <c r="AA128" s="108"/>
    </row>
    <row r="129" spans="2:27" x14ac:dyDescent="0.25"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8"/>
      <c r="Y129" s="108"/>
      <c r="Z129" s="102"/>
      <c r="AA129" s="108"/>
    </row>
    <row r="130" spans="2:27" x14ac:dyDescent="0.25">
      <c r="C130" s="104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8"/>
      <c r="Y130" s="108"/>
      <c r="Z130" s="102"/>
      <c r="AA130" s="108"/>
    </row>
    <row r="131" spans="2:27" x14ac:dyDescent="0.25">
      <c r="C131" s="109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2:27" x14ac:dyDescent="0.25">
      <c r="C132" s="109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8"/>
      <c r="Y132" s="108"/>
      <c r="Z132" s="102"/>
      <c r="AA132" s="108"/>
    </row>
    <row r="133" spans="2:27" x14ac:dyDescent="0.25">
      <c r="B133" s="99"/>
      <c r="C133" s="109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2:27" x14ac:dyDescent="0.25">
      <c r="B134" s="99"/>
      <c r="C134" s="109"/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2:27" x14ac:dyDescent="0.25">
      <c r="B135" s="99"/>
      <c r="C135" s="109"/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14"/>
      <c r="Y135" s="114"/>
      <c r="Z135" s="102"/>
      <c r="AA135" s="114"/>
    </row>
    <row r="136" spans="2:27" x14ac:dyDescent="0.25">
      <c r="B136" s="99"/>
      <c r="C136" s="109"/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15"/>
      <c r="Y136" s="115"/>
      <c r="Z136" s="102"/>
      <c r="AA136" s="115"/>
    </row>
    <row r="137" spans="2:27" x14ac:dyDescent="0.25">
      <c r="C137" s="109"/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2:27" x14ac:dyDescent="0.25">
      <c r="C138" s="109"/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2:27" x14ac:dyDescent="0.25">
      <c r="C139" s="109"/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0" spans="2:27" x14ac:dyDescent="0.25">
      <c r="C140" s="109"/>
      <c r="D140" s="99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99"/>
      <c r="Y140" s="99"/>
      <c r="Z140" s="102"/>
      <c r="AA140" s="99"/>
    </row>
    <row r="141" spans="2:27" x14ac:dyDescent="0.25">
      <c r="C141" s="109"/>
      <c r="D141" s="99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99"/>
      <c r="Y141" s="99"/>
      <c r="Z141" s="102"/>
      <c r="AA141" s="99"/>
    </row>
    <row r="142" spans="2:27" x14ac:dyDescent="0.25">
      <c r="C142" s="109"/>
      <c r="D142" s="99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99"/>
      <c r="Y142" s="99"/>
      <c r="Z142" s="102"/>
      <c r="AA142" s="99"/>
    </row>
    <row r="143" spans="2:27" x14ac:dyDescent="0.25">
      <c r="C143" s="109"/>
      <c r="D143" s="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99"/>
      <c r="Y143" s="99"/>
      <c r="Z143" s="102"/>
      <c r="AA143" s="99"/>
    </row>
    <row r="144" spans="2:27" x14ac:dyDescent="0.25">
      <c r="C144" s="109"/>
      <c r="D144" s="99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>
        <v>3003000</v>
      </c>
      <c r="P144" s="107"/>
      <c r="Q144" s="107"/>
      <c r="R144" s="107"/>
      <c r="S144" s="107"/>
      <c r="T144" s="107"/>
      <c r="U144" s="107"/>
      <c r="V144" s="107"/>
      <c r="W144" s="107"/>
      <c r="X144" s="99"/>
      <c r="Y144" s="99"/>
      <c r="Z144" s="102"/>
      <c r="AA144" s="99"/>
    </row>
    <row r="145" spans="3:27" x14ac:dyDescent="0.25">
      <c r="C145" s="104"/>
      <c r="D145" s="99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99"/>
      <c r="Y145" s="99"/>
      <c r="Z145" s="102"/>
      <c r="AA145" s="99"/>
    </row>
    <row r="146" spans="3:27" x14ac:dyDescent="0.25">
      <c r="C146" s="104"/>
      <c r="D146" s="99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99"/>
      <c r="Y146" s="99"/>
      <c r="Z146" s="102"/>
      <c r="AA146" s="99"/>
    </row>
    <row r="147" spans="3:27" x14ac:dyDescent="0.25">
      <c r="C147" s="104"/>
      <c r="D147" s="99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99"/>
      <c r="Y147" s="99"/>
      <c r="Z147" s="102"/>
      <c r="AA147" s="99"/>
    </row>
    <row r="148" spans="3:27" x14ac:dyDescent="0.25">
      <c r="C148" s="104"/>
      <c r="D148" s="99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99"/>
      <c r="Y148" s="99"/>
      <c r="Z148" s="102"/>
      <c r="AA148" s="99"/>
    </row>
    <row r="149" spans="3:27" x14ac:dyDescent="0.25">
      <c r="C149" s="109">
        <v>42614840</v>
      </c>
      <c r="D149" s="99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>
        <v>412608</v>
      </c>
      <c r="X149" s="99"/>
      <c r="Y149" s="99"/>
      <c r="Z149" s="102"/>
      <c r="AA149" s="99"/>
    </row>
    <row r="150" spans="3:27" x14ac:dyDescent="0.25">
      <c r="C150" s="109">
        <v>9675182</v>
      </c>
      <c r="D150" s="99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>
        <v>1880000</v>
      </c>
      <c r="X150" s="99"/>
      <c r="Y150" s="99"/>
      <c r="Z150" s="102"/>
      <c r="AA150" s="99"/>
    </row>
    <row r="151" spans="3:27" x14ac:dyDescent="0.25">
      <c r="C151" s="109">
        <v>17903600</v>
      </c>
      <c r="D151" s="99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99"/>
      <c r="Y151" s="99"/>
      <c r="Z151" s="102"/>
      <c r="AA151" s="99"/>
    </row>
    <row r="152" spans="3:27" x14ac:dyDescent="0.25">
      <c r="C152" s="109">
        <f>SUM(C149:C151)</f>
        <v>70193622</v>
      </c>
      <c r="D152" s="99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99"/>
      <c r="Y152" s="99"/>
      <c r="Z152" s="102"/>
      <c r="AA152" s="99"/>
    </row>
    <row r="153" spans="3:27" x14ac:dyDescent="0.25">
      <c r="C153" s="109">
        <v>400000</v>
      </c>
      <c r="D153" s="99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99"/>
      <c r="Y153" s="99"/>
      <c r="Z153" s="102"/>
      <c r="AA153" s="99"/>
    </row>
    <row r="154" spans="3:27" x14ac:dyDescent="0.25">
      <c r="C154" s="109">
        <f>+C152+C153</f>
        <v>70593622</v>
      </c>
      <c r="D154" s="99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99"/>
      <c r="Y154" s="99"/>
      <c r="Z154" s="102"/>
      <c r="AA154" s="99"/>
    </row>
    <row r="157" spans="3:27" x14ac:dyDescent="0.25">
      <c r="C157" s="100">
        <v>64000000</v>
      </c>
    </row>
    <row r="158" spans="3:27" x14ac:dyDescent="0.25">
      <c r="C158" s="100">
        <v>11000000</v>
      </c>
    </row>
    <row r="159" spans="3:27" x14ac:dyDescent="0.25">
      <c r="C159" s="100">
        <f>+C157+C158</f>
        <v>75000000</v>
      </c>
    </row>
    <row r="163" spans="3:3" x14ac:dyDescent="0.25">
      <c r="C163" s="100">
        <v>2745000</v>
      </c>
    </row>
    <row r="164" spans="3:3" x14ac:dyDescent="0.25">
      <c r="C164" s="100">
        <v>3185000</v>
      </c>
    </row>
    <row r="165" spans="3:3" x14ac:dyDescent="0.25">
      <c r="C165" s="100">
        <v>1080000</v>
      </c>
    </row>
    <row r="166" spans="3:3" x14ac:dyDescent="0.25">
      <c r="C166" s="100">
        <v>4850100</v>
      </c>
    </row>
    <row r="167" spans="3:3" x14ac:dyDescent="0.25">
      <c r="C167" s="100">
        <v>5027500</v>
      </c>
    </row>
    <row r="168" spans="3:3" x14ac:dyDescent="0.25">
      <c r="C168" s="100">
        <v>4566000</v>
      </c>
    </row>
    <row r="169" spans="3:3" x14ac:dyDescent="0.25">
      <c r="C169" s="100">
        <v>1050000</v>
      </c>
    </row>
    <row r="170" spans="3:3" x14ac:dyDescent="0.25">
      <c r="C170" s="100">
        <v>3877333</v>
      </c>
    </row>
    <row r="171" spans="3:3" x14ac:dyDescent="0.25">
      <c r="C171" s="100">
        <v>6732440</v>
      </c>
    </row>
    <row r="172" spans="3:3" x14ac:dyDescent="0.25">
      <c r="C172" s="100">
        <v>3460000</v>
      </c>
    </row>
    <row r="173" spans="3:3" x14ac:dyDescent="0.25">
      <c r="C173" s="100">
        <v>588800</v>
      </c>
    </row>
    <row r="174" spans="3:3" x14ac:dyDescent="0.25">
      <c r="C174" s="100">
        <v>1868000</v>
      </c>
    </row>
    <row r="175" spans="3:3" x14ac:dyDescent="0.25">
      <c r="C175" s="100">
        <v>10313000</v>
      </c>
    </row>
    <row r="176" spans="3:3" x14ac:dyDescent="0.25">
      <c r="C176" s="100">
        <v>3443800</v>
      </c>
    </row>
    <row r="177" spans="3:3" x14ac:dyDescent="0.25">
      <c r="C177" s="100">
        <v>8136400</v>
      </c>
    </row>
    <row r="178" spans="3:3" x14ac:dyDescent="0.25">
      <c r="C178" s="100">
        <v>9675183</v>
      </c>
    </row>
    <row r="179" spans="3:3" x14ac:dyDescent="0.25">
      <c r="C179" s="100">
        <f>SUM(C163:C178)</f>
        <v>70598556</v>
      </c>
    </row>
  </sheetData>
  <mergeCells count="7">
    <mergeCell ref="D122:AA122"/>
    <mergeCell ref="C1:X1"/>
    <mergeCell ref="E2:N2"/>
    <mergeCell ref="O2:W2"/>
    <mergeCell ref="A3:A46"/>
    <mergeCell ref="A47:A82"/>
    <mergeCell ref="E121:T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04FB-F8E3-4B04-AB94-8F70A76ED350}">
  <dimension ref="A1:AE141"/>
  <sheetViews>
    <sheetView topLeftCell="M1" workbookViewId="0">
      <selection activeCell="AD13" sqref="AD13"/>
    </sheetView>
  </sheetViews>
  <sheetFormatPr baseColWidth="10" defaultRowHeight="9" x14ac:dyDescent="0.25"/>
  <cols>
    <col min="1" max="1" width="10.5703125" style="43" customWidth="1"/>
    <col min="2" max="2" width="4.85546875" style="43" customWidth="1"/>
    <col min="3" max="3" width="32.42578125" style="100" customWidth="1"/>
    <col min="4" max="4" width="9.85546875" style="43" customWidth="1"/>
    <col min="5" max="5" width="11.85546875" style="101" customWidth="1"/>
    <col min="6" max="6" width="6.140625" style="101" customWidth="1"/>
    <col min="7" max="7" width="13.7109375" style="101" customWidth="1"/>
    <col min="8" max="8" width="9.42578125" style="101" customWidth="1"/>
    <col min="9" max="9" width="14.7109375" style="101" customWidth="1"/>
    <col min="10" max="10" width="11.5703125" style="101" customWidth="1"/>
    <col min="11" max="12" width="10.42578125" style="101" customWidth="1"/>
    <col min="13" max="13" width="12.28515625" style="101" customWidth="1"/>
    <col min="14" max="14" width="12.5703125" style="101" customWidth="1"/>
    <col min="15" max="15" width="10.5703125" style="101" customWidth="1"/>
    <col min="16" max="16" width="10.140625" style="101" customWidth="1"/>
    <col min="17" max="17" width="8.42578125" style="101" customWidth="1"/>
    <col min="18" max="18" width="18.85546875" style="101" customWidth="1"/>
    <col min="19" max="19" width="10.28515625" style="101" customWidth="1"/>
    <col min="20" max="20" width="11.42578125" style="101"/>
    <col min="21" max="21" width="12.140625" style="101" customWidth="1"/>
    <col min="22" max="22" width="10.5703125" style="101" customWidth="1"/>
    <col min="23" max="23" width="12.42578125" style="101" customWidth="1"/>
    <col min="24" max="24" width="15.140625" style="43" customWidth="1"/>
    <col min="25" max="25" width="13.5703125" style="43" hidden="1" customWidth="1"/>
    <col min="26" max="26" width="13.140625" style="116" customWidth="1"/>
    <col min="27" max="27" width="15.710937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9" width="0" style="43" hidden="1" customWidth="1"/>
    <col min="260" max="260" width="11.85546875" style="43" customWidth="1"/>
    <col min="261" max="261" width="6.140625" style="43" customWidth="1"/>
    <col min="262" max="262" width="13.71093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7" width="10.42578125" style="43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0" style="43" hidden="1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5" width="0" style="43" hidden="1" customWidth="1"/>
    <col min="516" max="516" width="11.85546875" style="43" customWidth="1"/>
    <col min="517" max="517" width="6.140625" style="43" customWidth="1"/>
    <col min="518" max="518" width="13.71093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3" width="10.42578125" style="43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0" style="43" hidden="1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71" width="0" style="43" hidden="1" customWidth="1"/>
    <col min="772" max="772" width="11.85546875" style="43" customWidth="1"/>
    <col min="773" max="773" width="6.140625" style="43" customWidth="1"/>
    <col min="774" max="774" width="13.71093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9" width="10.42578125" style="43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0" style="43" hidden="1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7" width="0" style="43" hidden="1" customWidth="1"/>
    <col min="1028" max="1028" width="11.85546875" style="43" customWidth="1"/>
    <col min="1029" max="1029" width="6.140625" style="43" customWidth="1"/>
    <col min="1030" max="1030" width="13.71093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5" width="10.42578125" style="43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0" style="43" hidden="1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83" width="0" style="43" hidden="1" customWidth="1"/>
    <col min="1284" max="1284" width="11.85546875" style="43" customWidth="1"/>
    <col min="1285" max="1285" width="6.140625" style="43" customWidth="1"/>
    <col min="1286" max="1286" width="13.71093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1" width="10.42578125" style="43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0" style="43" hidden="1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9" width="0" style="43" hidden="1" customWidth="1"/>
    <col min="1540" max="1540" width="11.85546875" style="43" customWidth="1"/>
    <col min="1541" max="1541" width="6.140625" style="43" customWidth="1"/>
    <col min="1542" max="1542" width="13.71093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7" width="10.42578125" style="43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0" style="43" hidden="1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5" width="0" style="43" hidden="1" customWidth="1"/>
    <col min="1796" max="1796" width="11.85546875" style="43" customWidth="1"/>
    <col min="1797" max="1797" width="6.140625" style="43" customWidth="1"/>
    <col min="1798" max="1798" width="13.71093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3" width="10.42578125" style="43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0" style="43" hidden="1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51" width="0" style="43" hidden="1" customWidth="1"/>
    <col min="2052" max="2052" width="11.85546875" style="43" customWidth="1"/>
    <col min="2053" max="2053" width="6.140625" style="43" customWidth="1"/>
    <col min="2054" max="2054" width="13.71093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9" width="10.42578125" style="43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0" style="43" hidden="1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7" width="0" style="43" hidden="1" customWidth="1"/>
    <col min="2308" max="2308" width="11.85546875" style="43" customWidth="1"/>
    <col min="2309" max="2309" width="6.140625" style="43" customWidth="1"/>
    <col min="2310" max="2310" width="13.71093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5" width="10.42578125" style="43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0" style="43" hidden="1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63" width="0" style="43" hidden="1" customWidth="1"/>
    <col min="2564" max="2564" width="11.85546875" style="43" customWidth="1"/>
    <col min="2565" max="2565" width="6.140625" style="43" customWidth="1"/>
    <col min="2566" max="2566" width="13.71093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1" width="10.42578125" style="43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0" style="43" hidden="1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9" width="0" style="43" hidden="1" customWidth="1"/>
    <col min="2820" max="2820" width="11.85546875" style="43" customWidth="1"/>
    <col min="2821" max="2821" width="6.140625" style="43" customWidth="1"/>
    <col min="2822" max="2822" width="13.71093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7" width="10.42578125" style="43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0" style="43" hidden="1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5" width="0" style="43" hidden="1" customWidth="1"/>
    <col min="3076" max="3076" width="11.85546875" style="43" customWidth="1"/>
    <col min="3077" max="3077" width="6.140625" style="43" customWidth="1"/>
    <col min="3078" max="3078" width="13.71093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3" width="10.42578125" style="43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0" style="43" hidden="1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31" width="0" style="43" hidden="1" customWidth="1"/>
    <col min="3332" max="3332" width="11.85546875" style="43" customWidth="1"/>
    <col min="3333" max="3333" width="6.140625" style="43" customWidth="1"/>
    <col min="3334" max="3334" width="13.71093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9" width="10.42578125" style="43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0" style="43" hidden="1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7" width="0" style="43" hidden="1" customWidth="1"/>
    <col min="3588" max="3588" width="11.85546875" style="43" customWidth="1"/>
    <col min="3589" max="3589" width="6.140625" style="43" customWidth="1"/>
    <col min="3590" max="3590" width="13.71093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5" width="10.42578125" style="43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0" style="43" hidden="1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43" width="0" style="43" hidden="1" customWidth="1"/>
    <col min="3844" max="3844" width="11.85546875" style="43" customWidth="1"/>
    <col min="3845" max="3845" width="6.140625" style="43" customWidth="1"/>
    <col min="3846" max="3846" width="13.71093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1" width="10.42578125" style="43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0" style="43" hidden="1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9" width="0" style="43" hidden="1" customWidth="1"/>
    <col min="4100" max="4100" width="11.85546875" style="43" customWidth="1"/>
    <col min="4101" max="4101" width="6.140625" style="43" customWidth="1"/>
    <col min="4102" max="4102" width="13.71093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7" width="10.42578125" style="43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0" style="43" hidden="1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5" width="0" style="43" hidden="1" customWidth="1"/>
    <col min="4356" max="4356" width="11.85546875" style="43" customWidth="1"/>
    <col min="4357" max="4357" width="6.140625" style="43" customWidth="1"/>
    <col min="4358" max="4358" width="13.71093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3" width="10.42578125" style="43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0" style="43" hidden="1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11" width="0" style="43" hidden="1" customWidth="1"/>
    <col min="4612" max="4612" width="11.85546875" style="43" customWidth="1"/>
    <col min="4613" max="4613" width="6.140625" style="43" customWidth="1"/>
    <col min="4614" max="4614" width="13.71093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9" width="10.42578125" style="43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0" style="43" hidden="1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7" width="0" style="43" hidden="1" customWidth="1"/>
    <col min="4868" max="4868" width="11.85546875" style="43" customWidth="1"/>
    <col min="4869" max="4869" width="6.140625" style="43" customWidth="1"/>
    <col min="4870" max="4870" width="13.71093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5" width="10.42578125" style="43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0" style="43" hidden="1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23" width="0" style="43" hidden="1" customWidth="1"/>
    <col min="5124" max="5124" width="11.85546875" style="43" customWidth="1"/>
    <col min="5125" max="5125" width="6.140625" style="43" customWidth="1"/>
    <col min="5126" max="5126" width="13.71093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1" width="10.42578125" style="43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0" style="43" hidden="1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9" width="0" style="43" hidden="1" customWidth="1"/>
    <col min="5380" max="5380" width="11.85546875" style="43" customWidth="1"/>
    <col min="5381" max="5381" width="6.140625" style="43" customWidth="1"/>
    <col min="5382" max="5382" width="13.71093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7" width="10.42578125" style="43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0" style="43" hidden="1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5" width="0" style="43" hidden="1" customWidth="1"/>
    <col min="5636" max="5636" width="11.85546875" style="43" customWidth="1"/>
    <col min="5637" max="5637" width="6.140625" style="43" customWidth="1"/>
    <col min="5638" max="5638" width="13.71093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3" width="10.42578125" style="43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0" style="43" hidden="1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91" width="0" style="43" hidden="1" customWidth="1"/>
    <col min="5892" max="5892" width="11.85546875" style="43" customWidth="1"/>
    <col min="5893" max="5893" width="6.140625" style="43" customWidth="1"/>
    <col min="5894" max="5894" width="13.71093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9" width="10.42578125" style="43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0" style="43" hidden="1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7" width="0" style="43" hidden="1" customWidth="1"/>
    <col min="6148" max="6148" width="11.85546875" style="43" customWidth="1"/>
    <col min="6149" max="6149" width="6.140625" style="43" customWidth="1"/>
    <col min="6150" max="6150" width="13.71093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5" width="10.42578125" style="43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0" style="43" hidden="1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403" width="0" style="43" hidden="1" customWidth="1"/>
    <col min="6404" max="6404" width="11.85546875" style="43" customWidth="1"/>
    <col min="6405" max="6405" width="6.140625" style="43" customWidth="1"/>
    <col min="6406" max="6406" width="13.71093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1" width="10.42578125" style="43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0" style="43" hidden="1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9" width="0" style="43" hidden="1" customWidth="1"/>
    <col min="6660" max="6660" width="11.85546875" style="43" customWidth="1"/>
    <col min="6661" max="6661" width="6.140625" style="43" customWidth="1"/>
    <col min="6662" max="6662" width="13.71093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7" width="10.42578125" style="43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0" style="43" hidden="1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5" width="0" style="43" hidden="1" customWidth="1"/>
    <col min="6916" max="6916" width="11.85546875" style="43" customWidth="1"/>
    <col min="6917" max="6917" width="6.140625" style="43" customWidth="1"/>
    <col min="6918" max="6918" width="13.71093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3" width="10.42578125" style="43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0" style="43" hidden="1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71" width="0" style="43" hidden="1" customWidth="1"/>
    <col min="7172" max="7172" width="11.85546875" style="43" customWidth="1"/>
    <col min="7173" max="7173" width="6.140625" style="43" customWidth="1"/>
    <col min="7174" max="7174" width="13.71093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9" width="10.42578125" style="43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0" style="43" hidden="1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7" width="0" style="43" hidden="1" customWidth="1"/>
    <col min="7428" max="7428" width="11.85546875" style="43" customWidth="1"/>
    <col min="7429" max="7429" width="6.140625" style="43" customWidth="1"/>
    <col min="7430" max="7430" width="13.71093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5" width="10.42578125" style="43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0" style="43" hidden="1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83" width="0" style="43" hidden="1" customWidth="1"/>
    <col min="7684" max="7684" width="11.85546875" style="43" customWidth="1"/>
    <col min="7685" max="7685" width="6.140625" style="43" customWidth="1"/>
    <col min="7686" max="7686" width="13.71093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1" width="10.42578125" style="43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0" style="43" hidden="1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9" width="0" style="43" hidden="1" customWidth="1"/>
    <col min="7940" max="7940" width="11.85546875" style="43" customWidth="1"/>
    <col min="7941" max="7941" width="6.140625" style="43" customWidth="1"/>
    <col min="7942" max="7942" width="13.71093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7" width="10.42578125" style="43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0" style="43" hidden="1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5" width="0" style="43" hidden="1" customWidth="1"/>
    <col min="8196" max="8196" width="11.85546875" style="43" customWidth="1"/>
    <col min="8197" max="8197" width="6.140625" style="43" customWidth="1"/>
    <col min="8198" max="8198" width="13.71093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3" width="10.42578125" style="43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0" style="43" hidden="1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51" width="0" style="43" hidden="1" customWidth="1"/>
    <col min="8452" max="8452" width="11.85546875" style="43" customWidth="1"/>
    <col min="8453" max="8453" width="6.140625" style="43" customWidth="1"/>
    <col min="8454" max="8454" width="13.71093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9" width="10.42578125" style="43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0" style="43" hidden="1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7" width="0" style="43" hidden="1" customWidth="1"/>
    <col min="8708" max="8708" width="11.85546875" style="43" customWidth="1"/>
    <col min="8709" max="8709" width="6.140625" style="43" customWidth="1"/>
    <col min="8710" max="8710" width="13.71093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5" width="10.42578125" style="43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0" style="43" hidden="1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63" width="0" style="43" hidden="1" customWidth="1"/>
    <col min="8964" max="8964" width="11.85546875" style="43" customWidth="1"/>
    <col min="8965" max="8965" width="6.140625" style="43" customWidth="1"/>
    <col min="8966" max="8966" width="13.71093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1" width="10.42578125" style="43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0" style="43" hidden="1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9" width="0" style="43" hidden="1" customWidth="1"/>
    <col min="9220" max="9220" width="11.85546875" style="43" customWidth="1"/>
    <col min="9221" max="9221" width="6.140625" style="43" customWidth="1"/>
    <col min="9222" max="9222" width="13.71093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7" width="10.42578125" style="43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0" style="43" hidden="1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5" width="0" style="43" hidden="1" customWidth="1"/>
    <col min="9476" max="9476" width="11.85546875" style="43" customWidth="1"/>
    <col min="9477" max="9477" width="6.140625" style="43" customWidth="1"/>
    <col min="9478" max="9478" width="13.71093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3" width="10.42578125" style="43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0" style="43" hidden="1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31" width="0" style="43" hidden="1" customWidth="1"/>
    <col min="9732" max="9732" width="11.85546875" style="43" customWidth="1"/>
    <col min="9733" max="9733" width="6.140625" style="43" customWidth="1"/>
    <col min="9734" max="9734" width="13.71093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9" width="10.42578125" style="43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0" style="43" hidden="1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7" width="0" style="43" hidden="1" customWidth="1"/>
    <col min="9988" max="9988" width="11.85546875" style="43" customWidth="1"/>
    <col min="9989" max="9989" width="6.140625" style="43" customWidth="1"/>
    <col min="9990" max="9990" width="13.71093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5" width="10.42578125" style="43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0" style="43" hidden="1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43" width="0" style="43" hidden="1" customWidth="1"/>
    <col min="10244" max="10244" width="11.85546875" style="43" customWidth="1"/>
    <col min="10245" max="10245" width="6.140625" style="43" customWidth="1"/>
    <col min="10246" max="10246" width="13.71093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1" width="10.42578125" style="43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0" style="43" hidden="1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9" width="0" style="43" hidden="1" customWidth="1"/>
    <col min="10500" max="10500" width="11.85546875" style="43" customWidth="1"/>
    <col min="10501" max="10501" width="6.140625" style="43" customWidth="1"/>
    <col min="10502" max="10502" width="13.71093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7" width="10.42578125" style="43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0" style="43" hidden="1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5" width="0" style="43" hidden="1" customWidth="1"/>
    <col min="10756" max="10756" width="11.85546875" style="43" customWidth="1"/>
    <col min="10757" max="10757" width="6.140625" style="43" customWidth="1"/>
    <col min="10758" max="10758" width="13.71093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3" width="10.42578125" style="43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0" style="43" hidden="1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11" width="0" style="43" hidden="1" customWidth="1"/>
    <col min="11012" max="11012" width="11.85546875" style="43" customWidth="1"/>
    <col min="11013" max="11013" width="6.140625" style="43" customWidth="1"/>
    <col min="11014" max="11014" width="13.71093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9" width="10.42578125" style="43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0" style="43" hidden="1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7" width="0" style="43" hidden="1" customWidth="1"/>
    <col min="11268" max="11268" width="11.85546875" style="43" customWidth="1"/>
    <col min="11269" max="11269" width="6.140625" style="43" customWidth="1"/>
    <col min="11270" max="11270" width="13.71093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5" width="10.42578125" style="43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0" style="43" hidden="1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23" width="0" style="43" hidden="1" customWidth="1"/>
    <col min="11524" max="11524" width="11.85546875" style="43" customWidth="1"/>
    <col min="11525" max="11525" width="6.140625" style="43" customWidth="1"/>
    <col min="11526" max="11526" width="13.71093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1" width="10.42578125" style="43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0" style="43" hidden="1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9" width="0" style="43" hidden="1" customWidth="1"/>
    <col min="11780" max="11780" width="11.85546875" style="43" customWidth="1"/>
    <col min="11781" max="11781" width="6.140625" style="43" customWidth="1"/>
    <col min="11782" max="11782" width="13.71093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7" width="10.42578125" style="43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0" style="43" hidden="1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5" width="0" style="43" hidden="1" customWidth="1"/>
    <col min="12036" max="12036" width="11.85546875" style="43" customWidth="1"/>
    <col min="12037" max="12037" width="6.140625" style="43" customWidth="1"/>
    <col min="12038" max="12038" width="13.71093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3" width="10.42578125" style="43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0" style="43" hidden="1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91" width="0" style="43" hidden="1" customWidth="1"/>
    <col min="12292" max="12292" width="11.85546875" style="43" customWidth="1"/>
    <col min="12293" max="12293" width="6.140625" style="43" customWidth="1"/>
    <col min="12294" max="12294" width="13.71093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9" width="10.42578125" style="43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0" style="43" hidden="1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7" width="0" style="43" hidden="1" customWidth="1"/>
    <col min="12548" max="12548" width="11.85546875" style="43" customWidth="1"/>
    <col min="12549" max="12549" width="6.140625" style="43" customWidth="1"/>
    <col min="12550" max="12550" width="13.71093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5" width="10.42578125" style="43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0" style="43" hidden="1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803" width="0" style="43" hidden="1" customWidth="1"/>
    <col min="12804" max="12804" width="11.85546875" style="43" customWidth="1"/>
    <col min="12805" max="12805" width="6.140625" style="43" customWidth="1"/>
    <col min="12806" max="12806" width="13.71093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1" width="10.42578125" style="43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0" style="43" hidden="1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9" width="0" style="43" hidden="1" customWidth="1"/>
    <col min="13060" max="13060" width="11.85546875" style="43" customWidth="1"/>
    <col min="13061" max="13061" width="6.140625" style="43" customWidth="1"/>
    <col min="13062" max="13062" width="13.71093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7" width="10.42578125" style="43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0" style="43" hidden="1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5" width="0" style="43" hidden="1" customWidth="1"/>
    <col min="13316" max="13316" width="11.85546875" style="43" customWidth="1"/>
    <col min="13317" max="13317" width="6.140625" style="43" customWidth="1"/>
    <col min="13318" max="13318" width="13.71093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3" width="10.42578125" style="43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0" style="43" hidden="1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71" width="0" style="43" hidden="1" customWidth="1"/>
    <col min="13572" max="13572" width="11.85546875" style="43" customWidth="1"/>
    <col min="13573" max="13573" width="6.140625" style="43" customWidth="1"/>
    <col min="13574" max="13574" width="13.71093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9" width="10.42578125" style="43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0" style="43" hidden="1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7" width="0" style="43" hidden="1" customWidth="1"/>
    <col min="13828" max="13828" width="11.85546875" style="43" customWidth="1"/>
    <col min="13829" max="13829" width="6.140625" style="43" customWidth="1"/>
    <col min="13830" max="13830" width="13.71093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5" width="10.42578125" style="43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0" style="43" hidden="1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83" width="0" style="43" hidden="1" customWidth="1"/>
    <col min="14084" max="14084" width="11.85546875" style="43" customWidth="1"/>
    <col min="14085" max="14085" width="6.140625" style="43" customWidth="1"/>
    <col min="14086" max="14086" width="13.71093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1" width="10.42578125" style="43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0" style="43" hidden="1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9" width="0" style="43" hidden="1" customWidth="1"/>
    <col min="14340" max="14340" width="11.85546875" style="43" customWidth="1"/>
    <col min="14341" max="14341" width="6.140625" style="43" customWidth="1"/>
    <col min="14342" max="14342" width="13.71093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7" width="10.42578125" style="43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0" style="43" hidden="1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5" width="0" style="43" hidden="1" customWidth="1"/>
    <col min="14596" max="14596" width="11.85546875" style="43" customWidth="1"/>
    <col min="14597" max="14597" width="6.140625" style="43" customWidth="1"/>
    <col min="14598" max="14598" width="13.71093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3" width="10.42578125" style="43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0" style="43" hidden="1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51" width="0" style="43" hidden="1" customWidth="1"/>
    <col min="14852" max="14852" width="11.85546875" style="43" customWidth="1"/>
    <col min="14853" max="14853" width="6.140625" style="43" customWidth="1"/>
    <col min="14854" max="14854" width="13.71093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9" width="10.42578125" style="43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0" style="43" hidden="1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7" width="0" style="43" hidden="1" customWidth="1"/>
    <col min="15108" max="15108" width="11.85546875" style="43" customWidth="1"/>
    <col min="15109" max="15109" width="6.140625" style="43" customWidth="1"/>
    <col min="15110" max="15110" width="13.71093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5" width="10.42578125" style="43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0" style="43" hidden="1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63" width="0" style="43" hidden="1" customWidth="1"/>
    <col min="15364" max="15364" width="11.85546875" style="43" customWidth="1"/>
    <col min="15365" max="15365" width="6.140625" style="43" customWidth="1"/>
    <col min="15366" max="15366" width="13.71093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1" width="10.42578125" style="43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0" style="43" hidden="1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9" width="0" style="43" hidden="1" customWidth="1"/>
    <col min="15620" max="15620" width="11.85546875" style="43" customWidth="1"/>
    <col min="15621" max="15621" width="6.140625" style="43" customWidth="1"/>
    <col min="15622" max="15622" width="13.71093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7" width="10.42578125" style="43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0" style="43" hidden="1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5" width="0" style="43" hidden="1" customWidth="1"/>
    <col min="15876" max="15876" width="11.85546875" style="43" customWidth="1"/>
    <col min="15877" max="15877" width="6.140625" style="43" customWidth="1"/>
    <col min="15878" max="15878" width="13.71093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3" width="10.42578125" style="43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0" style="43" hidden="1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31" width="0" style="43" hidden="1" customWidth="1"/>
    <col min="16132" max="16132" width="11.85546875" style="43" customWidth="1"/>
    <col min="16133" max="16133" width="6.140625" style="43" customWidth="1"/>
    <col min="16134" max="16134" width="13.71093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9" width="10.42578125" style="43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0" style="43" hidden="1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3.5" thickBot="1" x14ac:dyDescent="0.3">
      <c r="A1" s="81"/>
      <c r="B1" s="81"/>
      <c r="C1" s="82" t="s">
        <v>97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1"/>
      <c r="Z1" s="83"/>
      <c r="AA1" s="81"/>
    </row>
    <row r="2" spans="1:27" ht="13.5" thickBot="1" x14ac:dyDescent="0.3">
      <c r="A2" s="81"/>
      <c r="B2" s="81"/>
      <c r="C2" s="84" t="s">
        <v>1</v>
      </c>
      <c r="D2" s="81"/>
      <c r="E2" s="85" t="s">
        <v>2</v>
      </c>
      <c r="F2" s="86"/>
      <c r="G2" s="86"/>
      <c r="H2" s="86"/>
      <c r="I2" s="86"/>
      <c r="J2" s="86"/>
      <c r="K2" s="86"/>
      <c r="L2" s="86"/>
      <c r="M2" s="86"/>
      <c r="N2" s="86"/>
      <c r="O2" s="85" t="s">
        <v>3</v>
      </c>
      <c r="P2" s="86"/>
      <c r="Q2" s="86"/>
      <c r="R2" s="86"/>
      <c r="S2" s="86"/>
      <c r="T2" s="86"/>
      <c r="U2" s="86"/>
      <c r="V2" s="86"/>
      <c r="W2" s="87"/>
      <c r="X2" s="17"/>
      <c r="Y2" s="17"/>
      <c r="Z2" s="88"/>
      <c r="AA2" s="17"/>
    </row>
    <row r="3" spans="1:27" s="94" customFormat="1" ht="45" customHeight="1" x14ac:dyDescent="0.25">
      <c r="A3" s="89" t="s">
        <v>4</v>
      </c>
      <c r="B3" s="90" t="s">
        <v>5</v>
      </c>
      <c r="C3" s="91" t="s">
        <v>6</v>
      </c>
      <c r="D3" s="91" t="s">
        <v>7</v>
      </c>
      <c r="E3" s="92" t="s">
        <v>8</v>
      </c>
      <c r="F3" s="92" t="s">
        <v>9</v>
      </c>
      <c r="G3" s="92" t="s">
        <v>10</v>
      </c>
      <c r="H3" s="92" t="s">
        <v>11</v>
      </c>
      <c r="I3" s="92" t="s">
        <v>12</v>
      </c>
      <c r="J3" s="92" t="s">
        <v>13</v>
      </c>
      <c r="K3" s="92" t="s">
        <v>14</v>
      </c>
      <c r="L3" s="92" t="s">
        <v>98</v>
      </c>
      <c r="M3" s="92" t="s">
        <v>16</v>
      </c>
      <c r="N3" s="92" t="s">
        <v>17</v>
      </c>
      <c r="O3" s="92" t="s">
        <v>18</v>
      </c>
      <c r="P3" s="92" t="s">
        <v>19</v>
      </c>
      <c r="Q3" s="92" t="s">
        <v>20</v>
      </c>
      <c r="R3" s="92" t="s">
        <v>21</v>
      </c>
      <c r="S3" s="92" t="s">
        <v>22</v>
      </c>
      <c r="T3" s="92" t="s">
        <v>23</v>
      </c>
      <c r="U3" s="92" t="s">
        <v>24</v>
      </c>
      <c r="V3" s="92" t="s">
        <v>25</v>
      </c>
      <c r="W3" s="92" t="s">
        <v>26</v>
      </c>
      <c r="X3" s="91" t="s">
        <v>27</v>
      </c>
      <c r="Y3" s="91"/>
      <c r="Z3" s="93" t="s">
        <v>29</v>
      </c>
      <c r="AA3" s="91" t="s">
        <v>30</v>
      </c>
    </row>
    <row r="4" spans="1:27" ht="27.75" customHeight="1" x14ac:dyDescent="0.25">
      <c r="A4" s="95"/>
      <c r="B4" s="17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>
        <v>0</v>
      </c>
      <c r="S4" s="39">
        <f>+G4*0.01</f>
        <v>37500</v>
      </c>
      <c r="T4" s="39">
        <v>0</v>
      </c>
      <c r="U4" s="39"/>
      <c r="V4" s="39"/>
      <c r="W4" s="39">
        <f t="shared" ref="W4:W63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7" ht="12.75" x14ac:dyDescent="0.25">
      <c r="A5" s="95"/>
      <c r="B5" s="17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v>4911500</v>
      </c>
      <c r="H5" s="39"/>
      <c r="I5" s="39"/>
      <c r="J5" s="39"/>
      <c r="K5" s="39"/>
      <c r="L5" s="39"/>
      <c r="M5" s="39"/>
      <c r="N5" s="39">
        <f>SUM(G5:M5)</f>
        <v>4911500</v>
      </c>
      <c r="O5" s="39">
        <f>+G5*4%</f>
        <v>196460</v>
      </c>
      <c r="P5" s="39">
        <f>+O5</f>
        <v>196460</v>
      </c>
      <c r="Q5" s="39"/>
      <c r="R5" s="39">
        <v>27469</v>
      </c>
      <c r="S5" s="39">
        <f t="shared" ref="S5:S31" si="2">+G5*0.01</f>
        <v>49115</v>
      </c>
      <c r="T5" s="48">
        <v>84469</v>
      </c>
      <c r="U5" s="39"/>
      <c r="V5" s="39"/>
      <c r="W5" s="39">
        <f t="shared" si="0"/>
        <v>553973</v>
      </c>
      <c r="X5" s="40">
        <f t="shared" si="1"/>
        <v>4357527</v>
      </c>
      <c r="Y5" s="40"/>
      <c r="Z5" s="41"/>
      <c r="AA5" s="40">
        <f>X5+Y5-Z5</f>
        <v>4357527</v>
      </c>
    </row>
    <row r="6" spans="1:27" ht="23.25" customHeight="1" x14ac:dyDescent="0.25">
      <c r="A6" s="95"/>
      <c r="B6" s="17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v>4180000</v>
      </c>
      <c r="H6" s="39"/>
      <c r="I6" s="39"/>
      <c r="J6" s="39"/>
      <c r="K6" s="39"/>
      <c r="L6" s="39"/>
      <c r="M6" s="39">
        <v>1881000</v>
      </c>
      <c r="N6" s="39">
        <f>SUM(G6:M6)</f>
        <v>6061000</v>
      </c>
      <c r="O6" s="39">
        <f>+G6*4%</f>
        <v>167200</v>
      </c>
      <c r="P6" s="39">
        <f>+O6</f>
        <v>167200</v>
      </c>
      <c r="Q6" s="39"/>
      <c r="R6" s="39">
        <v>31064</v>
      </c>
      <c r="S6" s="39">
        <f t="shared" si="2"/>
        <v>41800</v>
      </c>
      <c r="T6" s="48">
        <v>31064</v>
      </c>
      <c r="U6" s="39"/>
      <c r="V6" s="39"/>
      <c r="W6" s="39">
        <f t="shared" si="0"/>
        <v>438328</v>
      </c>
      <c r="X6" s="40">
        <f t="shared" si="1"/>
        <v>5622672</v>
      </c>
      <c r="Y6" s="40"/>
      <c r="Z6" s="41"/>
      <c r="AA6" s="40">
        <f>X6+Y6-Z6</f>
        <v>5622672</v>
      </c>
    </row>
    <row r="7" spans="1:27" ht="22.5" customHeight="1" x14ac:dyDescent="0.25">
      <c r="A7" s="95"/>
      <c r="B7" s="17">
        <v>4</v>
      </c>
      <c r="C7" s="37" t="s">
        <v>35</v>
      </c>
      <c r="D7" s="38" t="s">
        <v>32</v>
      </c>
      <c r="E7" s="39">
        <v>4000000</v>
      </c>
      <c r="F7" s="39">
        <v>30</v>
      </c>
      <c r="G7" s="39">
        <f>+E7/30*F7</f>
        <v>4000000.0000000005</v>
      </c>
      <c r="H7" s="39"/>
      <c r="I7" s="39"/>
      <c r="J7" s="39"/>
      <c r="K7" s="39"/>
      <c r="L7" s="39"/>
      <c r="M7" s="39">
        <f>200000/30*F7</f>
        <v>200000</v>
      </c>
      <c r="N7" s="39">
        <f>SUM(G7:M7)</f>
        <v>4200000</v>
      </c>
      <c r="O7" s="39">
        <f>+G7*4%</f>
        <v>160000.00000000003</v>
      </c>
      <c r="P7" s="39">
        <f>+O7</f>
        <v>160000.00000000003</v>
      </c>
      <c r="Q7" s="39"/>
      <c r="R7" s="39">
        <v>31064</v>
      </c>
      <c r="S7" s="39">
        <f t="shared" si="2"/>
        <v>40000.000000000007</v>
      </c>
      <c r="T7" s="39">
        <v>31064</v>
      </c>
      <c r="U7" s="39"/>
      <c r="V7" s="39"/>
      <c r="W7" s="39">
        <f t="shared" si="0"/>
        <v>422128.00000000006</v>
      </c>
      <c r="X7" s="40">
        <f t="shared" si="1"/>
        <v>3777872</v>
      </c>
      <c r="Y7" s="40"/>
      <c r="Z7" s="41"/>
      <c r="AA7" s="40">
        <f>X7+Y7-Z7</f>
        <v>3777872</v>
      </c>
    </row>
    <row r="8" spans="1:27" ht="12.75" x14ac:dyDescent="0.25">
      <c r="A8" s="95"/>
      <c r="B8" s="17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>G8+M8</f>
        <v>4500000</v>
      </c>
      <c r="O8" s="39">
        <f>G8*4%</f>
        <v>180000</v>
      </c>
      <c r="P8" s="39">
        <f>O8</f>
        <v>180000</v>
      </c>
      <c r="Q8" s="39"/>
      <c r="R8" s="39">
        <v>12752</v>
      </c>
      <c r="S8" s="39">
        <f>G8*1%</f>
        <v>45000</v>
      </c>
      <c r="T8" s="39">
        <v>98752</v>
      </c>
      <c r="U8" s="39"/>
      <c r="V8" s="39"/>
      <c r="W8" s="39">
        <f t="shared" si="0"/>
        <v>516504</v>
      </c>
      <c r="X8" s="40">
        <f>N8-W8</f>
        <v>3983496</v>
      </c>
      <c r="Y8" s="40"/>
      <c r="Z8" s="41"/>
      <c r="AA8" s="40">
        <f>X8+Y8-Z8</f>
        <v>3983496</v>
      </c>
    </row>
    <row r="9" spans="1:27" ht="22.5" customHeight="1" x14ac:dyDescent="0.25">
      <c r="A9" s="95"/>
      <c r="B9" s="17">
        <v>6</v>
      </c>
      <c r="C9" s="37" t="s">
        <v>37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40">
        <v>90000</v>
      </c>
      <c r="M9" s="39"/>
      <c r="N9" s="39">
        <f>G9+M9</f>
        <v>4500000</v>
      </c>
      <c r="O9" s="39">
        <f>G9*4%</f>
        <v>180000</v>
      </c>
      <c r="P9" s="39">
        <f>O9</f>
        <v>180000</v>
      </c>
      <c r="Q9" s="39"/>
      <c r="R9" s="39">
        <v>98752</v>
      </c>
      <c r="S9" s="39">
        <f>G9*1%</f>
        <v>45000</v>
      </c>
      <c r="T9" s="39">
        <v>98752</v>
      </c>
      <c r="U9" s="39"/>
      <c r="V9" s="39"/>
      <c r="W9" s="39">
        <f t="shared" si="0"/>
        <v>602504</v>
      </c>
      <c r="X9" s="40">
        <f>N9-W9</f>
        <v>3897496</v>
      </c>
      <c r="Z9" s="41"/>
      <c r="AA9" s="40">
        <f>X9+L9-Z9</f>
        <v>3987496</v>
      </c>
    </row>
    <row r="10" spans="1:27" ht="25.5" customHeight="1" x14ac:dyDescent="0.25">
      <c r="A10" s="95"/>
      <c r="B10" s="17">
        <v>7</v>
      </c>
      <c r="C10" s="46" t="s">
        <v>38</v>
      </c>
      <c r="D10" s="38" t="s">
        <v>32</v>
      </c>
      <c r="E10" s="39">
        <v>4800000</v>
      </c>
      <c r="F10" s="39">
        <v>30</v>
      </c>
      <c r="G10" s="39">
        <f>+E10/30*F10</f>
        <v>4800000</v>
      </c>
      <c r="H10" s="39"/>
      <c r="I10" s="39"/>
      <c r="J10" s="39"/>
      <c r="K10" s="39"/>
      <c r="L10" s="39"/>
      <c r="M10" s="39"/>
      <c r="N10" s="39">
        <f>SUM(G10:M10)</f>
        <v>4800000</v>
      </c>
      <c r="O10" s="39">
        <f>G10*4%</f>
        <v>192000</v>
      </c>
      <c r="P10" s="39">
        <f>+O10</f>
        <v>192000</v>
      </c>
      <c r="Q10" s="39"/>
      <c r="R10" s="39">
        <v>364</v>
      </c>
      <c r="S10" s="39">
        <f t="shared" si="2"/>
        <v>48000</v>
      </c>
      <c r="T10" s="39">
        <v>139364</v>
      </c>
      <c r="U10" s="39"/>
      <c r="V10" s="39"/>
      <c r="W10" s="39">
        <f t="shared" si="0"/>
        <v>571728</v>
      </c>
      <c r="X10" s="40">
        <f t="shared" si="1"/>
        <v>4228272</v>
      </c>
      <c r="Y10" s="40"/>
      <c r="Z10" s="41"/>
      <c r="AA10" s="40">
        <f t="shared" ref="AA10:AA65" si="3">X10+Y10-Z10</f>
        <v>4228272</v>
      </c>
    </row>
    <row r="11" spans="1:27" ht="12.75" x14ac:dyDescent="0.25">
      <c r="A11" s="95"/>
      <c r="B11" s="17">
        <v>8</v>
      </c>
      <c r="C11" s="44" t="s">
        <v>39</v>
      </c>
      <c r="D11" s="45" t="s">
        <v>32</v>
      </c>
      <c r="E11" s="39">
        <v>4000000</v>
      </c>
      <c r="F11" s="39">
        <v>30</v>
      </c>
      <c r="G11" s="39">
        <f>+E11/30*F11</f>
        <v>4000000.0000000005</v>
      </c>
      <c r="H11" s="39"/>
      <c r="I11" s="39"/>
      <c r="J11" s="39"/>
      <c r="K11" s="39"/>
      <c r="L11" s="39"/>
      <c r="M11" s="39"/>
      <c r="N11" s="39">
        <f>SUM(G11:M11)</f>
        <v>4000000.0000000005</v>
      </c>
      <c r="O11" s="39">
        <v>160000</v>
      </c>
      <c r="P11" s="39">
        <v>160000</v>
      </c>
      <c r="Q11" s="39"/>
      <c r="R11" s="39">
        <v>22764</v>
      </c>
      <c r="S11" s="39">
        <v>40000</v>
      </c>
      <c r="T11" s="39">
        <v>31064</v>
      </c>
      <c r="U11" s="39"/>
      <c r="V11" s="39"/>
      <c r="W11" s="39">
        <f t="shared" si="0"/>
        <v>413828</v>
      </c>
      <c r="X11" s="40">
        <f t="shared" si="1"/>
        <v>3586172.0000000005</v>
      </c>
      <c r="Y11" s="40"/>
      <c r="Z11" s="41">
        <v>116667</v>
      </c>
      <c r="AA11" s="40">
        <f t="shared" si="3"/>
        <v>3469505.0000000005</v>
      </c>
    </row>
    <row r="12" spans="1:27" ht="12.75" x14ac:dyDescent="0.25">
      <c r="A12" s="95"/>
      <c r="B12" s="17">
        <v>9</v>
      </c>
      <c r="C12" s="44" t="s">
        <v>40</v>
      </c>
      <c r="D12" s="45" t="s">
        <v>32</v>
      </c>
      <c r="E12" s="39">
        <v>3500000</v>
      </c>
      <c r="F12" s="39">
        <v>30</v>
      </c>
      <c r="G12" s="39">
        <f>+E12/30*F12</f>
        <v>3500000</v>
      </c>
      <c r="H12" s="39"/>
      <c r="I12" s="39"/>
      <c r="J12" s="39"/>
      <c r="K12" s="39"/>
      <c r="L12" s="39"/>
      <c r="M12" s="39">
        <v>500000</v>
      </c>
      <c r="N12" s="39">
        <f>G12+M12</f>
        <v>4000000</v>
      </c>
      <c r="O12" s="39">
        <f>G12*4%</f>
        <v>140000</v>
      </c>
      <c r="P12" s="39">
        <f>O12</f>
        <v>140000</v>
      </c>
      <c r="Q12" s="39"/>
      <c r="R12" s="39">
        <v>0</v>
      </c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>
        <v>32083</v>
      </c>
      <c r="AA12" s="40">
        <f t="shared" si="3"/>
        <v>3652917</v>
      </c>
    </row>
    <row r="13" spans="1:27" ht="12.75" x14ac:dyDescent="0.25">
      <c r="A13" s="95"/>
      <c r="B13" s="17">
        <v>10</v>
      </c>
      <c r="C13" s="44" t="s">
        <v>41</v>
      </c>
      <c r="D13" s="45" t="s">
        <v>32</v>
      </c>
      <c r="E13" s="39">
        <v>3000000</v>
      </c>
      <c r="F13" s="39">
        <v>30</v>
      </c>
      <c r="G13" s="39">
        <f>+E13/30*F13</f>
        <v>3000000</v>
      </c>
      <c r="H13" s="39"/>
      <c r="I13" s="39"/>
      <c r="J13" s="39"/>
      <c r="K13" s="39"/>
      <c r="L13" s="39"/>
      <c r="M13" s="39"/>
      <c r="N13" s="39">
        <f>G13+M13</f>
        <v>3000000</v>
      </c>
      <c r="O13" s="39">
        <f>G13*4%</f>
        <v>120000</v>
      </c>
      <c r="P13" s="39">
        <f>O13</f>
        <v>120000</v>
      </c>
      <c r="Q13" s="39"/>
      <c r="R13" s="39">
        <v>0</v>
      </c>
      <c r="S13" s="39">
        <f>G13*1%</f>
        <v>30000</v>
      </c>
      <c r="T13" s="39">
        <v>0</v>
      </c>
      <c r="U13" s="39"/>
      <c r="V13" s="39"/>
      <c r="W13" s="39">
        <f t="shared" si="0"/>
        <v>270000</v>
      </c>
      <c r="X13" s="40">
        <f t="shared" si="1"/>
        <v>2730000</v>
      </c>
      <c r="Y13" s="40"/>
      <c r="Z13" s="41"/>
      <c r="AA13" s="40">
        <f t="shared" si="3"/>
        <v>2730000</v>
      </c>
    </row>
    <row r="14" spans="1:27" ht="24.75" customHeight="1" x14ac:dyDescent="0.25">
      <c r="A14" s="95"/>
      <c r="B14" s="17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>+E14/30*F14</f>
        <v>4410000</v>
      </c>
      <c r="H14" s="39"/>
      <c r="I14" s="39"/>
      <c r="J14" s="39"/>
      <c r="K14" s="39"/>
      <c r="L14" s="39"/>
      <c r="M14" s="39"/>
      <c r="N14" s="39">
        <f>SUM(G14:M14)</f>
        <v>4410000</v>
      </c>
      <c r="O14" s="39">
        <f>+G14*4%</f>
        <v>176400</v>
      </c>
      <c r="P14" s="39">
        <f>+O14</f>
        <v>176400</v>
      </c>
      <c r="Q14" s="39"/>
      <c r="R14" s="39">
        <v>18568</v>
      </c>
      <c r="S14" s="39">
        <f t="shared" si="2"/>
        <v>44100</v>
      </c>
      <c r="T14" s="48">
        <v>86568</v>
      </c>
      <c r="U14" s="39"/>
      <c r="V14" s="39"/>
      <c r="W14" s="39">
        <f t="shared" si="0"/>
        <v>502036</v>
      </c>
      <c r="X14" s="40">
        <f t="shared" si="1"/>
        <v>3907964</v>
      </c>
      <c r="Y14" s="40"/>
      <c r="Z14" s="41"/>
      <c r="AA14" s="40">
        <f t="shared" si="3"/>
        <v>3907964</v>
      </c>
    </row>
    <row r="15" spans="1:27" ht="12.75" x14ac:dyDescent="0.25">
      <c r="A15" s="95"/>
      <c r="B15" s="17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/>
      <c r="N15" s="39">
        <f>G15</f>
        <v>4500000</v>
      </c>
      <c r="O15" s="39">
        <f>N15*4%</f>
        <v>180000</v>
      </c>
      <c r="P15" s="39">
        <f>+O15</f>
        <v>180000</v>
      </c>
      <c r="Q15" s="39"/>
      <c r="R15" s="39">
        <v>29752</v>
      </c>
      <c r="S15" s="39">
        <f>N15*1%</f>
        <v>45000</v>
      </c>
      <c r="T15" s="48">
        <v>98752</v>
      </c>
      <c r="U15" s="39"/>
      <c r="V15" s="39"/>
      <c r="W15" s="39">
        <f t="shared" si="0"/>
        <v>533504</v>
      </c>
      <c r="X15" s="40">
        <f>N15-W15</f>
        <v>3966496</v>
      </c>
      <c r="Y15" s="40"/>
      <c r="Z15" s="41"/>
      <c r="AA15" s="40">
        <f t="shared" si="3"/>
        <v>3966496</v>
      </c>
    </row>
    <row r="16" spans="1:27" ht="21.75" customHeight="1" x14ac:dyDescent="0.25">
      <c r="A16" s="95"/>
      <c r="B16" s="17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>G16</f>
        <v>4500000</v>
      </c>
      <c r="O16" s="39">
        <f>N16*4%</f>
        <v>180000</v>
      </c>
      <c r="P16" s="39">
        <f>O16</f>
        <v>180000</v>
      </c>
      <c r="Q16" s="39"/>
      <c r="R16" s="39">
        <v>25752</v>
      </c>
      <c r="S16" s="39">
        <v>45000</v>
      </c>
      <c r="T16" s="48">
        <v>98752</v>
      </c>
      <c r="U16" s="39"/>
      <c r="V16" s="39"/>
      <c r="W16" s="39">
        <f t="shared" si="0"/>
        <v>529504</v>
      </c>
      <c r="X16" s="40">
        <f>N16-W16</f>
        <v>3970496</v>
      </c>
      <c r="Y16" s="40"/>
      <c r="Z16" s="41">
        <v>22934</v>
      </c>
      <c r="AA16" s="40">
        <f t="shared" si="3"/>
        <v>3947562</v>
      </c>
    </row>
    <row r="17" spans="1:27" ht="12.75" x14ac:dyDescent="0.25">
      <c r="A17" s="95"/>
      <c r="B17" s="17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>SUM(G17:M17)</f>
        <v>5695250</v>
      </c>
      <c r="O17" s="39">
        <f>+G17*4%</f>
        <v>167200.00000000003</v>
      </c>
      <c r="P17" s="39">
        <f>+O17</f>
        <v>167200.00000000003</v>
      </c>
      <c r="Q17" s="39"/>
      <c r="R17" s="39">
        <v>2545</v>
      </c>
      <c r="S17" s="39">
        <f t="shared" si="2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2066037</v>
      </c>
      <c r="X17" s="40">
        <f t="shared" si="1"/>
        <v>3629213</v>
      </c>
      <c r="Y17" s="40"/>
      <c r="Z17" s="41"/>
      <c r="AA17" s="40">
        <f t="shared" si="3"/>
        <v>3629213</v>
      </c>
    </row>
    <row r="18" spans="1:27" ht="12.75" x14ac:dyDescent="0.25">
      <c r="A18" s="95"/>
      <c r="B18" s="17">
        <v>15</v>
      </c>
      <c r="C18" s="46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>SUM(G18:M18)</f>
        <v>4702500</v>
      </c>
      <c r="O18" s="39">
        <f>N18*4%</f>
        <v>188100</v>
      </c>
      <c r="P18" s="39">
        <f>+O18</f>
        <v>188100</v>
      </c>
      <c r="Q18" s="39"/>
      <c r="R18" s="39">
        <v>27165</v>
      </c>
      <c r="S18" s="39">
        <f>N18*1%</f>
        <v>47025</v>
      </c>
      <c r="T18" s="48">
        <v>126165</v>
      </c>
      <c r="U18" s="39"/>
      <c r="V18" s="39"/>
      <c r="W18" s="39">
        <f t="shared" si="0"/>
        <v>576555</v>
      </c>
      <c r="X18" s="40">
        <f>N18-W18</f>
        <v>4125945</v>
      </c>
      <c r="Y18" s="40"/>
      <c r="Z18" s="41"/>
      <c r="AA18" s="40">
        <f t="shared" si="3"/>
        <v>4125945</v>
      </c>
    </row>
    <row r="19" spans="1:27" ht="23.25" customHeight="1" x14ac:dyDescent="0.25">
      <c r="A19" s="95"/>
      <c r="B19" s="17">
        <v>16</v>
      </c>
      <c r="C19" s="46" t="s">
        <v>47</v>
      </c>
      <c r="D19" s="38" t="s">
        <v>32</v>
      </c>
      <c r="E19" s="39">
        <v>4200000</v>
      </c>
      <c r="F19" s="39">
        <v>30</v>
      </c>
      <c r="G19" s="39">
        <f>+E19/30*F19</f>
        <v>4200000</v>
      </c>
      <c r="H19" s="39"/>
      <c r="I19" s="39"/>
      <c r="J19" s="39"/>
      <c r="K19" s="39"/>
      <c r="L19" s="39"/>
      <c r="M19" s="39">
        <f>+M17/G17</f>
        <v>0.36249999999999993</v>
      </c>
      <c r="N19" s="39">
        <f>G19</f>
        <v>4200000</v>
      </c>
      <c r="O19" s="39">
        <f>N19*4%</f>
        <v>168000</v>
      </c>
      <c r="P19" s="39">
        <f>O19</f>
        <v>168000</v>
      </c>
      <c r="Q19" s="39"/>
      <c r="R19" s="39">
        <v>24139</v>
      </c>
      <c r="S19" s="39">
        <f>N19*1%</f>
        <v>42000</v>
      </c>
      <c r="T19" s="48">
        <v>58139</v>
      </c>
      <c r="U19" s="39"/>
      <c r="V19" s="39"/>
      <c r="W19" s="39">
        <f t="shared" si="0"/>
        <v>460278</v>
      </c>
      <c r="X19" s="40">
        <f>N19-W19</f>
        <v>3739722</v>
      </c>
      <c r="Y19" s="40"/>
      <c r="Z19" s="41">
        <v>44236</v>
      </c>
      <c r="AA19" s="40">
        <f t="shared" si="3"/>
        <v>3695486</v>
      </c>
    </row>
    <row r="20" spans="1:27" ht="12.75" x14ac:dyDescent="0.25">
      <c r="A20" s="95"/>
      <c r="B20" s="17">
        <v>17</v>
      </c>
      <c r="C20" s="46" t="s">
        <v>48</v>
      </c>
      <c r="D20" s="38" t="s">
        <v>32</v>
      </c>
      <c r="E20" s="39">
        <v>4800000</v>
      </c>
      <c r="F20" s="39">
        <v>30</v>
      </c>
      <c r="G20" s="39">
        <f>+E20/30*F20</f>
        <v>4800000</v>
      </c>
      <c r="H20" s="39"/>
      <c r="I20" s="39"/>
      <c r="J20" s="39"/>
      <c r="K20" s="39"/>
      <c r="L20" s="39"/>
      <c r="M20" s="39"/>
      <c r="N20" s="39">
        <f>SUM(G20:M20)</f>
        <v>4800000</v>
      </c>
      <c r="O20" s="39">
        <f>+G20*4%</f>
        <v>192000</v>
      </c>
      <c r="P20" s="39">
        <f t="shared" ref="P20:P25" si="4">+O20</f>
        <v>192000</v>
      </c>
      <c r="Q20" s="39"/>
      <c r="R20" s="39">
        <v>24364</v>
      </c>
      <c r="S20" s="39">
        <f t="shared" si="2"/>
        <v>48000</v>
      </c>
      <c r="T20" s="39">
        <v>139364</v>
      </c>
      <c r="U20" s="39"/>
      <c r="V20" s="39"/>
      <c r="W20" s="39">
        <f t="shared" si="0"/>
        <v>595728</v>
      </c>
      <c r="X20" s="40">
        <f t="shared" si="1"/>
        <v>4204272</v>
      </c>
      <c r="Y20" s="40"/>
      <c r="Z20" s="41"/>
      <c r="AA20" s="40">
        <f t="shared" si="3"/>
        <v>4204272</v>
      </c>
    </row>
    <row r="21" spans="1:27" ht="12.75" x14ac:dyDescent="0.25">
      <c r="A21" s="95"/>
      <c r="B21" s="17">
        <v>18</v>
      </c>
      <c r="C21" s="46" t="s">
        <v>49</v>
      </c>
      <c r="D21" s="38" t="s">
        <v>32</v>
      </c>
      <c r="E21" s="39">
        <v>3850000</v>
      </c>
      <c r="F21" s="39">
        <v>30</v>
      </c>
      <c r="G21" s="39">
        <f>+E21/30*F21</f>
        <v>3850000</v>
      </c>
      <c r="H21" s="39"/>
      <c r="I21" s="39"/>
      <c r="J21" s="39"/>
      <c r="K21" s="39"/>
      <c r="L21" s="39"/>
      <c r="M21" s="39"/>
      <c r="N21" s="39">
        <f>SUM(G21:M21)</f>
        <v>3850000</v>
      </c>
      <c r="O21" s="39">
        <f>+G21*4%</f>
        <v>154000</v>
      </c>
      <c r="P21" s="39">
        <f t="shared" si="4"/>
        <v>154000</v>
      </c>
      <c r="Q21" s="39"/>
      <c r="R21" s="39">
        <v>0</v>
      </c>
      <c r="S21" s="39">
        <f t="shared" si="2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3"/>
        <v>3503500</v>
      </c>
    </row>
    <row r="22" spans="1:27" ht="12.75" x14ac:dyDescent="0.25">
      <c r="A22" s="95"/>
      <c r="B22" s="17">
        <v>19</v>
      </c>
      <c r="C22" s="46" t="s">
        <v>50</v>
      </c>
      <c r="D22" s="38" t="s">
        <v>32</v>
      </c>
      <c r="E22" s="39">
        <v>6583500</v>
      </c>
      <c r="F22" s="39">
        <v>30</v>
      </c>
      <c r="G22" s="39">
        <f>+E22/30*F22</f>
        <v>6583500</v>
      </c>
      <c r="H22" s="39"/>
      <c r="I22" s="39"/>
      <c r="J22" s="39"/>
      <c r="K22" s="39"/>
      <c r="L22" s="39"/>
      <c r="M22" s="39"/>
      <c r="N22" s="39">
        <f>SUM(G22:M22)</f>
        <v>6583500</v>
      </c>
      <c r="O22" s="39">
        <f>+G22*4%</f>
        <v>263340</v>
      </c>
      <c r="P22" s="39">
        <f t="shared" si="4"/>
        <v>263340</v>
      </c>
      <c r="Q22" s="39"/>
      <c r="R22" s="39">
        <v>0</v>
      </c>
      <c r="S22" s="39">
        <f t="shared" si="2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3"/>
        <v>4347279</v>
      </c>
    </row>
    <row r="23" spans="1:27" ht="26.25" customHeight="1" x14ac:dyDescent="0.25">
      <c r="A23" s="95"/>
      <c r="B23" s="17">
        <v>20</v>
      </c>
      <c r="C23" s="46" t="s">
        <v>51</v>
      </c>
      <c r="D23" s="38" t="s">
        <v>32</v>
      </c>
      <c r="E23" s="39">
        <v>3500000</v>
      </c>
      <c r="F23" s="39">
        <v>30</v>
      </c>
      <c r="G23" s="39">
        <f>+E23/30*F23</f>
        <v>3500000</v>
      </c>
      <c r="H23" s="39"/>
      <c r="I23" s="39"/>
      <c r="J23" s="39"/>
      <c r="K23" s="39"/>
      <c r="L23" s="39"/>
      <c r="M23" s="39">
        <v>500000</v>
      </c>
      <c r="N23" s="39">
        <f>SUM(G23:M23)</f>
        <v>4000000</v>
      </c>
      <c r="O23" s="39">
        <f>+G23*4%</f>
        <v>140000</v>
      </c>
      <c r="P23" s="39">
        <f t="shared" si="4"/>
        <v>140000</v>
      </c>
      <c r="Q23" s="39"/>
      <c r="R23" s="39">
        <v>0</v>
      </c>
      <c r="S23" s="39">
        <f t="shared" si="2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3"/>
        <v>3185000</v>
      </c>
    </row>
    <row r="24" spans="1:27" ht="24" customHeight="1" x14ac:dyDescent="0.25">
      <c r="A24" s="95"/>
      <c r="B24" s="17">
        <v>21</v>
      </c>
      <c r="C24" s="37" t="s">
        <v>52</v>
      </c>
      <c r="D24" s="38" t="s">
        <v>32</v>
      </c>
      <c r="E24" s="39">
        <v>3750000</v>
      </c>
      <c r="F24" s="39">
        <v>30</v>
      </c>
      <c r="G24" s="39">
        <f>E24/30*F24</f>
        <v>3750000</v>
      </c>
      <c r="H24" s="39"/>
      <c r="I24" s="39"/>
      <c r="J24" s="39"/>
      <c r="K24" s="39"/>
      <c r="L24" s="39"/>
      <c r="M24" s="39"/>
      <c r="N24" s="39">
        <f>SUM(G24:M24)</f>
        <v>3750000</v>
      </c>
      <c r="O24" s="39">
        <f>N24*4%</f>
        <v>150000</v>
      </c>
      <c r="P24" s="39">
        <f t="shared" si="4"/>
        <v>150000</v>
      </c>
      <c r="Q24" s="39"/>
      <c r="R24" s="39">
        <v>0</v>
      </c>
      <c r="S24" s="39">
        <f t="shared" si="2"/>
        <v>37500</v>
      </c>
      <c r="T24" s="39">
        <v>0</v>
      </c>
      <c r="U24" s="39"/>
      <c r="V24" s="39"/>
      <c r="W24" s="39">
        <f t="shared" si="0"/>
        <v>337500</v>
      </c>
      <c r="X24" s="40">
        <f>+N24-W24</f>
        <v>3412500</v>
      </c>
      <c r="Y24" s="40"/>
      <c r="Z24" s="41"/>
      <c r="AA24" s="40">
        <f t="shared" si="3"/>
        <v>3412500</v>
      </c>
    </row>
    <row r="25" spans="1:27" ht="19.5" customHeight="1" x14ac:dyDescent="0.25">
      <c r="A25" s="95"/>
      <c r="B25" s="17">
        <v>22</v>
      </c>
      <c r="C25" s="44" t="s">
        <v>53</v>
      </c>
      <c r="D25" s="45" t="s">
        <v>32</v>
      </c>
      <c r="E25" s="39">
        <v>4200000</v>
      </c>
      <c r="F25" s="39">
        <v>30</v>
      </c>
      <c r="G25" s="39">
        <f t="shared" ref="G25:G32" si="5">+E25/30*F25</f>
        <v>4200000</v>
      </c>
      <c r="H25" s="39"/>
      <c r="I25" s="39"/>
      <c r="J25" s="39"/>
      <c r="K25" s="39"/>
      <c r="L25" s="39"/>
      <c r="M25" s="39"/>
      <c r="N25" s="39">
        <f>G25+J25</f>
        <v>4200000</v>
      </c>
      <c r="O25" s="39">
        <f>N25*4%</f>
        <v>168000</v>
      </c>
      <c r="P25" s="39">
        <f t="shared" si="4"/>
        <v>168000</v>
      </c>
      <c r="Q25" s="39"/>
      <c r="R25" s="39">
        <v>55639</v>
      </c>
      <c r="S25" s="39">
        <f>N25*1%</f>
        <v>42000</v>
      </c>
      <c r="T25" s="39">
        <v>58139</v>
      </c>
      <c r="U25" s="39"/>
      <c r="V25" s="39"/>
      <c r="W25" s="39">
        <f t="shared" si="0"/>
        <v>491778</v>
      </c>
      <c r="X25" s="40">
        <f>N25-W25</f>
        <v>3708222</v>
      </c>
      <c r="Y25" s="40"/>
      <c r="Z25" s="41">
        <v>125685</v>
      </c>
      <c r="AA25" s="40">
        <f t="shared" si="3"/>
        <v>3582537</v>
      </c>
    </row>
    <row r="26" spans="1:27" ht="19.5" customHeight="1" x14ac:dyDescent="0.25">
      <c r="A26" s="95"/>
      <c r="B26" s="17">
        <v>23</v>
      </c>
      <c r="C26" s="44" t="s">
        <v>54</v>
      </c>
      <c r="D26" s="45" t="s">
        <v>32</v>
      </c>
      <c r="E26" s="39">
        <v>5000000</v>
      </c>
      <c r="F26" s="39">
        <v>30</v>
      </c>
      <c r="G26" s="39">
        <f t="shared" si="5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>G26+M26</f>
        <v>5400000</v>
      </c>
      <c r="O26" s="39">
        <f>G26*4%</f>
        <v>200000</v>
      </c>
      <c r="P26" s="39">
        <f>O26</f>
        <v>200000</v>
      </c>
      <c r="Q26" s="39"/>
      <c r="R26" s="39">
        <v>28439</v>
      </c>
      <c r="S26" s="39">
        <f>G26*1%</f>
        <v>50000</v>
      </c>
      <c r="T26" s="39">
        <v>166439</v>
      </c>
      <c r="U26" s="39"/>
      <c r="V26" s="39"/>
      <c r="W26" s="39">
        <f t="shared" si="0"/>
        <v>644878</v>
      </c>
      <c r="X26" s="40">
        <f>N26-W26</f>
        <v>4755122</v>
      </c>
      <c r="Y26" s="40"/>
      <c r="Z26" s="41">
        <v>34426</v>
      </c>
      <c r="AA26" s="40">
        <f t="shared" si="3"/>
        <v>4720696</v>
      </c>
    </row>
    <row r="27" spans="1:27" ht="12.75" x14ac:dyDescent="0.25">
      <c r="A27" s="95"/>
      <c r="B27" s="17">
        <v>24</v>
      </c>
      <c r="C27" s="46" t="s">
        <v>55</v>
      </c>
      <c r="D27" s="38" t="s">
        <v>32</v>
      </c>
      <c r="E27" s="39">
        <v>4410000</v>
      </c>
      <c r="F27" s="39">
        <v>30</v>
      </c>
      <c r="G27" s="39">
        <f t="shared" si="5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>
        <v>23568</v>
      </c>
      <c r="S27" s="39">
        <f t="shared" si="2"/>
        <v>44100</v>
      </c>
      <c r="T27" s="39">
        <v>86568</v>
      </c>
      <c r="U27" s="39"/>
      <c r="V27" s="39"/>
      <c r="W27" s="39">
        <f t="shared" si="0"/>
        <v>507036</v>
      </c>
      <c r="X27" s="40">
        <f>+N27-W27</f>
        <v>3902964</v>
      </c>
      <c r="Y27" s="40"/>
      <c r="Z27" s="41"/>
      <c r="AA27" s="40">
        <f t="shared" si="3"/>
        <v>3902964</v>
      </c>
    </row>
    <row r="28" spans="1:27" ht="12.75" x14ac:dyDescent="0.25">
      <c r="A28" s="95"/>
      <c r="B28" s="17">
        <v>25</v>
      </c>
      <c r="C28" s="46" t="s">
        <v>56</v>
      </c>
      <c r="D28" s="38" t="s">
        <v>32</v>
      </c>
      <c r="E28" s="39">
        <v>4180000</v>
      </c>
      <c r="F28" s="39">
        <v>30</v>
      </c>
      <c r="G28" s="39">
        <f t="shared" si="5"/>
        <v>4180000.0000000005</v>
      </c>
      <c r="H28" s="39"/>
      <c r="I28" s="39"/>
      <c r="J28" s="39"/>
      <c r="K28" s="39"/>
      <c r="L28" s="39"/>
      <c r="M28" s="39">
        <v>500000</v>
      </c>
      <c r="N28" s="39">
        <f>SUM(G28:M28)</f>
        <v>4680000</v>
      </c>
      <c r="O28" s="39">
        <f>+G28*4%</f>
        <v>167200.00000000003</v>
      </c>
      <c r="P28" s="39">
        <f>+O28</f>
        <v>167200.00000000003</v>
      </c>
      <c r="Q28" s="39"/>
      <c r="R28" s="39">
        <v>47132</v>
      </c>
      <c r="S28" s="39">
        <f t="shared" si="2"/>
        <v>41800.000000000007</v>
      </c>
      <c r="T28" s="39">
        <v>55432</v>
      </c>
      <c r="U28" s="39"/>
      <c r="V28" s="39"/>
      <c r="W28" s="39">
        <f t="shared" si="0"/>
        <v>478764.00000000006</v>
      </c>
      <c r="X28" s="40">
        <f>+N28-W28</f>
        <v>4201236</v>
      </c>
      <c r="Y28" s="40"/>
      <c r="Z28" s="41">
        <v>48440</v>
      </c>
      <c r="AA28" s="40">
        <f t="shared" si="3"/>
        <v>4152796</v>
      </c>
    </row>
    <row r="29" spans="1:27" ht="12.75" x14ac:dyDescent="0.25">
      <c r="A29" s="95"/>
      <c r="B29" s="17">
        <v>26</v>
      </c>
      <c r="C29" s="46" t="s">
        <v>57</v>
      </c>
      <c r="D29" s="38" t="s">
        <v>32</v>
      </c>
      <c r="E29" s="39">
        <v>4000000</v>
      </c>
      <c r="F29" s="39">
        <v>30</v>
      </c>
      <c r="G29" s="39">
        <f t="shared" si="5"/>
        <v>4000000.0000000005</v>
      </c>
      <c r="H29" s="39"/>
      <c r="I29" s="39"/>
      <c r="J29" s="39"/>
      <c r="K29" s="39"/>
      <c r="L29" s="39"/>
      <c r="M29" s="39"/>
      <c r="N29" s="39">
        <f>G29</f>
        <v>4000000.0000000005</v>
      </c>
      <c r="O29" s="39">
        <f>N29*4%</f>
        <v>160000.00000000003</v>
      </c>
      <c r="P29" s="39">
        <f>O29</f>
        <v>160000.00000000003</v>
      </c>
      <c r="Q29" s="39"/>
      <c r="R29" s="39">
        <v>22764</v>
      </c>
      <c r="S29" s="39">
        <v>40000</v>
      </c>
      <c r="T29" s="39">
        <v>31064</v>
      </c>
      <c r="U29" s="39"/>
      <c r="V29" s="39"/>
      <c r="W29" s="39">
        <f t="shared" si="0"/>
        <v>413828.00000000006</v>
      </c>
      <c r="X29" s="40">
        <f>N29-W29</f>
        <v>3586172.0000000005</v>
      </c>
      <c r="Y29" s="40"/>
      <c r="Z29" s="41">
        <v>17941</v>
      </c>
      <c r="AA29" s="40">
        <f t="shared" si="3"/>
        <v>3568231.0000000005</v>
      </c>
    </row>
    <row r="30" spans="1:27" ht="12.75" x14ac:dyDescent="0.25">
      <c r="A30" s="95"/>
      <c r="B30" s="17">
        <v>27</v>
      </c>
      <c r="C30" s="46" t="s">
        <v>58</v>
      </c>
      <c r="D30" s="38" t="s">
        <v>32</v>
      </c>
      <c r="E30" s="39">
        <v>4500000</v>
      </c>
      <c r="F30" s="39">
        <v>19</v>
      </c>
      <c r="G30" s="39">
        <f t="shared" si="5"/>
        <v>2850000</v>
      </c>
      <c r="H30" s="39"/>
      <c r="I30" s="39"/>
      <c r="J30" s="39"/>
      <c r="K30" s="39"/>
      <c r="L30" s="39"/>
      <c r="M30" s="39">
        <v>190000</v>
      </c>
      <c r="N30" s="39">
        <f>G30</f>
        <v>2850000</v>
      </c>
      <c r="O30" s="39">
        <f>N30*4%</f>
        <v>114000</v>
      </c>
      <c r="P30" s="39">
        <f>O30</f>
        <v>114000</v>
      </c>
      <c r="Q30" s="39"/>
      <c r="R30" s="39">
        <v>0</v>
      </c>
      <c r="S30" s="39">
        <v>40000</v>
      </c>
      <c r="T30" s="39">
        <v>98752</v>
      </c>
      <c r="U30" s="39"/>
      <c r="V30" s="39"/>
      <c r="W30" s="39">
        <f t="shared" si="0"/>
        <v>366752</v>
      </c>
      <c r="X30" s="40">
        <f>N30-W30</f>
        <v>2483248</v>
      </c>
      <c r="Y30" s="40"/>
      <c r="Z30" s="41"/>
      <c r="AA30" s="40">
        <f t="shared" si="3"/>
        <v>2483248</v>
      </c>
    </row>
    <row r="31" spans="1:27" ht="12.75" x14ac:dyDescent="0.25">
      <c r="A31" s="98"/>
      <c r="B31" s="17">
        <v>28</v>
      </c>
      <c r="C31" s="46" t="s">
        <v>59</v>
      </c>
      <c r="D31" s="38" t="s">
        <v>32</v>
      </c>
      <c r="E31" s="39">
        <v>5500000</v>
      </c>
      <c r="F31" s="39">
        <v>30</v>
      </c>
      <c r="G31" s="39">
        <f t="shared" si="5"/>
        <v>5500000</v>
      </c>
      <c r="H31" s="39"/>
      <c r="I31" s="39"/>
      <c r="J31" s="39"/>
      <c r="K31" s="39"/>
      <c r="L31" s="39"/>
      <c r="M31" s="39"/>
      <c r="N31" s="39">
        <f>SUM(G31:M31)</f>
        <v>5500000</v>
      </c>
      <c r="O31" s="39">
        <f>+G31*4%</f>
        <v>220000</v>
      </c>
      <c r="P31" s="39">
        <f>+O31</f>
        <v>220000</v>
      </c>
      <c r="Q31" s="39"/>
      <c r="R31" s="39">
        <v>31627</v>
      </c>
      <c r="S31" s="39">
        <f t="shared" si="2"/>
        <v>55000</v>
      </c>
      <c r="T31" s="39">
        <v>91627</v>
      </c>
      <c r="U31" s="39">
        <v>1000000</v>
      </c>
      <c r="V31" s="39">
        <v>399232</v>
      </c>
      <c r="W31" s="39">
        <f t="shared" si="0"/>
        <v>2017486</v>
      </c>
      <c r="X31" s="40">
        <f>N31-W31</f>
        <v>3482514</v>
      </c>
      <c r="Y31" s="40"/>
      <c r="Z31" s="41">
        <v>134806</v>
      </c>
      <c r="AA31" s="40">
        <f t="shared" si="3"/>
        <v>3347708</v>
      </c>
    </row>
    <row r="32" spans="1:27" ht="23.25" customHeight="1" x14ac:dyDescent="0.25">
      <c r="A32" s="89" t="s">
        <v>60</v>
      </c>
      <c r="B32" s="17">
        <v>29</v>
      </c>
      <c r="C32" s="46" t="s">
        <v>61</v>
      </c>
      <c r="D32" s="38" t="s">
        <v>32</v>
      </c>
      <c r="E32" s="39">
        <v>1500000</v>
      </c>
      <c r="F32" s="39">
        <v>30</v>
      </c>
      <c r="G32" s="39">
        <f t="shared" si="5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3"/>
        <v>1902500</v>
      </c>
    </row>
    <row r="33" spans="1:28" ht="18" customHeight="1" x14ac:dyDescent="0.25">
      <c r="A33" s="95"/>
      <c r="B33" s="17">
        <v>30</v>
      </c>
      <c r="C33" s="44" t="s">
        <v>62</v>
      </c>
      <c r="D33" s="45" t="s">
        <v>32</v>
      </c>
      <c r="E33" s="39">
        <v>1800000</v>
      </c>
      <c r="F33" s="39">
        <v>30</v>
      </c>
      <c r="G33" s="39">
        <f>E33/30*F33</f>
        <v>1800000</v>
      </c>
      <c r="H33" s="39"/>
      <c r="I33" s="39"/>
      <c r="J33" s="39"/>
      <c r="K33" s="39"/>
      <c r="L33" s="39"/>
      <c r="M33" s="39"/>
      <c r="N33" s="39">
        <f>G33</f>
        <v>1800000</v>
      </c>
      <c r="O33" s="39">
        <f>G33*4%</f>
        <v>72000</v>
      </c>
      <c r="P33" s="39">
        <f>N33*4%</f>
        <v>72000</v>
      </c>
      <c r="Q33" s="39"/>
      <c r="R33" s="39"/>
      <c r="S33" s="39"/>
      <c r="T33" s="39"/>
      <c r="U33" s="39"/>
      <c r="V33" s="39">
        <v>90000</v>
      </c>
      <c r="W33" s="39">
        <f t="shared" si="0"/>
        <v>234000</v>
      </c>
      <c r="X33" s="40">
        <f>N33-W33</f>
        <v>1566000</v>
      </c>
      <c r="Y33" s="40"/>
      <c r="Z33" s="41">
        <v>51060</v>
      </c>
      <c r="AA33" s="40">
        <f t="shared" si="3"/>
        <v>1514940</v>
      </c>
    </row>
    <row r="34" spans="1:28" ht="25.5" customHeight="1" x14ac:dyDescent="0.25">
      <c r="A34" s="95"/>
      <c r="B34" s="17">
        <v>31</v>
      </c>
      <c r="C34" s="46" t="s">
        <v>63</v>
      </c>
      <c r="D34" s="38" t="s">
        <v>32</v>
      </c>
      <c r="E34" s="39">
        <v>3000000</v>
      </c>
      <c r="F34" s="39">
        <v>30</v>
      </c>
      <c r="G34" s="39">
        <f>+E34/30*F34</f>
        <v>3000000</v>
      </c>
      <c r="H34" s="39"/>
      <c r="I34" s="39"/>
      <c r="J34" s="39"/>
      <c r="K34" s="39"/>
      <c r="L34" s="39"/>
      <c r="M34" s="39">
        <v>500000</v>
      </c>
      <c r="N34" s="39">
        <f>SUM(G34:M34)</f>
        <v>3500000</v>
      </c>
      <c r="O34" s="39">
        <f>+G34*4%</f>
        <v>120000</v>
      </c>
      <c r="P34" s="39">
        <f>+O34</f>
        <v>120000</v>
      </c>
      <c r="Q34" s="39"/>
      <c r="R34" s="39"/>
      <c r="S34" s="39">
        <f>+G34*0.01</f>
        <v>30000</v>
      </c>
      <c r="T34" s="39"/>
      <c r="U34" s="39"/>
      <c r="V34" s="39"/>
      <c r="W34" s="39">
        <f t="shared" si="0"/>
        <v>270000</v>
      </c>
      <c r="X34" s="40">
        <f>+N34-W34</f>
        <v>3230000</v>
      </c>
      <c r="Y34" s="40"/>
      <c r="Z34" s="41"/>
      <c r="AA34" s="40">
        <f t="shared" si="3"/>
        <v>3230000</v>
      </c>
    </row>
    <row r="35" spans="1:28" ht="27.75" customHeight="1" x14ac:dyDescent="0.25">
      <c r="A35" s="95"/>
      <c r="B35" s="17">
        <v>32</v>
      </c>
      <c r="C35" s="46" t="s">
        <v>64</v>
      </c>
      <c r="D35" s="38" t="s">
        <v>32</v>
      </c>
      <c r="E35" s="39">
        <v>4000000</v>
      </c>
      <c r="F35" s="39">
        <v>30</v>
      </c>
      <c r="G35" s="39">
        <f>+E35/30*F35</f>
        <v>4000000.0000000005</v>
      </c>
      <c r="H35" s="39"/>
      <c r="I35" s="39"/>
      <c r="J35" s="39"/>
      <c r="K35" s="39"/>
      <c r="L35" s="39"/>
      <c r="M35" s="39"/>
      <c r="N35" s="39">
        <f>SUM(G35:M35)</f>
        <v>4000000.0000000005</v>
      </c>
      <c r="O35" s="39">
        <f>+G35*4%</f>
        <v>160000.00000000003</v>
      </c>
      <c r="P35" s="39">
        <f>+O35</f>
        <v>160000.00000000003</v>
      </c>
      <c r="Q35" s="39"/>
      <c r="R35" s="39"/>
      <c r="S35" s="39">
        <f>+G35*0.01</f>
        <v>40000.000000000007</v>
      </c>
      <c r="T35" s="39"/>
      <c r="U35" s="39"/>
      <c r="V35" s="39"/>
      <c r="W35" s="39">
        <f t="shared" si="0"/>
        <v>360000.00000000006</v>
      </c>
      <c r="X35" s="40">
        <f>+N35-W35</f>
        <v>3640000.0000000005</v>
      </c>
      <c r="Y35" s="40"/>
      <c r="Z35" s="41"/>
      <c r="AA35" s="40">
        <f t="shared" si="3"/>
        <v>3640000.0000000005</v>
      </c>
    </row>
    <row r="36" spans="1:28" ht="23.25" customHeight="1" x14ac:dyDescent="0.25">
      <c r="A36" s="95"/>
      <c r="B36" s="17">
        <v>33</v>
      </c>
      <c r="C36" s="46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3"/>
        <v>644350</v>
      </c>
    </row>
    <row r="37" spans="1:28" ht="22.5" customHeight="1" x14ac:dyDescent="0.25">
      <c r="A37" s="95"/>
      <c r="B37" s="17">
        <v>34</v>
      </c>
      <c r="C37" s="46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>G37</f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3"/>
        <v>644350</v>
      </c>
    </row>
    <row r="38" spans="1:28" ht="18" customHeight="1" x14ac:dyDescent="0.25">
      <c r="A38" s="95"/>
      <c r="B38" s="17">
        <v>35</v>
      </c>
      <c r="C38" s="44" t="s">
        <v>67</v>
      </c>
      <c r="D38" s="45" t="s">
        <v>32</v>
      </c>
      <c r="E38" s="39">
        <v>1300000</v>
      </c>
      <c r="F38" s="39">
        <v>29</v>
      </c>
      <c r="G38" s="39">
        <f>+E38/30*F38+28890</f>
        <v>1285556.6666666667</v>
      </c>
      <c r="H38" s="39"/>
      <c r="I38" s="39"/>
      <c r="J38" s="39"/>
      <c r="K38" s="39"/>
      <c r="L38" s="39"/>
      <c r="M38" s="39"/>
      <c r="N38" s="39">
        <f>G38+H38</f>
        <v>1285556.6666666667</v>
      </c>
      <c r="O38" s="39">
        <f>G38*4%</f>
        <v>51422.26666666667</v>
      </c>
      <c r="P38" s="39">
        <f>+O38</f>
        <v>51422.26666666667</v>
      </c>
      <c r="Q38" s="39"/>
      <c r="R38" s="39"/>
      <c r="S38" s="39"/>
      <c r="T38" s="39"/>
      <c r="U38" s="39"/>
      <c r="V38" s="39"/>
      <c r="W38" s="39">
        <f t="shared" si="0"/>
        <v>102844.53333333334</v>
      </c>
      <c r="X38" s="40">
        <f>N38-W38</f>
        <v>1182712.1333333333</v>
      </c>
      <c r="Y38" s="40"/>
      <c r="Z38" s="41">
        <v>20745</v>
      </c>
      <c r="AA38" s="40">
        <f t="shared" si="3"/>
        <v>1161967.1333333333</v>
      </c>
    </row>
    <row r="39" spans="1:28" ht="24" customHeight="1" x14ac:dyDescent="0.25">
      <c r="A39" s="95"/>
      <c r="B39" s="17">
        <v>36</v>
      </c>
      <c r="C39" s="46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>SUM(G39:M39)</f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4" si="6">N39-W39</f>
        <v>2800000</v>
      </c>
      <c r="Y39" s="40"/>
      <c r="Z39" s="41">
        <v>74479</v>
      </c>
      <c r="AA39" s="40">
        <f t="shared" si="3"/>
        <v>2725521</v>
      </c>
    </row>
    <row r="40" spans="1:28" ht="24" customHeight="1" x14ac:dyDescent="0.25">
      <c r="A40" s="95"/>
      <c r="B40" s="17">
        <v>37</v>
      </c>
      <c r="C40" s="46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>G40</f>
        <v>1500000</v>
      </c>
      <c r="O40" s="39">
        <f>N40*4%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6"/>
        <v>1380000</v>
      </c>
      <c r="Y40" s="40"/>
      <c r="Z40" s="41">
        <v>28498</v>
      </c>
      <c r="AA40" s="40">
        <f t="shared" si="3"/>
        <v>1351502</v>
      </c>
    </row>
    <row r="41" spans="1:28" ht="12.75" x14ac:dyDescent="0.25">
      <c r="A41" s="95"/>
      <c r="B41" s="17">
        <v>38</v>
      </c>
      <c r="C41" s="46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>G41</f>
        <v>1700000</v>
      </c>
      <c r="O41" s="39">
        <f>N41*4%</f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6"/>
        <v>1564000</v>
      </c>
      <c r="Y41" s="40"/>
      <c r="Z41" s="41">
        <v>23186</v>
      </c>
      <c r="AA41" s="40">
        <f t="shared" si="3"/>
        <v>1540814</v>
      </c>
    </row>
    <row r="42" spans="1:28" ht="30" customHeight="1" x14ac:dyDescent="0.25">
      <c r="A42" s="95"/>
      <c r="B42" s="17">
        <v>39</v>
      </c>
      <c r="C42" s="46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>G42+H42</f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/>
      <c r="U42" s="39"/>
      <c r="V42" s="39"/>
      <c r="W42" s="39">
        <f t="shared" si="0"/>
        <v>104000</v>
      </c>
      <c r="X42" s="40">
        <f t="shared" si="6"/>
        <v>1196000</v>
      </c>
      <c r="Y42" s="40"/>
      <c r="Z42" s="41">
        <v>23202</v>
      </c>
      <c r="AA42" s="40">
        <f t="shared" si="3"/>
        <v>1172798</v>
      </c>
    </row>
    <row r="43" spans="1:28" ht="12.75" x14ac:dyDescent="0.25">
      <c r="A43" s="95"/>
      <c r="B43" s="17">
        <v>40</v>
      </c>
      <c r="C43" s="44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>G43</f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6"/>
        <v>2300000</v>
      </c>
      <c r="Y43" s="40"/>
      <c r="Z43" s="41">
        <v>75000</v>
      </c>
      <c r="AA43" s="40">
        <f t="shared" si="3"/>
        <v>2225000</v>
      </c>
    </row>
    <row r="44" spans="1:28" ht="12.75" x14ac:dyDescent="0.25">
      <c r="A44" s="95"/>
      <c r="B44" s="17">
        <v>41</v>
      </c>
      <c r="C44" s="44" t="s">
        <v>73</v>
      </c>
      <c r="D44" s="45" t="s">
        <v>32</v>
      </c>
      <c r="E44" s="39">
        <v>3500000</v>
      </c>
      <c r="F44" s="39">
        <v>30</v>
      </c>
      <c r="G44" s="39">
        <f>E44/30*F44</f>
        <v>3500000</v>
      </c>
      <c r="H44" s="39"/>
      <c r="I44" s="39"/>
      <c r="J44" s="39"/>
      <c r="K44" s="39"/>
      <c r="L44" s="39"/>
      <c r="M44" s="39"/>
      <c r="N44" s="39">
        <f>G44</f>
        <v>3500000</v>
      </c>
      <c r="O44" s="39">
        <f>N44*4%</f>
        <v>140000</v>
      </c>
      <c r="P44" s="39">
        <f>O44</f>
        <v>140000</v>
      </c>
      <c r="Q44" s="39"/>
      <c r="R44" s="39"/>
      <c r="S44" s="39">
        <f>N44*1%</f>
        <v>35000</v>
      </c>
      <c r="T44" s="39"/>
      <c r="U44" s="39"/>
      <c r="V44" s="39"/>
      <c r="W44" s="39">
        <f t="shared" si="0"/>
        <v>315000</v>
      </c>
      <c r="X44" s="40">
        <f t="shared" si="6"/>
        <v>3185000</v>
      </c>
      <c r="Y44" s="40"/>
      <c r="Z44" s="41">
        <v>75133</v>
      </c>
      <c r="AA44" s="40">
        <f t="shared" si="3"/>
        <v>3109867</v>
      </c>
    </row>
    <row r="45" spans="1:28" ht="12.75" x14ac:dyDescent="0.25">
      <c r="A45" s="95"/>
      <c r="B45" s="17">
        <v>42</v>
      </c>
      <c r="C45" s="46" t="s">
        <v>74</v>
      </c>
      <c r="D45" s="38" t="s">
        <v>32</v>
      </c>
      <c r="E45" s="39">
        <v>1000000</v>
      </c>
      <c r="F45" s="39">
        <v>29</v>
      </c>
      <c r="G45" s="39">
        <f>E45/30*F45</f>
        <v>966666.66666666674</v>
      </c>
      <c r="H45" s="39"/>
      <c r="I45" s="39"/>
      <c r="J45" s="39"/>
      <c r="K45" s="39"/>
      <c r="L45" s="39"/>
      <c r="M45" s="39"/>
      <c r="N45" s="39">
        <f>SUM(G45:M45)</f>
        <v>966666.66666666674</v>
      </c>
      <c r="O45" s="39">
        <f>+G45*4%</f>
        <v>38666.666666666672</v>
      </c>
      <c r="P45" s="39">
        <f t="shared" ref="P45:P53" si="7">+O45</f>
        <v>38666.666666666672</v>
      </c>
      <c r="Q45" s="39"/>
      <c r="R45" s="39"/>
      <c r="S45" s="39"/>
      <c r="T45" s="39"/>
      <c r="U45" s="39"/>
      <c r="V45" s="39"/>
      <c r="W45" s="39">
        <f t="shared" si="0"/>
        <v>77333.333333333343</v>
      </c>
      <c r="X45" s="40">
        <f t="shared" ref="X45:X50" si="8">+N45-W45</f>
        <v>889333.33333333337</v>
      </c>
      <c r="Y45" s="40"/>
      <c r="Z45" s="41"/>
      <c r="AA45" s="40">
        <f t="shared" si="3"/>
        <v>889333.33333333337</v>
      </c>
    </row>
    <row r="46" spans="1:28" ht="22.5" customHeight="1" x14ac:dyDescent="0.25">
      <c r="A46" s="95"/>
      <c r="B46" s="17">
        <v>43</v>
      </c>
      <c r="C46" s="46" t="s">
        <v>75</v>
      </c>
      <c r="D46" s="38" t="s">
        <v>32</v>
      </c>
      <c r="E46" s="39">
        <v>3000000</v>
      </c>
      <c r="F46" s="39">
        <v>30</v>
      </c>
      <c r="G46" s="39">
        <f t="shared" ref="G46:G53" si="9">+E46/30*F46</f>
        <v>3000000</v>
      </c>
      <c r="H46" s="39"/>
      <c r="I46" s="39"/>
      <c r="J46" s="39"/>
      <c r="K46" s="39"/>
      <c r="L46" s="39"/>
      <c r="M46" s="39"/>
      <c r="N46" s="39">
        <f>SUM(G46:M46)</f>
        <v>3000000</v>
      </c>
      <c r="O46" s="39">
        <f>N46*4%</f>
        <v>120000</v>
      </c>
      <c r="P46" s="39">
        <f t="shared" si="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8"/>
        <v>2730000</v>
      </c>
      <c r="Y46" s="40"/>
      <c r="Z46" s="41">
        <v>21674</v>
      </c>
      <c r="AA46" s="40">
        <f t="shared" si="3"/>
        <v>2708326</v>
      </c>
    </row>
    <row r="47" spans="1:28" ht="21" customHeight="1" x14ac:dyDescent="0.25">
      <c r="A47" s="95"/>
      <c r="B47" s="17">
        <v>44</v>
      </c>
      <c r="C47" s="46" t="s">
        <v>76</v>
      </c>
      <c r="D47" s="38" t="s">
        <v>32</v>
      </c>
      <c r="E47" s="39">
        <v>2500000</v>
      </c>
      <c r="F47" s="39">
        <v>30</v>
      </c>
      <c r="G47" s="39">
        <f t="shared" si="9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>SUM(G47:M47)</f>
        <v>3090000</v>
      </c>
      <c r="O47" s="39">
        <f>+G47*4%</f>
        <v>100000</v>
      </c>
      <c r="P47" s="39">
        <f t="shared" si="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8"/>
        <v>2890000</v>
      </c>
      <c r="Y47" s="40"/>
      <c r="Z47" s="41">
        <v>9667</v>
      </c>
      <c r="AA47" s="40">
        <f t="shared" si="3"/>
        <v>2880333</v>
      </c>
      <c r="AB47" s="43" t="s">
        <v>99</v>
      </c>
    </row>
    <row r="48" spans="1:28" ht="22.5" customHeight="1" x14ac:dyDescent="0.25">
      <c r="A48" s="95"/>
      <c r="B48" s="17">
        <v>45</v>
      </c>
      <c r="C48" s="46" t="s">
        <v>77</v>
      </c>
      <c r="D48" s="38" t="s">
        <v>32</v>
      </c>
      <c r="E48" s="39">
        <v>2000000</v>
      </c>
      <c r="F48" s="39">
        <v>30</v>
      </c>
      <c r="G48" s="39">
        <f t="shared" si="9"/>
        <v>2000000.0000000002</v>
      </c>
      <c r="H48" s="39"/>
      <c r="I48" s="39"/>
      <c r="J48" s="39"/>
      <c r="K48" s="39"/>
      <c r="L48" s="39"/>
      <c r="M48" s="39"/>
      <c r="N48" s="39">
        <f>G48</f>
        <v>2000000.0000000002</v>
      </c>
      <c r="O48" s="39">
        <f>N48*4%</f>
        <v>80000.000000000015</v>
      </c>
      <c r="P48" s="39">
        <f t="shared" si="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3"/>
        <v>1840000.0000000002</v>
      </c>
    </row>
    <row r="49" spans="1:27" ht="12.75" x14ac:dyDescent="0.25">
      <c r="A49" s="95"/>
      <c r="B49" s="17">
        <v>46</v>
      </c>
      <c r="C49" s="46" t="s">
        <v>78</v>
      </c>
      <c r="D49" s="38" t="s">
        <v>32</v>
      </c>
      <c r="E49" s="39">
        <v>1500000</v>
      </c>
      <c r="F49" s="39">
        <v>30</v>
      </c>
      <c r="G49" s="39">
        <f t="shared" si="9"/>
        <v>1500000</v>
      </c>
      <c r="H49" s="39"/>
      <c r="I49" s="39"/>
      <c r="J49" s="39"/>
      <c r="K49" s="39"/>
      <c r="L49" s="39"/>
      <c r="M49" s="39"/>
      <c r="N49" s="39">
        <f>SUM(G49:M49)</f>
        <v>1500000</v>
      </c>
      <c r="O49" s="39">
        <f>G49*4%</f>
        <v>60000</v>
      </c>
      <c r="P49" s="39">
        <f t="shared" si="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8"/>
        <v>1380000</v>
      </c>
      <c r="Y49" s="40"/>
      <c r="Z49" s="41">
        <v>30813</v>
      </c>
      <c r="AA49" s="40">
        <f t="shared" si="3"/>
        <v>1349187</v>
      </c>
    </row>
    <row r="50" spans="1:27" ht="24.75" customHeight="1" x14ac:dyDescent="0.25">
      <c r="A50" s="95"/>
      <c r="B50" s="17">
        <v>47</v>
      </c>
      <c r="C50" s="46" t="s">
        <v>79</v>
      </c>
      <c r="D50" s="38" t="s">
        <v>32</v>
      </c>
      <c r="E50" s="39">
        <v>1300000</v>
      </c>
      <c r="F50" s="39">
        <v>30</v>
      </c>
      <c r="G50" s="39">
        <f t="shared" si="9"/>
        <v>1300000</v>
      </c>
      <c r="H50" s="39"/>
      <c r="I50" s="39"/>
      <c r="J50" s="39"/>
      <c r="K50" s="39"/>
      <c r="L50" s="39"/>
      <c r="M50" s="39"/>
      <c r="N50" s="39">
        <f>SUM(G50:M50)</f>
        <v>1300000</v>
      </c>
      <c r="O50" s="39">
        <f>+G50*4%</f>
        <v>52000</v>
      </c>
      <c r="P50" s="39">
        <f t="shared" si="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8"/>
        <v>1196000</v>
      </c>
      <c r="Y50" s="40"/>
      <c r="Z50" s="41"/>
      <c r="AA50" s="40">
        <f t="shared" si="3"/>
        <v>1196000</v>
      </c>
    </row>
    <row r="51" spans="1:27" ht="23.25" customHeight="1" x14ac:dyDescent="0.25">
      <c r="A51" s="95"/>
      <c r="B51" s="17">
        <v>48</v>
      </c>
      <c r="C51" s="46" t="s">
        <v>80</v>
      </c>
      <c r="D51" s="38" t="s">
        <v>32</v>
      </c>
      <c r="E51" s="39">
        <v>2000000</v>
      </c>
      <c r="F51" s="39">
        <v>30</v>
      </c>
      <c r="G51" s="39">
        <f t="shared" si="9"/>
        <v>2000000.0000000002</v>
      </c>
      <c r="H51" s="39"/>
      <c r="I51" s="39"/>
      <c r="J51" s="39"/>
      <c r="K51" s="39"/>
      <c r="L51" s="39"/>
      <c r="M51" s="39">
        <v>500000</v>
      </c>
      <c r="N51" s="39">
        <f>SUM(G51:M51)</f>
        <v>2500000</v>
      </c>
      <c r="O51" s="39">
        <f>+G51*4%</f>
        <v>80000.000000000015</v>
      </c>
      <c r="P51" s="39">
        <f t="shared" si="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3"/>
        <v>2340000</v>
      </c>
    </row>
    <row r="52" spans="1:27" ht="22.5" customHeight="1" x14ac:dyDescent="0.25">
      <c r="A52" s="95"/>
      <c r="B52" s="17">
        <v>49</v>
      </c>
      <c r="C52" s="46" t="s">
        <v>81</v>
      </c>
      <c r="D52" s="38" t="s">
        <v>32</v>
      </c>
      <c r="E52" s="39">
        <v>1500000</v>
      </c>
      <c r="F52" s="39">
        <v>30</v>
      </c>
      <c r="G52" s="39">
        <f t="shared" si="9"/>
        <v>1500000</v>
      </c>
      <c r="H52" s="39"/>
      <c r="I52" s="39"/>
      <c r="J52" s="39"/>
      <c r="K52" s="39"/>
      <c r="L52" s="39"/>
      <c r="M52" s="39"/>
      <c r="N52" s="39">
        <f>SUM(G52:M52)</f>
        <v>1500000</v>
      </c>
      <c r="O52" s="39">
        <f>G52*4%</f>
        <v>60000</v>
      </c>
      <c r="P52" s="39">
        <f t="shared" si="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>
        <v>29167</v>
      </c>
      <c r="AA52" s="40">
        <f t="shared" si="3"/>
        <v>1350833</v>
      </c>
    </row>
    <row r="53" spans="1:27" ht="12.75" x14ac:dyDescent="0.25">
      <c r="A53" s="95"/>
      <c r="B53" s="17">
        <v>50</v>
      </c>
      <c r="C53" s="46" t="s">
        <v>82</v>
      </c>
      <c r="D53" s="38" t="s">
        <v>32</v>
      </c>
      <c r="E53" s="39">
        <v>2000000</v>
      </c>
      <c r="F53" s="39">
        <v>30</v>
      </c>
      <c r="G53" s="39">
        <f t="shared" si="9"/>
        <v>2000000.0000000002</v>
      </c>
      <c r="H53" s="39"/>
      <c r="I53" s="39"/>
      <c r="J53" s="39"/>
      <c r="K53" s="39"/>
      <c r="L53" s="39"/>
      <c r="M53" s="39"/>
      <c r="N53" s="39">
        <f>SUM(G53:M53)</f>
        <v>2000000.0000000002</v>
      </c>
      <c r="O53" s="39">
        <f>G53*4%</f>
        <v>80000.000000000015</v>
      </c>
      <c r="P53" s="39">
        <f t="shared" si="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1840000.0000000002</v>
      </c>
      <c r="Y53" s="40"/>
      <c r="Z53" s="41"/>
      <c r="AA53" s="40">
        <f t="shared" si="3"/>
        <v>1840000.0000000002</v>
      </c>
    </row>
    <row r="54" spans="1:27" ht="12.75" x14ac:dyDescent="0.25">
      <c r="A54" s="95"/>
      <c r="B54" s="17">
        <v>51</v>
      </c>
      <c r="C54" s="44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/>
      <c r="N54" s="39">
        <f>G54/30*F54</f>
        <v>2000000.0000000002</v>
      </c>
      <c r="O54" s="39">
        <f>N54*4%</f>
        <v>80000.000000000015</v>
      </c>
      <c r="P54" s="39">
        <f>N54*4%</f>
        <v>80000.000000000015</v>
      </c>
      <c r="Q54" s="39"/>
      <c r="R54" s="39"/>
      <c r="S54" s="39"/>
      <c r="T54" s="39"/>
      <c r="U54" s="39"/>
      <c r="V54" s="39"/>
      <c r="W54" s="39">
        <f t="shared" si="0"/>
        <v>160000.00000000003</v>
      </c>
      <c r="X54" s="40">
        <f>N54-W54</f>
        <v>1840000.0000000002</v>
      </c>
      <c r="Y54" s="40"/>
      <c r="Z54" s="41">
        <v>45659</v>
      </c>
      <c r="AA54" s="40">
        <f t="shared" si="3"/>
        <v>1794341.0000000002</v>
      </c>
    </row>
    <row r="55" spans="1:27" ht="12.75" x14ac:dyDescent="0.25">
      <c r="A55" s="95"/>
      <c r="B55" s="17">
        <v>52</v>
      </c>
      <c r="C55" s="44" t="s">
        <v>84</v>
      </c>
      <c r="D55" s="45" t="s">
        <v>32</v>
      </c>
      <c r="E55" s="39">
        <v>644350</v>
      </c>
      <c r="F55" s="39">
        <v>30</v>
      </c>
      <c r="G55" s="39">
        <f t="shared" ref="G55:G61" si="10">+E55/30*F55</f>
        <v>644350</v>
      </c>
      <c r="H55" s="39">
        <v>74000</v>
      </c>
      <c r="I55" s="39"/>
      <c r="J55" s="39"/>
      <c r="K55" s="39"/>
      <c r="L55" s="39"/>
      <c r="M55" s="39"/>
      <c r="N55" s="39">
        <f>SUM(G55:M55)</f>
        <v>718350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666802</v>
      </c>
      <c r="Y55" s="40"/>
      <c r="Z55" s="41">
        <v>18480</v>
      </c>
      <c r="AA55" s="40">
        <f t="shared" si="3"/>
        <v>648322</v>
      </c>
    </row>
    <row r="56" spans="1:27" ht="12.75" x14ac:dyDescent="0.25">
      <c r="A56" s="95"/>
      <c r="B56" s="17">
        <v>53</v>
      </c>
      <c r="C56" s="46" t="s">
        <v>85</v>
      </c>
      <c r="D56" s="38" t="s">
        <v>32</v>
      </c>
      <c r="E56" s="39">
        <v>15400000</v>
      </c>
      <c r="F56" s="39">
        <v>30</v>
      </c>
      <c r="G56" s="39">
        <f t="shared" si="10"/>
        <v>15400000</v>
      </c>
      <c r="H56" s="39"/>
      <c r="I56" s="39"/>
      <c r="J56" s="39"/>
      <c r="K56" s="39"/>
      <c r="L56" s="39"/>
      <c r="M56" s="39">
        <v>600000</v>
      </c>
      <c r="N56" s="39">
        <f>G56+M56</f>
        <v>16000000</v>
      </c>
      <c r="O56" s="39">
        <f>G56*4%</f>
        <v>616000</v>
      </c>
      <c r="P56" s="39">
        <f>O56</f>
        <v>616000</v>
      </c>
      <c r="Q56" s="39">
        <v>90800</v>
      </c>
      <c r="R56" s="39">
        <v>150763</v>
      </c>
      <c r="S56" s="39">
        <f>G56*2%</f>
        <v>308000</v>
      </c>
      <c r="T56" s="39">
        <v>1193763</v>
      </c>
      <c r="U56" s="39">
        <v>5000000</v>
      </c>
      <c r="V56" s="39"/>
      <c r="W56" s="39">
        <f t="shared" si="0"/>
        <v>7975326</v>
      </c>
      <c r="X56" s="40">
        <f>+N56-W56</f>
        <v>8024674</v>
      </c>
      <c r="Y56" s="40"/>
      <c r="Z56" s="41"/>
      <c r="AA56" s="40">
        <f t="shared" si="3"/>
        <v>8024674</v>
      </c>
    </row>
    <row r="57" spans="1:27" ht="12.75" x14ac:dyDescent="0.25">
      <c r="A57" s="95"/>
      <c r="B57" s="17">
        <v>54</v>
      </c>
      <c r="C57" s="46" t="s">
        <v>86</v>
      </c>
      <c r="D57" s="38" t="s">
        <v>32</v>
      </c>
      <c r="E57" s="39">
        <v>2800000</v>
      </c>
      <c r="F57" s="39">
        <v>30</v>
      </c>
      <c r="G57" s="39">
        <f t="shared" si="10"/>
        <v>2800000</v>
      </c>
      <c r="H57" s="39"/>
      <c r="I57" s="39"/>
      <c r="J57" s="39"/>
      <c r="K57" s="39"/>
      <c r="L57" s="39"/>
      <c r="M57" s="39">
        <v>700000</v>
      </c>
      <c r="N57" s="39">
        <f>SUM(G57:M57)</f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1000000</v>
      </c>
      <c r="W57" s="39">
        <f t="shared" si="0"/>
        <v>1252000</v>
      </c>
      <c r="X57" s="40">
        <f>+N57-W57</f>
        <v>2248000</v>
      </c>
      <c r="Y57" s="40"/>
      <c r="Z57" s="41"/>
      <c r="AA57" s="40">
        <f t="shared" si="3"/>
        <v>2248000</v>
      </c>
    </row>
    <row r="58" spans="1:27" ht="12.75" x14ac:dyDescent="0.25">
      <c r="A58" s="95"/>
      <c r="B58" s="17">
        <v>55</v>
      </c>
      <c r="C58" s="46" t="s">
        <v>87</v>
      </c>
      <c r="D58" s="38" t="s">
        <v>32</v>
      </c>
      <c r="E58" s="39">
        <v>644350</v>
      </c>
      <c r="F58" s="39">
        <v>26</v>
      </c>
      <c r="G58" s="39">
        <f t="shared" si="10"/>
        <v>558436.66666666663</v>
      </c>
      <c r="H58" s="39"/>
      <c r="I58" s="39"/>
      <c r="J58" s="39"/>
      <c r="K58" s="39"/>
      <c r="L58" s="39"/>
      <c r="M58" s="39"/>
      <c r="N58" s="39">
        <f>SUM(G58:M58)</f>
        <v>558436.66666666663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558436.66666666663</v>
      </c>
      <c r="Y58" s="40"/>
      <c r="Z58" s="41"/>
      <c r="AA58" s="40">
        <f t="shared" si="3"/>
        <v>558436.66666666663</v>
      </c>
    </row>
    <row r="59" spans="1:27" ht="12.75" x14ac:dyDescent="0.25">
      <c r="A59" s="95"/>
      <c r="B59" s="17">
        <v>56</v>
      </c>
      <c r="C59" s="44" t="s">
        <v>88</v>
      </c>
      <c r="D59" s="45" t="s">
        <v>32</v>
      </c>
      <c r="E59" s="39">
        <v>1100000</v>
      </c>
      <c r="F59" s="39">
        <v>30</v>
      </c>
      <c r="G59" s="39">
        <f t="shared" si="10"/>
        <v>1100000</v>
      </c>
      <c r="H59" s="39">
        <v>74000</v>
      </c>
      <c r="I59" s="39"/>
      <c r="J59" s="39"/>
      <c r="K59" s="39"/>
      <c r="L59" s="39"/>
      <c r="M59" s="39"/>
      <c r="N59" s="39">
        <f>G59+H59</f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>
        <v>33978</v>
      </c>
      <c r="AA59" s="40">
        <f t="shared" si="3"/>
        <v>1052022</v>
      </c>
    </row>
    <row r="60" spans="1:27" ht="23.25" customHeight="1" x14ac:dyDescent="0.25">
      <c r="A60" s="95"/>
      <c r="B60" s="17">
        <v>57</v>
      </c>
      <c r="C60" s="46" t="s">
        <v>89</v>
      </c>
      <c r="D60" s="38" t="s">
        <v>32</v>
      </c>
      <c r="E60" s="39">
        <v>800000</v>
      </c>
      <c r="F60" s="39">
        <v>30</v>
      </c>
      <c r="G60" s="39">
        <f t="shared" si="10"/>
        <v>800000</v>
      </c>
      <c r="H60" s="39">
        <v>74000</v>
      </c>
      <c r="I60" s="39"/>
      <c r="J60" s="39"/>
      <c r="K60" s="39"/>
      <c r="L60" s="39"/>
      <c r="M60" s="39"/>
      <c r="N60" s="39">
        <f>SUM(G60:M60)</f>
        <v>874000</v>
      </c>
      <c r="O60" s="39">
        <f>G60*4%</f>
        <v>32000</v>
      </c>
      <c r="P60" s="39">
        <f>O60</f>
        <v>32000</v>
      </c>
      <c r="Q60" s="39"/>
      <c r="R60" s="39"/>
      <c r="S60" s="39"/>
      <c r="T60" s="39"/>
      <c r="U60" s="39"/>
      <c r="V60" s="39"/>
      <c r="W60" s="39">
        <f t="shared" si="0"/>
        <v>64000</v>
      </c>
      <c r="X60" s="40">
        <f>+N60-W60</f>
        <v>810000</v>
      </c>
      <c r="Y60" s="40"/>
      <c r="Z60" s="41">
        <v>19620</v>
      </c>
      <c r="AA60" s="40">
        <f t="shared" si="3"/>
        <v>790380</v>
      </c>
    </row>
    <row r="61" spans="1:27" ht="12.75" x14ac:dyDescent="0.25">
      <c r="A61" s="95"/>
      <c r="B61" s="17">
        <v>58</v>
      </c>
      <c r="C61" s="46" t="s">
        <v>90</v>
      </c>
      <c r="D61" s="38" t="s">
        <v>32</v>
      </c>
      <c r="E61" s="39">
        <v>4000000</v>
      </c>
      <c r="F61" s="39">
        <v>26</v>
      </c>
      <c r="G61" s="39">
        <f t="shared" si="10"/>
        <v>3466666.666666667</v>
      </c>
      <c r="H61" s="39"/>
      <c r="I61" s="39"/>
      <c r="J61" s="39"/>
      <c r="K61" s="39"/>
      <c r="L61" s="39"/>
      <c r="M61" s="39"/>
      <c r="N61" s="39">
        <f>SUM(G61:M61)</f>
        <v>3466666.666666667</v>
      </c>
      <c r="O61" s="39">
        <f>G61*4%</f>
        <v>138666.66666666669</v>
      </c>
      <c r="P61" s="39">
        <f>O61</f>
        <v>138666.66666666669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348397.33333333337</v>
      </c>
      <c r="X61" s="40">
        <f>+N61-W61</f>
        <v>3118269.3333333335</v>
      </c>
      <c r="Y61" s="40"/>
      <c r="Z61" s="41"/>
      <c r="AA61" s="40">
        <f t="shared" si="3"/>
        <v>3118269.3333333335</v>
      </c>
    </row>
    <row r="62" spans="1:27" ht="12.75" x14ac:dyDescent="0.25">
      <c r="A62" s="95"/>
      <c r="B62" s="17">
        <v>59</v>
      </c>
      <c r="C62" s="46" t="s">
        <v>91</v>
      </c>
      <c r="D62" s="38" t="s">
        <v>92</v>
      </c>
      <c r="E62" s="39">
        <v>644350</v>
      </c>
      <c r="F62" s="39">
        <v>30</v>
      </c>
      <c r="G62" s="39">
        <f>+E62/30*F62</f>
        <v>644350</v>
      </c>
      <c r="H62" s="39"/>
      <c r="I62" s="39"/>
      <c r="J62" s="39"/>
      <c r="K62" s="39"/>
      <c r="L62" s="39"/>
      <c r="M62" s="39"/>
      <c r="N62" s="39">
        <f>SUM(G62:M62)</f>
        <v>644350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644350</v>
      </c>
      <c r="Y62" s="40"/>
      <c r="Z62" s="41"/>
      <c r="AA62" s="40">
        <f t="shared" si="3"/>
        <v>644350</v>
      </c>
    </row>
    <row r="63" spans="1:27" ht="12.75" x14ac:dyDescent="0.25">
      <c r="A63" s="95"/>
      <c r="B63" s="17">
        <v>60</v>
      </c>
      <c r="C63" s="44" t="s">
        <v>93</v>
      </c>
      <c r="D63" s="45" t="s">
        <v>32</v>
      </c>
      <c r="E63" s="39">
        <v>1300000</v>
      </c>
      <c r="F63" s="39">
        <v>30</v>
      </c>
      <c r="G63" s="39">
        <f>+E63/30*F63</f>
        <v>1300000</v>
      </c>
      <c r="H63" s="39"/>
      <c r="I63" s="39"/>
      <c r="J63" s="39"/>
      <c r="K63" s="39"/>
      <c r="L63" s="39"/>
      <c r="M63" s="39"/>
      <c r="N63" s="39">
        <f>G63+H63</f>
        <v>1300000</v>
      </c>
      <c r="O63" s="39">
        <f>G63*4%</f>
        <v>52000</v>
      </c>
      <c r="P63" s="39">
        <f>O63</f>
        <v>52000</v>
      </c>
      <c r="Q63" s="39"/>
      <c r="R63" s="39"/>
      <c r="S63" s="39"/>
      <c r="T63" s="39"/>
      <c r="U63" s="39"/>
      <c r="V63" s="39"/>
      <c r="W63" s="39">
        <f t="shared" si="0"/>
        <v>104000</v>
      </c>
      <c r="X63" s="40">
        <f>N63-W63</f>
        <v>1196000</v>
      </c>
      <c r="Y63" s="40"/>
      <c r="Z63" s="41">
        <v>29835</v>
      </c>
      <c r="AA63" s="40">
        <f t="shared" si="3"/>
        <v>1166165</v>
      </c>
    </row>
    <row r="64" spans="1:27" ht="12.75" x14ac:dyDescent="0.25">
      <c r="A64" s="95"/>
      <c r="B64" s="17">
        <v>61</v>
      </c>
      <c r="C64" s="46" t="s">
        <v>94</v>
      </c>
      <c r="D64" s="38" t="s">
        <v>92</v>
      </c>
      <c r="E64" s="39">
        <v>644350</v>
      </c>
      <c r="F64" s="39">
        <v>30</v>
      </c>
      <c r="G64" s="39">
        <f>+E64/30*F64</f>
        <v>644350</v>
      </c>
      <c r="H64" s="39"/>
      <c r="I64" s="39"/>
      <c r="J64" s="39"/>
      <c r="K64" s="39"/>
      <c r="L64" s="39"/>
      <c r="M64" s="39"/>
      <c r="N64" s="39">
        <f>SUM(G64:M64)</f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+N64-W64</f>
        <v>644350</v>
      </c>
      <c r="Y64" s="40"/>
      <c r="Z64" s="41"/>
      <c r="AA64" s="40">
        <f t="shared" si="3"/>
        <v>644350</v>
      </c>
    </row>
    <row r="65" spans="1:31" ht="23.25" customHeight="1" x14ac:dyDescent="0.25">
      <c r="A65" s="95"/>
      <c r="B65" s="17">
        <v>62</v>
      </c>
      <c r="C65" s="46" t="s">
        <v>95</v>
      </c>
      <c r="D65" s="38" t="s">
        <v>92</v>
      </c>
      <c r="E65" s="39">
        <v>644350</v>
      </c>
      <c r="F65" s="39">
        <v>30</v>
      </c>
      <c r="G65" s="39">
        <f>E65</f>
        <v>644350</v>
      </c>
      <c r="H65" s="39"/>
      <c r="I65" s="39"/>
      <c r="J65" s="39"/>
      <c r="K65" s="39"/>
      <c r="L65" s="39"/>
      <c r="M65" s="39"/>
      <c r="N65" s="39">
        <f>G65</f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N64</f>
        <v>644350</v>
      </c>
      <c r="Y65" s="40"/>
      <c r="Z65" s="41"/>
      <c r="AA65" s="40">
        <f t="shared" si="3"/>
        <v>644350</v>
      </c>
    </row>
    <row r="66" spans="1:31" ht="15" customHeight="1" x14ac:dyDescent="0.25">
      <c r="A66" s="17"/>
      <c r="B66" s="17"/>
      <c r="C66" s="37" t="s">
        <v>96</v>
      </c>
      <c r="D66" s="45"/>
      <c r="E66" s="39">
        <f>SUM(E4:E65)</f>
        <v>195217950</v>
      </c>
      <c r="F66" s="39" t="s">
        <v>1</v>
      </c>
      <c r="G66" s="39">
        <f>SUM(G4:G65)</f>
        <v>192900926.66666666</v>
      </c>
      <c r="H66" s="39">
        <f>SUM(H4:H65)</f>
        <v>222000</v>
      </c>
      <c r="I66" s="39"/>
      <c r="J66" s="39"/>
      <c r="K66" s="39"/>
      <c r="L66" s="39"/>
      <c r="M66" s="39">
        <f>SUM(M4:M65)</f>
        <v>9508750.3625000007</v>
      </c>
      <c r="N66" s="39">
        <f>SUM(N4:N65)</f>
        <v>202531676.66666663</v>
      </c>
      <c r="O66" s="39">
        <f>SUM(O4:O65)</f>
        <v>7564829.6000000006</v>
      </c>
      <c r="P66" s="39">
        <f>SUM(P4:P65)</f>
        <v>7564829.6000000006</v>
      </c>
      <c r="Q66" s="39">
        <f>SUM(Q4:Q65)</f>
        <v>90800</v>
      </c>
      <c r="R66" s="39">
        <f>SUM(R5:R65)</f>
        <v>736446</v>
      </c>
      <c r="S66" s="39">
        <f t="shared" ref="S66:AA66" si="11">SUM(S4:S65)</f>
        <v>1725075</v>
      </c>
      <c r="T66" s="39">
        <f t="shared" si="11"/>
        <v>3021368</v>
      </c>
      <c r="U66" s="39">
        <f t="shared" si="11"/>
        <v>8360000</v>
      </c>
      <c r="V66" s="39">
        <f t="shared" si="11"/>
        <v>2873979</v>
      </c>
      <c r="W66" s="39">
        <f t="shared" si="11"/>
        <v>31937327.199999999</v>
      </c>
      <c r="X66" s="40">
        <f t="shared" si="11"/>
        <v>170594349.46666667</v>
      </c>
      <c r="Y66" s="40">
        <f t="shared" si="11"/>
        <v>0</v>
      </c>
      <c r="Z66" s="41">
        <f t="shared" si="11"/>
        <v>1187414</v>
      </c>
      <c r="AA66" s="40">
        <f t="shared" si="11"/>
        <v>169496935.46666667</v>
      </c>
    </row>
    <row r="67" spans="1:31" ht="15" customHeight="1" x14ac:dyDescent="0.25">
      <c r="A67" s="99"/>
      <c r="B67" s="99"/>
      <c r="X67" s="99"/>
      <c r="Y67" s="99"/>
      <c r="Z67" s="102"/>
      <c r="AA67" s="99"/>
    </row>
    <row r="68" spans="1:31" ht="15" customHeight="1" x14ac:dyDescent="0.25"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31" x14ac:dyDescent="0.25">
      <c r="C69" s="104"/>
      <c r="D69" s="105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8"/>
      <c r="Y69" s="108"/>
      <c r="Z69" s="102"/>
      <c r="AA69" s="108"/>
      <c r="AB69" s="99"/>
      <c r="AC69" s="99"/>
      <c r="AD69" s="99"/>
      <c r="AE69" s="99"/>
    </row>
    <row r="70" spans="1:3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8"/>
      <c r="Y70" s="108"/>
      <c r="Z70" s="102"/>
      <c r="AA70" s="108"/>
      <c r="AB70" s="99"/>
      <c r="AC70" s="99"/>
      <c r="AD70" s="99"/>
      <c r="AE70" s="99"/>
    </row>
    <row r="71" spans="1:31" x14ac:dyDescent="0.25">
      <c r="C71" s="104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8"/>
      <c r="Y71" s="108"/>
      <c r="Z71" s="102"/>
      <c r="AA71" s="108"/>
      <c r="AB71" s="99"/>
      <c r="AC71" s="99"/>
      <c r="AD71" s="99"/>
      <c r="AE71" s="99"/>
    </row>
    <row r="72" spans="1:31" x14ac:dyDescent="0.25">
      <c r="C72" s="104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8"/>
      <c r="Y72" s="108"/>
      <c r="Z72" s="102"/>
      <c r="AA72" s="108"/>
      <c r="AB72" s="99"/>
      <c r="AC72" s="99"/>
      <c r="AD72" s="99"/>
      <c r="AE72" s="99"/>
    </row>
    <row r="73" spans="1:31" x14ac:dyDescent="0.25">
      <c r="C73" s="104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8"/>
      <c r="Y73" s="108"/>
      <c r="Z73" s="102"/>
      <c r="AA73" s="108"/>
      <c r="AB73" s="99"/>
      <c r="AC73" s="99"/>
      <c r="AD73" s="99"/>
      <c r="AE73" s="99"/>
    </row>
    <row r="74" spans="1:31" x14ac:dyDescent="0.25">
      <c r="C74" s="104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8"/>
      <c r="Y74" s="108"/>
      <c r="Z74" s="102"/>
      <c r="AA74" s="108"/>
      <c r="AB74" s="99"/>
      <c r="AC74" s="99"/>
      <c r="AD74" s="99"/>
      <c r="AE74" s="99"/>
    </row>
    <row r="75" spans="1:31" x14ac:dyDescent="0.25">
      <c r="C75" s="104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8"/>
      <c r="Y75" s="108"/>
      <c r="Z75" s="102"/>
      <c r="AA75" s="108"/>
      <c r="AB75" s="99"/>
      <c r="AC75" s="99"/>
      <c r="AD75" s="99"/>
      <c r="AE75" s="99"/>
    </row>
    <row r="76" spans="1:31" x14ac:dyDescent="0.25">
      <c r="C76" s="104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8"/>
      <c r="Y76" s="108"/>
      <c r="Z76" s="102"/>
      <c r="AA76" s="108"/>
      <c r="AB76" s="99"/>
      <c r="AC76" s="99"/>
      <c r="AD76" s="99"/>
      <c r="AE76" s="99"/>
    </row>
    <row r="77" spans="1:31" x14ac:dyDescent="0.25">
      <c r="C77" s="104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8"/>
      <c r="Y77" s="108"/>
      <c r="Z77" s="102"/>
      <c r="AA77" s="108"/>
      <c r="AB77" s="99"/>
      <c r="AC77" s="99"/>
      <c r="AD77" s="99"/>
      <c r="AE77" s="99"/>
    </row>
    <row r="78" spans="1:31" x14ac:dyDescent="0.25">
      <c r="C78" s="104"/>
      <c r="D78" s="99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8"/>
      <c r="Y78" s="108"/>
      <c r="Z78" s="102"/>
      <c r="AA78" s="108"/>
      <c r="AB78" s="99"/>
      <c r="AC78" s="99"/>
      <c r="AD78" s="99"/>
      <c r="AE78" s="99"/>
    </row>
    <row r="79" spans="1:31" x14ac:dyDescent="0.25">
      <c r="C79" s="104"/>
      <c r="D79" s="99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8"/>
      <c r="Y79" s="108"/>
      <c r="Z79" s="102"/>
      <c r="AA79" s="108"/>
      <c r="AB79" s="99"/>
      <c r="AC79" s="99"/>
      <c r="AD79" s="99"/>
      <c r="AE79" s="99"/>
    </row>
    <row r="80" spans="1:31" x14ac:dyDescent="0.25">
      <c r="C80" s="104"/>
      <c r="D80" s="9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8"/>
      <c r="Y80" s="108"/>
      <c r="Z80" s="102"/>
      <c r="AA80" s="108"/>
      <c r="AB80" s="99"/>
      <c r="AC80" s="99"/>
      <c r="AD80" s="99"/>
      <c r="AE80" s="99"/>
    </row>
    <row r="81" spans="2:31" x14ac:dyDescent="0.25">
      <c r="C81" s="104"/>
      <c r="D81" s="9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2:31" x14ac:dyDescent="0.25">
      <c r="C82" s="109"/>
      <c r="D82" s="99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99"/>
      <c r="Y82" s="99"/>
      <c r="Z82" s="102"/>
      <c r="AA82" s="99"/>
      <c r="AB82" s="99"/>
      <c r="AC82" s="99"/>
      <c r="AD82" s="99"/>
      <c r="AE82" s="99"/>
    </row>
    <row r="83" spans="2:31" x14ac:dyDescent="0.25">
      <c r="C83" s="109"/>
      <c r="D83" s="99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07"/>
      <c r="W83" s="107"/>
      <c r="X83" s="99"/>
      <c r="Y83" s="99"/>
      <c r="Z83" s="102"/>
      <c r="AA83" s="99"/>
      <c r="AB83" s="99"/>
      <c r="AC83" s="99"/>
      <c r="AD83" s="99"/>
      <c r="AE83" s="99"/>
    </row>
    <row r="84" spans="2:31" x14ac:dyDescent="0.25">
      <c r="B84" s="99"/>
      <c r="C84" s="109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99"/>
      <c r="AC84" s="99"/>
      <c r="AD84" s="99"/>
      <c r="AE84" s="99"/>
    </row>
    <row r="85" spans="2:31" x14ac:dyDescent="0.25">
      <c r="B85" s="99"/>
      <c r="C85" s="109"/>
      <c r="D85" s="99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5"/>
      <c r="Y85" s="105"/>
      <c r="Z85" s="112"/>
      <c r="AA85" s="105"/>
      <c r="AB85" s="99"/>
      <c r="AC85" s="99"/>
      <c r="AD85" s="99"/>
      <c r="AE85" s="99"/>
    </row>
    <row r="86" spans="2:31" x14ac:dyDescent="0.25">
      <c r="B86" s="99"/>
      <c r="C86" s="10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5"/>
      <c r="Y86" s="105"/>
      <c r="Z86" s="112"/>
      <c r="AA86" s="105"/>
    </row>
    <row r="87" spans="2:31" x14ac:dyDescent="0.25">
      <c r="B87" s="113"/>
      <c r="C87" s="104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5"/>
      <c r="Y87" s="105"/>
      <c r="Z87" s="112"/>
      <c r="AA87" s="105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</row>
    <row r="89" spans="2:31" x14ac:dyDescent="0.25">
      <c r="C89" s="104"/>
      <c r="D89" s="105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</row>
    <row r="90" spans="2:31" x14ac:dyDescent="0.25">
      <c r="C90" s="104"/>
      <c r="D90" s="105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</row>
    <row r="91" spans="2:31" x14ac:dyDescent="0.25">
      <c r="C91" s="109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</row>
    <row r="93" spans="2:31" x14ac:dyDescent="0.25">
      <c r="C93" s="109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99"/>
      <c r="Y93" s="99"/>
      <c r="Z93" s="102"/>
      <c r="AA93" s="99"/>
    </row>
    <row r="94" spans="2:31" x14ac:dyDescent="0.25">
      <c r="C94" s="109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</row>
    <row r="95" spans="2:31" x14ac:dyDescent="0.25">
      <c r="B95" s="99"/>
      <c r="C95" s="109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99"/>
      <c r="Y95" s="99"/>
      <c r="Z95" s="102"/>
      <c r="AA95" s="99"/>
    </row>
    <row r="96" spans="2:31" x14ac:dyDescent="0.25">
      <c r="B96" s="99"/>
      <c r="C96" s="109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99"/>
      <c r="Y96" s="99"/>
      <c r="Z96" s="102"/>
      <c r="AA96" s="99"/>
    </row>
    <row r="97" spans="2:27" x14ac:dyDescent="0.25">
      <c r="B97" s="99"/>
      <c r="C97" s="109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14"/>
      <c r="Y97" s="114"/>
      <c r="Z97" s="102"/>
      <c r="AA97" s="114"/>
    </row>
    <row r="98" spans="2:27" x14ac:dyDescent="0.25">
      <c r="B98" s="99"/>
      <c r="C98" s="109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15"/>
      <c r="Y98" s="115"/>
      <c r="Z98" s="102"/>
      <c r="AA98" s="115"/>
    </row>
    <row r="99" spans="2:27" x14ac:dyDescent="0.25">
      <c r="C99" s="109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99"/>
      <c r="Y99" s="99"/>
      <c r="Z99" s="102"/>
      <c r="AA99" s="99"/>
    </row>
    <row r="100" spans="2:27" x14ac:dyDescent="0.25">
      <c r="C100" s="109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99"/>
      <c r="Y100" s="99"/>
      <c r="Z100" s="102"/>
      <c r="AA100" s="99"/>
    </row>
    <row r="101" spans="2:27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99"/>
      <c r="Y101" s="99"/>
      <c r="Z101" s="102"/>
      <c r="AA101" s="99"/>
    </row>
    <row r="102" spans="2:27" x14ac:dyDescent="0.25">
      <c r="C102" s="109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99"/>
      <c r="Y102" s="99"/>
      <c r="Z102" s="102"/>
      <c r="AA102" s="99"/>
    </row>
    <row r="103" spans="2:27" x14ac:dyDescent="0.25">
      <c r="C103" s="109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99"/>
      <c r="Y103" s="99"/>
      <c r="Z103" s="102"/>
      <c r="AA103" s="99"/>
    </row>
    <row r="104" spans="2:27" x14ac:dyDescent="0.25">
      <c r="C104" s="109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99"/>
      <c r="Y104" s="99"/>
      <c r="Z104" s="102"/>
      <c r="AA104" s="99"/>
    </row>
    <row r="105" spans="2:27" x14ac:dyDescent="0.25"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</row>
    <row r="106" spans="2:27" x14ac:dyDescent="0.25">
      <c r="C106" s="109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>
        <v>3003000</v>
      </c>
      <c r="P106" s="107"/>
      <c r="Q106" s="107"/>
      <c r="R106" s="107"/>
      <c r="S106" s="107"/>
      <c r="T106" s="107"/>
      <c r="U106" s="107"/>
      <c r="V106" s="107"/>
      <c r="W106" s="107"/>
      <c r="X106" s="99"/>
      <c r="Y106" s="99"/>
      <c r="Z106" s="102"/>
      <c r="AA106" s="99"/>
    </row>
    <row r="107" spans="2:27" x14ac:dyDescent="0.25">
      <c r="C107" s="104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99"/>
      <c r="Y107" s="99"/>
      <c r="Z107" s="102"/>
      <c r="AA107" s="99"/>
    </row>
    <row r="108" spans="2:27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99"/>
      <c r="Y108" s="99"/>
      <c r="Z108" s="102"/>
      <c r="AA108" s="99"/>
    </row>
    <row r="109" spans="2:27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27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27" x14ac:dyDescent="0.25">
      <c r="C111" s="109">
        <v>42614840</v>
      </c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>
        <v>412608</v>
      </c>
      <c r="X111" s="99"/>
      <c r="Y111" s="99"/>
      <c r="Z111" s="102"/>
      <c r="AA111" s="99"/>
    </row>
    <row r="112" spans="2:27" x14ac:dyDescent="0.25">
      <c r="C112" s="109">
        <v>9675182</v>
      </c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>
        <v>1880000</v>
      </c>
      <c r="X112" s="99"/>
      <c r="Y112" s="99"/>
      <c r="Z112" s="102"/>
      <c r="AA112" s="99"/>
    </row>
    <row r="113" spans="3:27" x14ac:dyDescent="0.25">
      <c r="C113" s="109">
        <v>17903600</v>
      </c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3:27" x14ac:dyDescent="0.25">
      <c r="C114" s="109">
        <f>SUM(C111:C113)</f>
        <v>70193622</v>
      </c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3:27" x14ac:dyDescent="0.25">
      <c r="C115" s="109">
        <v>400000</v>
      </c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3:27" x14ac:dyDescent="0.25">
      <c r="C116" s="109">
        <f>+C114+C115</f>
        <v>70593622</v>
      </c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9" spans="3:27" x14ac:dyDescent="0.25">
      <c r="C119" s="100">
        <v>64000000</v>
      </c>
    </row>
    <row r="120" spans="3:27" x14ac:dyDescent="0.25">
      <c r="C120" s="100">
        <v>11000000</v>
      </c>
    </row>
    <row r="121" spans="3:27" x14ac:dyDescent="0.25">
      <c r="C121" s="100">
        <f>+C119+C120</f>
        <v>75000000</v>
      </c>
    </row>
    <row r="125" spans="3:27" x14ac:dyDescent="0.25">
      <c r="C125" s="100">
        <v>2745000</v>
      </c>
    </row>
    <row r="126" spans="3:27" x14ac:dyDescent="0.25">
      <c r="C126" s="100">
        <v>3185000</v>
      </c>
    </row>
    <row r="127" spans="3:27" x14ac:dyDescent="0.25">
      <c r="C127" s="100">
        <v>1080000</v>
      </c>
    </row>
    <row r="128" spans="3:27" x14ac:dyDescent="0.25">
      <c r="C128" s="100">
        <v>4850100</v>
      </c>
    </row>
    <row r="129" spans="3:3" x14ac:dyDescent="0.25">
      <c r="C129" s="100">
        <v>5027500</v>
      </c>
    </row>
    <row r="130" spans="3:3" x14ac:dyDescent="0.25">
      <c r="C130" s="100">
        <v>4566000</v>
      </c>
    </row>
    <row r="131" spans="3:3" x14ac:dyDescent="0.25">
      <c r="C131" s="100">
        <v>1050000</v>
      </c>
    </row>
    <row r="132" spans="3:3" x14ac:dyDescent="0.25">
      <c r="C132" s="100">
        <v>3877333</v>
      </c>
    </row>
    <row r="133" spans="3:3" x14ac:dyDescent="0.25">
      <c r="C133" s="100">
        <v>6732440</v>
      </c>
    </row>
    <row r="134" spans="3:3" x14ac:dyDescent="0.25">
      <c r="C134" s="100">
        <v>3460000</v>
      </c>
    </row>
    <row r="135" spans="3:3" x14ac:dyDescent="0.25">
      <c r="C135" s="100">
        <v>588800</v>
      </c>
    </row>
    <row r="136" spans="3:3" x14ac:dyDescent="0.25">
      <c r="C136" s="100">
        <v>1868000</v>
      </c>
    </row>
    <row r="137" spans="3:3" x14ac:dyDescent="0.25">
      <c r="C137" s="100">
        <v>10313000</v>
      </c>
    </row>
    <row r="138" spans="3:3" x14ac:dyDescent="0.25">
      <c r="C138" s="100">
        <v>3443800</v>
      </c>
    </row>
    <row r="139" spans="3:3" x14ac:dyDescent="0.25">
      <c r="C139" s="100">
        <v>8136400</v>
      </c>
    </row>
    <row r="140" spans="3:3" x14ac:dyDescent="0.25">
      <c r="C140" s="100">
        <v>9675183</v>
      </c>
    </row>
    <row r="141" spans="3:3" x14ac:dyDescent="0.25">
      <c r="C141" s="100">
        <f>SUM(C125:C140)</f>
        <v>70598556</v>
      </c>
    </row>
  </sheetData>
  <mergeCells count="7">
    <mergeCell ref="D84:AA84"/>
    <mergeCell ref="C1:X1"/>
    <mergeCell ref="E2:N2"/>
    <mergeCell ref="O2:W2"/>
    <mergeCell ref="A3:A31"/>
    <mergeCell ref="A32:A65"/>
    <mergeCell ref="E83:U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D08-800D-4D55-B9D0-C18B8582E0B6}">
  <dimension ref="A1:AH158"/>
  <sheetViews>
    <sheetView topLeftCell="E1" workbookViewId="0">
      <selection activeCell="AC13" sqref="AC13:AC14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" style="101" customWidth="1"/>
    <col min="9" max="9" width="7.85546875" style="101" customWidth="1"/>
    <col min="10" max="10" width="6.140625" style="101" customWidth="1"/>
    <col min="11" max="12" width="3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hidden="1" customWidth="1"/>
    <col min="19" max="19" width="7.28515625" style="101" customWidth="1"/>
    <col min="20" max="20" width="7.42578125" style="101" customWidth="1"/>
    <col min="21" max="21" width="7.85546875" style="101" customWidth="1"/>
    <col min="22" max="22" width="7.140625" style="101" customWidth="1"/>
    <col min="23" max="23" width="8" style="101" customWidth="1"/>
    <col min="24" max="24" width="10.42578125" style="43" customWidth="1"/>
    <col min="25" max="25" width="13.5703125" style="43" customWidth="1"/>
    <col min="26" max="26" width="13.140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9" ht="12.75" x14ac:dyDescent="0.25">
      <c r="A1" s="81"/>
      <c r="B1" s="81"/>
      <c r="C1" s="117" t="s">
        <v>100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9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9" ht="45" customHeight="1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12</v>
      </c>
      <c r="J3" s="97" t="s">
        <v>101</v>
      </c>
      <c r="K3" s="97" t="s">
        <v>14</v>
      </c>
      <c r="L3" s="97" t="s">
        <v>98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9" ht="27.75" customHeight="1" x14ac:dyDescent="0.25">
      <c r="A4" s="120"/>
      <c r="B4" s="123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/>
      <c r="S4" s="39">
        <f>+G4*0.01</f>
        <v>37500</v>
      </c>
      <c r="T4" s="39">
        <v>0</v>
      </c>
      <c r="U4" s="39"/>
      <c r="V4" s="39"/>
      <c r="W4" s="39">
        <f t="shared" ref="W4:W62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9" ht="12.75" x14ac:dyDescent="0.25">
      <c r="A5" s="120"/>
      <c r="B5" s="123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f>+E5/30*F5</f>
        <v>4911500</v>
      </c>
      <c r="H5" s="39"/>
      <c r="I5" s="39"/>
      <c r="J5" s="39"/>
      <c r="K5" s="39"/>
      <c r="L5" s="39"/>
      <c r="M5" s="39"/>
      <c r="N5" s="39">
        <f t="shared" ref="N5:N27" si="2">SUM(G5:M5)</f>
        <v>4911500</v>
      </c>
      <c r="O5" s="39">
        <f>+G5*4%</f>
        <v>196460</v>
      </c>
      <c r="P5" s="39">
        <f>+O5</f>
        <v>196460</v>
      </c>
      <c r="Q5" s="39"/>
      <c r="R5" s="39"/>
      <c r="S5" s="39">
        <f t="shared" ref="S5:S32" si="3">+G5*0.01</f>
        <v>49115</v>
      </c>
      <c r="T5" s="48">
        <v>84469</v>
      </c>
      <c r="U5" s="39"/>
      <c r="V5" s="39"/>
      <c r="W5" s="39">
        <f t="shared" si="0"/>
        <v>526504</v>
      </c>
      <c r="X5" s="40">
        <f t="shared" si="1"/>
        <v>4384996</v>
      </c>
      <c r="Y5" s="40"/>
      <c r="Z5" s="41"/>
      <c r="AA5" s="40">
        <f>X5+Y5-Z5</f>
        <v>4384996</v>
      </c>
    </row>
    <row r="6" spans="1:29" ht="23.25" customHeight="1" x14ac:dyDescent="0.25">
      <c r="A6" s="120"/>
      <c r="B6" s="123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f>+E6/30*F6</f>
        <v>4180000.0000000005</v>
      </c>
      <c r="H6" s="39"/>
      <c r="I6" s="39"/>
      <c r="J6" s="39"/>
      <c r="K6" s="39"/>
      <c r="L6" s="39"/>
      <c r="M6" s="39">
        <v>1881000</v>
      </c>
      <c r="N6" s="39">
        <f t="shared" si="2"/>
        <v>6061000</v>
      </c>
      <c r="O6" s="39">
        <f>+G6*4%</f>
        <v>167200.00000000003</v>
      </c>
      <c r="P6" s="39">
        <f>+O6</f>
        <v>167200.00000000003</v>
      </c>
      <c r="Q6" s="39"/>
      <c r="R6" s="39"/>
      <c r="S6" s="39">
        <f t="shared" si="3"/>
        <v>41800.000000000007</v>
      </c>
      <c r="T6" s="48">
        <v>31064</v>
      </c>
      <c r="U6" s="39"/>
      <c r="V6" s="39"/>
      <c r="W6" s="39">
        <f t="shared" si="0"/>
        <v>407264.00000000006</v>
      </c>
      <c r="X6" s="40">
        <f>+N6-W6</f>
        <v>5653736</v>
      </c>
      <c r="Y6" s="40"/>
      <c r="Z6" s="41"/>
      <c r="AA6" s="40">
        <f>X6+Y6-Z6</f>
        <v>5653736</v>
      </c>
    </row>
    <row r="7" spans="1:29" ht="23.25" customHeight="1" x14ac:dyDescent="0.25">
      <c r="A7" s="120"/>
      <c r="B7" s="123">
        <v>4</v>
      </c>
      <c r="C7" s="37" t="s">
        <v>102</v>
      </c>
      <c r="D7" s="38" t="s">
        <v>32</v>
      </c>
      <c r="E7" s="39">
        <v>4800000</v>
      </c>
      <c r="F7" s="39">
        <v>7</v>
      </c>
      <c r="G7" s="39">
        <f>+E7/30*F7</f>
        <v>1120000</v>
      </c>
      <c r="H7" s="39"/>
      <c r="I7" s="39"/>
      <c r="J7" s="39"/>
      <c r="K7" s="39"/>
      <c r="L7" s="39"/>
      <c r="M7" s="39"/>
      <c r="N7" s="39">
        <f t="shared" si="2"/>
        <v>1120000</v>
      </c>
      <c r="O7" s="39">
        <f>+G7*4%</f>
        <v>44800</v>
      </c>
      <c r="P7" s="39">
        <f>+O7</f>
        <v>44800</v>
      </c>
      <c r="Q7" s="39"/>
      <c r="R7" s="39"/>
      <c r="S7" s="39">
        <v>48000</v>
      </c>
      <c r="T7" s="48"/>
      <c r="U7" s="39"/>
      <c r="V7" s="39"/>
      <c r="W7" s="39">
        <f t="shared" si="0"/>
        <v>137600</v>
      </c>
      <c r="X7" s="40">
        <f>+N7-W7</f>
        <v>982400</v>
      </c>
      <c r="Y7" s="40"/>
      <c r="Z7" s="41"/>
      <c r="AA7" s="40">
        <f>X7+Y7-Z7</f>
        <v>982400</v>
      </c>
    </row>
    <row r="8" spans="1:29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9" ht="21" customHeight="1" x14ac:dyDescent="0.25">
      <c r="A9" s="120"/>
      <c r="B9" s="123">
        <v>6</v>
      </c>
      <c r="C9" s="37" t="s">
        <v>37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 t="s">
        <v>103</v>
      </c>
      <c r="J9" s="39"/>
      <c r="K9" s="39"/>
      <c r="L9" s="40"/>
      <c r="M9" s="39"/>
      <c r="N9" s="39">
        <f t="shared" si="2"/>
        <v>4500000</v>
      </c>
      <c r="O9" s="39">
        <f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2"/>
      <c r="Z9" s="41"/>
      <c r="AA9" s="40">
        <f>X9+L9-Z9</f>
        <v>3996248</v>
      </c>
      <c r="AC9" s="43">
        <f>8506238-6500000</f>
        <v>2006238</v>
      </c>
    </row>
    <row r="10" spans="1:29" ht="20.25" customHeight="1" x14ac:dyDescent="0.25">
      <c r="A10" s="120"/>
      <c r="B10" s="123">
        <v>7</v>
      </c>
      <c r="C10" s="37" t="s">
        <v>38</v>
      </c>
      <c r="D10" s="38" t="s">
        <v>32</v>
      </c>
      <c r="E10" s="39">
        <v>4800000</v>
      </c>
      <c r="F10" s="39">
        <v>30</v>
      </c>
      <c r="G10" s="39">
        <f>+E10/30*F10</f>
        <v>4800000</v>
      </c>
      <c r="H10" s="39"/>
      <c r="I10" s="39"/>
      <c r="J10" s="39"/>
      <c r="K10" s="39"/>
      <c r="L10" s="39"/>
      <c r="M10" s="39"/>
      <c r="N10" s="39">
        <f t="shared" si="2"/>
        <v>4800000</v>
      </c>
      <c r="O10" s="39">
        <f>G10*4%</f>
        <v>192000</v>
      </c>
      <c r="P10" s="39">
        <f>+O10</f>
        <v>192000</v>
      </c>
      <c r="Q10" s="39"/>
      <c r="R10" s="39"/>
      <c r="S10" s="39">
        <f t="shared" si="3"/>
        <v>48000</v>
      </c>
      <c r="T10" s="39">
        <v>139364</v>
      </c>
      <c r="U10" s="39"/>
      <c r="V10" s="39"/>
      <c r="W10" s="39">
        <f t="shared" si="0"/>
        <v>571364</v>
      </c>
      <c r="X10" s="40">
        <f t="shared" si="1"/>
        <v>4228636</v>
      </c>
      <c r="Y10" s="40"/>
      <c r="Z10" s="41"/>
      <c r="AA10" s="40">
        <f t="shared" ref="AA10:AA64" si="4">X10+Y10-Z10</f>
        <v>4228636</v>
      </c>
    </row>
    <row r="11" spans="1:29" ht="12.75" x14ac:dyDescent="0.25">
      <c r="A11" s="120"/>
      <c r="B11" s="123">
        <v>8</v>
      </c>
      <c r="C11" s="118" t="s">
        <v>39</v>
      </c>
      <c r="D11" s="45" t="s">
        <v>32</v>
      </c>
      <c r="E11" s="39">
        <v>4000000</v>
      </c>
      <c r="F11" s="39">
        <v>30</v>
      </c>
      <c r="G11" s="39">
        <f>+E11/30*F11</f>
        <v>4000000.0000000005</v>
      </c>
      <c r="H11" s="39"/>
      <c r="I11" s="39"/>
      <c r="J11" s="39"/>
      <c r="K11" s="39"/>
      <c r="L11" s="39"/>
      <c r="M11" s="39"/>
      <c r="N11" s="39">
        <f t="shared" si="2"/>
        <v>4000000.0000000005</v>
      </c>
      <c r="O11" s="39">
        <f>G11*4%</f>
        <v>160000.00000000003</v>
      </c>
      <c r="P11" s="39">
        <v>160000</v>
      </c>
      <c r="Q11" s="39"/>
      <c r="R11" s="39"/>
      <c r="S11" s="39">
        <v>40000</v>
      </c>
      <c r="T11" s="39">
        <v>31064</v>
      </c>
      <c r="U11" s="39"/>
      <c r="V11" s="39"/>
      <c r="W11" s="39">
        <f t="shared" si="0"/>
        <v>391064</v>
      </c>
      <c r="X11" s="40">
        <f t="shared" si="1"/>
        <v>3608936.0000000005</v>
      </c>
      <c r="Y11" s="40"/>
      <c r="Z11" s="41"/>
      <c r="AA11" s="40">
        <f t="shared" si="4"/>
        <v>3608936.0000000005</v>
      </c>
    </row>
    <row r="12" spans="1:29" ht="12.75" x14ac:dyDescent="0.25">
      <c r="A12" s="120"/>
      <c r="B12" s="123">
        <v>9</v>
      </c>
      <c r="C12" s="118" t="s">
        <v>40</v>
      </c>
      <c r="D12" s="45" t="s">
        <v>32</v>
      </c>
      <c r="E12" s="39">
        <v>3500000</v>
      </c>
      <c r="F12" s="39">
        <v>30</v>
      </c>
      <c r="G12" s="39">
        <f>+E12/30*F12</f>
        <v>3500000</v>
      </c>
      <c r="H12" s="39"/>
      <c r="I12" s="39"/>
      <c r="J12" s="39"/>
      <c r="K12" s="39"/>
      <c r="L12" s="39"/>
      <c r="M12" s="39">
        <v>500000</v>
      </c>
      <c r="N12" s="39">
        <f t="shared" si="2"/>
        <v>4000000</v>
      </c>
      <c r="O12" s="39">
        <f>G12*4%</f>
        <v>140000</v>
      </c>
      <c r="P12" s="39">
        <f>O12</f>
        <v>140000</v>
      </c>
      <c r="Q12" s="39"/>
      <c r="R12" s="39"/>
      <c r="S12" s="39">
        <f>G12*1%</f>
        <v>35000</v>
      </c>
      <c r="T12" s="39">
        <v>0</v>
      </c>
      <c r="U12" s="39"/>
      <c r="V12" s="39"/>
      <c r="W12" s="39">
        <f t="shared" si="0"/>
        <v>315000</v>
      </c>
      <c r="X12" s="40">
        <f t="shared" si="1"/>
        <v>3685000</v>
      </c>
      <c r="Y12" s="40"/>
      <c r="Z12" s="41"/>
      <c r="AA12" s="40">
        <f t="shared" si="4"/>
        <v>3685000</v>
      </c>
    </row>
    <row r="13" spans="1:29" ht="24.75" customHeight="1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>+E13/30*F13</f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4"/>
        <v>3583532</v>
      </c>
    </row>
    <row r="14" spans="1:29" ht="24.75" customHeight="1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7</v>
      </c>
      <c r="G14" s="39">
        <f>+E14/30*F14</f>
        <v>1050000</v>
      </c>
      <c r="H14" s="39"/>
      <c r="I14" s="39"/>
      <c r="J14" s="39"/>
      <c r="K14" s="39"/>
      <c r="L14" s="39"/>
      <c r="M14" s="39">
        <f>((300000/30)*7)</f>
        <v>70000</v>
      </c>
      <c r="N14" s="39">
        <f t="shared" si="2"/>
        <v>1120000</v>
      </c>
      <c r="O14" s="39">
        <f>+G14*4%</f>
        <v>42000</v>
      </c>
      <c r="P14" s="39">
        <f>+O14</f>
        <v>42000</v>
      </c>
      <c r="Q14" s="39"/>
      <c r="R14" s="39"/>
      <c r="S14" s="39">
        <f t="shared" si="3"/>
        <v>10500</v>
      </c>
      <c r="T14" s="48"/>
      <c r="U14" s="39"/>
      <c r="V14" s="39"/>
      <c r="W14" s="39">
        <f t="shared" si="0"/>
        <v>94500</v>
      </c>
      <c r="X14" s="40">
        <f t="shared" si="1"/>
        <v>1025500</v>
      </c>
      <c r="Y14" s="40"/>
      <c r="Z14" s="41"/>
      <c r="AA14" s="40">
        <f t="shared" si="4"/>
        <v>1025500</v>
      </c>
    </row>
    <row r="15" spans="1:29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/>
      <c r="N15" s="39">
        <f>SUM(G15:M15)</f>
        <v>4500000</v>
      </c>
      <c r="O15" s="39">
        <f t="shared" ref="O15:O16" si="5">+G15*4%</f>
        <v>180000</v>
      </c>
      <c r="P15" s="39">
        <f>+O15</f>
        <v>180000</v>
      </c>
      <c r="Q15" s="39"/>
      <c r="R15" s="39"/>
      <c r="S15" s="39">
        <f>N15*1%</f>
        <v>45000</v>
      </c>
      <c r="T15" s="48">
        <v>98752</v>
      </c>
      <c r="U15" s="39"/>
      <c r="V15" s="39"/>
      <c r="W15" s="39">
        <f t="shared" si="0"/>
        <v>503752</v>
      </c>
      <c r="X15" s="40">
        <f>N15-W15</f>
        <v>3996248</v>
      </c>
      <c r="Y15" s="40"/>
      <c r="Z15" s="41"/>
      <c r="AA15" s="40">
        <f t="shared" si="4"/>
        <v>3996248</v>
      </c>
    </row>
    <row r="16" spans="1:29" ht="21.75" customHeight="1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5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4"/>
        <v>3996248</v>
      </c>
    </row>
    <row r="17" spans="1:27" ht="12.75" x14ac:dyDescent="0.25">
      <c r="A17" s="120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4"/>
        <v>3631758</v>
      </c>
    </row>
    <row r="18" spans="1:27" ht="12.75" x14ac:dyDescent="0.25">
      <c r="A18" s="120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6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4"/>
        <v>4153110</v>
      </c>
    </row>
    <row r="19" spans="1:27" ht="23.25" customHeight="1" x14ac:dyDescent="0.25">
      <c r="A19" s="120"/>
      <c r="B19" s="123">
        <v>16</v>
      </c>
      <c r="C19" s="37" t="s">
        <v>47</v>
      </c>
      <c r="D19" s="38" t="s">
        <v>32</v>
      </c>
      <c r="E19" s="39">
        <v>4200000</v>
      </c>
      <c r="F19" s="39">
        <v>30</v>
      </c>
      <c r="G19" s="39">
        <f t="shared" ref="G19:G24" si="7">+E19/30*F19</f>
        <v>4200000</v>
      </c>
      <c r="H19" s="39"/>
      <c r="I19" s="39"/>
      <c r="J19" s="39"/>
      <c r="K19" s="39"/>
      <c r="L19" s="39"/>
      <c r="M19" s="39"/>
      <c r="N19" s="39">
        <f t="shared" si="2"/>
        <v>4200000</v>
      </c>
      <c r="O19" s="39">
        <f t="shared" si="6"/>
        <v>168000</v>
      </c>
      <c r="P19" s="39">
        <f>O19</f>
        <v>168000</v>
      </c>
      <c r="Q19" s="39"/>
      <c r="R19" s="39"/>
      <c r="S19" s="39">
        <f>N19*1%</f>
        <v>42000</v>
      </c>
      <c r="T19" s="48">
        <v>58139</v>
      </c>
      <c r="U19" s="39"/>
      <c r="V19" s="39"/>
      <c r="W19" s="39">
        <f t="shared" si="0"/>
        <v>436139</v>
      </c>
      <c r="X19" s="40">
        <f>N19-W19</f>
        <v>3763861</v>
      </c>
      <c r="Y19" s="40"/>
      <c r="Z19" s="41"/>
      <c r="AA19" s="40">
        <f t="shared" si="4"/>
        <v>3763861</v>
      </c>
    </row>
    <row r="20" spans="1:27" ht="12.75" x14ac:dyDescent="0.25">
      <c r="A20" s="120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7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6" si="8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4"/>
        <v>4228636</v>
      </c>
    </row>
    <row r="21" spans="1:27" ht="12.75" x14ac:dyDescent="0.25">
      <c r="A21" s="120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7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8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4"/>
        <v>3503500</v>
      </c>
    </row>
    <row r="22" spans="1:27" ht="12.75" x14ac:dyDescent="0.25">
      <c r="A22" s="120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7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8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4"/>
        <v>4347279</v>
      </c>
    </row>
    <row r="23" spans="1:27" ht="26.25" customHeight="1" x14ac:dyDescent="0.25">
      <c r="A23" s="120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7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8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4"/>
        <v>3185000</v>
      </c>
    </row>
    <row r="24" spans="1:27" ht="26.25" customHeight="1" x14ac:dyDescent="0.25">
      <c r="A24" s="120"/>
      <c r="B24" s="123">
        <v>21</v>
      </c>
      <c r="C24" s="37" t="s">
        <v>105</v>
      </c>
      <c r="D24" s="38" t="s">
        <v>32</v>
      </c>
      <c r="E24" s="39">
        <v>4200000</v>
      </c>
      <c r="F24" s="39">
        <v>29</v>
      </c>
      <c r="G24" s="39">
        <f t="shared" si="7"/>
        <v>4060000</v>
      </c>
      <c r="H24" s="39"/>
      <c r="I24" s="39"/>
      <c r="J24" s="39"/>
      <c r="K24" s="39"/>
      <c r="L24" s="39"/>
      <c r="M24" s="39"/>
      <c r="N24" s="39">
        <f t="shared" si="2"/>
        <v>4060000</v>
      </c>
      <c r="O24" s="39">
        <f>+G24*4%</f>
        <v>162400</v>
      </c>
      <c r="P24" s="39">
        <f t="shared" si="8"/>
        <v>162400</v>
      </c>
      <c r="Q24" s="39"/>
      <c r="R24" s="39"/>
      <c r="S24" s="39">
        <f t="shared" si="3"/>
        <v>40600</v>
      </c>
      <c r="T24" s="39">
        <v>2545</v>
      </c>
      <c r="U24" s="39">
        <v>55594</v>
      </c>
      <c r="V24" s="39"/>
      <c r="W24" s="39">
        <f t="shared" si="0"/>
        <v>423539</v>
      </c>
      <c r="X24" s="40">
        <f>+N24-W24</f>
        <v>3636461</v>
      </c>
      <c r="Y24" s="40"/>
      <c r="Z24" s="41"/>
      <c r="AA24" s="40">
        <f t="shared" si="4"/>
        <v>3636461</v>
      </c>
    </row>
    <row r="25" spans="1:27" ht="24" customHeight="1" x14ac:dyDescent="0.25">
      <c r="A25" s="120"/>
      <c r="B25" s="123">
        <v>22</v>
      </c>
      <c r="C25" s="37" t="s">
        <v>52</v>
      </c>
      <c r="D25" s="38" t="s">
        <v>32</v>
      </c>
      <c r="E25" s="39">
        <v>3750000</v>
      </c>
      <c r="F25" s="39">
        <v>30</v>
      </c>
      <c r="G25" s="39">
        <f>E25/30*F25</f>
        <v>3750000</v>
      </c>
      <c r="H25" s="39"/>
      <c r="I25" s="39"/>
      <c r="J25" s="39"/>
      <c r="K25" s="39"/>
      <c r="L25" s="39"/>
      <c r="M25" s="39"/>
      <c r="N25" s="39">
        <f t="shared" si="2"/>
        <v>3750000</v>
      </c>
      <c r="O25" s="39">
        <f t="shared" ref="O25:O26" si="9">+G25*4%</f>
        <v>150000</v>
      </c>
      <c r="P25" s="39">
        <f t="shared" si="8"/>
        <v>150000</v>
      </c>
      <c r="Q25" s="39"/>
      <c r="R25" s="39"/>
      <c r="S25" s="39">
        <f t="shared" si="3"/>
        <v>37500</v>
      </c>
      <c r="T25" s="39">
        <v>0</v>
      </c>
      <c r="U25" s="39"/>
      <c r="V25" s="39"/>
      <c r="W25" s="39">
        <f t="shared" si="0"/>
        <v>337500</v>
      </c>
      <c r="X25" s="40">
        <f>+N25-W25</f>
        <v>3412500</v>
      </c>
      <c r="Y25" s="40"/>
      <c r="Z25" s="41"/>
      <c r="AA25" s="40">
        <f t="shared" si="4"/>
        <v>3412500</v>
      </c>
    </row>
    <row r="26" spans="1:27" ht="19.5" customHeight="1" x14ac:dyDescent="0.25">
      <c r="A26" s="120"/>
      <c r="B26" s="123">
        <v>23</v>
      </c>
      <c r="C26" s="118" t="s">
        <v>53</v>
      </c>
      <c r="D26" s="45" t="s">
        <v>32</v>
      </c>
      <c r="E26" s="39">
        <v>4200000</v>
      </c>
      <c r="F26" s="39">
        <v>30</v>
      </c>
      <c r="G26" s="39">
        <f t="shared" ref="G26:G33" si="10">+E26/30*F26</f>
        <v>4200000</v>
      </c>
      <c r="H26" s="39"/>
      <c r="I26" s="39"/>
      <c r="J26" s="39"/>
      <c r="K26" s="39"/>
      <c r="L26" s="39"/>
      <c r="M26" s="39"/>
      <c r="N26" s="39">
        <f t="shared" si="2"/>
        <v>4200000</v>
      </c>
      <c r="O26" s="39">
        <f t="shared" si="9"/>
        <v>168000</v>
      </c>
      <c r="P26" s="39">
        <f t="shared" si="8"/>
        <v>168000</v>
      </c>
      <c r="Q26" s="39"/>
      <c r="R26" s="39"/>
      <c r="S26" s="39">
        <f>N26*1%</f>
        <v>42000</v>
      </c>
      <c r="T26" s="39">
        <v>58139</v>
      </c>
      <c r="U26" s="39"/>
      <c r="V26" s="39"/>
      <c r="W26" s="39">
        <f t="shared" si="0"/>
        <v>436139</v>
      </c>
      <c r="X26" s="40">
        <f>N26-W26</f>
        <v>3763861</v>
      </c>
      <c r="Y26" s="40"/>
      <c r="Z26" s="41"/>
      <c r="AA26" s="40">
        <f t="shared" si="4"/>
        <v>3763861</v>
      </c>
    </row>
    <row r="27" spans="1:27" ht="19.5" customHeight="1" x14ac:dyDescent="0.25">
      <c r="A27" s="120"/>
      <c r="B27" s="123">
        <v>24</v>
      </c>
      <c r="C27" s="118" t="s">
        <v>54</v>
      </c>
      <c r="D27" s="45" t="s">
        <v>32</v>
      </c>
      <c r="E27" s="39">
        <v>5000000</v>
      </c>
      <c r="F27" s="39">
        <v>30</v>
      </c>
      <c r="G27" s="39">
        <f t="shared" si="10"/>
        <v>5000000</v>
      </c>
      <c r="H27" s="39"/>
      <c r="I27" s="39"/>
      <c r="J27" s="39"/>
      <c r="K27" s="39"/>
      <c r="L27" s="39"/>
      <c r="M27" s="39">
        <f>400000/30*F27</f>
        <v>400000</v>
      </c>
      <c r="N27" s="39">
        <f t="shared" si="2"/>
        <v>5400000</v>
      </c>
      <c r="O27" s="39">
        <f>G27*4%</f>
        <v>200000</v>
      </c>
      <c r="P27" s="39">
        <f>O27</f>
        <v>200000</v>
      </c>
      <c r="Q27" s="39"/>
      <c r="R27" s="39"/>
      <c r="S27" s="39">
        <f>G27*1%</f>
        <v>50000</v>
      </c>
      <c r="T27" s="39">
        <v>166439</v>
      </c>
      <c r="U27" s="39"/>
      <c r="V27" s="39"/>
      <c r="W27" s="39">
        <f t="shared" si="0"/>
        <v>616439</v>
      </c>
      <c r="X27" s="40">
        <f>N27-W27</f>
        <v>4783561</v>
      </c>
      <c r="Y27" s="40"/>
      <c r="Z27" s="41"/>
      <c r="AA27" s="40">
        <f t="shared" si="4"/>
        <v>4783561</v>
      </c>
    </row>
    <row r="28" spans="1:27" ht="25.5" x14ac:dyDescent="0.25">
      <c r="A28" s="120"/>
      <c r="B28" s="123">
        <v>25</v>
      </c>
      <c r="C28" s="37" t="s">
        <v>55</v>
      </c>
      <c r="D28" s="38" t="s">
        <v>32</v>
      </c>
      <c r="E28" s="39">
        <v>4410000</v>
      </c>
      <c r="F28" s="39">
        <v>30</v>
      </c>
      <c r="G28" s="39">
        <f t="shared" si="10"/>
        <v>4410000</v>
      </c>
      <c r="H28" s="39"/>
      <c r="I28" s="39"/>
      <c r="J28" s="39"/>
      <c r="K28" s="39"/>
      <c r="L28" s="39"/>
      <c r="M28" s="39"/>
      <c r="N28" s="39">
        <f>SUM(G28:M28)</f>
        <v>4410000</v>
      </c>
      <c r="O28" s="39">
        <f>+G28*4%</f>
        <v>176400</v>
      </c>
      <c r="P28" s="39">
        <f>+O28</f>
        <v>176400</v>
      </c>
      <c r="Q28" s="39"/>
      <c r="R28" s="39"/>
      <c r="S28" s="39">
        <f t="shared" si="3"/>
        <v>44100</v>
      </c>
      <c r="T28" s="39">
        <v>86568</v>
      </c>
      <c r="U28" s="39"/>
      <c r="V28" s="39"/>
      <c r="W28" s="39">
        <f t="shared" si="0"/>
        <v>483468</v>
      </c>
      <c r="X28" s="40">
        <f>+N28-W28</f>
        <v>3926532</v>
      </c>
      <c r="Y28" s="40"/>
      <c r="Z28" s="41"/>
      <c r="AA28" s="40">
        <f t="shared" si="4"/>
        <v>3926532</v>
      </c>
    </row>
    <row r="29" spans="1:27" ht="12.75" x14ac:dyDescent="0.25">
      <c r="A29" s="120"/>
      <c r="B29" s="123">
        <v>26</v>
      </c>
      <c r="C29" s="37" t="s">
        <v>56</v>
      </c>
      <c r="D29" s="38" t="s">
        <v>32</v>
      </c>
      <c r="E29" s="39">
        <v>4180000</v>
      </c>
      <c r="F29" s="39">
        <v>30</v>
      </c>
      <c r="G29" s="39">
        <f t="shared" si="10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4"/>
        <v>4248368</v>
      </c>
    </row>
    <row r="30" spans="1:27" ht="12.75" x14ac:dyDescent="0.25">
      <c r="A30" s="120"/>
      <c r="B30" s="123">
        <v>27</v>
      </c>
      <c r="C30" s="37" t="s">
        <v>57</v>
      </c>
      <c r="D30" s="38" t="s">
        <v>32</v>
      </c>
      <c r="E30" s="39">
        <v>4000000</v>
      </c>
      <c r="F30" s="39">
        <v>30</v>
      </c>
      <c r="G30" s="39">
        <f t="shared" si="10"/>
        <v>4000000.0000000005</v>
      </c>
      <c r="H30" s="39"/>
      <c r="I30" s="39"/>
      <c r="J30" s="39"/>
      <c r="K30" s="39"/>
      <c r="L30" s="39"/>
      <c r="M30" s="39"/>
      <c r="N30" s="39">
        <f t="shared" ref="N30:N32" si="11">SUM(G30:M30)</f>
        <v>4000000.0000000005</v>
      </c>
      <c r="O30" s="39">
        <f t="shared" ref="O30:O31" si="12">+G30*4%</f>
        <v>160000.00000000003</v>
      </c>
      <c r="P30" s="39">
        <f>O30</f>
        <v>160000.00000000003</v>
      </c>
      <c r="Q30" s="39"/>
      <c r="R30" s="39"/>
      <c r="S30" s="39">
        <v>40000</v>
      </c>
      <c r="T30" s="39">
        <v>31064</v>
      </c>
      <c r="U30" s="39"/>
      <c r="V30" s="39"/>
      <c r="W30" s="39">
        <f t="shared" si="0"/>
        <v>391064.00000000006</v>
      </c>
      <c r="X30" s="40">
        <f>N30-W30</f>
        <v>3608936.0000000005</v>
      </c>
      <c r="Y30" s="40"/>
      <c r="Z30" s="41"/>
      <c r="AA30" s="40">
        <f t="shared" si="4"/>
        <v>3608936.0000000005</v>
      </c>
    </row>
    <row r="31" spans="1:27" ht="21.75" customHeight="1" x14ac:dyDescent="0.25">
      <c r="A31" s="120"/>
      <c r="B31" s="123">
        <v>28</v>
      </c>
      <c r="C31" s="37" t="s">
        <v>58</v>
      </c>
      <c r="D31" s="38" t="s">
        <v>32</v>
      </c>
      <c r="E31" s="39">
        <v>4500000</v>
      </c>
      <c r="F31" s="39">
        <v>30</v>
      </c>
      <c r="G31" s="39">
        <f t="shared" si="10"/>
        <v>4500000</v>
      </c>
      <c r="H31" s="39"/>
      <c r="I31" s="39">
        <v>291334</v>
      </c>
      <c r="J31" s="39"/>
      <c r="K31" s="39"/>
      <c r="L31" s="39"/>
      <c r="M31" s="39">
        <v>300000</v>
      </c>
      <c r="N31" s="39">
        <f t="shared" si="11"/>
        <v>5091334</v>
      </c>
      <c r="O31" s="39">
        <f t="shared" si="12"/>
        <v>180000</v>
      </c>
      <c r="P31" s="39">
        <f>O31</f>
        <v>180000</v>
      </c>
      <c r="Q31" s="39"/>
      <c r="R31" s="39"/>
      <c r="S31" s="39">
        <v>40000</v>
      </c>
      <c r="T31" s="39">
        <v>98752</v>
      </c>
      <c r="U31" s="39"/>
      <c r="V31" s="39"/>
      <c r="W31" s="39">
        <f t="shared" si="0"/>
        <v>498752</v>
      </c>
      <c r="X31" s="40">
        <f>N31-W31</f>
        <v>4592582</v>
      </c>
      <c r="Y31" s="40"/>
      <c r="Z31" s="41"/>
      <c r="AA31" s="40">
        <f t="shared" si="4"/>
        <v>4592582</v>
      </c>
    </row>
    <row r="32" spans="1:27" ht="23.25" customHeight="1" x14ac:dyDescent="0.25">
      <c r="A32" s="120"/>
      <c r="B32" s="123">
        <v>29</v>
      </c>
      <c r="C32" s="37" t="s">
        <v>59</v>
      </c>
      <c r="D32" s="38" t="s">
        <v>32</v>
      </c>
      <c r="E32" s="39">
        <v>5500000</v>
      </c>
      <c r="F32" s="39">
        <v>30</v>
      </c>
      <c r="G32" s="39">
        <f t="shared" si="10"/>
        <v>5500000</v>
      </c>
      <c r="H32" s="39"/>
      <c r="I32" s="39"/>
      <c r="J32" s="39"/>
      <c r="K32" s="39"/>
      <c r="L32" s="39"/>
      <c r="M32" s="39"/>
      <c r="N32" s="39">
        <f t="shared" si="11"/>
        <v>5500000</v>
      </c>
      <c r="O32" s="39">
        <f>+G32*4%</f>
        <v>220000</v>
      </c>
      <c r="P32" s="39">
        <f>+O32</f>
        <v>220000</v>
      </c>
      <c r="Q32" s="39"/>
      <c r="R32" s="39"/>
      <c r="S32" s="39">
        <f t="shared" si="3"/>
        <v>55000</v>
      </c>
      <c r="T32" s="39">
        <v>91627</v>
      </c>
      <c r="U32" s="39">
        <v>1000000</v>
      </c>
      <c r="V32" s="39"/>
      <c r="W32" s="39">
        <f t="shared" si="0"/>
        <v>1586627</v>
      </c>
      <c r="X32" s="40">
        <f>N32-W32</f>
        <v>3913373</v>
      </c>
      <c r="Y32" s="40"/>
      <c r="Z32" s="41"/>
      <c r="AA32" s="40">
        <f t="shared" si="4"/>
        <v>3913373</v>
      </c>
    </row>
    <row r="33" spans="1:28" ht="23.25" customHeight="1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10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4"/>
        <v>1902500</v>
      </c>
    </row>
    <row r="34" spans="1:28" ht="18" customHeight="1" x14ac:dyDescent="0.25">
      <c r="A34" s="120"/>
      <c r="B34" s="123">
        <v>31</v>
      </c>
      <c r="C34" s="118" t="s">
        <v>62</v>
      </c>
      <c r="D34" s="45" t="s">
        <v>32</v>
      </c>
      <c r="E34" s="39">
        <v>1800000</v>
      </c>
      <c r="F34" s="39">
        <v>30</v>
      </c>
      <c r="G34" s="39">
        <f>E34/30*F34</f>
        <v>1800000</v>
      </c>
      <c r="H34" s="39"/>
      <c r="I34" s="39"/>
      <c r="J34" s="39"/>
      <c r="K34" s="39"/>
      <c r="L34" s="39"/>
      <c r="M34" s="39">
        <v>300000</v>
      </c>
      <c r="N34" s="39">
        <f>SUM(G34:M34)</f>
        <v>2100000</v>
      </c>
      <c r="O34" s="39">
        <f>G34*4%</f>
        <v>72000</v>
      </c>
      <c r="P34" s="39">
        <f>+G34*4%</f>
        <v>72000</v>
      </c>
      <c r="Q34" s="39"/>
      <c r="R34" s="39"/>
      <c r="S34" s="39"/>
      <c r="T34" s="39"/>
      <c r="U34" s="39"/>
      <c r="V34" s="39">
        <v>90000</v>
      </c>
      <c r="W34" s="39">
        <f t="shared" si="0"/>
        <v>234000</v>
      </c>
      <c r="X34" s="40">
        <f>N34-W34</f>
        <v>1866000</v>
      </c>
      <c r="Y34" s="40"/>
      <c r="Z34" s="41"/>
      <c r="AA34" s="40">
        <f t="shared" si="4"/>
        <v>1866000</v>
      </c>
    </row>
    <row r="35" spans="1:28" ht="25.5" customHeight="1" x14ac:dyDescent="0.25">
      <c r="A35" s="120"/>
      <c r="B35" s="123">
        <v>32</v>
      </c>
      <c r="C35" s="37" t="s">
        <v>63</v>
      </c>
      <c r="D35" s="38" t="s">
        <v>32</v>
      </c>
      <c r="E35" s="39">
        <v>3000000</v>
      </c>
      <c r="F35" s="39">
        <v>30</v>
      </c>
      <c r="G35" s="39">
        <f>+E35/30*F35</f>
        <v>3000000</v>
      </c>
      <c r="H35" s="39"/>
      <c r="I35" s="39"/>
      <c r="J35" s="39"/>
      <c r="K35" s="39"/>
      <c r="L35" s="39"/>
      <c r="M35" s="39">
        <v>500000</v>
      </c>
      <c r="N35" s="39">
        <f>SUM(G35:M35)</f>
        <v>3500000</v>
      </c>
      <c r="O35" s="39">
        <f>+G35*4%</f>
        <v>120000</v>
      </c>
      <c r="P35" s="39">
        <f>+O35</f>
        <v>120000</v>
      </c>
      <c r="Q35" s="39"/>
      <c r="R35" s="39"/>
      <c r="S35" s="39">
        <f>+G35*0.01</f>
        <v>30000</v>
      </c>
      <c r="T35" s="39"/>
      <c r="U35" s="39"/>
      <c r="V35" s="39"/>
      <c r="W35" s="39">
        <f t="shared" si="0"/>
        <v>270000</v>
      </c>
      <c r="X35" s="40">
        <f>+N35-W35</f>
        <v>3230000</v>
      </c>
      <c r="Y35" s="40"/>
      <c r="Z35" s="41"/>
      <c r="AA35" s="40">
        <f t="shared" si="4"/>
        <v>3230000</v>
      </c>
    </row>
    <row r="36" spans="1:28" ht="23.25" customHeight="1" x14ac:dyDescent="0.25">
      <c r="A36" s="120"/>
      <c r="B36" s="123">
        <v>33</v>
      </c>
      <c r="C36" s="37" t="s">
        <v>65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 t="shared" ref="N36:N52" si="13">SUM(G36:M36)</f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4"/>
        <v>644350</v>
      </c>
    </row>
    <row r="37" spans="1:28" ht="22.5" customHeight="1" x14ac:dyDescent="0.25">
      <c r="A37" s="120"/>
      <c r="B37" s="123">
        <v>34</v>
      </c>
      <c r="C37" s="37" t="s">
        <v>66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 t="shared" si="13"/>
        <v>644350</v>
      </c>
      <c r="O37" s="39"/>
      <c r="P37" s="39"/>
      <c r="Q37" s="39"/>
      <c r="R37" s="39"/>
      <c r="S37" s="39"/>
      <c r="T37" s="39"/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4"/>
        <v>644350</v>
      </c>
    </row>
    <row r="38" spans="1:28" ht="18" customHeight="1" x14ac:dyDescent="0.25">
      <c r="A38" s="120"/>
      <c r="B38" s="123">
        <v>35</v>
      </c>
      <c r="C38" s="118" t="s">
        <v>67</v>
      </c>
      <c r="D38" s="45" t="s">
        <v>32</v>
      </c>
      <c r="E38" s="39">
        <v>1300000</v>
      </c>
      <c r="F38" s="39">
        <v>30</v>
      </c>
      <c r="G38" s="39">
        <f>+E38/30*F38</f>
        <v>1300000</v>
      </c>
      <c r="H38" s="39"/>
      <c r="I38" s="39"/>
      <c r="J38" s="39"/>
      <c r="K38" s="39"/>
      <c r="L38" s="39"/>
      <c r="M38" s="39"/>
      <c r="N38" s="39">
        <f t="shared" si="13"/>
        <v>1300000</v>
      </c>
      <c r="O38" s="39">
        <f>G38*4%</f>
        <v>52000</v>
      </c>
      <c r="P38" s="39">
        <f>+O38</f>
        <v>52000</v>
      </c>
      <c r="Q38" s="39"/>
      <c r="R38" s="39"/>
      <c r="S38" s="39"/>
      <c r="T38" s="39"/>
      <c r="U38" s="39"/>
      <c r="V38" s="39"/>
      <c r="W38" s="39">
        <f t="shared" si="0"/>
        <v>104000</v>
      </c>
      <c r="X38" s="40">
        <f>N38-W38</f>
        <v>1196000</v>
      </c>
      <c r="Y38" s="40"/>
      <c r="Z38" s="41"/>
      <c r="AA38" s="40">
        <f t="shared" si="4"/>
        <v>1196000</v>
      </c>
    </row>
    <row r="39" spans="1:28" ht="24" customHeight="1" x14ac:dyDescent="0.25">
      <c r="A39" s="120"/>
      <c r="B39" s="123">
        <v>36</v>
      </c>
      <c r="C39" s="37" t="s">
        <v>68</v>
      </c>
      <c r="D39" s="38" t="s">
        <v>32</v>
      </c>
      <c r="E39" s="39">
        <v>2500000</v>
      </c>
      <c r="F39" s="39">
        <v>30</v>
      </c>
      <c r="G39" s="39">
        <v>2500000</v>
      </c>
      <c r="H39" s="39"/>
      <c r="I39" s="39"/>
      <c r="J39" s="39"/>
      <c r="K39" s="39"/>
      <c r="L39" s="39"/>
      <c r="M39" s="39">
        <v>500000</v>
      </c>
      <c r="N39" s="39">
        <f t="shared" si="13"/>
        <v>3000000</v>
      </c>
      <c r="O39" s="39">
        <f>G39*4%</f>
        <v>100000</v>
      </c>
      <c r="P39" s="39">
        <f>O39</f>
        <v>100000</v>
      </c>
      <c r="Q39" s="39"/>
      <c r="R39" s="39"/>
      <c r="S39" s="39"/>
      <c r="T39" s="39"/>
      <c r="U39" s="39"/>
      <c r="V39" s="39"/>
      <c r="W39" s="39">
        <f t="shared" si="0"/>
        <v>200000</v>
      </c>
      <c r="X39" s="40">
        <f t="shared" ref="X39:X43" si="14">N39-W39</f>
        <v>2800000</v>
      </c>
      <c r="Y39" s="40"/>
      <c r="Z39" s="41"/>
      <c r="AA39" s="40">
        <f t="shared" si="4"/>
        <v>2800000</v>
      </c>
    </row>
    <row r="40" spans="1:28" ht="24" customHeight="1" x14ac:dyDescent="0.25">
      <c r="A40" s="120"/>
      <c r="B40" s="123">
        <v>37</v>
      </c>
      <c r="C40" s="37" t="s">
        <v>69</v>
      </c>
      <c r="D40" s="38" t="s">
        <v>32</v>
      </c>
      <c r="E40" s="39">
        <v>1500000</v>
      </c>
      <c r="F40" s="39">
        <v>30</v>
      </c>
      <c r="G40" s="39">
        <f>E40/30*F40</f>
        <v>1500000</v>
      </c>
      <c r="H40" s="39"/>
      <c r="I40" s="39"/>
      <c r="J40" s="39"/>
      <c r="K40" s="39"/>
      <c r="L40" s="39"/>
      <c r="M40" s="39"/>
      <c r="N40" s="39">
        <f t="shared" si="13"/>
        <v>1500000</v>
      </c>
      <c r="O40" s="39">
        <f t="shared" ref="O40:O41" si="15">G40*4%</f>
        <v>60000</v>
      </c>
      <c r="P40" s="39">
        <f>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14"/>
        <v>1380000</v>
      </c>
      <c r="Y40" s="40"/>
      <c r="Z40" s="41"/>
      <c r="AA40" s="40">
        <f t="shared" si="4"/>
        <v>1380000</v>
      </c>
    </row>
    <row r="41" spans="1:28" ht="12.75" x14ac:dyDescent="0.25">
      <c r="A41" s="120"/>
      <c r="B41" s="123">
        <v>38</v>
      </c>
      <c r="C41" s="37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 t="shared" si="13"/>
        <v>1700000</v>
      </c>
      <c r="O41" s="39">
        <f t="shared" si="15"/>
        <v>68000</v>
      </c>
      <c r="P41" s="39">
        <f>O41</f>
        <v>68000</v>
      </c>
      <c r="Q41" s="39"/>
      <c r="R41" s="39"/>
      <c r="S41" s="39"/>
      <c r="T41" s="39"/>
      <c r="U41" s="39"/>
      <c r="V41" s="39"/>
      <c r="W41" s="39">
        <f t="shared" si="0"/>
        <v>136000</v>
      </c>
      <c r="X41" s="40">
        <f t="shared" si="14"/>
        <v>1564000</v>
      </c>
      <c r="Y41" s="40"/>
      <c r="Z41" s="41"/>
      <c r="AA41" s="40">
        <f t="shared" si="4"/>
        <v>1564000</v>
      </c>
    </row>
    <row r="42" spans="1:28" ht="25.5" customHeight="1" x14ac:dyDescent="0.25">
      <c r="A42" s="120"/>
      <c r="B42" s="123">
        <v>39</v>
      </c>
      <c r="C42" s="37" t="s">
        <v>71</v>
      </c>
      <c r="D42" s="38" t="s">
        <v>32</v>
      </c>
      <c r="E42" s="39">
        <v>1300000</v>
      </c>
      <c r="F42" s="39">
        <v>27</v>
      </c>
      <c r="G42" s="39">
        <f>E42/30*F42</f>
        <v>1170000</v>
      </c>
      <c r="H42" s="39"/>
      <c r="I42" s="39"/>
      <c r="J42" s="39"/>
      <c r="K42" s="39"/>
      <c r="L42" s="39"/>
      <c r="M42" s="39"/>
      <c r="N42" s="39">
        <f t="shared" si="13"/>
        <v>1170000</v>
      </c>
      <c r="O42" s="39">
        <f>G42*4%</f>
        <v>46800</v>
      </c>
      <c r="P42" s="39">
        <f>O42</f>
        <v>46800</v>
      </c>
      <c r="Q42" s="39"/>
      <c r="R42" s="39"/>
      <c r="S42" s="39"/>
      <c r="T42" s="39"/>
      <c r="U42" s="39"/>
      <c r="V42" s="39"/>
      <c r="W42" s="39">
        <f t="shared" si="0"/>
        <v>93600</v>
      </c>
      <c r="X42" s="40">
        <f t="shared" si="14"/>
        <v>1076400</v>
      </c>
      <c r="Y42" s="40"/>
      <c r="Z42" s="41"/>
      <c r="AA42" s="40">
        <f t="shared" si="4"/>
        <v>1076400</v>
      </c>
    </row>
    <row r="43" spans="1:28" ht="12.75" x14ac:dyDescent="0.25">
      <c r="A43" s="120"/>
      <c r="B43" s="123">
        <v>40</v>
      </c>
      <c r="C43" s="118" t="s">
        <v>72</v>
      </c>
      <c r="D43" s="45" t="s">
        <v>32</v>
      </c>
      <c r="E43" s="39">
        <v>2500000</v>
      </c>
      <c r="F43" s="39">
        <v>30</v>
      </c>
      <c r="G43" s="39">
        <f>+E43/30*F43</f>
        <v>2500000</v>
      </c>
      <c r="H43" s="39"/>
      <c r="I43" s="39"/>
      <c r="J43" s="39"/>
      <c r="K43" s="39"/>
      <c r="L43" s="39"/>
      <c r="M43" s="39"/>
      <c r="N43" s="39">
        <f t="shared" si="13"/>
        <v>2500000</v>
      </c>
      <c r="O43" s="39">
        <f>+G43*4%</f>
        <v>100000</v>
      </c>
      <c r="P43" s="39">
        <f>+O43</f>
        <v>100000</v>
      </c>
      <c r="Q43" s="39"/>
      <c r="R43" s="39"/>
      <c r="S43" s="39"/>
      <c r="T43" s="39"/>
      <c r="U43" s="39"/>
      <c r="V43" s="39"/>
      <c r="W43" s="39">
        <f t="shared" si="0"/>
        <v>200000</v>
      </c>
      <c r="X43" s="40">
        <f t="shared" si="14"/>
        <v>2300000</v>
      </c>
      <c r="Y43" s="40"/>
      <c r="Z43" s="41"/>
      <c r="AA43" s="40">
        <f t="shared" si="4"/>
        <v>2300000</v>
      </c>
    </row>
    <row r="44" spans="1:28" ht="12.75" x14ac:dyDescent="0.25">
      <c r="A44" s="120"/>
      <c r="B44" s="123">
        <v>41</v>
      </c>
      <c r="C44" s="37" t="s">
        <v>74</v>
      </c>
      <c r="D44" s="38" t="s">
        <v>32</v>
      </c>
      <c r="E44" s="39">
        <v>1000000</v>
      </c>
      <c r="F44" s="39">
        <v>30</v>
      </c>
      <c r="G44" s="39">
        <f>E44/30*F44</f>
        <v>1000000.0000000001</v>
      </c>
      <c r="H44" s="39">
        <v>74000</v>
      </c>
      <c r="I44" s="39">
        <v>71533</v>
      </c>
      <c r="J44" s="39"/>
      <c r="K44" s="39"/>
      <c r="L44" s="39"/>
      <c r="M44" s="39"/>
      <c r="N44" s="39">
        <f t="shared" si="13"/>
        <v>1145533</v>
      </c>
      <c r="O44" s="39">
        <f>+G44*4%</f>
        <v>40000.000000000007</v>
      </c>
      <c r="P44" s="39">
        <f t="shared" ref="P44:P53" si="16">+O44</f>
        <v>40000.000000000007</v>
      </c>
      <c r="Q44" s="39"/>
      <c r="R44" s="39"/>
      <c r="S44" s="39"/>
      <c r="T44" s="39"/>
      <c r="U44" s="39"/>
      <c r="V44" s="39"/>
      <c r="W44" s="39">
        <f t="shared" si="0"/>
        <v>80000.000000000015</v>
      </c>
      <c r="X44" s="40">
        <f t="shared" ref="X44:X49" si="17">+N44-W44</f>
        <v>1065533</v>
      </c>
      <c r="Y44" s="40"/>
      <c r="Z44" s="41"/>
      <c r="AA44" s="40">
        <f t="shared" si="4"/>
        <v>1065533</v>
      </c>
    </row>
    <row r="45" spans="1:28" ht="22.5" customHeight="1" x14ac:dyDescent="0.25">
      <c r="A45" s="120"/>
      <c r="B45" s="123">
        <v>42</v>
      </c>
      <c r="C45" s="37" t="s">
        <v>75</v>
      </c>
      <c r="D45" s="38" t="s">
        <v>32</v>
      </c>
      <c r="E45" s="39">
        <v>3000000</v>
      </c>
      <c r="F45" s="39">
        <v>30</v>
      </c>
      <c r="G45" s="39">
        <f t="shared" ref="G45:G52" si="18">+E45/30*F45</f>
        <v>3000000</v>
      </c>
      <c r="H45" s="39"/>
      <c r="I45" s="39"/>
      <c r="J45" s="39"/>
      <c r="K45" s="39"/>
      <c r="L45" s="39"/>
      <c r="M45" s="39"/>
      <c r="N45" s="39">
        <f t="shared" si="13"/>
        <v>3000000</v>
      </c>
      <c r="O45" s="39">
        <f>+G45*4%</f>
        <v>120000</v>
      </c>
      <c r="P45" s="39">
        <f t="shared" si="16"/>
        <v>120000</v>
      </c>
      <c r="Q45" s="39"/>
      <c r="R45" s="39"/>
      <c r="S45" s="39">
        <f>N45*1%</f>
        <v>30000</v>
      </c>
      <c r="T45" s="39"/>
      <c r="U45" s="39"/>
      <c r="V45" s="39"/>
      <c r="W45" s="39">
        <f t="shared" si="0"/>
        <v>270000</v>
      </c>
      <c r="X45" s="40">
        <f t="shared" si="17"/>
        <v>2730000</v>
      </c>
      <c r="Y45" s="40"/>
      <c r="Z45" s="41"/>
      <c r="AA45" s="40">
        <f t="shared" si="4"/>
        <v>2730000</v>
      </c>
    </row>
    <row r="46" spans="1:28" ht="21" customHeight="1" x14ac:dyDescent="0.25">
      <c r="A46" s="120"/>
      <c r="B46" s="123">
        <v>43</v>
      </c>
      <c r="C46" s="37" t="s">
        <v>76</v>
      </c>
      <c r="D46" s="38" t="s">
        <v>32</v>
      </c>
      <c r="E46" s="39">
        <v>2500000</v>
      </c>
      <c r="F46" s="39">
        <v>30</v>
      </c>
      <c r="G46" s="39">
        <f t="shared" si="18"/>
        <v>2500000</v>
      </c>
      <c r="H46" s="39"/>
      <c r="I46" s="39"/>
      <c r="J46" s="39"/>
      <c r="K46" s="39"/>
      <c r="L46" s="39">
        <v>90000</v>
      </c>
      <c r="M46" s="39">
        <v>500000</v>
      </c>
      <c r="N46" s="39">
        <f t="shared" si="13"/>
        <v>3090000</v>
      </c>
      <c r="O46" s="39">
        <f>+G46*4%</f>
        <v>100000</v>
      </c>
      <c r="P46" s="39">
        <f t="shared" si="16"/>
        <v>100000</v>
      </c>
      <c r="Q46" s="39"/>
      <c r="R46" s="39"/>
      <c r="S46" s="39">
        <v>0</v>
      </c>
      <c r="T46" s="39"/>
      <c r="U46" s="39"/>
      <c r="V46" s="39"/>
      <c r="W46" s="39">
        <f t="shared" si="0"/>
        <v>200000</v>
      </c>
      <c r="X46" s="40">
        <f t="shared" si="17"/>
        <v>2890000</v>
      </c>
      <c r="Y46" s="40"/>
      <c r="Z46" s="41"/>
      <c r="AA46" s="40">
        <f t="shared" si="4"/>
        <v>2890000</v>
      </c>
      <c r="AB46" s="43" t="s">
        <v>99</v>
      </c>
    </row>
    <row r="47" spans="1:28" ht="22.5" customHeight="1" x14ac:dyDescent="0.25">
      <c r="A47" s="120"/>
      <c r="B47" s="123">
        <v>44</v>
      </c>
      <c r="C47" s="37" t="s">
        <v>77</v>
      </c>
      <c r="D47" s="38" t="s">
        <v>32</v>
      </c>
      <c r="E47" s="39">
        <v>2000000</v>
      </c>
      <c r="F47" s="39">
        <v>30</v>
      </c>
      <c r="G47" s="39">
        <f t="shared" si="18"/>
        <v>2000000.0000000002</v>
      </c>
      <c r="H47" s="39"/>
      <c r="I47" s="39"/>
      <c r="J47" s="39"/>
      <c r="K47" s="39"/>
      <c r="L47" s="39"/>
      <c r="M47" s="39"/>
      <c r="N47" s="39">
        <f t="shared" si="13"/>
        <v>2000000.0000000002</v>
      </c>
      <c r="O47" s="39">
        <f>+G47*4%</f>
        <v>80000.000000000015</v>
      </c>
      <c r="P47" s="39">
        <f t="shared" si="16"/>
        <v>80000.000000000015</v>
      </c>
      <c r="Q47" s="39"/>
      <c r="R47" s="39"/>
      <c r="S47" s="39"/>
      <c r="T47" s="48"/>
      <c r="U47" s="39"/>
      <c r="V47" s="39"/>
      <c r="W47" s="39">
        <f t="shared" si="0"/>
        <v>160000.00000000003</v>
      </c>
      <c r="X47" s="40">
        <f>N47-W47</f>
        <v>1840000.0000000002</v>
      </c>
      <c r="Y47" s="40"/>
      <c r="Z47" s="41"/>
      <c r="AA47" s="40">
        <f t="shared" si="4"/>
        <v>1840000.0000000002</v>
      </c>
    </row>
    <row r="48" spans="1:28" ht="12.75" x14ac:dyDescent="0.25">
      <c r="A48" s="120"/>
      <c r="B48" s="123">
        <v>45</v>
      </c>
      <c r="C48" s="37" t="s">
        <v>78</v>
      </c>
      <c r="D48" s="38" t="s">
        <v>32</v>
      </c>
      <c r="E48" s="39">
        <v>1500000</v>
      </c>
      <c r="F48" s="39">
        <v>30</v>
      </c>
      <c r="G48" s="39">
        <f t="shared" si="18"/>
        <v>1500000</v>
      </c>
      <c r="H48" s="39"/>
      <c r="I48" s="39"/>
      <c r="J48" s="39"/>
      <c r="K48" s="39"/>
      <c r="L48" s="39"/>
      <c r="M48" s="39"/>
      <c r="N48" s="39">
        <f t="shared" si="13"/>
        <v>1500000</v>
      </c>
      <c r="O48" s="39">
        <f>G48*4%</f>
        <v>60000</v>
      </c>
      <c r="P48" s="39">
        <f t="shared" si="16"/>
        <v>60000</v>
      </c>
      <c r="Q48" s="39"/>
      <c r="R48" s="39"/>
      <c r="S48" s="39"/>
      <c r="T48" s="48"/>
      <c r="U48" s="39"/>
      <c r="V48" s="39"/>
      <c r="W48" s="39">
        <f t="shared" si="0"/>
        <v>120000</v>
      </c>
      <c r="X48" s="40">
        <f t="shared" si="17"/>
        <v>1380000</v>
      </c>
      <c r="Y48" s="40"/>
      <c r="Z48" s="41"/>
      <c r="AA48" s="40">
        <f t="shared" si="4"/>
        <v>1380000</v>
      </c>
    </row>
    <row r="49" spans="1:27" ht="24.75" customHeight="1" x14ac:dyDescent="0.25">
      <c r="A49" s="120"/>
      <c r="B49" s="123">
        <v>46</v>
      </c>
      <c r="C49" s="37" t="s">
        <v>79</v>
      </c>
      <c r="D49" s="38" t="s">
        <v>32</v>
      </c>
      <c r="E49" s="39">
        <v>1300000</v>
      </c>
      <c r="F49" s="39">
        <v>30</v>
      </c>
      <c r="G49" s="39">
        <f t="shared" si="18"/>
        <v>1300000</v>
      </c>
      <c r="H49" s="39"/>
      <c r="I49" s="39"/>
      <c r="J49" s="39"/>
      <c r="K49" s="39"/>
      <c r="L49" s="39"/>
      <c r="M49" s="39">
        <v>300000</v>
      </c>
      <c r="N49" s="39">
        <f t="shared" si="13"/>
        <v>1600000</v>
      </c>
      <c r="O49" s="39">
        <f>+G49*4%</f>
        <v>52000</v>
      </c>
      <c r="P49" s="39">
        <f t="shared" si="16"/>
        <v>52000</v>
      </c>
      <c r="Q49" s="39"/>
      <c r="R49" s="39"/>
      <c r="S49" s="39"/>
      <c r="T49" s="39"/>
      <c r="U49" s="39"/>
      <c r="V49" s="39"/>
      <c r="W49" s="39">
        <f t="shared" si="0"/>
        <v>104000</v>
      </c>
      <c r="X49" s="40">
        <f t="shared" si="17"/>
        <v>1496000</v>
      </c>
      <c r="Y49" s="40"/>
      <c r="Z49" s="41"/>
      <c r="AA49" s="40">
        <f t="shared" si="4"/>
        <v>1496000</v>
      </c>
    </row>
    <row r="50" spans="1:27" ht="23.25" customHeight="1" x14ac:dyDescent="0.25">
      <c r="A50" s="120"/>
      <c r="B50" s="123">
        <v>47</v>
      </c>
      <c r="C50" s="37" t="s">
        <v>80</v>
      </c>
      <c r="D50" s="38" t="s">
        <v>32</v>
      </c>
      <c r="E50" s="39">
        <v>2000000</v>
      </c>
      <c r="F50" s="39">
        <v>30</v>
      </c>
      <c r="G50" s="39">
        <f t="shared" si="18"/>
        <v>2000000.0000000002</v>
      </c>
      <c r="H50" s="39"/>
      <c r="I50" s="39"/>
      <c r="J50" s="39"/>
      <c r="K50" s="39"/>
      <c r="L50" s="39"/>
      <c r="M50" s="39">
        <v>500000</v>
      </c>
      <c r="N50" s="39">
        <f t="shared" si="13"/>
        <v>2500000</v>
      </c>
      <c r="O50" s="39">
        <f>+G50*4%</f>
        <v>80000.000000000015</v>
      </c>
      <c r="P50" s="39">
        <f t="shared" si="16"/>
        <v>80000.000000000015</v>
      </c>
      <c r="Q50" s="39"/>
      <c r="R50" s="39"/>
      <c r="S50" s="39"/>
      <c r="T50" s="39"/>
      <c r="U50" s="39"/>
      <c r="V50" s="39"/>
      <c r="W50" s="39">
        <f t="shared" si="0"/>
        <v>160000.00000000003</v>
      </c>
      <c r="X50" s="40">
        <f>N50-W50</f>
        <v>2340000</v>
      </c>
      <c r="Y50" s="40"/>
      <c r="Z50" s="41"/>
      <c r="AA50" s="40">
        <f t="shared" si="4"/>
        <v>2340000</v>
      </c>
    </row>
    <row r="51" spans="1:27" ht="22.5" customHeight="1" x14ac:dyDescent="0.25">
      <c r="A51" s="120"/>
      <c r="B51" s="123">
        <v>48</v>
      </c>
      <c r="C51" s="37" t="s">
        <v>81</v>
      </c>
      <c r="D51" s="38" t="s">
        <v>32</v>
      </c>
      <c r="E51" s="39">
        <v>1500000</v>
      </c>
      <c r="F51" s="39">
        <v>30</v>
      </c>
      <c r="G51" s="39">
        <f t="shared" si="18"/>
        <v>1500000</v>
      </c>
      <c r="H51" s="39"/>
      <c r="I51" s="39"/>
      <c r="J51" s="39"/>
      <c r="K51" s="39"/>
      <c r="L51" s="39"/>
      <c r="M51" s="39"/>
      <c r="N51" s="39">
        <f t="shared" si="13"/>
        <v>1500000</v>
      </c>
      <c r="O51" s="39">
        <f>G51*4%</f>
        <v>60000</v>
      </c>
      <c r="P51" s="39">
        <f t="shared" si="16"/>
        <v>60000</v>
      </c>
      <c r="Q51" s="39"/>
      <c r="R51" s="39"/>
      <c r="S51" s="39"/>
      <c r="T51" s="39"/>
      <c r="U51" s="39"/>
      <c r="V51" s="39"/>
      <c r="W51" s="39">
        <f t="shared" si="0"/>
        <v>120000</v>
      </c>
      <c r="X51" s="40">
        <f>N51-W51</f>
        <v>1380000</v>
      </c>
      <c r="Y51" s="40"/>
      <c r="Z51" s="41"/>
      <c r="AA51" s="40">
        <f t="shared" si="4"/>
        <v>1380000</v>
      </c>
    </row>
    <row r="52" spans="1:27" ht="12.75" x14ac:dyDescent="0.25">
      <c r="A52" s="120"/>
      <c r="B52" s="123">
        <v>49</v>
      </c>
      <c r="C52" s="37" t="s">
        <v>82</v>
      </c>
      <c r="D52" s="38" t="s">
        <v>32</v>
      </c>
      <c r="E52" s="39">
        <v>2000000</v>
      </c>
      <c r="F52" s="39">
        <v>30</v>
      </c>
      <c r="G52" s="39">
        <f t="shared" si="18"/>
        <v>2000000.0000000002</v>
      </c>
      <c r="H52" s="39"/>
      <c r="I52" s="39"/>
      <c r="J52" s="39"/>
      <c r="K52" s="39"/>
      <c r="L52" s="39"/>
      <c r="M52" s="39"/>
      <c r="N52" s="39">
        <f t="shared" si="13"/>
        <v>2000000.0000000002</v>
      </c>
      <c r="O52" s="39">
        <f>G52*4%</f>
        <v>80000.000000000015</v>
      </c>
      <c r="P52" s="39">
        <f t="shared" si="16"/>
        <v>80000.000000000015</v>
      </c>
      <c r="Q52" s="39"/>
      <c r="R52" s="39"/>
      <c r="S52" s="39"/>
      <c r="T52" s="39"/>
      <c r="U52" s="39"/>
      <c r="V52" s="39"/>
      <c r="W52" s="39">
        <f t="shared" si="0"/>
        <v>160000.00000000003</v>
      </c>
      <c r="X52" s="40">
        <f>N52-W52</f>
        <v>1840000.0000000002</v>
      </c>
      <c r="Y52" s="40"/>
      <c r="Z52" s="41"/>
      <c r="AA52" s="40">
        <f t="shared" si="4"/>
        <v>1840000.0000000002</v>
      </c>
    </row>
    <row r="53" spans="1:27" ht="12.75" x14ac:dyDescent="0.25">
      <c r="A53" s="120"/>
      <c r="B53" s="123">
        <v>50</v>
      </c>
      <c r="C53" s="118" t="s">
        <v>83</v>
      </c>
      <c r="D53" s="45" t="s">
        <v>32</v>
      </c>
      <c r="E53" s="39">
        <v>2000000</v>
      </c>
      <c r="F53" s="39">
        <v>30</v>
      </c>
      <c r="G53" s="39">
        <v>2000000</v>
      </c>
      <c r="H53" s="39"/>
      <c r="I53" s="39"/>
      <c r="J53" s="39"/>
      <c r="K53" s="39"/>
      <c r="L53" s="39"/>
      <c r="M53" s="39"/>
      <c r="N53" s="39">
        <f>SUM(G53:M53)</f>
        <v>2000000</v>
      </c>
      <c r="O53" s="39">
        <f>G53*4%</f>
        <v>80000</v>
      </c>
      <c r="P53" s="39">
        <f t="shared" si="16"/>
        <v>80000</v>
      </c>
      <c r="Q53" s="39"/>
      <c r="R53" s="39"/>
      <c r="S53" s="39"/>
      <c r="T53" s="39"/>
      <c r="U53" s="39"/>
      <c r="V53" s="39"/>
      <c r="W53" s="39">
        <f t="shared" si="0"/>
        <v>160000</v>
      </c>
      <c r="X53" s="40">
        <f>N53-W53</f>
        <v>1840000</v>
      </c>
      <c r="Y53" s="40"/>
      <c r="Z53" s="41"/>
      <c r="AA53" s="40">
        <f t="shared" si="4"/>
        <v>1840000</v>
      </c>
    </row>
    <row r="54" spans="1:27" ht="12.75" x14ac:dyDescent="0.25">
      <c r="A54" s="120"/>
      <c r="B54" s="123">
        <v>51</v>
      </c>
      <c r="C54" s="118" t="s">
        <v>84</v>
      </c>
      <c r="D54" s="45" t="s">
        <v>32</v>
      </c>
      <c r="E54" s="39">
        <v>644350</v>
      </c>
      <c r="F54" s="39">
        <v>30</v>
      </c>
      <c r="G54" s="39">
        <f t="shared" ref="G54:G60" si="19">+E54/30*F54</f>
        <v>644350</v>
      </c>
      <c r="H54" s="39">
        <v>74000</v>
      </c>
      <c r="I54" s="39"/>
      <c r="J54" s="39"/>
      <c r="K54" s="39"/>
      <c r="L54" s="39"/>
      <c r="M54" s="39">
        <v>100000</v>
      </c>
      <c r="N54" s="39">
        <f t="shared" ref="N54:N64" si="20">SUM(G54:M54)</f>
        <v>818350</v>
      </c>
      <c r="O54" s="39">
        <f>+G54*4%</f>
        <v>25774</v>
      </c>
      <c r="P54" s="39">
        <f>+O54</f>
        <v>25774</v>
      </c>
      <c r="Q54" s="39"/>
      <c r="R54" s="39"/>
      <c r="S54" s="39"/>
      <c r="T54" s="39"/>
      <c r="U54" s="39"/>
      <c r="V54" s="39"/>
      <c r="W54" s="39">
        <f t="shared" si="0"/>
        <v>51548</v>
      </c>
      <c r="X54" s="40">
        <f>N54-W54</f>
        <v>766802</v>
      </c>
      <c r="Y54" s="40"/>
      <c r="Z54" s="41"/>
      <c r="AA54" s="40">
        <f t="shared" si="4"/>
        <v>766802</v>
      </c>
    </row>
    <row r="55" spans="1:27" ht="12.75" x14ac:dyDescent="0.25">
      <c r="A55" s="120"/>
      <c r="B55" s="123">
        <v>52</v>
      </c>
      <c r="C55" s="37" t="s">
        <v>85</v>
      </c>
      <c r="D55" s="38" t="s">
        <v>32</v>
      </c>
      <c r="E55" s="39">
        <v>15400000</v>
      </c>
      <c r="F55" s="39">
        <v>30</v>
      </c>
      <c r="G55" s="39">
        <f t="shared" si="19"/>
        <v>15400000</v>
      </c>
      <c r="H55" s="39"/>
      <c r="I55" s="39">
        <v>179763</v>
      </c>
      <c r="J55" s="39"/>
      <c r="K55" s="39"/>
      <c r="L55" s="39"/>
      <c r="M55" s="39">
        <v>600000</v>
      </c>
      <c r="N55" s="39">
        <f t="shared" si="20"/>
        <v>16179763</v>
      </c>
      <c r="O55" s="39">
        <f>G55*4%</f>
        <v>616000</v>
      </c>
      <c r="P55" s="39">
        <f>O55</f>
        <v>616000</v>
      </c>
      <c r="Q55" s="39">
        <v>95900</v>
      </c>
      <c r="R55" s="39"/>
      <c r="S55" s="39">
        <f>G55*2%</f>
        <v>308000</v>
      </c>
      <c r="T55" s="39">
        <v>1014000</v>
      </c>
      <c r="U55" s="39">
        <v>5000000</v>
      </c>
      <c r="V55" s="39"/>
      <c r="W55" s="39">
        <f t="shared" si="0"/>
        <v>7649900</v>
      </c>
      <c r="X55" s="40">
        <f>+N55-W55</f>
        <v>8529863</v>
      </c>
      <c r="Y55" s="40"/>
      <c r="Z55" s="41"/>
      <c r="AA55" s="40">
        <f t="shared" si="4"/>
        <v>8529863</v>
      </c>
    </row>
    <row r="56" spans="1:27" ht="12.75" x14ac:dyDescent="0.25">
      <c r="A56" s="120"/>
      <c r="B56" s="123">
        <v>53</v>
      </c>
      <c r="C56" s="37" t="s">
        <v>86</v>
      </c>
      <c r="D56" s="38" t="s">
        <v>32</v>
      </c>
      <c r="E56" s="39">
        <v>2800000</v>
      </c>
      <c r="F56" s="39">
        <v>30</v>
      </c>
      <c r="G56" s="39">
        <f t="shared" si="19"/>
        <v>2800000</v>
      </c>
      <c r="H56" s="39"/>
      <c r="I56" s="39"/>
      <c r="J56" s="39"/>
      <c r="K56" s="39"/>
      <c r="L56" s="39"/>
      <c r="M56" s="39">
        <v>700000</v>
      </c>
      <c r="N56" s="39">
        <f t="shared" si="20"/>
        <v>3500000</v>
      </c>
      <c r="O56" s="39">
        <f>+G56*4%</f>
        <v>112000</v>
      </c>
      <c r="P56" s="39">
        <f>+O56</f>
        <v>112000</v>
      </c>
      <c r="Q56" s="39"/>
      <c r="R56" s="39"/>
      <c r="S56" s="39">
        <v>28000</v>
      </c>
      <c r="T56" s="39"/>
      <c r="U56" s="39"/>
      <c r="V56" s="39"/>
      <c r="W56" s="39">
        <f t="shared" si="0"/>
        <v>252000</v>
      </c>
      <c r="X56" s="40">
        <f>+N56-W56</f>
        <v>3248000</v>
      </c>
      <c r="Y56" s="40"/>
      <c r="Z56" s="41"/>
      <c r="AA56" s="40">
        <f t="shared" si="4"/>
        <v>3248000</v>
      </c>
    </row>
    <row r="57" spans="1:27" ht="12.75" x14ac:dyDescent="0.25">
      <c r="A57" s="120"/>
      <c r="B57" s="123">
        <v>54</v>
      </c>
      <c r="C57" s="37" t="s">
        <v>87</v>
      </c>
      <c r="D57" s="38" t="s">
        <v>32</v>
      </c>
      <c r="E57" s="39">
        <v>644350</v>
      </c>
      <c r="F57" s="39">
        <v>30</v>
      </c>
      <c r="G57" s="39">
        <f t="shared" si="19"/>
        <v>644350</v>
      </c>
      <c r="H57" s="39"/>
      <c r="I57" s="39"/>
      <c r="J57" s="39"/>
      <c r="K57" s="39"/>
      <c r="L57" s="39"/>
      <c r="M57" s="39"/>
      <c r="N57" s="39">
        <f t="shared" si="20"/>
        <v>644350</v>
      </c>
      <c r="O57" s="39"/>
      <c r="P57" s="39"/>
      <c r="Q57" s="39"/>
      <c r="R57" s="39"/>
      <c r="S57" s="39"/>
      <c r="T57" s="39"/>
      <c r="U57" s="39"/>
      <c r="V57" s="39"/>
      <c r="W57" s="39">
        <f t="shared" si="0"/>
        <v>0</v>
      </c>
      <c r="X57" s="40">
        <f>+N57-W57</f>
        <v>644350</v>
      </c>
      <c r="Y57" s="40"/>
      <c r="Z57" s="41"/>
      <c r="AA57" s="40">
        <f t="shared" si="4"/>
        <v>644350</v>
      </c>
    </row>
    <row r="58" spans="1:27" ht="12.75" x14ac:dyDescent="0.25">
      <c r="A58" s="120"/>
      <c r="B58" s="123">
        <v>55</v>
      </c>
      <c r="C58" s="118" t="s">
        <v>88</v>
      </c>
      <c r="D58" s="45" t="s">
        <v>32</v>
      </c>
      <c r="E58" s="39">
        <v>1100000</v>
      </c>
      <c r="F58" s="39">
        <v>30</v>
      </c>
      <c r="G58" s="39">
        <f t="shared" si="19"/>
        <v>1100000</v>
      </c>
      <c r="H58" s="39">
        <v>74000</v>
      </c>
      <c r="I58" s="39"/>
      <c r="J58" s="39"/>
      <c r="K58" s="39"/>
      <c r="L58" s="39"/>
      <c r="M58" s="39"/>
      <c r="N58" s="39">
        <f t="shared" si="20"/>
        <v>1174000</v>
      </c>
      <c r="O58" s="39">
        <f>G58*4%</f>
        <v>44000</v>
      </c>
      <c r="P58" s="39">
        <f>G58*4%</f>
        <v>44000</v>
      </c>
      <c r="Q58" s="39"/>
      <c r="R58" s="39"/>
      <c r="S58" s="39"/>
      <c r="T58" s="39"/>
      <c r="U58" s="39"/>
      <c r="V58" s="39"/>
      <c r="W58" s="39">
        <f t="shared" si="0"/>
        <v>88000</v>
      </c>
      <c r="X58" s="40">
        <f>N58-W58</f>
        <v>1086000</v>
      </c>
      <c r="Y58" s="40"/>
      <c r="Z58" s="41"/>
      <c r="AA58" s="40">
        <f t="shared" si="4"/>
        <v>1086000</v>
      </c>
    </row>
    <row r="59" spans="1:27" ht="23.25" customHeight="1" x14ac:dyDescent="0.25">
      <c r="A59" s="120"/>
      <c r="B59" s="123">
        <v>56</v>
      </c>
      <c r="C59" s="37" t="s">
        <v>89</v>
      </c>
      <c r="D59" s="38" t="s">
        <v>32</v>
      </c>
      <c r="E59" s="39">
        <v>1300000</v>
      </c>
      <c r="F59" s="39">
        <v>30</v>
      </c>
      <c r="G59" s="39">
        <f t="shared" si="19"/>
        <v>1300000</v>
      </c>
      <c r="H59" s="39"/>
      <c r="I59" s="39"/>
      <c r="J59" s="39"/>
      <c r="K59" s="39"/>
      <c r="L59" s="39"/>
      <c r="M59" s="39"/>
      <c r="N59" s="39">
        <f t="shared" si="20"/>
        <v>1300000</v>
      </c>
      <c r="O59" s="39">
        <f>G59*4%</f>
        <v>52000</v>
      </c>
      <c r="P59" s="39">
        <f>O59</f>
        <v>52000</v>
      </c>
      <c r="Q59" s="39"/>
      <c r="R59" s="39"/>
      <c r="S59" s="39"/>
      <c r="T59" s="39"/>
      <c r="U59" s="39"/>
      <c r="V59" s="39"/>
      <c r="W59" s="39">
        <f t="shared" si="0"/>
        <v>104000</v>
      </c>
      <c r="X59" s="40">
        <f>+N59-W59</f>
        <v>1196000</v>
      </c>
      <c r="Y59" s="40"/>
      <c r="Z59" s="41"/>
      <c r="AA59" s="40">
        <f t="shared" si="4"/>
        <v>1196000</v>
      </c>
    </row>
    <row r="60" spans="1:27" ht="12.75" x14ac:dyDescent="0.25">
      <c r="A60" s="120"/>
      <c r="B60" s="123">
        <v>57</v>
      </c>
      <c r="C60" s="37" t="s">
        <v>90</v>
      </c>
      <c r="D60" s="38" t="s">
        <v>32</v>
      </c>
      <c r="E60" s="39">
        <v>4000000</v>
      </c>
      <c r="F60" s="39">
        <v>30</v>
      </c>
      <c r="G60" s="39">
        <f t="shared" si="19"/>
        <v>4000000.0000000005</v>
      </c>
      <c r="H60" s="39"/>
      <c r="I60" s="39"/>
      <c r="J60" s="39"/>
      <c r="K60" s="39"/>
      <c r="L60" s="39"/>
      <c r="M60" s="39"/>
      <c r="N60" s="39">
        <f t="shared" si="20"/>
        <v>4000000.0000000005</v>
      </c>
      <c r="O60" s="39">
        <f>G60*4%</f>
        <v>160000.00000000003</v>
      </c>
      <c r="P60" s="39">
        <f>O60</f>
        <v>160000.00000000003</v>
      </c>
      <c r="Q60" s="39"/>
      <c r="R60" s="39"/>
      <c r="S60" s="39">
        <v>40000</v>
      </c>
      <c r="T60" s="39">
        <v>31064</v>
      </c>
      <c r="U60" s="39"/>
      <c r="V60" s="39"/>
      <c r="W60" s="39">
        <f t="shared" si="0"/>
        <v>391064.00000000006</v>
      </c>
      <c r="X60" s="40">
        <f>+N60-W60</f>
        <v>3608936.0000000005</v>
      </c>
      <c r="Y60" s="40"/>
      <c r="Z60" s="41"/>
      <c r="AA60" s="40">
        <f t="shared" si="4"/>
        <v>3608936.0000000005</v>
      </c>
    </row>
    <row r="61" spans="1:27" ht="12.75" x14ac:dyDescent="0.25">
      <c r="A61" s="120"/>
      <c r="B61" s="123">
        <v>58</v>
      </c>
      <c r="C61" s="37" t="s">
        <v>91</v>
      </c>
      <c r="D61" s="38" t="s">
        <v>92</v>
      </c>
      <c r="E61" s="39">
        <v>644350</v>
      </c>
      <c r="F61" s="39">
        <v>30</v>
      </c>
      <c r="G61" s="39">
        <f>+E61/30*F61</f>
        <v>644350</v>
      </c>
      <c r="H61" s="39"/>
      <c r="I61" s="39"/>
      <c r="J61" s="39"/>
      <c r="K61" s="39"/>
      <c r="L61" s="39"/>
      <c r="M61" s="39"/>
      <c r="N61" s="39">
        <f t="shared" si="20"/>
        <v>644350</v>
      </c>
      <c r="O61" s="39"/>
      <c r="P61" s="39"/>
      <c r="Q61" s="39"/>
      <c r="R61" s="39"/>
      <c r="S61" s="39"/>
      <c r="T61" s="39"/>
      <c r="U61" s="39"/>
      <c r="V61" s="39"/>
      <c r="W61" s="39">
        <f t="shared" si="0"/>
        <v>0</v>
      </c>
      <c r="X61" s="40">
        <f>+N61-W61</f>
        <v>644350</v>
      </c>
      <c r="Y61" s="40"/>
      <c r="Z61" s="41"/>
      <c r="AA61" s="40">
        <f t="shared" si="4"/>
        <v>644350</v>
      </c>
    </row>
    <row r="62" spans="1:27" ht="12.75" x14ac:dyDescent="0.25">
      <c r="A62" s="120"/>
      <c r="B62" s="123">
        <v>59</v>
      </c>
      <c r="C62" s="118" t="s">
        <v>93</v>
      </c>
      <c r="D62" s="45" t="s">
        <v>32</v>
      </c>
      <c r="E62" s="39">
        <v>1300000</v>
      </c>
      <c r="F62" s="39">
        <v>30</v>
      </c>
      <c r="G62" s="39">
        <f>+E62/30*F62</f>
        <v>1300000</v>
      </c>
      <c r="H62" s="39"/>
      <c r="I62" s="39"/>
      <c r="J62" s="39"/>
      <c r="K62" s="39"/>
      <c r="L62" s="39"/>
      <c r="M62" s="39"/>
      <c r="N62" s="39">
        <f t="shared" si="20"/>
        <v>1300000</v>
      </c>
      <c r="O62" s="39">
        <f>G62*4%</f>
        <v>52000</v>
      </c>
      <c r="P62" s="39">
        <f>O62</f>
        <v>52000</v>
      </c>
      <c r="Q62" s="39"/>
      <c r="R62" s="39"/>
      <c r="S62" s="39"/>
      <c r="T62" s="39"/>
      <c r="U62" s="39"/>
      <c r="V62" s="39"/>
      <c r="W62" s="39">
        <f t="shared" si="0"/>
        <v>104000</v>
      </c>
      <c r="X62" s="40">
        <f>N62-W62</f>
        <v>1196000</v>
      </c>
      <c r="Y62" s="40"/>
      <c r="Z62" s="41"/>
      <c r="AA62" s="40">
        <f t="shared" si="4"/>
        <v>1196000</v>
      </c>
    </row>
    <row r="63" spans="1:27" ht="12.75" x14ac:dyDescent="0.25">
      <c r="A63" s="120"/>
      <c r="B63" s="123">
        <v>60</v>
      </c>
      <c r="C63" s="37" t="s">
        <v>94</v>
      </c>
      <c r="D63" s="38" t="s">
        <v>92</v>
      </c>
      <c r="E63" s="39">
        <v>644350</v>
      </c>
      <c r="F63" s="39">
        <v>30</v>
      </c>
      <c r="G63" s="39">
        <f>+E63/30*F63</f>
        <v>644350</v>
      </c>
      <c r="H63" s="39"/>
      <c r="I63" s="39"/>
      <c r="J63" s="39"/>
      <c r="K63" s="39"/>
      <c r="L63" s="39"/>
      <c r="M63" s="39"/>
      <c r="N63" s="39">
        <f t="shared" si="20"/>
        <v>644350</v>
      </c>
      <c r="O63" s="39"/>
      <c r="P63" s="39"/>
      <c r="Q63" s="39"/>
      <c r="R63" s="39"/>
      <c r="S63" s="39"/>
      <c r="T63" s="39"/>
      <c r="U63" s="39"/>
      <c r="V63" s="39"/>
      <c r="W63" s="39">
        <f>SUM(O63:V63)</f>
        <v>0</v>
      </c>
      <c r="X63" s="40">
        <f>+N63-W63</f>
        <v>644350</v>
      </c>
      <c r="Y63" s="40"/>
      <c r="Z63" s="41"/>
      <c r="AA63" s="40">
        <f t="shared" si="4"/>
        <v>644350</v>
      </c>
    </row>
    <row r="64" spans="1:27" ht="23.25" customHeight="1" x14ac:dyDescent="0.25">
      <c r="A64" s="120"/>
      <c r="B64" s="123">
        <v>61</v>
      </c>
      <c r="C64" s="37" t="s">
        <v>95</v>
      </c>
      <c r="D64" s="38" t="s">
        <v>92</v>
      </c>
      <c r="E64" s="39">
        <v>644350</v>
      </c>
      <c r="F64" s="39">
        <v>30</v>
      </c>
      <c r="G64" s="39">
        <f>E64</f>
        <v>644350</v>
      </c>
      <c r="H64" s="39"/>
      <c r="I64" s="39"/>
      <c r="J64" s="39"/>
      <c r="K64" s="39"/>
      <c r="L64" s="39"/>
      <c r="M64" s="39"/>
      <c r="N64" s="39">
        <f t="shared" si="20"/>
        <v>644350</v>
      </c>
      <c r="O64" s="39"/>
      <c r="P64" s="39"/>
      <c r="Q64" s="39"/>
      <c r="R64" s="39"/>
      <c r="S64" s="39"/>
      <c r="T64" s="39"/>
      <c r="U64" s="39"/>
      <c r="V64" s="39"/>
      <c r="W64" s="39">
        <f>SUM(O64:V64)</f>
        <v>0</v>
      </c>
      <c r="X64" s="40">
        <f>N63</f>
        <v>644350</v>
      </c>
      <c r="Y64" s="40"/>
      <c r="Z64" s="41"/>
      <c r="AA64" s="40">
        <f t="shared" si="4"/>
        <v>644350</v>
      </c>
    </row>
    <row r="65" spans="1:31" ht="15" customHeight="1" x14ac:dyDescent="0.25">
      <c r="A65" s="45"/>
      <c r="B65" s="123"/>
      <c r="C65" s="37" t="s">
        <v>96</v>
      </c>
      <c r="D65" s="45"/>
      <c r="E65" s="39">
        <f>SUM(E4:E64)</f>
        <v>194717950</v>
      </c>
      <c r="F65" s="39" t="s">
        <v>1</v>
      </c>
      <c r="G65" s="39">
        <f>SUM(G4:G64)</f>
        <v>187317950</v>
      </c>
      <c r="H65" s="39">
        <f>SUM(H4:H64)</f>
        <v>222000</v>
      </c>
      <c r="I65" s="39">
        <f>SUM(I4:I64)</f>
        <v>542630</v>
      </c>
      <c r="J65" s="39">
        <f>SUM(J4:J64)</f>
        <v>0</v>
      </c>
      <c r="K65" s="39"/>
      <c r="L65" s="39">
        <f t="shared" ref="L65:Q65" si="21">SUM(L4:L64)</f>
        <v>90000</v>
      </c>
      <c r="M65" s="39">
        <f t="shared" si="21"/>
        <v>10188750</v>
      </c>
      <c r="N65" s="39">
        <f t="shared" si="21"/>
        <v>198361330</v>
      </c>
      <c r="O65" s="39">
        <f t="shared" si="21"/>
        <v>7338074</v>
      </c>
      <c r="P65" s="39">
        <f t="shared" si="21"/>
        <v>7338074</v>
      </c>
      <c r="Q65" s="39">
        <f t="shared" si="21"/>
        <v>95900</v>
      </c>
      <c r="R65" s="39">
        <f>SUM(R5:R64)</f>
        <v>0</v>
      </c>
      <c r="S65" s="39">
        <f t="shared" ref="S65:AA65" si="22">SUM(S4:S64)</f>
        <v>1679175</v>
      </c>
      <c r="T65" s="39">
        <f t="shared" si="22"/>
        <v>2756086</v>
      </c>
      <c r="U65" s="39">
        <f t="shared" si="22"/>
        <v>8815594</v>
      </c>
      <c r="V65" s="39">
        <f t="shared" si="22"/>
        <v>1474747</v>
      </c>
      <c r="W65" s="39">
        <f t="shared" si="22"/>
        <v>29497650</v>
      </c>
      <c r="X65" s="40">
        <f t="shared" si="22"/>
        <v>168863680</v>
      </c>
      <c r="Y65" s="40">
        <f t="shared" si="22"/>
        <v>0</v>
      </c>
      <c r="Z65" s="41">
        <f t="shared" si="22"/>
        <v>0</v>
      </c>
      <c r="AA65" s="40">
        <f t="shared" si="22"/>
        <v>168863680</v>
      </c>
    </row>
    <row r="66" spans="1:31" ht="15" customHeight="1" x14ac:dyDescent="0.25">
      <c r="A66" s="99"/>
      <c r="B66" s="99"/>
      <c r="X66" s="99"/>
      <c r="Y66" s="99"/>
      <c r="Z66" s="102"/>
      <c r="AA66" s="99"/>
    </row>
    <row r="67" spans="1:31" ht="15" customHeight="1" x14ac:dyDescent="0.25">
      <c r="E67" s="107"/>
      <c r="F67" s="107"/>
      <c r="G67" s="107"/>
      <c r="X67" s="124"/>
      <c r="Y67" s="124"/>
      <c r="AA67" s="124"/>
    </row>
    <row r="68" spans="1:31" ht="15" customHeight="1" x14ac:dyDescent="0.25">
      <c r="D68" s="99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99"/>
      <c r="Y68" s="99"/>
      <c r="Z68" s="102"/>
      <c r="AA68" s="99"/>
    </row>
    <row r="69" spans="1:31" ht="15" customHeight="1" x14ac:dyDescent="0.25"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ht="15" customHeight="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x14ac:dyDescent="0.25">
      <c r="C71" s="109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  <c r="AB71" s="99"/>
      <c r="AC71" s="99"/>
      <c r="AD71" s="99"/>
      <c r="AE71" s="99"/>
    </row>
    <row r="72" spans="1:31" x14ac:dyDescent="0.25">
      <c r="B72" s="99"/>
      <c r="C72" s="109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99"/>
      <c r="AC72" s="99"/>
      <c r="AD72" s="99"/>
      <c r="AE72" s="99"/>
    </row>
    <row r="73" spans="1:31" x14ac:dyDescent="0.25">
      <c r="B73" s="99"/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05"/>
      <c r="Z76" s="112"/>
      <c r="AA76" s="105"/>
      <c r="AB76" s="99"/>
      <c r="AC76" s="99"/>
      <c r="AD76" s="99"/>
      <c r="AE76" s="99"/>
    </row>
    <row r="77" spans="1:31" x14ac:dyDescent="0.25">
      <c r="B77" s="125"/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5"/>
      <c r="Y77" s="105"/>
      <c r="Z77" s="112"/>
      <c r="AA77" s="105"/>
      <c r="AB77" s="99"/>
      <c r="AC77" s="99"/>
      <c r="AD77" s="99"/>
      <c r="AE77" s="99"/>
    </row>
    <row r="78" spans="1:31" x14ac:dyDescent="0.25">
      <c r="B78" s="99"/>
      <c r="C78" s="109"/>
      <c r="D78" s="99"/>
      <c r="E78" s="107"/>
      <c r="F78" s="107"/>
      <c r="G78" s="126"/>
      <c r="H78" s="107"/>
      <c r="I78" s="107"/>
      <c r="J78" s="107"/>
      <c r="K78" s="107"/>
      <c r="L78" s="107"/>
      <c r="M78" s="107"/>
      <c r="N78" s="107"/>
      <c r="O78" s="107"/>
      <c r="P78" s="107"/>
      <c r="Q78" s="127"/>
      <c r="R78" s="127"/>
      <c r="S78" s="127"/>
      <c r="T78" s="127"/>
      <c r="U78" s="127"/>
      <c r="V78" s="107"/>
      <c r="W78" s="107"/>
      <c r="X78" s="99"/>
      <c r="Y78" s="99"/>
      <c r="Z78" s="102"/>
      <c r="AA78" s="99"/>
      <c r="AB78" s="99"/>
      <c r="AC78" s="99"/>
      <c r="AD78" s="99"/>
      <c r="AE78" s="99"/>
    </row>
    <row r="79" spans="1:31" x14ac:dyDescent="0.25">
      <c r="B79" s="99"/>
      <c r="C79" s="104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105"/>
      <c r="C80" s="104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5"/>
      <c r="Y80" s="105"/>
      <c r="Z80" s="112"/>
      <c r="AA80" s="105"/>
      <c r="AB80" s="99"/>
      <c r="AC80" s="99"/>
      <c r="AD80" s="99"/>
      <c r="AE80" s="99"/>
    </row>
    <row r="81" spans="2:31" x14ac:dyDescent="0.25">
      <c r="B81" s="99"/>
      <c r="C81" s="104"/>
      <c r="D81" s="105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2:31" x14ac:dyDescent="0.25"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2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9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9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C100" s="109"/>
      <c r="D100" s="99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07"/>
      <c r="W100" s="107"/>
      <c r="X100" s="99"/>
      <c r="Y100" s="99"/>
      <c r="Z100" s="102"/>
      <c r="AA100" s="99"/>
      <c r="AB100" s="99"/>
      <c r="AC100" s="99"/>
      <c r="AD100" s="99"/>
      <c r="AE100" s="99"/>
    </row>
    <row r="101" spans="2:31" x14ac:dyDescent="0.25">
      <c r="B101" s="99"/>
      <c r="C101" s="109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99"/>
      <c r="AC101" s="99"/>
      <c r="AD101" s="99"/>
      <c r="AE101" s="99"/>
    </row>
    <row r="102" spans="2:31" x14ac:dyDescent="0.25">
      <c r="B102" s="99"/>
      <c r="C102" s="109"/>
      <c r="D102" s="99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5"/>
      <c r="Y102" s="105"/>
      <c r="Z102" s="112"/>
      <c r="AA102" s="105"/>
      <c r="AB102" s="99"/>
      <c r="AC102" s="99"/>
      <c r="AD102" s="99"/>
      <c r="AE102" s="99"/>
    </row>
    <row r="103" spans="2:31" x14ac:dyDescent="0.25">
      <c r="B103" s="99"/>
      <c r="C103" s="104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</row>
    <row r="104" spans="2:31" x14ac:dyDescent="0.25">
      <c r="B104" s="113"/>
      <c r="C104" s="104"/>
      <c r="D104" s="105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9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4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99"/>
      <c r="Y110" s="99"/>
      <c r="Z110" s="102"/>
      <c r="AA110" s="99"/>
    </row>
    <row r="111" spans="2:31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B112" s="99"/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14"/>
      <c r="Y114" s="114"/>
      <c r="Z114" s="102"/>
      <c r="AA114" s="114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15"/>
      <c r="Y115" s="115"/>
      <c r="Z115" s="102"/>
      <c r="AA115" s="115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>
        <v>3003000</v>
      </c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4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9">
        <v>42614840</v>
      </c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>
        <v>412608</v>
      </c>
      <c r="X128" s="99"/>
      <c r="Y128" s="99"/>
      <c r="Z128" s="102"/>
      <c r="AA128" s="99"/>
    </row>
    <row r="129" spans="3:27" x14ac:dyDescent="0.25">
      <c r="C129" s="109">
        <v>9675182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>
        <v>1880000</v>
      </c>
      <c r="X129" s="99"/>
      <c r="Y129" s="99"/>
      <c r="Z129" s="102"/>
      <c r="AA129" s="99"/>
    </row>
    <row r="130" spans="3:27" x14ac:dyDescent="0.25">
      <c r="C130" s="109">
        <v>17903600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9">
        <f>SUM(C128:C130)</f>
        <v>70193622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v>400000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f>+C131+C132</f>
        <v>70593622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6" spans="3:27" x14ac:dyDescent="0.25">
      <c r="C136" s="100">
        <v>64000000</v>
      </c>
    </row>
    <row r="137" spans="3:27" x14ac:dyDescent="0.25">
      <c r="C137" s="100">
        <v>11000000</v>
      </c>
    </row>
    <row r="138" spans="3:27" x14ac:dyDescent="0.25">
      <c r="C138" s="100">
        <f>+C136+C137</f>
        <v>75000000</v>
      </c>
    </row>
    <row r="142" spans="3:27" x14ac:dyDescent="0.25">
      <c r="C142" s="100">
        <v>2745000</v>
      </c>
    </row>
    <row r="143" spans="3:27" x14ac:dyDescent="0.25">
      <c r="C143" s="100">
        <v>3185000</v>
      </c>
    </row>
    <row r="144" spans="3:27" x14ac:dyDescent="0.25">
      <c r="C144" s="100">
        <v>1080000</v>
      </c>
    </row>
    <row r="145" spans="3:3" x14ac:dyDescent="0.25">
      <c r="C145" s="100">
        <v>4850100</v>
      </c>
    </row>
    <row r="146" spans="3:3" x14ac:dyDescent="0.25">
      <c r="C146" s="100">
        <v>5027500</v>
      </c>
    </row>
    <row r="147" spans="3:3" x14ac:dyDescent="0.25">
      <c r="C147" s="100">
        <v>4566000</v>
      </c>
    </row>
    <row r="148" spans="3:3" x14ac:dyDescent="0.25">
      <c r="C148" s="100">
        <v>1050000</v>
      </c>
    </row>
    <row r="149" spans="3:3" x14ac:dyDescent="0.25">
      <c r="C149" s="100">
        <v>3877333</v>
      </c>
    </row>
    <row r="150" spans="3:3" x14ac:dyDescent="0.25">
      <c r="C150" s="100">
        <v>6732440</v>
      </c>
    </row>
    <row r="151" spans="3:3" x14ac:dyDescent="0.25">
      <c r="C151" s="100">
        <v>3460000</v>
      </c>
    </row>
    <row r="152" spans="3:3" x14ac:dyDescent="0.25">
      <c r="C152" s="100">
        <v>588800</v>
      </c>
    </row>
    <row r="153" spans="3:3" x14ac:dyDescent="0.25">
      <c r="C153" s="100">
        <v>1868000</v>
      </c>
    </row>
    <row r="154" spans="3:3" x14ac:dyDescent="0.25">
      <c r="C154" s="100">
        <v>10313000</v>
      </c>
    </row>
    <row r="155" spans="3:3" x14ac:dyDescent="0.25">
      <c r="C155" s="100">
        <v>3443800</v>
      </c>
    </row>
    <row r="156" spans="3:3" x14ac:dyDescent="0.25">
      <c r="C156" s="100">
        <v>8136400</v>
      </c>
    </row>
    <row r="157" spans="3:3" x14ac:dyDescent="0.25">
      <c r="C157" s="100">
        <v>9675183</v>
      </c>
    </row>
    <row r="158" spans="3:3" x14ac:dyDescent="0.25">
      <c r="C158" s="100">
        <f>SUM(C142:C157)</f>
        <v>70598556</v>
      </c>
    </row>
  </sheetData>
  <mergeCells count="9">
    <mergeCell ref="C76:X76"/>
    <mergeCell ref="E100:U100"/>
    <mergeCell ref="D101:AA101"/>
    <mergeCell ref="C1:X1"/>
    <mergeCell ref="E2:N2"/>
    <mergeCell ref="O2:W2"/>
    <mergeCell ref="A3:A32"/>
    <mergeCell ref="A33:A64"/>
    <mergeCell ref="D72:A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5ED8-60CA-4378-B728-346C9B0DBF93}">
  <dimension ref="A1:AE160"/>
  <sheetViews>
    <sheetView topLeftCell="G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.85546875" style="101" customWidth="1"/>
    <col min="10" max="10" width="6.140625" style="101" customWidth="1"/>
    <col min="11" max="11" width="9.85546875" style="101" customWidth="1"/>
    <col min="12" max="12" width="6.8554687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0.42578125" style="43" customWidth="1"/>
    <col min="25" max="25" width="13.5703125" style="43" customWidth="1"/>
    <col min="26" max="26" width="13.140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106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39" customHeight="1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12</v>
      </c>
      <c r="J3" s="97" t="s">
        <v>101</v>
      </c>
      <c r="K3" s="97" t="s">
        <v>14</v>
      </c>
      <c r="L3" s="97" t="s">
        <v>107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27.75" customHeight="1" x14ac:dyDescent="0.25">
      <c r="A4" s="120"/>
      <c r="B4" s="123">
        <v>1</v>
      </c>
      <c r="C4" s="37" t="s">
        <v>31</v>
      </c>
      <c r="D4" s="38" t="s">
        <v>32</v>
      </c>
      <c r="E4" s="39">
        <v>3750000</v>
      </c>
      <c r="F4" s="39">
        <v>30</v>
      </c>
      <c r="G4" s="39">
        <f>+E4/30*F4</f>
        <v>3750000</v>
      </c>
      <c r="H4" s="39"/>
      <c r="I4" s="39"/>
      <c r="J4" s="39"/>
      <c r="K4" s="39"/>
      <c r="L4" s="39"/>
      <c r="M4" s="39"/>
      <c r="N4" s="39">
        <f>SUM(G4:M4)</f>
        <v>3750000</v>
      </c>
      <c r="O4" s="39">
        <f>+G4*4%</f>
        <v>150000</v>
      </c>
      <c r="P4" s="39">
        <f>+O4</f>
        <v>150000</v>
      </c>
      <c r="Q4" s="39"/>
      <c r="R4" s="39"/>
      <c r="S4" s="39">
        <f>+G4*0.01</f>
        <v>37500</v>
      </c>
      <c r="T4" s="39">
        <v>0</v>
      </c>
      <c r="U4" s="39"/>
      <c r="V4" s="39"/>
      <c r="W4" s="39">
        <f t="shared" ref="W4:W64" si="0">SUM(O4:V4)</f>
        <v>337500</v>
      </c>
      <c r="X4" s="40">
        <f t="shared" ref="X4:X21" si="1">+N4-W4</f>
        <v>3412500</v>
      </c>
      <c r="Y4" s="40"/>
      <c r="Z4" s="41"/>
      <c r="AA4" s="40">
        <f>X4+Y4-Z4</f>
        <v>3412500</v>
      </c>
    </row>
    <row r="5" spans="1:27" ht="12.75" x14ac:dyDescent="0.25">
      <c r="A5" s="120"/>
      <c r="B5" s="123">
        <v>2</v>
      </c>
      <c r="C5" s="37" t="s">
        <v>33</v>
      </c>
      <c r="D5" s="38" t="s">
        <v>32</v>
      </c>
      <c r="E5" s="39">
        <v>4911500</v>
      </c>
      <c r="F5" s="39">
        <v>30</v>
      </c>
      <c r="G5" s="39">
        <f>+E5/30*F5</f>
        <v>4911500</v>
      </c>
      <c r="H5" s="39"/>
      <c r="I5" s="39"/>
      <c r="J5" s="39"/>
      <c r="K5" s="39"/>
      <c r="L5" s="39"/>
      <c r="M5" s="39"/>
      <c r="N5" s="39">
        <f t="shared" ref="N5:N26" si="2">SUM(G5:M5)</f>
        <v>4911500</v>
      </c>
      <c r="O5" s="39">
        <f>+G5*4%</f>
        <v>196460</v>
      </c>
      <c r="P5" s="39">
        <f>+O5</f>
        <v>196460</v>
      </c>
      <c r="Q5" s="39"/>
      <c r="R5" s="39"/>
      <c r="S5" s="39">
        <f t="shared" ref="S5:S32" si="3">+G5*0.01</f>
        <v>49115</v>
      </c>
      <c r="T5" s="48">
        <v>84469</v>
      </c>
      <c r="U5" s="39"/>
      <c r="V5" s="39"/>
      <c r="W5" s="39">
        <f t="shared" si="0"/>
        <v>526504</v>
      </c>
      <c r="X5" s="40">
        <f t="shared" si="1"/>
        <v>4384996</v>
      </c>
      <c r="Y5" s="40"/>
      <c r="Z5" s="41"/>
      <c r="AA5" s="40">
        <f>X5+Y5-Z5</f>
        <v>4384996</v>
      </c>
    </row>
    <row r="6" spans="1:27" ht="23.25" customHeight="1" x14ac:dyDescent="0.25">
      <c r="A6" s="120"/>
      <c r="B6" s="123">
        <v>3</v>
      </c>
      <c r="C6" s="37" t="s">
        <v>34</v>
      </c>
      <c r="D6" s="38" t="s">
        <v>32</v>
      </c>
      <c r="E6" s="39">
        <v>4180000</v>
      </c>
      <c r="F6" s="39">
        <v>30</v>
      </c>
      <c r="G6" s="39">
        <f>+E6/30*F6</f>
        <v>4180000.0000000005</v>
      </c>
      <c r="H6" s="39"/>
      <c r="I6" s="39"/>
      <c r="J6" s="39"/>
      <c r="K6" s="39"/>
      <c r="L6" s="39"/>
      <c r="M6" s="39">
        <v>1881000</v>
      </c>
      <c r="N6" s="39">
        <f t="shared" si="2"/>
        <v>6061000</v>
      </c>
      <c r="O6" s="39">
        <f>+G6*4%</f>
        <v>167200.00000000003</v>
      </c>
      <c r="P6" s="39">
        <f>+O6</f>
        <v>167200.00000000003</v>
      </c>
      <c r="Q6" s="39"/>
      <c r="R6" s="39"/>
      <c r="S6" s="39">
        <f t="shared" si="3"/>
        <v>41800.000000000007</v>
      </c>
      <c r="T6" s="48">
        <v>31064</v>
      </c>
      <c r="U6" s="39"/>
      <c r="V6" s="39"/>
      <c r="W6" s="39">
        <f t="shared" si="0"/>
        <v>407264.00000000006</v>
      </c>
      <c r="X6" s="40">
        <f>+N6-W6</f>
        <v>5653736</v>
      </c>
      <c r="Y6" s="40"/>
      <c r="Z6" s="41"/>
      <c r="AA6" s="40">
        <f>X6+Y6-Z6</f>
        <v>5653736</v>
      </c>
    </row>
    <row r="7" spans="1:27" ht="23.25" customHeight="1" x14ac:dyDescent="0.25">
      <c r="A7" s="120"/>
      <c r="B7" s="123">
        <v>4</v>
      </c>
      <c r="C7" s="37" t="s">
        <v>102</v>
      </c>
      <c r="D7" s="38" t="s">
        <v>32</v>
      </c>
      <c r="E7" s="39">
        <v>4800000</v>
      </c>
      <c r="F7" s="39">
        <v>30</v>
      </c>
      <c r="G7" s="39">
        <f>+E7/30*F7</f>
        <v>4800000</v>
      </c>
      <c r="H7" s="39"/>
      <c r="I7" s="39"/>
      <c r="J7" s="39"/>
      <c r="K7" s="39"/>
      <c r="L7" s="39"/>
      <c r="M7" s="39"/>
      <c r="N7" s="39">
        <f t="shared" si="2"/>
        <v>4800000</v>
      </c>
      <c r="O7" s="39">
        <f>+G7*4%</f>
        <v>192000</v>
      </c>
      <c r="P7" s="39">
        <f>+O7</f>
        <v>192000</v>
      </c>
      <c r="Q7" s="39"/>
      <c r="R7" s="39"/>
      <c r="S7" s="39">
        <v>48000</v>
      </c>
      <c r="T7" s="48">
        <v>70964</v>
      </c>
      <c r="U7" s="39"/>
      <c r="V7" s="39"/>
      <c r="W7" s="39">
        <f t="shared" si="0"/>
        <v>502964</v>
      </c>
      <c r="X7" s="40">
        <f>+N7-W7</f>
        <v>4297036</v>
      </c>
      <c r="Y7" s="40"/>
      <c r="Z7" s="41"/>
      <c r="AA7" s="40">
        <f>X7+Y7-Z7</f>
        <v>4297036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20.25" customHeight="1" x14ac:dyDescent="0.25">
      <c r="A9" s="120"/>
      <c r="B9" s="123">
        <v>6</v>
      </c>
      <c r="C9" s="37" t="s">
        <v>38</v>
      </c>
      <c r="D9" s="38" t="s">
        <v>32</v>
      </c>
      <c r="E9" s="39">
        <v>4800000</v>
      </c>
      <c r="F9" s="39">
        <v>30</v>
      </c>
      <c r="G9" s="39">
        <f t="shared" ref="G9:G14" si="4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>G9*4%</f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6" si="5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4000000</v>
      </c>
      <c r="F10" s="39">
        <v>30</v>
      </c>
      <c r="G10" s="39">
        <f t="shared" si="4"/>
        <v>4000000.0000000005</v>
      </c>
      <c r="H10" s="39"/>
      <c r="I10" s="39"/>
      <c r="J10" s="39"/>
      <c r="K10" s="39"/>
      <c r="L10" s="39"/>
      <c r="M10" s="39"/>
      <c r="N10" s="39">
        <f t="shared" si="2"/>
        <v>4000000.0000000005</v>
      </c>
      <c r="O10" s="39">
        <f>G10*4%</f>
        <v>160000.00000000003</v>
      </c>
      <c r="P10" s="39">
        <v>160000</v>
      </c>
      <c r="Q10" s="39"/>
      <c r="R10" s="39"/>
      <c r="S10" s="39">
        <v>40000</v>
      </c>
      <c r="T10" s="39">
        <v>31064</v>
      </c>
      <c r="U10" s="39"/>
      <c r="V10" s="39"/>
      <c r="W10" s="39">
        <f t="shared" si="0"/>
        <v>391064</v>
      </c>
      <c r="X10" s="40">
        <f t="shared" si="1"/>
        <v>3608936.0000000005</v>
      </c>
      <c r="Y10" s="40"/>
      <c r="Z10" s="41"/>
      <c r="AA10" s="40">
        <f t="shared" si="5"/>
        <v>3608936.0000000005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4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>G11*4%</f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5"/>
        <v>3685000</v>
      </c>
    </row>
    <row r="12" spans="1:27" ht="12.75" x14ac:dyDescent="0.25">
      <c r="A12" s="120"/>
      <c r="B12" s="123">
        <v>9</v>
      </c>
      <c r="C12" s="118" t="s">
        <v>108</v>
      </c>
      <c r="D12" s="45" t="s">
        <v>32</v>
      </c>
      <c r="E12" s="39">
        <v>2500000</v>
      </c>
      <c r="F12" s="39">
        <v>31</v>
      </c>
      <c r="G12" s="39">
        <f t="shared" si="4"/>
        <v>2583333.333333333</v>
      </c>
      <c r="H12" s="39"/>
      <c r="I12" s="39"/>
      <c r="J12" s="39"/>
      <c r="K12" s="39"/>
      <c r="L12" s="39"/>
      <c r="M12" s="39"/>
      <c r="N12" s="39">
        <f t="shared" si="2"/>
        <v>2583333.333333333</v>
      </c>
      <c r="O12" s="39">
        <f>G12*4%</f>
        <v>103333.33333333333</v>
      </c>
      <c r="P12" s="39">
        <f>O12</f>
        <v>103333.33333333333</v>
      </c>
      <c r="Q12" s="39"/>
      <c r="R12" s="39"/>
      <c r="S12" s="39"/>
      <c r="T12" s="39"/>
      <c r="U12" s="39"/>
      <c r="V12" s="39"/>
      <c r="W12" s="39">
        <f t="shared" si="0"/>
        <v>206666.66666666666</v>
      </c>
      <c r="X12" s="40">
        <f t="shared" si="1"/>
        <v>2376666.6666666665</v>
      </c>
      <c r="Y12" s="40"/>
      <c r="Z12" s="41"/>
      <c r="AA12" s="40">
        <f t="shared" si="5"/>
        <v>2376666.6666666665</v>
      </c>
    </row>
    <row r="13" spans="1:27" ht="24.75" customHeight="1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4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5"/>
        <v>3583532</v>
      </c>
    </row>
    <row r="14" spans="1:27" ht="24.75" customHeight="1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4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/>
      <c r="W14" s="39">
        <f t="shared" si="0"/>
        <v>503752</v>
      </c>
      <c r="X14" s="40">
        <f t="shared" si="1"/>
        <v>4296248</v>
      </c>
      <c r="Y14" s="40"/>
      <c r="Z14" s="41"/>
      <c r="AA14" s="40">
        <f t="shared" si="5"/>
        <v>4296248</v>
      </c>
    </row>
    <row r="15" spans="1:27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6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5"/>
        <v>4293248</v>
      </c>
    </row>
    <row r="16" spans="1:27" ht="21.75" customHeight="1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6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5"/>
        <v>3996248</v>
      </c>
    </row>
    <row r="17" spans="1:27" ht="12.75" x14ac:dyDescent="0.25">
      <c r="A17" s="120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5"/>
        <v>3631758</v>
      </c>
    </row>
    <row r="18" spans="1:27" ht="12.75" x14ac:dyDescent="0.25">
      <c r="A18" s="120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7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5"/>
        <v>4153110</v>
      </c>
    </row>
    <row r="19" spans="1:27" ht="23.25" customHeight="1" x14ac:dyDescent="0.25">
      <c r="A19" s="120"/>
      <c r="B19" s="123">
        <v>16</v>
      </c>
      <c r="C19" s="37" t="s">
        <v>47</v>
      </c>
      <c r="D19" s="38" t="s">
        <v>32</v>
      </c>
      <c r="E19" s="39">
        <v>4200000</v>
      </c>
      <c r="F19" s="39">
        <v>30</v>
      </c>
      <c r="G19" s="39">
        <f t="shared" ref="G19:G34" si="8">+E19/30*F19</f>
        <v>4200000</v>
      </c>
      <c r="H19" s="39"/>
      <c r="I19" s="39"/>
      <c r="J19" s="39"/>
      <c r="K19" s="39"/>
      <c r="L19" s="39"/>
      <c r="M19" s="39"/>
      <c r="N19" s="39">
        <f t="shared" si="2"/>
        <v>4200000</v>
      </c>
      <c r="O19" s="39">
        <f t="shared" si="7"/>
        <v>168000</v>
      </c>
      <c r="P19" s="39">
        <f>O19</f>
        <v>168000</v>
      </c>
      <c r="Q19" s="39"/>
      <c r="R19" s="39"/>
      <c r="S19" s="39">
        <f>N19*1%</f>
        <v>42000</v>
      </c>
      <c r="T19" s="48">
        <v>58139</v>
      </c>
      <c r="U19" s="39"/>
      <c r="V19" s="39"/>
      <c r="W19" s="39">
        <f t="shared" si="0"/>
        <v>436139</v>
      </c>
      <c r="X19" s="40">
        <f>N19-W19</f>
        <v>3763861</v>
      </c>
      <c r="Y19" s="40"/>
      <c r="Z19" s="41"/>
      <c r="AA19" s="40">
        <f t="shared" si="5"/>
        <v>3763861</v>
      </c>
    </row>
    <row r="20" spans="1:27" ht="12.75" x14ac:dyDescent="0.25">
      <c r="A20" s="120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8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5" si="9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5"/>
        <v>4228636</v>
      </c>
    </row>
    <row r="21" spans="1:27" ht="12.75" x14ac:dyDescent="0.25">
      <c r="A21" s="120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8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9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5"/>
        <v>3503500</v>
      </c>
    </row>
    <row r="22" spans="1:27" ht="12.75" x14ac:dyDescent="0.25">
      <c r="A22" s="120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8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9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5"/>
        <v>4347279</v>
      </c>
    </row>
    <row r="23" spans="1:27" ht="26.25" customHeight="1" x14ac:dyDescent="0.25">
      <c r="A23" s="120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8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9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5"/>
        <v>3185000</v>
      </c>
    </row>
    <row r="24" spans="1:27" ht="26.25" customHeight="1" x14ac:dyDescent="0.25">
      <c r="A24" s="120"/>
      <c r="B24" s="123">
        <v>21</v>
      </c>
      <c r="C24" s="37" t="s">
        <v>105</v>
      </c>
      <c r="D24" s="38" t="s">
        <v>32</v>
      </c>
      <c r="E24" s="39">
        <v>4200000</v>
      </c>
      <c r="F24" s="39">
        <v>30</v>
      </c>
      <c r="G24" s="39">
        <f t="shared" si="8"/>
        <v>4200000</v>
      </c>
      <c r="H24" s="39"/>
      <c r="I24" s="39"/>
      <c r="J24" s="39"/>
      <c r="K24" s="39"/>
      <c r="L24" s="39">
        <v>55594</v>
      </c>
      <c r="M24" s="39"/>
      <c r="N24" s="39">
        <f t="shared" si="2"/>
        <v>4255594</v>
      </c>
      <c r="O24" s="39">
        <f>+G24*4%</f>
        <v>168000</v>
      </c>
      <c r="P24" s="39">
        <f t="shared" si="9"/>
        <v>168000</v>
      </c>
      <c r="Q24" s="39"/>
      <c r="R24" s="39"/>
      <c r="S24" s="39">
        <f t="shared" si="3"/>
        <v>42000</v>
      </c>
      <c r="T24" s="39">
        <v>2545</v>
      </c>
      <c r="U24" s="39"/>
      <c r="V24" s="39"/>
      <c r="W24" s="39">
        <f t="shared" si="0"/>
        <v>380545</v>
      </c>
      <c r="X24" s="40">
        <f>+N24-W24</f>
        <v>3875049</v>
      </c>
      <c r="Y24" s="40"/>
      <c r="Z24" s="41"/>
      <c r="AA24" s="40">
        <f t="shared" si="5"/>
        <v>3875049</v>
      </c>
    </row>
    <row r="25" spans="1:27" ht="19.5" customHeight="1" x14ac:dyDescent="0.25">
      <c r="A25" s="120"/>
      <c r="B25" s="123">
        <v>22</v>
      </c>
      <c r="C25" s="118" t="s">
        <v>53</v>
      </c>
      <c r="D25" s="45" t="s">
        <v>32</v>
      </c>
      <c r="E25" s="39">
        <v>4200000</v>
      </c>
      <c r="F25" s="39">
        <v>30</v>
      </c>
      <c r="G25" s="39">
        <f t="shared" si="8"/>
        <v>4200000</v>
      </c>
      <c r="H25" s="39"/>
      <c r="I25" s="39"/>
      <c r="J25" s="39"/>
      <c r="K25" s="39"/>
      <c r="L25" s="39"/>
      <c r="M25" s="39"/>
      <c r="N25" s="39">
        <f t="shared" si="2"/>
        <v>4200000</v>
      </c>
      <c r="O25" s="39">
        <f t="shared" ref="O25" si="10">+G25*4%</f>
        <v>168000</v>
      </c>
      <c r="P25" s="39">
        <f t="shared" si="9"/>
        <v>168000</v>
      </c>
      <c r="Q25" s="39"/>
      <c r="R25" s="39"/>
      <c r="S25" s="39">
        <f>N25*1%</f>
        <v>42000</v>
      </c>
      <c r="T25" s="39">
        <v>2545</v>
      </c>
      <c r="U25" s="39"/>
      <c r="V25" s="39"/>
      <c r="W25" s="39">
        <f t="shared" si="0"/>
        <v>380545</v>
      </c>
      <c r="X25" s="40">
        <f>N25-W25</f>
        <v>3819455</v>
      </c>
      <c r="Y25" s="40"/>
      <c r="Z25" s="41"/>
      <c r="AA25" s="40">
        <f t="shared" si="5"/>
        <v>3819455</v>
      </c>
    </row>
    <row r="26" spans="1:27" ht="19.5" customHeight="1" x14ac:dyDescent="0.25">
      <c r="A26" s="120"/>
      <c r="B26" s="123">
        <v>23</v>
      </c>
      <c r="C26" s="118" t="s">
        <v>54</v>
      </c>
      <c r="D26" s="45" t="s">
        <v>32</v>
      </c>
      <c r="E26" s="39">
        <v>5000000</v>
      </c>
      <c r="F26" s="39">
        <v>30</v>
      </c>
      <c r="G26" s="39">
        <f t="shared" si="8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 t="shared" si="2"/>
        <v>5400000</v>
      </c>
      <c r="O26" s="39">
        <f>G26*4%</f>
        <v>200000</v>
      </c>
      <c r="P26" s="39">
        <f>O26</f>
        <v>200000</v>
      </c>
      <c r="Q26" s="39"/>
      <c r="R26" s="39"/>
      <c r="S26" s="39">
        <f>G26*1%</f>
        <v>50000</v>
      </c>
      <c r="T26" s="39">
        <v>166439</v>
      </c>
      <c r="U26" s="39"/>
      <c r="V26" s="39"/>
      <c r="W26" s="39">
        <f t="shared" si="0"/>
        <v>616439</v>
      </c>
      <c r="X26" s="40">
        <f>N26-W26</f>
        <v>4783561</v>
      </c>
      <c r="Y26" s="40"/>
      <c r="Z26" s="41"/>
      <c r="AA26" s="40">
        <f t="shared" si="5"/>
        <v>4783561</v>
      </c>
    </row>
    <row r="27" spans="1:27" ht="25.5" x14ac:dyDescent="0.25">
      <c r="A27" s="120"/>
      <c r="B27" s="123">
        <v>24</v>
      </c>
      <c r="C27" s="37" t="s">
        <v>55</v>
      </c>
      <c r="D27" s="38" t="s">
        <v>32</v>
      </c>
      <c r="E27" s="39">
        <v>4410000</v>
      </c>
      <c r="F27" s="39">
        <v>30</v>
      </c>
      <c r="G27" s="39">
        <f t="shared" si="8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/>
      <c r="S27" s="39">
        <f t="shared" si="3"/>
        <v>44100</v>
      </c>
      <c r="T27" s="39">
        <v>86568</v>
      </c>
      <c r="U27" s="39"/>
      <c r="V27" s="39"/>
      <c r="W27" s="39">
        <f t="shared" si="0"/>
        <v>483468</v>
      </c>
      <c r="X27" s="40">
        <f>+N27-W27</f>
        <v>3926532</v>
      </c>
      <c r="Y27" s="40"/>
      <c r="Z27" s="41"/>
      <c r="AA27" s="40">
        <f t="shared" si="5"/>
        <v>3926532</v>
      </c>
    </row>
    <row r="28" spans="1:27" ht="12.75" x14ac:dyDescent="0.25">
      <c r="A28" s="120"/>
      <c r="B28" s="123">
        <v>25</v>
      </c>
      <c r="C28" s="37" t="s">
        <v>109</v>
      </c>
      <c r="D28" s="38" t="s">
        <v>32</v>
      </c>
      <c r="E28" s="39">
        <v>4200000</v>
      </c>
      <c r="F28" s="39">
        <v>25</v>
      </c>
      <c r="G28" s="39">
        <f t="shared" si="8"/>
        <v>3500000</v>
      </c>
      <c r="H28" s="39"/>
      <c r="I28" s="39"/>
      <c r="J28" s="39"/>
      <c r="K28" s="39"/>
      <c r="L28" s="39"/>
      <c r="M28" s="39"/>
      <c r="N28" s="39">
        <f>SUM(G28:M28)</f>
        <v>3500000</v>
      </c>
      <c r="O28" s="39">
        <f>+G28*4%</f>
        <v>140000</v>
      </c>
      <c r="P28" s="39">
        <f>+O28</f>
        <v>140000</v>
      </c>
      <c r="Q28" s="39"/>
      <c r="R28" s="39"/>
      <c r="S28" s="39">
        <v>42000</v>
      </c>
      <c r="T28" s="39">
        <v>2545</v>
      </c>
      <c r="U28" s="39"/>
      <c r="V28" s="39"/>
      <c r="W28" s="39">
        <f t="shared" si="0"/>
        <v>324545</v>
      </c>
      <c r="X28" s="40">
        <f>+N28-W28</f>
        <v>3175455</v>
      </c>
      <c r="Y28" s="40"/>
      <c r="Z28" s="41"/>
      <c r="AA28" s="40">
        <f t="shared" si="5"/>
        <v>3175455</v>
      </c>
    </row>
    <row r="29" spans="1:27" ht="12.75" x14ac:dyDescent="0.25">
      <c r="A29" s="120"/>
      <c r="B29" s="123">
        <v>26</v>
      </c>
      <c r="C29" s="37" t="s">
        <v>56</v>
      </c>
      <c r="D29" s="38" t="s">
        <v>32</v>
      </c>
      <c r="E29" s="39">
        <v>4180000</v>
      </c>
      <c r="F29" s="39">
        <v>30</v>
      </c>
      <c r="G29" s="39">
        <f t="shared" si="8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5"/>
        <v>4248368</v>
      </c>
    </row>
    <row r="30" spans="1:27" ht="12.75" x14ac:dyDescent="0.25">
      <c r="A30" s="120"/>
      <c r="B30" s="123">
        <v>27</v>
      </c>
      <c r="C30" s="37" t="s">
        <v>57</v>
      </c>
      <c r="D30" s="38" t="s">
        <v>32</v>
      </c>
      <c r="E30" s="39">
        <v>4000000</v>
      </c>
      <c r="F30" s="39">
        <v>30</v>
      </c>
      <c r="G30" s="39">
        <f t="shared" si="8"/>
        <v>4000000.0000000005</v>
      </c>
      <c r="H30" s="39"/>
      <c r="I30" s="39"/>
      <c r="J30" s="39"/>
      <c r="K30" s="39"/>
      <c r="L30" s="39"/>
      <c r="M30" s="39"/>
      <c r="N30" s="39">
        <f t="shared" ref="N30:N32" si="11">SUM(G30:M30)</f>
        <v>4000000.0000000005</v>
      </c>
      <c r="O30" s="39">
        <f t="shared" ref="O30:O31" si="12">+G30*4%</f>
        <v>160000.00000000003</v>
      </c>
      <c r="P30" s="39">
        <f>O30</f>
        <v>160000.00000000003</v>
      </c>
      <c r="Q30" s="39"/>
      <c r="R30" s="39"/>
      <c r="S30" s="39">
        <v>40000</v>
      </c>
      <c r="T30" s="39">
        <v>31064</v>
      </c>
      <c r="U30" s="39"/>
      <c r="V30" s="39"/>
      <c r="W30" s="39">
        <f t="shared" si="0"/>
        <v>391064.00000000006</v>
      </c>
      <c r="X30" s="40">
        <f>N30-W30</f>
        <v>3608936.0000000005</v>
      </c>
      <c r="Y30" s="40"/>
      <c r="Z30" s="41"/>
      <c r="AA30" s="40">
        <f t="shared" si="5"/>
        <v>3608936.0000000005</v>
      </c>
    </row>
    <row r="31" spans="1:27" ht="21.75" customHeight="1" x14ac:dyDescent="0.25">
      <c r="A31" s="120"/>
      <c r="B31" s="123">
        <v>28</v>
      </c>
      <c r="C31" s="37" t="s">
        <v>58</v>
      </c>
      <c r="D31" s="38" t="s">
        <v>32</v>
      </c>
      <c r="E31" s="39">
        <v>4500000</v>
      </c>
      <c r="F31" s="39">
        <v>30</v>
      </c>
      <c r="G31" s="39">
        <f t="shared" si="8"/>
        <v>4500000</v>
      </c>
      <c r="H31" s="39"/>
      <c r="I31" s="39"/>
      <c r="J31" s="39"/>
      <c r="K31" s="39"/>
      <c r="L31" s="39"/>
      <c r="M31" s="39">
        <v>300000</v>
      </c>
      <c r="N31" s="39">
        <f t="shared" si="11"/>
        <v>4800000</v>
      </c>
      <c r="O31" s="39">
        <f t="shared" si="12"/>
        <v>180000</v>
      </c>
      <c r="P31" s="39">
        <f>O31</f>
        <v>180000</v>
      </c>
      <c r="Q31" s="39"/>
      <c r="R31" s="39"/>
      <c r="S31" s="39">
        <v>45000</v>
      </c>
      <c r="T31" s="39">
        <v>98752</v>
      </c>
      <c r="U31" s="39"/>
      <c r="V31" s="39"/>
      <c r="W31" s="39">
        <f t="shared" si="0"/>
        <v>503752</v>
      </c>
      <c r="X31" s="40">
        <f>N31-W31</f>
        <v>4296248</v>
      </c>
      <c r="Y31" s="40"/>
      <c r="Z31" s="41"/>
      <c r="AA31" s="40">
        <f t="shared" si="5"/>
        <v>4296248</v>
      </c>
    </row>
    <row r="32" spans="1:27" ht="23.25" customHeight="1" x14ac:dyDescent="0.25">
      <c r="A32" s="120"/>
      <c r="B32" s="123">
        <v>29</v>
      </c>
      <c r="C32" s="37" t="s">
        <v>59</v>
      </c>
      <c r="D32" s="38" t="s">
        <v>32</v>
      </c>
      <c r="E32" s="39">
        <v>5640250</v>
      </c>
      <c r="F32" s="39">
        <v>30</v>
      </c>
      <c r="G32" s="39">
        <f t="shared" si="8"/>
        <v>5640250</v>
      </c>
      <c r="H32" s="39"/>
      <c r="I32" s="39"/>
      <c r="J32" s="39"/>
      <c r="K32" s="39"/>
      <c r="L32" s="39"/>
      <c r="M32" s="39">
        <v>283339</v>
      </c>
      <c r="N32" s="39">
        <f t="shared" si="11"/>
        <v>5923589</v>
      </c>
      <c r="O32" s="39">
        <f>+G32*4%</f>
        <v>225610</v>
      </c>
      <c r="P32" s="39">
        <f>+O32</f>
        <v>225610</v>
      </c>
      <c r="Q32" s="39"/>
      <c r="R32" s="39"/>
      <c r="S32" s="39">
        <f t="shared" si="3"/>
        <v>56402.5</v>
      </c>
      <c r="T32" s="39">
        <v>91627</v>
      </c>
      <c r="U32" s="39">
        <v>1000000</v>
      </c>
      <c r="V32" s="39"/>
      <c r="W32" s="39">
        <f t="shared" si="0"/>
        <v>1599249.5</v>
      </c>
      <c r="X32" s="40">
        <f>N32-W32</f>
        <v>4324339.5</v>
      </c>
      <c r="Y32" s="40"/>
      <c r="Z32" s="41"/>
      <c r="AA32" s="40">
        <f t="shared" si="5"/>
        <v>4324339.5</v>
      </c>
    </row>
    <row r="33" spans="1:28" ht="23.25" customHeight="1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8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5"/>
        <v>1902500</v>
      </c>
    </row>
    <row r="34" spans="1:28" ht="23.25" customHeight="1" x14ac:dyDescent="0.25">
      <c r="A34" s="120"/>
      <c r="B34" s="123">
        <v>31</v>
      </c>
      <c r="C34" s="37" t="s">
        <v>110</v>
      </c>
      <c r="D34" s="38" t="s">
        <v>32</v>
      </c>
      <c r="E34" s="39">
        <v>1500000</v>
      </c>
      <c r="F34" s="39">
        <v>4</v>
      </c>
      <c r="G34" s="39">
        <f t="shared" si="8"/>
        <v>200000</v>
      </c>
      <c r="H34" s="39"/>
      <c r="I34" s="39"/>
      <c r="J34" s="39"/>
      <c r="K34" s="39"/>
      <c r="L34" s="39"/>
      <c r="M34" s="39"/>
      <c r="N34" s="39">
        <f>SUM(G34:M34)</f>
        <v>200000</v>
      </c>
      <c r="O34" s="39">
        <f>+G34*4%</f>
        <v>8000</v>
      </c>
      <c r="P34" s="39">
        <f>+O34</f>
        <v>8000</v>
      </c>
      <c r="Q34" s="39"/>
      <c r="R34" s="39"/>
      <c r="S34" s="39"/>
      <c r="T34" s="48"/>
      <c r="U34" s="39"/>
      <c r="V34" s="39"/>
      <c r="W34" s="39">
        <f t="shared" si="0"/>
        <v>16000</v>
      </c>
      <c r="X34" s="40">
        <f>+N34-W34</f>
        <v>184000</v>
      </c>
      <c r="Y34" s="40"/>
      <c r="Z34" s="41"/>
      <c r="AA34" s="40">
        <f t="shared" si="5"/>
        <v>184000</v>
      </c>
    </row>
    <row r="35" spans="1:28" ht="23.25" customHeight="1" x14ac:dyDescent="0.25">
      <c r="A35" s="120"/>
      <c r="B35" s="123">
        <v>32</v>
      </c>
      <c r="C35" s="37" t="s">
        <v>65</v>
      </c>
      <c r="D35" s="38" t="s">
        <v>32</v>
      </c>
      <c r="E35" s="39">
        <v>644350</v>
      </c>
      <c r="F35" s="39">
        <v>30</v>
      </c>
      <c r="G35" s="39">
        <f>E35/30*F35</f>
        <v>644350</v>
      </c>
      <c r="H35" s="39"/>
      <c r="I35" s="39"/>
      <c r="J35" s="39"/>
      <c r="K35" s="39"/>
      <c r="L35" s="39"/>
      <c r="M35" s="39"/>
      <c r="N35" s="39">
        <f t="shared" ref="N35:N53" si="13">SUM(G35:M35)</f>
        <v>644350</v>
      </c>
      <c r="O35" s="39"/>
      <c r="P35" s="39"/>
      <c r="Q35" s="39"/>
      <c r="R35" s="39"/>
      <c r="S35" s="39"/>
      <c r="T35" s="39"/>
      <c r="U35" s="39"/>
      <c r="V35" s="39"/>
      <c r="W35" s="39">
        <f t="shared" si="0"/>
        <v>0</v>
      </c>
      <c r="X35" s="40">
        <f>N35</f>
        <v>644350</v>
      </c>
      <c r="Y35" s="40"/>
      <c r="Z35" s="41"/>
      <c r="AA35" s="40">
        <f t="shared" si="5"/>
        <v>644350</v>
      </c>
    </row>
    <row r="36" spans="1:28" ht="22.5" customHeight="1" x14ac:dyDescent="0.25">
      <c r="A36" s="120"/>
      <c r="B36" s="123">
        <v>33</v>
      </c>
      <c r="C36" s="37" t="s">
        <v>66</v>
      </c>
      <c r="D36" s="38" t="s">
        <v>32</v>
      </c>
      <c r="E36" s="39">
        <v>644350</v>
      </c>
      <c r="F36" s="39">
        <v>30</v>
      </c>
      <c r="G36" s="39">
        <f>E36/30*F36</f>
        <v>644350</v>
      </c>
      <c r="H36" s="39"/>
      <c r="I36" s="39"/>
      <c r="J36" s="39"/>
      <c r="K36" s="39"/>
      <c r="L36" s="39"/>
      <c r="M36" s="39"/>
      <c r="N36" s="39">
        <f t="shared" si="13"/>
        <v>644350</v>
      </c>
      <c r="O36" s="39"/>
      <c r="P36" s="39"/>
      <c r="Q36" s="39"/>
      <c r="R36" s="39"/>
      <c r="S36" s="39"/>
      <c r="T36" s="39"/>
      <c r="U36" s="39"/>
      <c r="V36" s="39"/>
      <c r="W36" s="39">
        <f t="shared" si="0"/>
        <v>0</v>
      </c>
      <c r="X36" s="40">
        <f>N36</f>
        <v>644350</v>
      </c>
      <c r="Y36" s="40"/>
      <c r="Z36" s="41"/>
      <c r="AA36" s="40">
        <f t="shared" si="5"/>
        <v>644350</v>
      </c>
    </row>
    <row r="37" spans="1:28" ht="18" customHeight="1" x14ac:dyDescent="0.25">
      <c r="A37" s="120"/>
      <c r="B37" s="123">
        <v>34</v>
      </c>
      <c r="C37" s="118" t="s">
        <v>67</v>
      </c>
      <c r="D37" s="45" t="s">
        <v>32</v>
      </c>
      <c r="E37" s="39">
        <v>1300000</v>
      </c>
      <c r="F37" s="39">
        <v>30</v>
      </c>
      <c r="G37" s="39">
        <f>+E37/30*F37</f>
        <v>1300000</v>
      </c>
      <c r="H37" s="39"/>
      <c r="I37" s="39"/>
      <c r="J37" s="39"/>
      <c r="K37" s="39"/>
      <c r="L37" s="39"/>
      <c r="M37" s="39"/>
      <c r="N37" s="39">
        <f t="shared" si="13"/>
        <v>1300000</v>
      </c>
      <c r="O37" s="39">
        <f>G37*4%</f>
        <v>52000</v>
      </c>
      <c r="P37" s="39">
        <f>+O37</f>
        <v>52000</v>
      </c>
      <c r="Q37" s="39"/>
      <c r="R37" s="39"/>
      <c r="S37" s="39"/>
      <c r="T37" s="39"/>
      <c r="U37" s="39"/>
      <c r="V37" s="39"/>
      <c r="W37" s="39">
        <f t="shared" si="0"/>
        <v>104000</v>
      </c>
      <c r="X37" s="40">
        <f>N37-W37</f>
        <v>1196000</v>
      </c>
      <c r="Y37" s="40"/>
      <c r="Z37" s="41"/>
      <c r="AA37" s="40">
        <f t="shared" si="5"/>
        <v>1196000</v>
      </c>
    </row>
    <row r="38" spans="1:28" ht="24" customHeight="1" x14ac:dyDescent="0.25">
      <c r="A38" s="120"/>
      <c r="B38" s="123">
        <v>35</v>
      </c>
      <c r="C38" s="37" t="s">
        <v>68</v>
      </c>
      <c r="D38" s="38" t="s">
        <v>32</v>
      </c>
      <c r="E38" s="39">
        <v>2500000</v>
      </c>
      <c r="F38" s="39">
        <v>30</v>
      </c>
      <c r="G38" s="39">
        <v>2500000</v>
      </c>
      <c r="H38" s="39"/>
      <c r="I38" s="39"/>
      <c r="J38" s="39"/>
      <c r="K38" s="39"/>
      <c r="L38" s="39"/>
      <c r="M38" s="39">
        <v>500000</v>
      </c>
      <c r="N38" s="39">
        <f t="shared" si="13"/>
        <v>3000000</v>
      </c>
      <c r="O38" s="39">
        <f>G38*4%</f>
        <v>100000</v>
      </c>
      <c r="P38" s="39">
        <f>O38</f>
        <v>100000</v>
      </c>
      <c r="Q38" s="39"/>
      <c r="R38" s="39"/>
      <c r="S38" s="39"/>
      <c r="T38" s="39"/>
      <c r="U38" s="39"/>
      <c r="V38" s="39"/>
      <c r="W38" s="39">
        <f t="shared" si="0"/>
        <v>200000</v>
      </c>
      <c r="X38" s="40">
        <f t="shared" ref="X38:X44" si="14">N38-W38</f>
        <v>2800000</v>
      </c>
      <c r="Y38" s="40"/>
      <c r="Z38" s="41"/>
      <c r="AA38" s="40">
        <f t="shared" si="5"/>
        <v>2800000</v>
      </c>
    </row>
    <row r="39" spans="1:28" ht="24" customHeight="1" x14ac:dyDescent="0.25">
      <c r="A39" s="120"/>
      <c r="B39" s="123">
        <v>36</v>
      </c>
      <c r="C39" s="37" t="s">
        <v>69</v>
      </c>
      <c r="D39" s="38" t="s">
        <v>32</v>
      </c>
      <c r="E39" s="39">
        <v>1500000</v>
      </c>
      <c r="F39" s="39">
        <v>30</v>
      </c>
      <c r="G39" s="39">
        <f>E39/30*F39</f>
        <v>1500000</v>
      </c>
      <c r="H39" s="39"/>
      <c r="I39" s="39"/>
      <c r="J39" s="39"/>
      <c r="K39" s="39"/>
      <c r="L39" s="39"/>
      <c r="M39" s="39"/>
      <c r="N39" s="39">
        <f t="shared" si="13"/>
        <v>1500000</v>
      </c>
      <c r="O39" s="39">
        <f t="shared" ref="O39:O40" si="15">G39*4%</f>
        <v>60000</v>
      </c>
      <c r="P39" s="39">
        <f>O39</f>
        <v>60000</v>
      </c>
      <c r="Q39" s="39"/>
      <c r="R39" s="39"/>
      <c r="S39" s="39"/>
      <c r="T39" s="39"/>
      <c r="U39" s="39"/>
      <c r="V39" s="39"/>
      <c r="W39" s="39">
        <f t="shared" si="0"/>
        <v>120000</v>
      </c>
      <c r="X39" s="40">
        <f t="shared" si="14"/>
        <v>1380000</v>
      </c>
      <c r="Y39" s="40"/>
      <c r="Z39" s="41"/>
      <c r="AA39" s="40">
        <f t="shared" si="5"/>
        <v>1380000</v>
      </c>
    </row>
    <row r="40" spans="1:28" ht="12.75" x14ac:dyDescent="0.25">
      <c r="A40" s="120"/>
      <c r="B40" s="123">
        <v>37</v>
      </c>
      <c r="C40" s="37" t="s">
        <v>70</v>
      </c>
      <c r="D40" s="38" t="s">
        <v>32</v>
      </c>
      <c r="E40" s="39">
        <v>1700000</v>
      </c>
      <c r="F40" s="39">
        <v>30</v>
      </c>
      <c r="G40" s="39">
        <f>E40/30*F40</f>
        <v>1700000</v>
      </c>
      <c r="H40" s="39"/>
      <c r="I40" s="39"/>
      <c r="J40" s="39"/>
      <c r="K40" s="39"/>
      <c r="L40" s="39"/>
      <c r="M40" s="39"/>
      <c r="N40" s="39">
        <f t="shared" si="13"/>
        <v>1700000</v>
      </c>
      <c r="O40" s="39">
        <f t="shared" si="15"/>
        <v>68000</v>
      </c>
      <c r="P40" s="39">
        <f>O40</f>
        <v>68000</v>
      </c>
      <c r="Q40" s="39"/>
      <c r="R40" s="39"/>
      <c r="S40" s="39"/>
      <c r="T40" s="39"/>
      <c r="U40" s="39"/>
      <c r="V40" s="39"/>
      <c r="W40" s="39">
        <f t="shared" si="0"/>
        <v>136000</v>
      </c>
      <c r="X40" s="40">
        <f t="shared" si="14"/>
        <v>1564000</v>
      </c>
      <c r="Y40" s="40"/>
      <c r="Z40" s="41"/>
      <c r="AA40" s="40">
        <f t="shared" si="5"/>
        <v>1564000</v>
      </c>
    </row>
    <row r="41" spans="1:28" ht="25.5" customHeight="1" x14ac:dyDescent="0.25">
      <c r="A41" s="120"/>
      <c r="B41" s="123">
        <v>38</v>
      </c>
      <c r="C41" s="37" t="s">
        <v>71</v>
      </c>
      <c r="D41" s="38" t="s">
        <v>32</v>
      </c>
      <c r="E41" s="39">
        <v>1300000</v>
      </c>
      <c r="F41" s="39">
        <v>30</v>
      </c>
      <c r="G41" s="39">
        <f>E41/30*F41</f>
        <v>1300000</v>
      </c>
      <c r="H41" s="39"/>
      <c r="I41" s="39"/>
      <c r="J41" s="39"/>
      <c r="K41" s="39"/>
      <c r="L41" s="39"/>
      <c r="M41" s="39"/>
      <c r="N41" s="39">
        <f t="shared" si="13"/>
        <v>1300000</v>
      </c>
      <c r="O41" s="39">
        <f>G41*4%</f>
        <v>52000</v>
      </c>
      <c r="P41" s="39">
        <f>O41</f>
        <v>52000</v>
      </c>
      <c r="Q41" s="39"/>
      <c r="R41" s="39"/>
      <c r="S41" s="39"/>
      <c r="T41" s="39"/>
      <c r="U41" s="39"/>
      <c r="V41" s="39"/>
      <c r="W41" s="39">
        <f t="shared" si="0"/>
        <v>104000</v>
      </c>
      <c r="X41" s="40">
        <f t="shared" si="14"/>
        <v>1196000</v>
      </c>
      <c r="Y41" s="40"/>
      <c r="Z41" s="41"/>
      <c r="AA41" s="40">
        <f t="shared" si="5"/>
        <v>1196000</v>
      </c>
    </row>
    <row r="42" spans="1:28" ht="12.75" x14ac:dyDescent="0.25">
      <c r="A42" s="120"/>
      <c r="B42" s="123">
        <v>39</v>
      </c>
      <c r="C42" s="118" t="s">
        <v>72</v>
      </c>
      <c r="D42" s="45" t="s">
        <v>32</v>
      </c>
      <c r="E42" s="39">
        <v>2500000</v>
      </c>
      <c r="F42" s="39">
        <v>30</v>
      </c>
      <c r="G42" s="39">
        <f>+E42/30*F42</f>
        <v>2500000</v>
      </c>
      <c r="H42" s="39"/>
      <c r="I42" s="39"/>
      <c r="J42" s="39"/>
      <c r="K42" s="39"/>
      <c r="L42" s="39"/>
      <c r="M42" s="39"/>
      <c r="N42" s="39">
        <f t="shared" si="13"/>
        <v>2500000</v>
      </c>
      <c r="O42" s="39">
        <f t="shared" ref="O42:O48" si="16">+G42*4%</f>
        <v>100000</v>
      </c>
      <c r="P42" s="39">
        <f>+O42</f>
        <v>100000</v>
      </c>
      <c r="Q42" s="39"/>
      <c r="R42" s="39"/>
      <c r="S42" s="39"/>
      <c r="T42" s="39"/>
      <c r="U42" s="39"/>
      <c r="V42" s="39"/>
      <c r="W42" s="39">
        <f t="shared" si="0"/>
        <v>200000</v>
      </c>
      <c r="X42" s="40">
        <f t="shared" si="14"/>
        <v>2300000</v>
      </c>
      <c r="Y42" s="40"/>
      <c r="Z42" s="41"/>
      <c r="AA42" s="40">
        <f t="shared" si="5"/>
        <v>2300000</v>
      </c>
    </row>
    <row r="43" spans="1:28" ht="12.75" x14ac:dyDescent="0.25">
      <c r="A43" s="120"/>
      <c r="B43" s="123">
        <v>40</v>
      </c>
      <c r="C43" s="118" t="s">
        <v>111</v>
      </c>
      <c r="D43" s="45" t="s">
        <v>32</v>
      </c>
      <c r="E43" s="39">
        <v>644350</v>
      </c>
      <c r="F43" s="39">
        <v>15</v>
      </c>
      <c r="G43" s="39">
        <f>+E43/30*F43</f>
        <v>322175</v>
      </c>
      <c r="H43" s="39">
        <f>74000/30*15</f>
        <v>37000</v>
      </c>
      <c r="I43" s="39"/>
      <c r="J43" s="39"/>
      <c r="K43" s="39"/>
      <c r="L43" s="39"/>
      <c r="M43" s="39">
        <v>67000</v>
      </c>
      <c r="N43" s="39">
        <f t="shared" si="13"/>
        <v>426175</v>
      </c>
      <c r="O43" s="39">
        <f t="shared" si="16"/>
        <v>12887</v>
      </c>
      <c r="P43" s="39">
        <f>+O43</f>
        <v>12887</v>
      </c>
      <c r="Q43" s="39"/>
      <c r="R43" s="39"/>
      <c r="S43" s="39"/>
      <c r="T43" s="39"/>
      <c r="U43" s="39"/>
      <c r="V43" s="39">
        <v>100000</v>
      </c>
      <c r="W43" s="39">
        <f t="shared" si="0"/>
        <v>125774</v>
      </c>
      <c r="X43" s="40">
        <f t="shared" si="14"/>
        <v>300401</v>
      </c>
      <c r="Y43" s="40"/>
      <c r="Z43" s="41"/>
      <c r="AA43" s="40">
        <f t="shared" si="5"/>
        <v>300401</v>
      </c>
    </row>
    <row r="44" spans="1:28" ht="12.75" x14ac:dyDescent="0.25">
      <c r="A44" s="120"/>
      <c r="B44" s="123">
        <v>41</v>
      </c>
      <c r="C44" s="118" t="s">
        <v>112</v>
      </c>
      <c r="D44" s="45" t="s">
        <v>32</v>
      </c>
      <c r="E44" s="39">
        <v>1500000</v>
      </c>
      <c r="F44" s="39">
        <v>4</v>
      </c>
      <c r="G44" s="39">
        <f>+E44/30*F44</f>
        <v>200000</v>
      </c>
      <c r="H44" s="39"/>
      <c r="I44" s="39"/>
      <c r="J44" s="39"/>
      <c r="K44" s="39"/>
      <c r="L44" s="39"/>
      <c r="M44" s="39"/>
      <c r="N44" s="39">
        <f t="shared" si="13"/>
        <v>200000</v>
      </c>
      <c r="O44" s="39">
        <f t="shared" si="16"/>
        <v>8000</v>
      </c>
      <c r="P44" s="39">
        <f>+O44</f>
        <v>8000</v>
      </c>
      <c r="Q44" s="39"/>
      <c r="R44" s="39"/>
      <c r="S44" s="39"/>
      <c r="T44" s="39"/>
      <c r="U44" s="39"/>
      <c r="V44" s="39"/>
      <c r="W44" s="39">
        <f t="shared" si="0"/>
        <v>16000</v>
      </c>
      <c r="X44" s="40">
        <f t="shared" si="14"/>
        <v>184000</v>
      </c>
      <c r="Y44" s="40"/>
      <c r="Z44" s="41"/>
      <c r="AA44" s="40">
        <f t="shared" si="5"/>
        <v>184000</v>
      </c>
    </row>
    <row r="45" spans="1:28" ht="12.75" x14ac:dyDescent="0.25">
      <c r="A45" s="120"/>
      <c r="B45" s="123">
        <v>42</v>
      </c>
      <c r="C45" s="37" t="s">
        <v>74</v>
      </c>
      <c r="D45" s="38" t="s">
        <v>32</v>
      </c>
      <c r="E45" s="39">
        <v>1000000</v>
      </c>
      <c r="F45" s="39">
        <v>30</v>
      </c>
      <c r="G45" s="39">
        <f>+E45/30*F45</f>
        <v>1000000.0000000001</v>
      </c>
      <c r="H45" s="39">
        <v>74000</v>
      </c>
      <c r="I45" s="39"/>
      <c r="J45" s="39"/>
      <c r="K45" s="39"/>
      <c r="L45" s="39"/>
      <c r="M45" s="39"/>
      <c r="N45" s="39">
        <f t="shared" si="13"/>
        <v>1074000</v>
      </c>
      <c r="O45" s="39">
        <f t="shared" si="16"/>
        <v>40000.000000000007</v>
      </c>
      <c r="P45" s="39">
        <f t="shared" ref="P45:P54" si="17">+O45</f>
        <v>40000.000000000007</v>
      </c>
      <c r="Q45" s="39"/>
      <c r="R45" s="39"/>
      <c r="S45" s="39"/>
      <c r="T45" s="39"/>
      <c r="U45" s="39"/>
      <c r="V45" s="39"/>
      <c r="W45" s="39">
        <f t="shared" si="0"/>
        <v>80000.000000000015</v>
      </c>
      <c r="X45" s="40">
        <f t="shared" ref="X45:X50" si="18">+N45-W45</f>
        <v>994000</v>
      </c>
      <c r="Y45" s="40"/>
      <c r="Z45" s="41"/>
      <c r="AA45" s="40">
        <f t="shared" si="5"/>
        <v>994000</v>
      </c>
    </row>
    <row r="46" spans="1:28" ht="22.5" customHeight="1" x14ac:dyDescent="0.25">
      <c r="A46" s="120"/>
      <c r="B46" s="123">
        <v>43</v>
      </c>
      <c r="C46" s="37" t="s">
        <v>75</v>
      </c>
      <c r="D46" s="38" t="s">
        <v>32</v>
      </c>
      <c r="E46" s="39">
        <v>3000000</v>
      </c>
      <c r="F46" s="39">
        <v>30</v>
      </c>
      <c r="G46" s="39">
        <f t="shared" ref="G46:G53" si="19">+E46/30*F46</f>
        <v>3000000</v>
      </c>
      <c r="H46" s="39"/>
      <c r="I46" s="39"/>
      <c r="J46" s="39"/>
      <c r="K46" s="39"/>
      <c r="L46" s="39"/>
      <c r="M46" s="39"/>
      <c r="N46" s="39">
        <f t="shared" si="13"/>
        <v>3000000</v>
      </c>
      <c r="O46" s="39">
        <f t="shared" si="16"/>
        <v>120000</v>
      </c>
      <c r="P46" s="39">
        <f t="shared" si="17"/>
        <v>120000</v>
      </c>
      <c r="Q46" s="39"/>
      <c r="R46" s="39"/>
      <c r="S46" s="39">
        <f>N46*1%</f>
        <v>30000</v>
      </c>
      <c r="T46" s="39"/>
      <c r="U46" s="39"/>
      <c r="V46" s="39"/>
      <c r="W46" s="39">
        <f t="shared" si="0"/>
        <v>270000</v>
      </c>
      <c r="X46" s="40">
        <f t="shared" si="18"/>
        <v>2730000</v>
      </c>
      <c r="Y46" s="40"/>
      <c r="Z46" s="41"/>
      <c r="AA46" s="40">
        <f t="shared" si="5"/>
        <v>2730000</v>
      </c>
    </row>
    <row r="47" spans="1:28" ht="21" customHeight="1" x14ac:dyDescent="0.25">
      <c r="A47" s="120"/>
      <c r="B47" s="123">
        <v>44</v>
      </c>
      <c r="C47" s="37" t="s">
        <v>76</v>
      </c>
      <c r="D47" s="38" t="s">
        <v>32</v>
      </c>
      <c r="E47" s="39">
        <v>2500000</v>
      </c>
      <c r="F47" s="39">
        <v>30</v>
      </c>
      <c r="G47" s="39">
        <f t="shared" si="19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 t="shared" si="13"/>
        <v>3090000</v>
      </c>
      <c r="O47" s="39">
        <f t="shared" si="16"/>
        <v>100000</v>
      </c>
      <c r="P47" s="39">
        <f t="shared" si="17"/>
        <v>100000</v>
      </c>
      <c r="Q47" s="39"/>
      <c r="R47" s="39"/>
      <c r="S47" s="39">
        <v>0</v>
      </c>
      <c r="T47" s="39"/>
      <c r="U47" s="39"/>
      <c r="V47" s="39"/>
      <c r="W47" s="39">
        <f t="shared" si="0"/>
        <v>200000</v>
      </c>
      <c r="X47" s="40">
        <f t="shared" si="18"/>
        <v>2890000</v>
      </c>
      <c r="Y47" s="40"/>
      <c r="Z47" s="41"/>
      <c r="AA47" s="40">
        <f t="shared" si="5"/>
        <v>2890000</v>
      </c>
      <c r="AB47" s="43" t="s">
        <v>99</v>
      </c>
    </row>
    <row r="48" spans="1:28" ht="23.25" customHeight="1" x14ac:dyDescent="0.25">
      <c r="A48" s="120"/>
      <c r="B48" s="123">
        <v>45</v>
      </c>
      <c r="C48" s="37" t="s">
        <v>77</v>
      </c>
      <c r="D48" s="38" t="s">
        <v>32</v>
      </c>
      <c r="E48" s="39">
        <v>2000000</v>
      </c>
      <c r="F48" s="39">
        <v>30</v>
      </c>
      <c r="G48" s="39">
        <f t="shared" si="19"/>
        <v>2000000.0000000002</v>
      </c>
      <c r="H48" s="39"/>
      <c r="I48" s="39"/>
      <c r="J48" s="39"/>
      <c r="K48" s="39"/>
      <c r="L48" s="39"/>
      <c r="M48" s="39"/>
      <c r="N48" s="39">
        <f t="shared" si="13"/>
        <v>2000000.0000000002</v>
      </c>
      <c r="O48" s="39">
        <f t="shared" si="16"/>
        <v>80000.000000000015</v>
      </c>
      <c r="P48" s="39">
        <f t="shared" si="17"/>
        <v>80000.000000000015</v>
      </c>
      <c r="Q48" s="39"/>
      <c r="R48" s="39"/>
      <c r="S48" s="39"/>
      <c r="T48" s="48"/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5"/>
        <v>1840000.0000000002</v>
      </c>
    </row>
    <row r="49" spans="1:27" ht="12.75" x14ac:dyDescent="0.25">
      <c r="A49" s="120"/>
      <c r="B49" s="123">
        <v>46</v>
      </c>
      <c r="C49" s="37" t="s">
        <v>78</v>
      </c>
      <c r="D49" s="38" t="s">
        <v>32</v>
      </c>
      <c r="E49" s="39">
        <v>1500000</v>
      </c>
      <c r="F49" s="39">
        <v>30</v>
      </c>
      <c r="G49" s="39">
        <f t="shared" si="19"/>
        <v>1500000</v>
      </c>
      <c r="H49" s="39"/>
      <c r="I49" s="39"/>
      <c r="J49" s="39"/>
      <c r="K49" s="39"/>
      <c r="L49" s="39"/>
      <c r="M49" s="39"/>
      <c r="N49" s="39">
        <f t="shared" si="13"/>
        <v>1500000</v>
      </c>
      <c r="O49" s="39">
        <f>G49*4%</f>
        <v>60000</v>
      </c>
      <c r="P49" s="39">
        <f t="shared" si="17"/>
        <v>60000</v>
      </c>
      <c r="Q49" s="39"/>
      <c r="R49" s="39"/>
      <c r="S49" s="39"/>
      <c r="T49" s="48"/>
      <c r="U49" s="39"/>
      <c r="V49" s="39"/>
      <c r="W49" s="39">
        <f t="shared" si="0"/>
        <v>120000</v>
      </c>
      <c r="X49" s="40">
        <f t="shared" si="18"/>
        <v>1380000</v>
      </c>
      <c r="Y49" s="40"/>
      <c r="Z49" s="41"/>
      <c r="AA49" s="40">
        <f t="shared" si="5"/>
        <v>1380000</v>
      </c>
    </row>
    <row r="50" spans="1:27" ht="24.75" customHeight="1" x14ac:dyDescent="0.25">
      <c r="A50" s="120"/>
      <c r="B50" s="123">
        <v>47</v>
      </c>
      <c r="C50" s="37" t="s">
        <v>79</v>
      </c>
      <c r="D50" s="38" t="s">
        <v>32</v>
      </c>
      <c r="E50" s="39">
        <v>1300000</v>
      </c>
      <c r="F50" s="39">
        <v>30</v>
      </c>
      <c r="G50" s="39">
        <f t="shared" si="19"/>
        <v>1300000</v>
      </c>
      <c r="H50" s="39"/>
      <c r="I50" s="39"/>
      <c r="J50" s="39"/>
      <c r="K50" s="39"/>
      <c r="L50" s="39"/>
      <c r="M50" s="39">
        <v>300000</v>
      </c>
      <c r="N50" s="39">
        <f t="shared" si="13"/>
        <v>1600000</v>
      </c>
      <c r="O50" s="39">
        <f>+G50*4%</f>
        <v>52000</v>
      </c>
      <c r="P50" s="39">
        <f t="shared" si="17"/>
        <v>52000</v>
      </c>
      <c r="Q50" s="39"/>
      <c r="R50" s="39"/>
      <c r="S50" s="39"/>
      <c r="T50" s="39"/>
      <c r="U50" s="39"/>
      <c r="V50" s="39"/>
      <c r="W50" s="39">
        <f t="shared" si="0"/>
        <v>104000</v>
      </c>
      <c r="X50" s="40">
        <f t="shared" si="18"/>
        <v>1496000</v>
      </c>
      <c r="Y50" s="40"/>
      <c r="Z50" s="41"/>
      <c r="AA50" s="40">
        <f t="shared" si="5"/>
        <v>1496000</v>
      </c>
    </row>
    <row r="51" spans="1:27" ht="23.25" customHeight="1" x14ac:dyDescent="0.25">
      <c r="A51" s="120"/>
      <c r="B51" s="123">
        <v>48</v>
      </c>
      <c r="C51" s="37" t="s">
        <v>80</v>
      </c>
      <c r="D51" s="38" t="s">
        <v>32</v>
      </c>
      <c r="E51" s="39">
        <v>3500000</v>
      </c>
      <c r="F51" s="39">
        <v>30</v>
      </c>
      <c r="G51" s="39">
        <v>3500000</v>
      </c>
      <c r="H51" s="39"/>
      <c r="I51" s="39"/>
      <c r="J51" s="39"/>
      <c r="K51" s="39"/>
      <c r="L51" s="39"/>
      <c r="M51" s="39">
        <v>500000</v>
      </c>
      <c r="N51" s="39">
        <f t="shared" si="13"/>
        <v>4000000</v>
      </c>
      <c r="O51" s="39">
        <f>+G51*4%</f>
        <v>140000</v>
      </c>
      <c r="P51" s="39">
        <f t="shared" si="17"/>
        <v>140000</v>
      </c>
      <c r="Q51" s="39"/>
      <c r="R51" s="39"/>
      <c r="S51" s="39">
        <v>35000</v>
      </c>
      <c r="T51" s="39"/>
      <c r="U51" s="39"/>
      <c r="V51" s="39"/>
      <c r="W51" s="39">
        <f t="shared" si="0"/>
        <v>315000</v>
      </c>
      <c r="X51" s="40">
        <f>N51-W51</f>
        <v>3685000</v>
      </c>
      <c r="Y51" s="40"/>
      <c r="Z51" s="41"/>
      <c r="AA51" s="40">
        <f t="shared" si="5"/>
        <v>3685000</v>
      </c>
    </row>
    <row r="52" spans="1:27" ht="22.5" customHeight="1" x14ac:dyDescent="0.25">
      <c r="A52" s="120"/>
      <c r="B52" s="123">
        <v>49</v>
      </c>
      <c r="C52" s="37" t="s">
        <v>81</v>
      </c>
      <c r="D52" s="38" t="s">
        <v>32</v>
      </c>
      <c r="E52" s="39">
        <v>1500000</v>
      </c>
      <c r="F52" s="39">
        <v>30</v>
      </c>
      <c r="G52" s="39">
        <f t="shared" si="19"/>
        <v>1500000</v>
      </c>
      <c r="H52" s="39"/>
      <c r="I52" s="39"/>
      <c r="J52" s="39"/>
      <c r="K52" s="39"/>
      <c r="L52" s="39"/>
      <c r="M52" s="39"/>
      <c r="N52" s="39">
        <f t="shared" si="13"/>
        <v>1500000</v>
      </c>
      <c r="O52" s="39">
        <f>G52*4%</f>
        <v>60000</v>
      </c>
      <c r="P52" s="39">
        <f t="shared" si="17"/>
        <v>60000</v>
      </c>
      <c r="Q52" s="39"/>
      <c r="R52" s="39"/>
      <c r="S52" s="39"/>
      <c r="T52" s="39"/>
      <c r="U52" s="39"/>
      <c r="V52" s="39"/>
      <c r="W52" s="39">
        <f t="shared" si="0"/>
        <v>120000</v>
      </c>
      <c r="X52" s="40">
        <f>N52-W52</f>
        <v>1380000</v>
      </c>
      <c r="Y52" s="40"/>
      <c r="Z52" s="41"/>
      <c r="AA52" s="40">
        <f t="shared" si="5"/>
        <v>1380000</v>
      </c>
    </row>
    <row r="53" spans="1:27" ht="12.75" x14ac:dyDescent="0.25">
      <c r="A53" s="120"/>
      <c r="B53" s="123">
        <v>50</v>
      </c>
      <c r="C53" s="37" t="s">
        <v>82</v>
      </c>
      <c r="D53" s="38" t="s">
        <v>32</v>
      </c>
      <c r="E53" s="39">
        <v>2000000</v>
      </c>
      <c r="F53" s="39">
        <v>30</v>
      </c>
      <c r="G53" s="39">
        <f t="shared" si="19"/>
        <v>2000000.0000000002</v>
      </c>
      <c r="H53" s="39"/>
      <c r="I53" s="39"/>
      <c r="J53" s="39"/>
      <c r="K53" s="39"/>
      <c r="L53" s="39"/>
      <c r="M53" s="39">
        <v>500000</v>
      </c>
      <c r="N53" s="39">
        <f t="shared" si="13"/>
        <v>2500000</v>
      </c>
      <c r="O53" s="39">
        <f>G53*4%</f>
        <v>80000.000000000015</v>
      </c>
      <c r="P53" s="39">
        <f t="shared" si="17"/>
        <v>80000.000000000015</v>
      </c>
      <c r="Q53" s="39"/>
      <c r="R53" s="39"/>
      <c r="S53" s="39"/>
      <c r="T53" s="39"/>
      <c r="U53" s="39"/>
      <c r="V53" s="39"/>
      <c r="W53" s="39">
        <f t="shared" si="0"/>
        <v>160000.00000000003</v>
      </c>
      <c r="X53" s="40">
        <f>N53-W53</f>
        <v>2340000</v>
      </c>
      <c r="Y53" s="40"/>
      <c r="Z53" s="41"/>
      <c r="AA53" s="40">
        <f t="shared" si="5"/>
        <v>2340000</v>
      </c>
    </row>
    <row r="54" spans="1:27" ht="12.75" x14ac:dyDescent="0.25">
      <c r="A54" s="120"/>
      <c r="B54" s="123">
        <v>51</v>
      </c>
      <c r="C54" s="118" t="s">
        <v>83</v>
      </c>
      <c r="D54" s="45" t="s">
        <v>32</v>
      </c>
      <c r="E54" s="39">
        <v>2000000</v>
      </c>
      <c r="F54" s="39">
        <v>30</v>
      </c>
      <c r="G54" s="39">
        <v>2000000</v>
      </c>
      <c r="H54" s="39"/>
      <c r="I54" s="39"/>
      <c r="J54" s="39"/>
      <c r="K54" s="39"/>
      <c r="L54" s="39"/>
      <c r="M54" s="39">
        <v>500000</v>
      </c>
      <c r="N54" s="39">
        <f>SUM(G54:M54)</f>
        <v>2500000</v>
      </c>
      <c r="O54" s="39">
        <f>G54*4%</f>
        <v>80000</v>
      </c>
      <c r="P54" s="39">
        <f t="shared" si="17"/>
        <v>80000</v>
      </c>
      <c r="Q54" s="39"/>
      <c r="R54" s="39"/>
      <c r="S54" s="39"/>
      <c r="T54" s="39"/>
      <c r="U54" s="39"/>
      <c r="V54" s="39"/>
      <c r="W54" s="39">
        <f t="shared" si="0"/>
        <v>160000</v>
      </c>
      <c r="X54" s="40">
        <f>N54-W54</f>
        <v>2340000</v>
      </c>
      <c r="Y54" s="40"/>
      <c r="Z54" s="41"/>
      <c r="AA54" s="40">
        <f t="shared" si="5"/>
        <v>2340000</v>
      </c>
    </row>
    <row r="55" spans="1:27" ht="12.75" x14ac:dyDescent="0.25">
      <c r="A55" s="120"/>
      <c r="B55" s="123">
        <v>52</v>
      </c>
      <c r="C55" s="118" t="s">
        <v>84</v>
      </c>
      <c r="D55" s="45" t="s">
        <v>32</v>
      </c>
      <c r="E55" s="39">
        <v>644350</v>
      </c>
      <c r="F55" s="39">
        <v>30</v>
      </c>
      <c r="G55" s="39">
        <f>+E55/30*F55</f>
        <v>644350</v>
      </c>
      <c r="H55" s="39">
        <v>74000</v>
      </c>
      <c r="I55" s="39"/>
      <c r="J55" s="39"/>
      <c r="K55" s="39"/>
      <c r="L55" s="39"/>
      <c r="M55" s="39">
        <v>100000</v>
      </c>
      <c r="N55" s="39">
        <f t="shared" ref="N55:N66" si="20">SUM(G55:M55)</f>
        <v>818350</v>
      </c>
      <c r="O55" s="39">
        <f>+G55*4%</f>
        <v>25774</v>
      </c>
      <c r="P55" s="39">
        <f>+O55</f>
        <v>25774</v>
      </c>
      <c r="Q55" s="39"/>
      <c r="R55" s="39"/>
      <c r="S55" s="39"/>
      <c r="T55" s="39"/>
      <c r="U55" s="39"/>
      <c r="V55" s="39"/>
      <c r="W55" s="39">
        <f t="shared" si="0"/>
        <v>51548</v>
      </c>
      <c r="X55" s="40">
        <f>N55-W55</f>
        <v>766802</v>
      </c>
      <c r="Y55" s="40"/>
      <c r="Z55" s="41"/>
      <c r="AA55" s="40">
        <f t="shared" si="5"/>
        <v>766802</v>
      </c>
    </row>
    <row r="56" spans="1:27" ht="12.75" x14ac:dyDescent="0.25">
      <c r="A56" s="120"/>
      <c r="B56" s="123">
        <v>53</v>
      </c>
      <c r="C56" s="37" t="s">
        <v>85</v>
      </c>
      <c r="D56" s="38" t="s">
        <v>32</v>
      </c>
      <c r="E56" s="39">
        <v>15400000</v>
      </c>
      <c r="F56" s="39">
        <v>30</v>
      </c>
      <c r="G56" s="39">
        <f t="shared" ref="G56:G61" si="21">+E56/30*F56</f>
        <v>15400000</v>
      </c>
      <c r="H56" s="39"/>
      <c r="I56" s="39"/>
      <c r="J56" s="39"/>
      <c r="K56" s="39"/>
      <c r="L56" s="39"/>
      <c r="M56" s="39">
        <v>600000</v>
      </c>
      <c r="N56" s="39">
        <f t="shared" si="20"/>
        <v>16000000</v>
      </c>
      <c r="O56" s="39">
        <f>G56*4%</f>
        <v>616000</v>
      </c>
      <c r="P56" s="39">
        <f>O56</f>
        <v>616000</v>
      </c>
      <c r="Q56" s="39">
        <v>95900</v>
      </c>
      <c r="R56" s="39"/>
      <c r="S56" s="39">
        <f>G56*2%</f>
        <v>308000</v>
      </c>
      <c r="T56" s="39">
        <v>1014000</v>
      </c>
      <c r="U56" s="39">
        <v>5000000</v>
      </c>
      <c r="V56" s="39"/>
      <c r="W56" s="39">
        <f t="shared" si="0"/>
        <v>7649900</v>
      </c>
      <c r="X56" s="40">
        <f>+N56-W56</f>
        <v>8350100</v>
      </c>
      <c r="Y56" s="40"/>
      <c r="Z56" s="41"/>
      <c r="AA56" s="40">
        <f t="shared" si="5"/>
        <v>8350100</v>
      </c>
    </row>
    <row r="57" spans="1:27" ht="12.75" x14ac:dyDescent="0.25">
      <c r="A57" s="120"/>
      <c r="B57" s="123">
        <v>54</v>
      </c>
      <c r="C57" s="37" t="s">
        <v>86</v>
      </c>
      <c r="D57" s="38" t="s">
        <v>32</v>
      </c>
      <c r="E57" s="39">
        <v>2800000</v>
      </c>
      <c r="F57" s="39">
        <v>30</v>
      </c>
      <c r="G57" s="39">
        <f t="shared" si="21"/>
        <v>2800000</v>
      </c>
      <c r="H57" s="39"/>
      <c r="I57" s="39"/>
      <c r="J57" s="39"/>
      <c r="K57" s="39"/>
      <c r="L57" s="39"/>
      <c r="M57" s="39">
        <v>700000</v>
      </c>
      <c r="N57" s="39">
        <f t="shared" si="20"/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/>
      <c r="U57" s="39"/>
      <c r="V57" s="39">
        <v>887544</v>
      </c>
      <c r="W57" s="39">
        <f t="shared" si="0"/>
        <v>1139544</v>
      </c>
      <c r="X57" s="40">
        <f>+N57-W57</f>
        <v>2360456</v>
      </c>
      <c r="Y57" s="40"/>
      <c r="Z57" s="41"/>
      <c r="AA57" s="40">
        <f t="shared" si="5"/>
        <v>2360456</v>
      </c>
    </row>
    <row r="58" spans="1:27" ht="12.75" x14ac:dyDescent="0.25">
      <c r="A58" s="120"/>
      <c r="B58" s="123">
        <v>55</v>
      </c>
      <c r="C58" s="37" t="s">
        <v>87</v>
      </c>
      <c r="D58" s="38" t="s">
        <v>32</v>
      </c>
      <c r="E58" s="39">
        <v>644350</v>
      </c>
      <c r="F58" s="39">
        <v>30</v>
      </c>
      <c r="G58" s="39">
        <f t="shared" si="21"/>
        <v>644350</v>
      </c>
      <c r="H58" s="39"/>
      <c r="I58" s="39"/>
      <c r="J58" s="39"/>
      <c r="K58" s="39"/>
      <c r="L58" s="39"/>
      <c r="M58" s="39"/>
      <c r="N58" s="39">
        <f t="shared" si="20"/>
        <v>644350</v>
      </c>
      <c r="O58" s="39"/>
      <c r="P58" s="39"/>
      <c r="Q58" s="39"/>
      <c r="R58" s="39"/>
      <c r="S58" s="39"/>
      <c r="T58" s="39"/>
      <c r="U58" s="39"/>
      <c r="V58" s="39"/>
      <c r="W58" s="39">
        <f t="shared" si="0"/>
        <v>0</v>
      </c>
      <c r="X58" s="40">
        <f>+N58-W58</f>
        <v>644350</v>
      </c>
      <c r="Y58" s="40"/>
      <c r="Z58" s="41"/>
      <c r="AA58" s="40">
        <f t="shared" si="5"/>
        <v>644350</v>
      </c>
    </row>
    <row r="59" spans="1:27" ht="12.75" x14ac:dyDescent="0.25">
      <c r="A59" s="120"/>
      <c r="B59" s="123">
        <v>56</v>
      </c>
      <c r="C59" s="118" t="s">
        <v>88</v>
      </c>
      <c r="D59" s="45" t="s">
        <v>32</v>
      </c>
      <c r="E59" s="39">
        <v>1100000</v>
      </c>
      <c r="F59" s="39">
        <v>30</v>
      </c>
      <c r="G59" s="39">
        <f t="shared" si="21"/>
        <v>1100000</v>
      </c>
      <c r="H59" s="39">
        <v>74000</v>
      </c>
      <c r="I59" s="39"/>
      <c r="J59" s="39"/>
      <c r="K59" s="39"/>
      <c r="L59" s="39"/>
      <c r="M59" s="39"/>
      <c r="N59" s="39">
        <f t="shared" si="20"/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/>
      <c r="U59" s="39"/>
      <c r="V59" s="39"/>
      <c r="W59" s="39">
        <f t="shared" si="0"/>
        <v>88000</v>
      </c>
      <c r="X59" s="40">
        <f>N59-W59</f>
        <v>1086000</v>
      </c>
      <c r="Y59" s="40"/>
      <c r="Z59" s="41"/>
      <c r="AA59" s="40">
        <f t="shared" si="5"/>
        <v>1086000</v>
      </c>
    </row>
    <row r="60" spans="1:27" ht="23.25" customHeight="1" x14ac:dyDescent="0.25">
      <c r="A60" s="120"/>
      <c r="B60" s="123">
        <v>57</v>
      </c>
      <c r="C60" s="37" t="s">
        <v>89</v>
      </c>
      <c r="D60" s="38" t="s">
        <v>32</v>
      </c>
      <c r="E60" s="39">
        <v>1300000</v>
      </c>
      <c r="F60" s="39">
        <v>30</v>
      </c>
      <c r="G60" s="39">
        <f t="shared" si="21"/>
        <v>1300000</v>
      </c>
      <c r="H60" s="39"/>
      <c r="I60" s="39"/>
      <c r="J60" s="39"/>
      <c r="K60" s="39"/>
      <c r="L60" s="39"/>
      <c r="M60" s="39"/>
      <c r="N60" s="39">
        <f t="shared" si="20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/>
      <c r="U60" s="39"/>
      <c r="V60" s="39"/>
      <c r="W60" s="39">
        <f t="shared" si="0"/>
        <v>104000</v>
      </c>
      <c r="X60" s="40">
        <f>+N60-W60</f>
        <v>1196000</v>
      </c>
      <c r="Y60" s="40"/>
      <c r="Z60" s="41"/>
      <c r="AA60" s="40">
        <f t="shared" si="5"/>
        <v>1196000</v>
      </c>
    </row>
    <row r="61" spans="1:27" ht="12.75" x14ac:dyDescent="0.25">
      <c r="A61" s="120"/>
      <c r="B61" s="123">
        <v>58</v>
      </c>
      <c r="C61" s="37" t="s">
        <v>90</v>
      </c>
      <c r="D61" s="38" t="s">
        <v>32</v>
      </c>
      <c r="E61" s="39">
        <v>4000000</v>
      </c>
      <c r="F61" s="39">
        <v>30</v>
      </c>
      <c r="G61" s="39">
        <f t="shared" si="21"/>
        <v>4000000.0000000005</v>
      </c>
      <c r="H61" s="39"/>
      <c r="I61" s="39"/>
      <c r="J61" s="39"/>
      <c r="K61" s="39"/>
      <c r="L61" s="39"/>
      <c r="M61" s="39"/>
      <c r="N61" s="39">
        <f t="shared" si="20"/>
        <v>4000000.0000000005</v>
      </c>
      <c r="O61" s="39">
        <f>G61*4%</f>
        <v>160000.00000000003</v>
      </c>
      <c r="P61" s="39">
        <f>O61</f>
        <v>160000.00000000003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391064.00000000006</v>
      </c>
      <c r="X61" s="40">
        <f>+N61-W61</f>
        <v>3608936.0000000005</v>
      </c>
      <c r="Y61" s="40"/>
      <c r="Z61" s="41"/>
      <c r="AA61" s="40">
        <f t="shared" si="5"/>
        <v>3608936.0000000005</v>
      </c>
    </row>
    <row r="62" spans="1:27" ht="12.75" x14ac:dyDescent="0.25">
      <c r="A62" s="120"/>
      <c r="B62" s="123">
        <v>59</v>
      </c>
      <c r="C62" s="37" t="s">
        <v>91</v>
      </c>
      <c r="D62" s="38" t="s">
        <v>92</v>
      </c>
      <c r="E62" s="39">
        <v>644350</v>
      </c>
      <c r="F62" s="39">
        <v>16</v>
      </c>
      <c r="G62" s="39">
        <f>+E62/30*F62</f>
        <v>343653.33333333331</v>
      </c>
      <c r="H62" s="39"/>
      <c r="I62" s="39"/>
      <c r="J62" s="39"/>
      <c r="K62" s="39"/>
      <c r="L62" s="39"/>
      <c r="M62" s="39"/>
      <c r="N62" s="39">
        <f t="shared" si="20"/>
        <v>343653.33333333331</v>
      </c>
      <c r="O62" s="39"/>
      <c r="P62" s="39"/>
      <c r="Q62" s="39"/>
      <c r="R62" s="39"/>
      <c r="S62" s="39"/>
      <c r="T62" s="39"/>
      <c r="U62" s="39"/>
      <c r="V62" s="39"/>
      <c r="W62" s="39">
        <f t="shared" si="0"/>
        <v>0</v>
      </c>
      <c r="X62" s="40">
        <f>+N62-W62</f>
        <v>343653.33333333331</v>
      </c>
      <c r="Y62" s="40"/>
      <c r="Z62" s="41"/>
      <c r="AA62" s="40">
        <f t="shared" si="5"/>
        <v>343653.33333333331</v>
      </c>
    </row>
    <row r="63" spans="1:27" ht="12.75" x14ac:dyDescent="0.25">
      <c r="A63" s="120"/>
      <c r="B63" s="123">
        <v>60</v>
      </c>
      <c r="C63" s="37" t="s">
        <v>113</v>
      </c>
      <c r="D63" s="38" t="s">
        <v>32</v>
      </c>
      <c r="E63" s="39">
        <v>644350</v>
      </c>
      <c r="F63" s="39">
        <v>2</v>
      </c>
      <c r="G63" s="39">
        <f>+E63/30*F63</f>
        <v>42956.666666666664</v>
      </c>
      <c r="H63" s="39">
        <v>4933</v>
      </c>
      <c r="I63" s="39"/>
      <c r="J63" s="39"/>
      <c r="K63" s="39"/>
      <c r="L63" s="39"/>
      <c r="M63" s="39">
        <v>62952</v>
      </c>
      <c r="N63" s="39">
        <f t="shared" si="20"/>
        <v>110841.66666666666</v>
      </c>
      <c r="O63" s="39">
        <f>G63*4%</f>
        <v>1718.2666666666667</v>
      </c>
      <c r="P63" s="39">
        <f>G63*4%</f>
        <v>1718.2666666666667</v>
      </c>
      <c r="Q63" s="39"/>
      <c r="R63" s="39"/>
      <c r="S63" s="39"/>
      <c r="T63" s="39"/>
      <c r="U63" s="39"/>
      <c r="V63" s="39"/>
      <c r="W63" s="39">
        <f t="shared" si="0"/>
        <v>3436.5333333333333</v>
      </c>
      <c r="X63" s="40">
        <f>+N63-W63</f>
        <v>107405.13333333332</v>
      </c>
      <c r="Y63" s="40"/>
      <c r="Z63" s="41"/>
      <c r="AA63" s="40">
        <f t="shared" si="5"/>
        <v>107405.13333333332</v>
      </c>
    </row>
    <row r="64" spans="1:27" ht="12.75" x14ac:dyDescent="0.25">
      <c r="A64" s="120"/>
      <c r="B64" s="123">
        <v>61</v>
      </c>
      <c r="C64" s="118" t="s">
        <v>93</v>
      </c>
      <c r="D64" s="45" t="s">
        <v>32</v>
      </c>
      <c r="E64" s="39">
        <v>1300000</v>
      </c>
      <c r="F64" s="39">
        <v>30</v>
      </c>
      <c r="G64" s="39">
        <f>+E64/30*F64</f>
        <v>1300000</v>
      </c>
      <c r="H64" s="39"/>
      <c r="I64" s="39"/>
      <c r="J64" s="39"/>
      <c r="K64" s="39"/>
      <c r="L64" s="39"/>
      <c r="M64" s="39"/>
      <c r="N64" s="39">
        <f t="shared" si="20"/>
        <v>1300000</v>
      </c>
      <c r="O64" s="39">
        <f>G64*4%</f>
        <v>52000</v>
      </c>
      <c r="P64" s="39">
        <f>O64</f>
        <v>52000</v>
      </c>
      <c r="Q64" s="39"/>
      <c r="R64" s="39"/>
      <c r="S64" s="39"/>
      <c r="T64" s="39"/>
      <c r="U64" s="39"/>
      <c r="V64" s="39"/>
      <c r="W64" s="39">
        <f t="shared" si="0"/>
        <v>104000</v>
      </c>
      <c r="X64" s="40">
        <f>N64-W64</f>
        <v>1196000</v>
      </c>
      <c r="Y64" s="40"/>
      <c r="Z64" s="41"/>
      <c r="AA64" s="40">
        <f t="shared" si="5"/>
        <v>1196000</v>
      </c>
    </row>
    <row r="65" spans="1:31" ht="12.75" x14ac:dyDescent="0.25">
      <c r="A65" s="120"/>
      <c r="B65" s="123">
        <v>62</v>
      </c>
      <c r="C65" s="37" t="s">
        <v>94</v>
      </c>
      <c r="D65" s="38" t="s">
        <v>92</v>
      </c>
      <c r="E65" s="39">
        <v>644350</v>
      </c>
      <c r="F65" s="39">
        <v>30</v>
      </c>
      <c r="G65" s="39">
        <f>+E65/30*F65</f>
        <v>644350</v>
      </c>
      <c r="H65" s="39"/>
      <c r="I65" s="39"/>
      <c r="J65" s="39"/>
      <c r="K65" s="39"/>
      <c r="L65" s="39"/>
      <c r="M65" s="39"/>
      <c r="N65" s="39">
        <f t="shared" si="20"/>
        <v>644350</v>
      </c>
      <c r="O65" s="39"/>
      <c r="P65" s="39"/>
      <c r="Q65" s="39"/>
      <c r="R65" s="39"/>
      <c r="S65" s="39"/>
      <c r="T65" s="39"/>
      <c r="U65" s="39"/>
      <c r="V65" s="39"/>
      <c r="W65" s="39">
        <f>SUM(O65:V65)</f>
        <v>0</v>
      </c>
      <c r="X65" s="40">
        <f>+N65-W65</f>
        <v>644350</v>
      </c>
      <c r="Y65" s="40"/>
      <c r="Z65" s="41"/>
      <c r="AA65" s="40">
        <f t="shared" si="5"/>
        <v>644350</v>
      </c>
    </row>
    <row r="66" spans="1:31" ht="23.25" customHeight="1" x14ac:dyDescent="0.25">
      <c r="A66" s="120"/>
      <c r="B66" s="123">
        <v>63</v>
      </c>
      <c r="C66" s="37" t="s">
        <v>95</v>
      </c>
      <c r="D66" s="38" t="s">
        <v>92</v>
      </c>
      <c r="E66" s="39">
        <v>644350</v>
      </c>
      <c r="F66" s="39">
        <v>30</v>
      </c>
      <c r="G66" s="39">
        <f>E66</f>
        <v>644350</v>
      </c>
      <c r="H66" s="39"/>
      <c r="I66" s="39"/>
      <c r="J66" s="39"/>
      <c r="K66" s="39"/>
      <c r="L66" s="39"/>
      <c r="M66" s="39"/>
      <c r="N66" s="39">
        <f t="shared" si="20"/>
        <v>644350</v>
      </c>
      <c r="O66" s="39"/>
      <c r="P66" s="39"/>
      <c r="Q66" s="39"/>
      <c r="R66" s="39"/>
      <c r="S66" s="39"/>
      <c r="T66" s="39"/>
      <c r="U66" s="39"/>
      <c r="V66" s="39"/>
      <c r="W66" s="39">
        <f>SUM(O66:V66)</f>
        <v>0</v>
      </c>
      <c r="X66" s="40">
        <f>N65</f>
        <v>644350</v>
      </c>
      <c r="Y66" s="40"/>
      <c r="Z66" s="41"/>
      <c r="AA66" s="40">
        <f t="shared" si="5"/>
        <v>644350</v>
      </c>
    </row>
    <row r="67" spans="1:31" ht="15" customHeight="1" x14ac:dyDescent="0.25">
      <c r="A67" s="45"/>
      <c r="B67" s="123"/>
      <c r="C67" s="37" t="s">
        <v>96</v>
      </c>
      <c r="D67" s="45"/>
      <c r="E67" s="39">
        <f>SUM(E4:E66)</f>
        <v>194296900</v>
      </c>
      <c r="F67" s="39" t="s">
        <v>1</v>
      </c>
      <c r="G67" s="39">
        <f>SUM(G4:G66)</f>
        <v>189855968.33333334</v>
      </c>
      <c r="H67" s="39">
        <f>SUM(H4:H66)</f>
        <v>263933</v>
      </c>
      <c r="I67" s="39">
        <f>SUM(I4:I66)</f>
        <v>0</v>
      </c>
      <c r="J67" s="39">
        <f>SUM(J4:J66)</f>
        <v>0</v>
      </c>
      <c r="K67" s="39"/>
      <c r="L67" s="39">
        <f t="shared" ref="L67:Q67" si="22">SUM(L4:L66)</f>
        <v>145594</v>
      </c>
      <c r="M67" s="39">
        <f t="shared" si="22"/>
        <v>11332041</v>
      </c>
      <c r="N67" s="39">
        <f t="shared" si="22"/>
        <v>201597536.33333334</v>
      </c>
      <c r="O67" s="39">
        <f t="shared" si="22"/>
        <v>7451622.5999999996</v>
      </c>
      <c r="P67" s="39">
        <f t="shared" si="22"/>
        <v>7451622.5999999996</v>
      </c>
      <c r="Q67" s="39">
        <f t="shared" si="22"/>
        <v>95900</v>
      </c>
      <c r="R67" s="39">
        <f>SUM(R5:R66)</f>
        <v>0</v>
      </c>
      <c r="S67" s="39">
        <f t="shared" ref="S67:AA67" si="23">SUM(S4:S66)</f>
        <v>1688977.5</v>
      </c>
      <c r="T67" s="39">
        <f t="shared" si="23"/>
        <v>2774001</v>
      </c>
      <c r="U67" s="39">
        <f t="shared" si="23"/>
        <v>8760000</v>
      </c>
      <c r="V67" s="39">
        <f t="shared" si="23"/>
        <v>2372291</v>
      </c>
      <c r="W67" s="39">
        <f t="shared" si="23"/>
        <v>30594414.699999999</v>
      </c>
      <c r="X67" s="40">
        <f t="shared" si="23"/>
        <v>171003121.63333333</v>
      </c>
      <c r="Y67" s="40">
        <f t="shared" si="23"/>
        <v>0</v>
      </c>
      <c r="Z67" s="41">
        <f t="shared" si="23"/>
        <v>0</v>
      </c>
      <c r="AA67" s="40">
        <f t="shared" si="23"/>
        <v>171003121.63333333</v>
      </c>
    </row>
    <row r="68" spans="1:31" ht="15" customHeight="1" x14ac:dyDescent="0.25">
      <c r="A68" s="99"/>
      <c r="B68" s="99"/>
      <c r="X68" s="99"/>
      <c r="Y68" s="99"/>
      <c r="Z68" s="102"/>
      <c r="AA68" s="99"/>
    </row>
    <row r="69" spans="1:31" ht="15" customHeight="1" x14ac:dyDescent="0.25">
      <c r="E69" s="107"/>
      <c r="F69" s="107"/>
      <c r="G69" s="107"/>
      <c r="X69" s="124"/>
      <c r="Y69" s="124"/>
      <c r="AA69" s="124"/>
    </row>
    <row r="70" spans="1:31" ht="15" customHeight="1" x14ac:dyDescent="0.25"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ht="15" customHeight="1" x14ac:dyDescent="0.25"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</row>
    <row r="72" spans="1:31" ht="15" customHeight="1" x14ac:dyDescent="0.25"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</row>
    <row r="73" spans="1:31" x14ac:dyDescent="0.25"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  <c r="AB76" s="99"/>
      <c r="AC76" s="99"/>
      <c r="AD76" s="99"/>
      <c r="AE76" s="99"/>
    </row>
    <row r="77" spans="1:31" x14ac:dyDescent="0.25">
      <c r="B77" s="99"/>
      <c r="C77" s="109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05"/>
      <c r="Z78" s="112"/>
      <c r="AA78" s="105"/>
      <c r="AB78" s="99"/>
      <c r="AC78" s="99"/>
      <c r="AD78" s="99"/>
      <c r="AE78" s="99"/>
    </row>
    <row r="79" spans="1:31" x14ac:dyDescent="0.25">
      <c r="B79" s="125"/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99"/>
      <c r="C80" s="109"/>
      <c r="D80" s="99"/>
      <c r="E80" s="107"/>
      <c r="F80" s="107"/>
      <c r="G80" s="126"/>
      <c r="H80" s="107"/>
      <c r="I80" s="107"/>
      <c r="J80" s="107"/>
      <c r="K80" s="107"/>
      <c r="L80" s="107"/>
      <c r="M80" s="107"/>
      <c r="N80" s="107"/>
      <c r="O80" s="107"/>
      <c r="P80" s="107"/>
      <c r="Q80" s="127"/>
      <c r="R80" s="127"/>
      <c r="S80" s="127"/>
      <c r="T80" s="127"/>
      <c r="U80" s="127"/>
      <c r="V80" s="107"/>
      <c r="W80" s="107"/>
      <c r="X80" s="99"/>
      <c r="Y80" s="99"/>
      <c r="Z80" s="102"/>
      <c r="AA80" s="99"/>
      <c r="AB80" s="99"/>
      <c r="AC80" s="99"/>
      <c r="AD80" s="99"/>
      <c r="AE80" s="99"/>
    </row>
    <row r="81" spans="2:31" x14ac:dyDescent="0.25">
      <c r="B81" s="99"/>
      <c r="C81" s="104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5"/>
      <c r="Y81" s="105"/>
      <c r="Z81" s="112"/>
      <c r="AA81" s="105"/>
      <c r="AB81" s="99"/>
      <c r="AC81" s="99"/>
      <c r="AD81" s="99"/>
      <c r="AE81" s="99"/>
    </row>
    <row r="82" spans="2:31" x14ac:dyDescent="0.25">
      <c r="B82" s="105"/>
      <c r="C82" s="104"/>
      <c r="D82" s="105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5"/>
      <c r="Y82" s="105"/>
      <c r="Z82" s="112"/>
      <c r="AA82" s="105"/>
      <c r="AB82" s="99"/>
      <c r="AC82" s="99"/>
      <c r="AD82" s="99"/>
      <c r="AE82" s="99"/>
    </row>
    <row r="83" spans="2:31" x14ac:dyDescent="0.25">
      <c r="B83" s="99"/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9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4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2:31" x14ac:dyDescent="0.25">
      <c r="C101" s="109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99"/>
      <c r="Y101" s="99"/>
      <c r="Z101" s="102"/>
      <c r="AA101" s="99"/>
      <c r="AB101" s="99"/>
      <c r="AC101" s="99"/>
      <c r="AD101" s="99"/>
      <c r="AE101" s="99"/>
    </row>
    <row r="102" spans="2:31" x14ac:dyDescent="0.25">
      <c r="C102" s="109"/>
      <c r="D102" s="99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07"/>
      <c r="W102" s="107"/>
      <c r="X102" s="99"/>
      <c r="Y102" s="99"/>
      <c r="Z102" s="102"/>
      <c r="AA102" s="99"/>
      <c r="AB102" s="99"/>
      <c r="AC102" s="99"/>
      <c r="AD102" s="99"/>
      <c r="AE102" s="99"/>
    </row>
    <row r="103" spans="2:31" x14ac:dyDescent="0.25">
      <c r="B103" s="99"/>
      <c r="C103" s="109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99"/>
      <c r="AC103" s="99"/>
      <c r="AD103" s="99"/>
      <c r="AE103" s="99"/>
    </row>
    <row r="104" spans="2:31" x14ac:dyDescent="0.25">
      <c r="B104" s="99"/>
      <c r="C104" s="109"/>
      <c r="D104" s="99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  <c r="AB104" s="99"/>
      <c r="AC104" s="99"/>
      <c r="AD104" s="99"/>
      <c r="AE104" s="99"/>
    </row>
    <row r="105" spans="2:31" x14ac:dyDescent="0.25">
      <c r="B105" s="99"/>
      <c r="C105" s="104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5"/>
      <c r="Y105" s="105"/>
      <c r="Z105" s="112"/>
      <c r="AA105" s="105"/>
    </row>
    <row r="106" spans="2:31" x14ac:dyDescent="0.25">
      <c r="B106" s="113"/>
      <c r="C106" s="104"/>
      <c r="D106" s="105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5"/>
      <c r="Y106" s="105"/>
      <c r="Z106" s="112"/>
      <c r="AA106" s="105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105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4"/>
      <c r="D109" s="105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C111" s="104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2:27" x14ac:dyDescent="0.25">
      <c r="B116" s="99"/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14"/>
      <c r="Y116" s="114"/>
      <c r="Z116" s="102"/>
      <c r="AA116" s="114"/>
    </row>
    <row r="117" spans="2:27" x14ac:dyDescent="0.25">
      <c r="B117" s="99"/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15"/>
      <c r="Y117" s="115"/>
      <c r="Z117" s="102"/>
      <c r="AA117" s="115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>
        <v>3003000</v>
      </c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4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4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9">
        <v>42614840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>
        <v>412608</v>
      </c>
      <c r="X130" s="99"/>
      <c r="Y130" s="99"/>
      <c r="Z130" s="102"/>
      <c r="AA130" s="99"/>
    </row>
    <row r="131" spans="3:27" x14ac:dyDescent="0.25">
      <c r="C131" s="109">
        <v>9675182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>
        <v>1880000</v>
      </c>
      <c r="X131" s="99"/>
      <c r="Y131" s="99"/>
      <c r="Z131" s="102"/>
      <c r="AA131" s="99"/>
    </row>
    <row r="132" spans="3:27" x14ac:dyDescent="0.25">
      <c r="C132" s="109">
        <v>17903600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f>SUM(C130:C132)</f>
        <v>70193622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v>400000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3:27" x14ac:dyDescent="0.25">
      <c r="C135" s="109">
        <f>+C133+C134</f>
        <v>70593622</v>
      </c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99"/>
      <c r="Y135" s="99"/>
      <c r="Z135" s="102"/>
      <c r="AA135" s="99"/>
    </row>
    <row r="138" spans="3:27" x14ac:dyDescent="0.25">
      <c r="C138" s="100">
        <v>64000000</v>
      </c>
    </row>
    <row r="139" spans="3:27" x14ac:dyDescent="0.25">
      <c r="C139" s="100">
        <v>11000000</v>
      </c>
    </row>
    <row r="140" spans="3:27" x14ac:dyDescent="0.25">
      <c r="C140" s="100">
        <f>+C138+C139</f>
        <v>75000000</v>
      </c>
    </row>
    <row r="144" spans="3:27" x14ac:dyDescent="0.25">
      <c r="C144" s="100">
        <v>2745000</v>
      </c>
    </row>
    <row r="145" spans="3:3" x14ac:dyDescent="0.25">
      <c r="C145" s="100">
        <v>3185000</v>
      </c>
    </row>
    <row r="146" spans="3:3" x14ac:dyDescent="0.25">
      <c r="C146" s="100">
        <v>1080000</v>
      </c>
    </row>
    <row r="147" spans="3:3" x14ac:dyDescent="0.25">
      <c r="C147" s="100">
        <v>4850100</v>
      </c>
    </row>
    <row r="148" spans="3:3" x14ac:dyDescent="0.25">
      <c r="C148" s="100">
        <v>5027500</v>
      </c>
    </row>
    <row r="149" spans="3:3" x14ac:dyDescent="0.25">
      <c r="C149" s="100">
        <v>4566000</v>
      </c>
    </row>
    <row r="150" spans="3:3" x14ac:dyDescent="0.25">
      <c r="C150" s="100">
        <v>1050000</v>
      </c>
    </row>
    <row r="151" spans="3:3" x14ac:dyDescent="0.25">
      <c r="C151" s="100">
        <v>3877333</v>
      </c>
    </row>
    <row r="152" spans="3:3" x14ac:dyDescent="0.25">
      <c r="C152" s="100">
        <v>6732440</v>
      </c>
    </row>
    <row r="153" spans="3:3" x14ac:dyDescent="0.25">
      <c r="C153" s="100">
        <v>3460000</v>
      </c>
    </row>
    <row r="154" spans="3:3" x14ac:dyDescent="0.25">
      <c r="C154" s="100">
        <v>588800</v>
      </c>
    </row>
    <row r="155" spans="3:3" x14ac:dyDescent="0.25">
      <c r="C155" s="100">
        <v>1868000</v>
      </c>
    </row>
    <row r="156" spans="3:3" x14ac:dyDescent="0.25">
      <c r="C156" s="100">
        <v>10313000</v>
      </c>
    </row>
    <row r="157" spans="3:3" x14ac:dyDescent="0.25">
      <c r="C157" s="100">
        <v>3443800</v>
      </c>
    </row>
    <row r="158" spans="3:3" x14ac:dyDescent="0.25">
      <c r="C158" s="100">
        <v>8136400</v>
      </c>
    </row>
    <row r="159" spans="3:3" x14ac:dyDescent="0.25">
      <c r="C159" s="100">
        <v>9675183</v>
      </c>
    </row>
    <row r="160" spans="3:3" x14ac:dyDescent="0.25">
      <c r="C160" s="100">
        <f>SUM(C144:C159)</f>
        <v>70598556</v>
      </c>
    </row>
  </sheetData>
  <mergeCells count="9">
    <mergeCell ref="C78:X78"/>
    <mergeCell ref="E102:U102"/>
    <mergeCell ref="D103:AA103"/>
    <mergeCell ref="C1:X1"/>
    <mergeCell ref="E2:N2"/>
    <mergeCell ref="O2:W2"/>
    <mergeCell ref="A3:A32"/>
    <mergeCell ref="A33:A66"/>
    <mergeCell ref="D74:AA7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3C5B-7CDD-4C97-9AF1-3F2B26181AAA}">
  <dimension ref="A1:AE155"/>
  <sheetViews>
    <sheetView topLeftCell="F1" workbookViewId="0">
      <selection activeCell="AB1" sqref="AB1:AB1048576"/>
    </sheetView>
  </sheetViews>
  <sheetFormatPr baseColWidth="10" defaultRowHeight="9" x14ac:dyDescent="0.25"/>
  <cols>
    <col min="1" max="1" width="10.42578125" style="132" customWidth="1"/>
    <col min="2" max="2" width="4.85546875" style="94" customWidth="1"/>
    <col min="3" max="3" width="28.42578125" style="147" customWidth="1"/>
    <col min="4" max="4" width="11" style="132" customWidth="1"/>
    <col min="5" max="5" width="9.85546875" style="148" customWidth="1"/>
    <col min="6" max="6" width="6.140625" style="148" customWidth="1"/>
    <col min="7" max="7" width="9.140625" style="149" customWidth="1"/>
    <col min="8" max="8" width="7.7109375" style="148" customWidth="1"/>
    <col min="9" max="9" width="7" style="148" customWidth="1"/>
    <col min="10" max="10" width="5.42578125" style="148" customWidth="1"/>
    <col min="11" max="11" width="8" style="148" customWidth="1"/>
    <col min="12" max="12" width="5.5703125" style="148" customWidth="1"/>
    <col min="13" max="13" width="7.5703125" style="148" customWidth="1"/>
    <col min="14" max="14" width="9.5703125" style="148" customWidth="1"/>
    <col min="15" max="15" width="7.7109375" style="148" customWidth="1"/>
    <col min="16" max="16" width="7.85546875" style="148" customWidth="1"/>
    <col min="17" max="17" width="5.85546875" style="148" customWidth="1"/>
    <col min="18" max="18" width="17.7109375" style="148" hidden="1" customWidth="1"/>
    <col min="19" max="19" width="7.28515625" style="148" customWidth="1"/>
    <col min="20" max="20" width="7.42578125" style="148" customWidth="1"/>
    <col min="21" max="21" width="7.85546875" style="148" customWidth="1"/>
    <col min="22" max="23" width="8" style="148" customWidth="1"/>
    <col min="24" max="24" width="12.85546875" style="132" customWidth="1"/>
    <col min="25" max="25" width="4.42578125" style="132" customWidth="1"/>
    <col min="26" max="26" width="5.85546875" style="178" customWidth="1"/>
    <col min="27" max="27" width="10.28515625" style="94" customWidth="1"/>
    <col min="28" max="249" width="11.42578125" style="132"/>
    <col min="250" max="250" width="10.5703125" style="132" customWidth="1"/>
    <col min="251" max="251" width="4.85546875" style="132" customWidth="1"/>
    <col min="252" max="252" width="32.42578125" style="132" customWidth="1"/>
    <col min="253" max="253" width="9.85546875" style="132" customWidth="1"/>
    <col min="254" max="254" width="10.140625" style="132" customWidth="1"/>
    <col min="255" max="255" width="12.28515625" style="132" customWidth="1"/>
    <col min="256" max="256" width="15.42578125" style="132" customWidth="1"/>
    <col min="257" max="257" width="11.85546875" style="132" customWidth="1"/>
    <col min="258" max="258" width="13.28515625" style="132" customWidth="1"/>
    <col min="259" max="259" width="15.28515625" style="132" customWidth="1"/>
    <col min="260" max="260" width="11.85546875" style="132" customWidth="1"/>
    <col min="261" max="261" width="6.140625" style="132" customWidth="1"/>
    <col min="262" max="262" width="11.85546875" style="132" customWidth="1"/>
    <col min="263" max="263" width="9.42578125" style="132" customWidth="1"/>
    <col min="264" max="264" width="14.7109375" style="132" customWidth="1"/>
    <col min="265" max="265" width="11.5703125" style="132" customWidth="1"/>
    <col min="266" max="266" width="0.42578125" style="132" customWidth="1"/>
    <col min="267" max="267" width="10.5703125" style="132" bestFit="1" customWidth="1"/>
    <col min="268" max="268" width="12.28515625" style="132" customWidth="1"/>
    <col min="269" max="269" width="12.5703125" style="132" customWidth="1"/>
    <col min="270" max="270" width="10.5703125" style="132" customWidth="1"/>
    <col min="271" max="271" width="10.140625" style="132" customWidth="1"/>
    <col min="272" max="272" width="8.42578125" style="132" customWidth="1"/>
    <col min="273" max="273" width="18.85546875" style="132" customWidth="1"/>
    <col min="274" max="274" width="10.28515625" style="132" customWidth="1"/>
    <col min="275" max="275" width="11.42578125" style="132"/>
    <col min="276" max="276" width="12.140625" style="132" customWidth="1"/>
    <col min="277" max="277" width="10.5703125" style="132" customWidth="1"/>
    <col min="278" max="278" width="12.42578125" style="132" customWidth="1"/>
    <col min="279" max="279" width="15.140625" style="132" customWidth="1"/>
    <col min="280" max="280" width="13.5703125" style="132" customWidth="1"/>
    <col min="281" max="281" width="13.140625" style="132" customWidth="1"/>
    <col min="282" max="282" width="15.7109375" style="132" customWidth="1"/>
    <col min="283" max="283" width="37.5703125" style="132" customWidth="1"/>
    <col min="284" max="505" width="11.42578125" style="132"/>
    <col min="506" max="506" width="10.5703125" style="132" customWidth="1"/>
    <col min="507" max="507" width="4.85546875" style="132" customWidth="1"/>
    <col min="508" max="508" width="32.42578125" style="132" customWidth="1"/>
    <col min="509" max="509" width="9.85546875" style="132" customWidth="1"/>
    <col min="510" max="510" width="10.140625" style="132" customWidth="1"/>
    <col min="511" max="511" width="12.28515625" style="132" customWidth="1"/>
    <col min="512" max="512" width="15.42578125" style="132" customWidth="1"/>
    <col min="513" max="513" width="11.85546875" style="132" customWidth="1"/>
    <col min="514" max="514" width="13.28515625" style="132" customWidth="1"/>
    <col min="515" max="515" width="15.28515625" style="132" customWidth="1"/>
    <col min="516" max="516" width="11.85546875" style="132" customWidth="1"/>
    <col min="517" max="517" width="6.140625" style="132" customWidth="1"/>
    <col min="518" max="518" width="11.85546875" style="132" customWidth="1"/>
    <col min="519" max="519" width="9.42578125" style="132" customWidth="1"/>
    <col min="520" max="520" width="14.7109375" style="132" customWidth="1"/>
    <col min="521" max="521" width="11.5703125" style="132" customWidth="1"/>
    <col min="522" max="522" width="0.42578125" style="132" customWidth="1"/>
    <col min="523" max="523" width="10.5703125" style="132" bestFit="1" customWidth="1"/>
    <col min="524" max="524" width="12.28515625" style="132" customWidth="1"/>
    <col min="525" max="525" width="12.5703125" style="132" customWidth="1"/>
    <col min="526" max="526" width="10.5703125" style="132" customWidth="1"/>
    <col min="527" max="527" width="10.140625" style="132" customWidth="1"/>
    <col min="528" max="528" width="8.42578125" style="132" customWidth="1"/>
    <col min="529" max="529" width="18.85546875" style="132" customWidth="1"/>
    <col min="530" max="530" width="10.28515625" style="132" customWidth="1"/>
    <col min="531" max="531" width="11.42578125" style="132"/>
    <col min="532" max="532" width="12.140625" style="132" customWidth="1"/>
    <col min="533" max="533" width="10.5703125" style="132" customWidth="1"/>
    <col min="534" max="534" width="12.42578125" style="132" customWidth="1"/>
    <col min="535" max="535" width="15.140625" style="132" customWidth="1"/>
    <col min="536" max="536" width="13.5703125" style="132" customWidth="1"/>
    <col min="537" max="537" width="13.140625" style="132" customWidth="1"/>
    <col min="538" max="538" width="15.7109375" style="132" customWidth="1"/>
    <col min="539" max="539" width="37.5703125" style="132" customWidth="1"/>
    <col min="540" max="761" width="11.42578125" style="132"/>
    <col min="762" max="762" width="10.5703125" style="132" customWidth="1"/>
    <col min="763" max="763" width="4.85546875" style="132" customWidth="1"/>
    <col min="764" max="764" width="32.42578125" style="132" customWidth="1"/>
    <col min="765" max="765" width="9.85546875" style="132" customWidth="1"/>
    <col min="766" max="766" width="10.140625" style="132" customWidth="1"/>
    <col min="767" max="767" width="12.28515625" style="132" customWidth="1"/>
    <col min="768" max="768" width="15.42578125" style="132" customWidth="1"/>
    <col min="769" max="769" width="11.85546875" style="132" customWidth="1"/>
    <col min="770" max="770" width="13.28515625" style="132" customWidth="1"/>
    <col min="771" max="771" width="15.28515625" style="132" customWidth="1"/>
    <col min="772" max="772" width="11.85546875" style="132" customWidth="1"/>
    <col min="773" max="773" width="6.140625" style="132" customWidth="1"/>
    <col min="774" max="774" width="11.85546875" style="132" customWidth="1"/>
    <col min="775" max="775" width="9.42578125" style="132" customWidth="1"/>
    <col min="776" max="776" width="14.7109375" style="132" customWidth="1"/>
    <col min="777" max="777" width="11.5703125" style="132" customWidth="1"/>
    <col min="778" max="778" width="0.42578125" style="132" customWidth="1"/>
    <col min="779" max="779" width="10.5703125" style="132" bestFit="1" customWidth="1"/>
    <col min="780" max="780" width="12.28515625" style="132" customWidth="1"/>
    <col min="781" max="781" width="12.5703125" style="132" customWidth="1"/>
    <col min="782" max="782" width="10.5703125" style="132" customWidth="1"/>
    <col min="783" max="783" width="10.140625" style="132" customWidth="1"/>
    <col min="784" max="784" width="8.42578125" style="132" customWidth="1"/>
    <col min="785" max="785" width="18.85546875" style="132" customWidth="1"/>
    <col min="786" max="786" width="10.28515625" style="132" customWidth="1"/>
    <col min="787" max="787" width="11.42578125" style="132"/>
    <col min="788" max="788" width="12.140625" style="132" customWidth="1"/>
    <col min="789" max="789" width="10.5703125" style="132" customWidth="1"/>
    <col min="790" max="790" width="12.42578125" style="132" customWidth="1"/>
    <col min="791" max="791" width="15.140625" style="132" customWidth="1"/>
    <col min="792" max="792" width="13.5703125" style="132" customWidth="1"/>
    <col min="793" max="793" width="13.140625" style="132" customWidth="1"/>
    <col min="794" max="794" width="15.7109375" style="132" customWidth="1"/>
    <col min="795" max="795" width="37.5703125" style="132" customWidth="1"/>
    <col min="796" max="1017" width="11.42578125" style="132"/>
    <col min="1018" max="1018" width="10.5703125" style="132" customWidth="1"/>
    <col min="1019" max="1019" width="4.85546875" style="132" customWidth="1"/>
    <col min="1020" max="1020" width="32.42578125" style="132" customWidth="1"/>
    <col min="1021" max="1021" width="9.85546875" style="132" customWidth="1"/>
    <col min="1022" max="1022" width="10.140625" style="132" customWidth="1"/>
    <col min="1023" max="1023" width="12.28515625" style="132" customWidth="1"/>
    <col min="1024" max="1024" width="15.42578125" style="132" customWidth="1"/>
    <col min="1025" max="1025" width="11.85546875" style="132" customWidth="1"/>
    <col min="1026" max="1026" width="13.28515625" style="132" customWidth="1"/>
    <col min="1027" max="1027" width="15.28515625" style="132" customWidth="1"/>
    <col min="1028" max="1028" width="11.85546875" style="132" customWidth="1"/>
    <col min="1029" max="1029" width="6.140625" style="132" customWidth="1"/>
    <col min="1030" max="1030" width="11.85546875" style="132" customWidth="1"/>
    <col min="1031" max="1031" width="9.42578125" style="132" customWidth="1"/>
    <col min="1032" max="1032" width="14.7109375" style="132" customWidth="1"/>
    <col min="1033" max="1033" width="11.5703125" style="132" customWidth="1"/>
    <col min="1034" max="1034" width="0.42578125" style="132" customWidth="1"/>
    <col min="1035" max="1035" width="10.5703125" style="132" bestFit="1" customWidth="1"/>
    <col min="1036" max="1036" width="12.28515625" style="132" customWidth="1"/>
    <col min="1037" max="1037" width="12.5703125" style="132" customWidth="1"/>
    <col min="1038" max="1038" width="10.5703125" style="132" customWidth="1"/>
    <col min="1039" max="1039" width="10.140625" style="132" customWidth="1"/>
    <col min="1040" max="1040" width="8.42578125" style="132" customWidth="1"/>
    <col min="1041" max="1041" width="18.85546875" style="132" customWidth="1"/>
    <col min="1042" max="1042" width="10.28515625" style="132" customWidth="1"/>
    <col min="1043" max="1043" width="11.42578125" style="132"/>
    <col min="1044" max="1044" width="12.140625" style="132" customWidth="1"/>
    <col min="1045" max="1045" width="10.5703125" style="132" customWidth="1"/>
    <col min="1046" max="1046" width="12.42578125" style="132" customWidth="1"/>
    <col min="1047" max="1047" width="15.140625" style="132" customWidth="1"/>
    <col min="1048" max="1048" width="13.5703125" style="132" customWidth="1"/>
    <col min="1049" max="1049" width="13.140625" style="132" customWidth="1"/>
    <col min="1050" max="1050" width="15.7109375" style="132" customWidth="1"/>
    <col min="1051" max="1051" width="37.5703125" style="132" customWidth="1"/>
    <col min="1052" max="1273" width="11.42578125" style="132"/>
    <col min="1274" max="1274" width="10.5703125" style="132" customWidth="1"/>
    <col min="1275" max="1275" width="4.85546875" style="132" customWidth="1"/>
    <col min="1276" max="1276" width="32.42578125" style="132" customWidth="1"/>
    <col min="1277" max="1277" width="9.85546875" style="132" customWidth="1"/>
    <col min="1278" max="1278" width="10.140625" style="132" customWidth="1"/>
    <col min="1279" max="1279" width="12.28515625" style="132" customWidth="1"/>
    <col min="1280" max="1280" width="15.42578125" style="132" customWidth="1"/>
    <col min="1281" max="1281" width="11.85546875" style="132" customWidth="1"/>
    <col min="1282" max="1282" width="13.28515625" style="132" customWidth="1"/>
    <col min="1283" max="1283" width="15.28515625" style="132" customWidth="1"/>
    <col min="1284" max="1284" width="11.85546875" style="132" customWidth="1"/>
    <col min="1285" max="1285" width="6.140625" style="132" customWidth="1"/>
    <col min="1286" max="1286" width="11.85546875" style="132" customWidth="1"/>
    <col min="1287" max="1287" width="9.42578125" style="132" customWidth="1"/>
    <col min="1288" max="1288" width="14.7109375" style="132" customWidth="1"/>
    <col min="1289" max="1289" width="11.5703125" style="132" customWidth="1"/>
    <col min="1290" max="1290" width="0.42578125" style="132" customWidth="1"/>
    <col min="1291" max="1291" width="10.5703125" style="132" bestFit="1" customWidth="1"/>
    <col min="1292" max="1292" width="12.28515625" style="132" customWidth="1"/>
    <col min="1293" max="1293" width="12.5703125" style="132" customWidth="1"/>
    <col min="1294" max="1294" width="10.5703125" style="132" customWidth="1"/>
    <col min="1295" max="1295" width="10.140625" style="132" customWidth="1"/>
    <col min="1296" max="1296" width="8.42578125" style="132" customWidth="1"/>
    <col min="1297" max="1297" width="18.85546875" style="132" customWidth="1"/>
    <col min="1298" max="1298" width="10.28515625" style="132" customWidth="1"/>
    <col min="1299" max="1299" width="11.42578125" style="132"/>
    <col min="1300" max="1300" width="12.140625" style="132" customWidth="1"/>
    <col min="1301" max="1301" width="10.5703125" style="132" customWidth="1"/>
    <col min="1302" max="1302" width="12.42578125" style="132" customWidth="1"/>
    <col min="1303" max="1303" width="15.140625" style="132" customWidth="1"/>
    <col min="1304" max="1304" width="13.5703125" style="132" customWidth="1"/>
    <col min="1305" max="1305" width="13.140625" style="132" customWidth="1"/>
    <col min="1306" max="1306" width="15.7109375" style="132" customWidth="1"/>
    <col min="1307" max="1307" width="37.5703125" style="132" customWidth="1"/>
    <col min="1308" max="1529" width="11.42578125" style="132"/>
    <col min="1530" max="1530" width="10.5703125" style="132" customWidth="1"/>
    <col min="1531" max="1531" width="4.85546875" style="132" customWidth="1"/>
    <col min="1532" max="1532" width="32.42578125" style="132" customWidth="1"/>
    <col min="1533" max="1533" width="9.85546875" style="132" customWidth="1"/>
    <col min="1534" max="1534" width="10.140625" style="132" customWidth="1"/>
    <col min="1535" max="1535" width="12.28515625" style="132" customWidth="1"/>
    <col min="1536" max="1536" width="15.42578125" style="132" customWidth="1"/>
    <col min="1537" max="1537" width="11.85546875" style="132" customWidth="1"/>
    <col min="1538" max="1538" width="13.28515625" style="132" customWidth="1"/>
    <col min="1539" max="1539" width="15.28515625" style="132" customWidth="1"/>
    <col min="1540" max="1540" width="11.85546875" style="132" customWidth="1"/>
    <col min="1541" max="1541" width="6.140625" style="132" customWidth="1"/>
    <col min="1542" max="1542" width="11.85546875" style="132" customWidth="1"/>
    <col min="1543" max="1543" width="9.42578125" style="132" customWidth="1"/>
    <col min="1544" max="1544" width="14.7109375" style="132" customWidth="1"/>
    <col min="1545" max="1545" width="11.5703125" style="132" customWidth="1"/>
    <col min="1546" max="1546" width="0.42578125" style="132" customWidth="1"/>
    <col min="1547" max="1547" width="10.5703125" style="132" bestFit="1" customWidth="1"/>
    <col min="1548" max="1548" width="12.28515625" style="132" customWidth="1"/>
    <col min="1549" max="1549" width="12.5703125" style="132" customWidth="1"/>
    <col min="1550" max="1550" width="10.5703125" style="132" customWidth="1"/>
    <col min="1551" max="1551" width="10.140625" style="132" customWidth="1"/>
    <col min="1552" max="1552" width="8.42578125" style="132" customWidth="1"/>
    <col min="1553" max="1553" width="18.85546875" style="132" customWidth="1"/>
    <col min="1554" max="1554" width="10.28515625" style="132" customWidth="1"/>
    <col min="1555" max="1555" width="11.42578125" style="132"/>
    <col min="1556" max="1556" width="12.140625" style="132" customWidth="1"/>
    <col min="1557" max="1557" width="10.5703125" style="132" customWidth="1"/>
    <col min="1558" max="1558" width="12.42578125" style="132" customWidth="1"/>
    <col min="1559" max="1559" width="15.140625" style="132" customWidth="1"/>
    <col min="1560" max="1560" width="13.5703125" style="132" customWidth="1"/>
    <col min="1561" max="1561" width="13.140625" style="132" customWidth="1"/>
    <col min="1562" max="1562" width="15.7109375" style="132" customWidth="1"/>
    <col min="1563" max="1563" width="37.5703125" style="132" customWidth="1"/>
    <col min="1564" max="1785" width="11.42578125" style="132"/>
    <col min="1786" max="1786" width="10.5703125" style="132" customWidth="1"/>
    <col min="1787" max="1787" width="4.85546875" style="132" customWidth="1"/>
    <col min="1788" max="1788" width="32.42578125" style="132" customWidth="1"/>
    <col min="1789" max="1789" width="9.85546875" style="132" customWidth="1"/>
    <col min="1790" max="1790" width="10.140625" style="132" customWidth="1"/>
    <col min="1791" max="1791" width="12.28515625" style="132" customWidth="1"/>
    <col min="1792" max="1792" width="15.42578125" style="132" customWidth="1"/>
    <col min="1793" max="1793" width="11.85546875" style="132" customWidth="1"/>
    <col min="1794" max="1794" width="13.28515625" style="132" customWidth="1"/>
    <col min="1795" max="1795" width="15.28515625" style="132" customWidth="1"/>
    <col min="1796" max="1796" width="11.85546875" style="132" customWidth="1"/>
    <col min="1797" max="1797" width="6.140625" style="132" customWidth="1"/>
    <col min="1798" max="1798" width="11.85546875" style="132" customWidth="1"/>
    <col min="1799" max="1799" width="9.42578125" style="132" customWidth="1"/>
    <col min="1800" max="1800" width="14.7109375" style="132" customWidth="1"/>
    <col min="1801" max="1801" width="11.5703125" style="132" customWidth="1"/>
    <col min="1802" max="1802" width="0.42578125" style="132" customWidth="1"/>
    <col min="1803" max="1803" width="10.5703125" style="132" bestFit="1" customWidth="1"/>
    <col min="1804" max="1804" width="12.28515625" style="132" customWidth="1"/>
    <col min="1805" max="1805" width="12.5703125" style="132" customWidth="1"/>
    <col min="1806" max="1806" width="10.5703125" style="132" customWidth="1"/>
    <col min="1807" max="1807" width="10.140625" style="132" customWidth="1"/>
    <col min="1808" max="1808" width="8.42578125" style="132" customWidth="1"/>
    <col min="1809" max="1809" width="18.85546875" style="132" customWidth="1"/>
    <col min="1810" max="1810" width="10.28515625" style="132" customWidth="1"/>
    <col min="1811" max="1811" width="11.42578125" style="132"/>
    <col min="1812" max="1812" width="12.140625" style="132" customWidth="1"/>
    <col min="1813" max="1813" width="10.5703125" style="132" customWidth="1"/>
    <col min="1814" max="1814" width="12.42578125" style="132" customWidth="1"/>
    <col min="1815" max="1815" width="15.140625" style="132" customWidth="1"/>
    <col min="1816" max="1816" width="13.5703125" style="132" customWidth="1"/>
    <col min="1817" max="1817" width="13.140625" style="132" customWidth="1"/>
    <col min="1818" max="1818" width="15.7109375" style="132" customWidth="1"/>
    <col min="1819" max="1819" width="37.5703125" style="132" customWidth="1"/>
    <col min="1820" max="2041" width="11.42578125" style="132"/>
    <col min="2042" max="2042" width="10.5703125" style="132" customWidth="1"/>
    <col min="2043" max="2043" width="4.85546875" style="132" customWidth="1"/>
    <col min="2044" max="2044" width="32.42578125" style="132" customWidth="1"/>
    <col min="2045" max="2045" width="9.85546875" style="132" customWidth="1"/>
    <col min="2046" max="2046" width="10.140625" style="132" customWidth="1"/>
    <col min="2047" max="2047" width="12.28515625" style="132" customWidth="1"/>
    <col min="2048" max="2048" width="15.42578125" style="132" customWidth="1"/>
    <col min="2049" max="2049" width="11.85546875" style="132" customWidth="1"/>
    <col min="2050" max="2050" width="13.28515625" style="132" customWidth="1"/>
    <col min="2051" max="2051" width="15.28515625" style="132" customWidth="1"/>
    <col min="2052" max="2052" width="11.85546875" style="132" customWidth="1"/>
    <col min="2053" max="2053" width="6.140625" style="132" customWidth="1"/>
    <col min="2054" max="2054" width="11.85546875" style="132" customWidth="1"/>
    <col min="2055" max="2055" width="9.42578125" style="132" customWidth="1"/>
    <col min="2056" max="2056" width="14.7109375" style="132" customWidth="1"/>
    <col min="2057" max="2057" width="11.5703125" style="132" customWidth="1"/>
    <col min="2058" max="2058" width="0.42578125" style="132" customWidth="1"/>
    <col min="2059" max="2059" width="10.5703125" style="132" bestFit="1" customWidth="1"/>
    <col min="2060" max="2060" width="12.28515625" style="132" customWidth="1"/>
    <col min="2061" max="2061" width="12.5703125" style="132" customWidth="1"/>
    <col min="2062" max="2062" width="10.5703125" style="132" customWidth="1"/>
    <col min="2063" max="2063" width="10.140625" style="132" customWidth="1"/>
    <col min="2064" max="2064" width="8.42578125" style="132" customWidth="1"/>
    <col min="2065" max="2065" width="18.85546875" style="132" customWidth="1"/>
    <col min="2066" max="2066" width="10.28515625" style="132" customWidth="1"/>
    <col min="2067" max="2067" width="11.42578125" style="132"/>
    <col min="2068" max="2068" width="12.140625" style="132" customWidth="1"/>
    <col min="2069" max="2069" width="10.5703125" style="132" customWidth="1"/>
    <col min="2070" max="2070" width="12.42578125" style="132" customWidth="1"/>
    <col min="2071" max="2071" width="15.140625" style="132" customWidth="1"/>
    <col min="2072" max="2072" width="13.5703125" style="132" customWidth="1"/>
    <col min="2073" max="2073" width="13.140625" style="132" customWidth="1"/>
    <col min="2074" max="2074" width="15.7109375" style="132" customWidth="1"/>
    <col min="2075" max="2075" width="37.5703125" style="132" customWidth="1"/>
    <col min="2076" max="2297" width="11.42578125" style="132"/>
    <col min="2298" max="2298" width="10.5703125" style="132" customWidth="1"/>
    <col min="2299" max="2299" width="4.85546875" style="132" customWidth="1"/>
    <col min="2300" max="2300" width="32.42578125" style="132" customWidth="1"/>
    <col min="2301" max="2301" width="9.85546875" style="132" customWidth="1"/>
    <col min="2302" max="2302" width="10.140625" style="132" customWidth="1"/>
    <col min="2303" max="2303" width="12.28515625" style="132" customWidth="1"/>
    <col min="2304" max="2304" width="15.42578125" style="132" customWidth="1"/>
    <col min="2305" max="2305" width="11.85546875" style="132" customWidth="1"/>
    <col min="2306" max="2306" width="13.28515625" style="132" customWidth="1"/>
    <col min="2307" max="2307" width="15.28515625" style="132" customWidth="1"/>
    <col min="2308" max="2308" width="11.85546875" style="132" customWidth="1"/>
    <col min="2309" max="2309" width="6.140625" style="132" customWidth="1"/>
    <col min="2310" max="2310" width="11.85546875" style="132" customWidth="1"/>
    <col min="2311" max="2311" width="9.42578125" style="132" customWidth="1"/>
    <col min="2312" max="2312" width="14.7109375" style="132" customWidth="1"/>
    <col min="2313" max="2313" width="11.5703125" style="132" customWidth="1"/>
    <col min="2314" max="2314" width="0.42578125" style="132" customWidth="1"/>
    <col min="2315" max="2315" width="10.5703125" style="132" bestFit="1" customWidth="1"/>
    <col min="2316" max="2316" width="12.28515625" style="132" customWidth="1"/>
    <col min="2317" max="2317" width="12.5703125" style="132" customWidth="1"/>
    <col min="2318" max="2318" width="10.5703125" style="132" customWidth="1"/>
    <col min="2319" max="2319" width="10.140625" style="132" customWidth="1"/>
    <col min="2320" max="2320" width="8.42578125" style="132" customWidth="1"/>
    <col min="2321" max="2321" width="18.85546875" style="132" customWidth="1"/>
    <col min="2322" max="2322" width="10.28515625" style="132" customWidth="1"/>
    <col min="2323" max="2323" width="11.42578125" style="132"/>
    <col min="2324" max="2324" width="12.140625" style="132" customWidth="1"/>
    <col min="2325" max="2325" width="10.5703125" style="132" customWidth="1"/>
    <col min="2326" max="2326" width="12.42578125" style="132" customWidth="1"/>
    <col min="2327" max="2327" width="15.140625" style="132" customWidth="1"/>
    <col min="2328" max="2328" width="13.5703125" style="132" customWidth="1"/>
    <col min="2329" max="2329" width="13.140625" style="132" customWidth="1"/>
    <col min="2330" max="2330" width="15.7109375" style="132" customWidth="1"/>
    <col min="2331" max="2331" width="37.5703125" style="132" customWidth="1"/>
    <col min="2332" max="2553" width="11.42578125" style="132"/>
    <col min="2554" max="2554" width="10.5703125" style="132" customWidth="1"/>
    <col min="2555" max="2555" width="4.85546875" style="132" customWidth="1"/>
    <col min="2556" max="2556" width="32.42578125" style="132" customWidth="1"/>
    <col min="2557" max="2557" width="9.85546875" style="132" customWidth="1"/>
    <col min="2558" max="2558" width="10.140625" style="132" customWidth="1"/>
    <col min="2559" max="2559" width="12.28515625" style="132" customWidth="1"/>
    <col min="2560" max="2560" width="15.42578125" style="132" customWidth="1"/>
    <col min="2561" max="2561" width="11.85546875" style="132" customWidth="1"/>
    <col min="2562" max="2562" width="13.28515625" style="132" customWidth="1"/>
    <col min="2563" max="2563" width="15.28515625" style="132" customWidth="1"/>
    <col min="2564" max="2564" width="11.85546875" style="132" customWidth="1"/>
    <col min="2565" max="2565" width="6.140625" style="132" customWidth="1"/>
    <col min="2566" max="2566" width="11.85546875" style="132" customWidth="1"/>
    <col min="2567" max="2567" width="9.42578125" style="132" customWidth="1"/>
    <col min="2568" max="2568" width="14.7109375" style="132" customWidth="1"/>
    <col min="2569" max="2569" width="11.5703125" style="132" customWidth="1"/>
    <col min="2570" max="2570" width="0.42578125" style="132" customWidth="1"/>
    <col min="2571" max="2571" width="10.5703125" style="132" bestFit="1" customWidth="1"/>
    <col min="2572" max="2572" width="12.28515625" style="132" customWidth="1"/>
    <col min="2573" max="2573" width="12.5703125" style="132" customWidth="1"/>
    <col min="2574" max="2574" width="10.5703125" style="132" customWidth="1"/>
    <col min="2575" max="2575" width="10.140625" style="132" customWidth="1"/>
    <col min="2576" max="2576" width="8.42578125" style="132" customWidth="1"/>
    <col min="2577" max="2577" width="18.85546875" style="132" customWidth="1"/>
    <col min="2578" max="2578" width="10.28515625" style="132" customWidth="1"/>
    <col min="2579" max="2579" width="11.42578125" style="132"/>
    <col min="2580" max="2580" width="12.140625" style="132" customWidth="1"/>
    <col min="2581" max="2581" width="10.5703125" style="132" customWidth="1"/>
    <col min="2582" max="2582" width="12.42578125" style="132" customWidth="1"/>
    <col min="2583" max="2583" width="15.140625" style="132" customWidth="1"/>
    <col min="2584" max="2584" width="13.5703125" style="132" customWidth="1"/>
    <col min="2585" max="2585" width="13.140625" style="132" customWidth="1"/>
    <col min="2586" max="2586" width="15.7109375" style="132" customWidth="1"/>
    <col min="2587" max="2587" width="37.5703125" style="132" customWidth="1"/>
    <col min="2588" max="2809" width="11.42578125" style="132"/>
    <col min="2810" max="2810" width="10.5703125" style="132" customWidth="1"/>
    <col min="2811" max="2811" width="4.85546875" style="132" customWidth="1"/>
    <col min="2812" max="2812" width="32.42578125" style="132" customWidth="1"/>
    <col min="2813" max="2813" width="9.85546875" style="132" customWidth="1"/>
    <col min="2814" max="2814" width="10.140625" style="132" customWidth="1"/>
    <col min="2815" max="2815" width="12.28515625" style="132" customWidth="1"/>
    <col min="2816" max="2816" width="15.42578125" style="132" customWidth="1"/>
    <col min="2817" max="2817" width="11.85546875" style="132" customWidth="1"/>
    <col min="2818" max="2818" width="13.28515625" style="132" customWidth="1"/>
    <col min="2819" max="2819" width="15.28515625" style="132" customWidth="1"/>
    <col min="2820" max="2820" width="11.85546875" style="132" customWidth="1"/>
    <col min="2821" max="2821" width="6.140625" style="132" customWidth="1"/>
    <col min="2822" max="2822" width="11.85546875" style="132" customWidth="1"/>
    <col min="2823" max="2823" width="9.42578125" style="132" customWidth="1"/>
    <col min="2824" max="2824" width="14.7109375" style="132" customWidth="1"/>
    <col min="2825" max="2825" width="11.5703125" style="132" customWidth="1"/>
    <col min="2826" max="2826" width="0.42578125" style="132" customWidth="1"/>
    <col min="2827" max="2827" width="10.5703125" style="132" bestFit="1" customWidth="1"/>
    <col min="2828" max="2828" width="12.28515625" style="132" customWidth="1"/>
    <col min="2829" max="2829" width="12.5703125" style="132" customWidth="1"/>
    <col min="2830" max="2830" width="10.5703125" style="132" customWidth="1"/>
    <col min="2831" max="2831" width="10.140625" style="132" customWidth="1"/>
    <col min="2832" max="2832" width="8.42578125" style="132" customWidth="1"/>
    <col min="2833" max="2833" width="18.85546875" style="132" customWidth="1"/>
    <col min="2834" max="2834" width="10.28515625" style="132" customWidth="1"/>
    <col min="2835" max="2835" width="11.42578125" style="132"/>
    <col min="2836" max="2836" width="12.140625" style="132" customWidth="1"/>
    <col min="2837" max="2837" width="10.5703125" style="132" customWidth="1"/>
    <col min="2838" max="2838" width="12.42578125" style="132" customWidth="1"/>
    <col min="2839" max="2839" width="15.140625" style="132" customWidth="1"/>
    <col min="2840" max="2840" width="13.5703125" style="132" customWidth="1"/>
    <col min="2841" max="2841" width="13.140625" style="132" customWidth="1"/>
    <col min="2842" max="2842" width="15.7109375" style="132" customWidth="1"/>
    <col min="2843" max="2843" width="37.5703125" style="132" customWidth="1"/>
    <col min="2844" max="3065" width="11.42578125" style="132"/>
    <col min="3066" max="3066" width="10.5703125" style="132" customWidth="1"/>
    <col min="3067" max="3067" width="4.85546875" style="132" customWidth="1"/>
    <col min="3068" max="3068" width="32.42578125" style="132" customWidth="1"/>
    <col min="3069" max="3069" width="9.85546875" style="132" customWidth="1"/>
    <col min="3070" max="3070" width="10.140625" style="132" customWidth="1"/>
    <col min="3071" max="3071" width="12.28515625" style="132" customWidth="1"/>
    <col min="3072" max="3072" width="15.42578125" style="132" customWidth="1"/>
    <col min="3073" max="3073" width="11.85546875" style="132" customWidth="1"/>
    <col min="3074" max="3074" width="13.28515625" style="132" customWidth="1"/>
    <col min="3075" max="3075" width="15.28515625" style="132" customWidth="1"/>
    <col min="3076" max="3076" width="11.85546875" style="132" customWidth="1"/>
    <col min="3077" max="3077" width="6.140625" style="132" customWidth="1"/>
    <col min="3078" max="3078" width="11.85546875" style="132" customWidth="1"/>
    <col min="3079" max="3079" width="9.42578125" style="132" customWidth="1"/>
    <col min="3080" max="3080" width="14.7109375" style="132" customWidth="1"/>
    <col min="3081" max="3081" width="11.5703125" style="132" customWidth="1"/>
    <col min="3082" max="3082" width="0.42578125" style="132" customWidth="1"/>
    <col min="3083" max="3083" width="10.5703125" style="132" bestFit="1" customWidth="1"/>
    <col min="3084" max="3084" width="12.28515625" style="132" customWidth="1"/>
    <col min="3085" max="3085" width="12.5703125" style="132" customWidth="1"/>
    <col min="3086" max="3086" width="10.5703125" style="132" customWidth="1"/>
    <col min="3087" max="3087" width="10.140625" style="132" customWidth="1"/>
    <col min="3088" max="3088" width="8.42578125" style="132" customWidth="1"/>
    <col min="3089" max="3089" width="18.85546875" style="132" customWidth="1"/>
    <col min="3090" max="3090" width="10.28515625" style="132" customWidth="1"/>
    <col min="3091" max="3091" width="11.42578125" style="132"/>
    <col min="3092" max="3092" width="12.140625" style="132" customWidth="1"/>
    <col min="3093" max="3093" width="10.5703125" style="132" customWidth="1"/>
    <col min="3094" max="3094" width="12.42578125" style="132" customWidth="1"/>
    <col min="3095" max="3095" width="15.140625" style="132" customWidth="1"/>
    <col min="3096" max="3096" width="13.5703125" style="132" customWidth="1"/>
    <col min="3097" max="3097" width="13.140625" style="132" customWidth="1"/>
    <col min="3098" max="3098" width="15.7109375" style="132" customWidth="1"/>
    <col min="3099" max="3099" width="37.5703125" style="132" customWidth="1"/>
    <col min="3100" max="3321" width="11.42578125" style="132"/>
    <col min="3322" max="3322" width="10.5703125" style="132" customWidth="1"/>
    <col min="3323" max="3323" width="4.85546875" style="132" customWidth="1"/>
    <col min="3324" max="3324" width="32.42578125" style="132" customWidth="1"/>
    <col min="3325" max="3325" width="9.85546875" style="132" customWidth="1"/>
    <col min="3326" max="3326" width="10.140625" style="132" customWidth="1"/>
    <col min="3327" max="3327" width="12.28515625" style="132" customWidth="1"/>
    <col min="3328" max="3328" width="15.42578125" style="132" customWidth="1"/>
    <col min="3329" max="3329" width="11.85546875" style="132" customWidth="1"/>
    <col min="3330" max="3330" width="13.28515625" style="132" customWidth="1"/>
    <col min="3331" max="3331" width="15.28515625" style="132" customWidth="1"/>
    <col min="3332" max="3332" width="11.85546875" style="132" customWidth="1"/>
    <col min="3333" max="3333" width="6.140625" style="132" customWidth="1"/>
    <col min="3334" max="3334" width="11.85546875" style="132" customWidth="1"/>
    <col min="3335" max="3335" width="9.42578125" style="132" customWidth="1"/>
    <col min="3336" max="3336" width="14.7109375" style="132" customWidth="1"/>
    <col min="3337" max="3337" width="11.5703125" style="132" customWidth="1"/>
    <col min="3338" max="3338" width="0.42578125" style="132" customWidth="1"/>
    <col min="3339" max="3339" width="10.5703125" style="132" bestFit="1" customWidth="1"/>
    <col min="3340" max="3340" width="12.28515625" style="132" customWidth="1"/>
    <col min="3341" max="3341" width="12.5703125" style="132" customWidth="1"/>
    <col min="3342" max="3342" width="10.5703125" style="132" customWidth="1"/>
    <col min="3343" max="3343" width="10.140625" style="132" customWidth="1"/>
    <col min="3344" max="3344" width="8.42578125" style="132" customWidth="1"/>
    <col min="3345" max="3345" width="18.85546875" style="132" customWidth="1"/>
    <col min="3346" max="3346" width="10.28515625" style="132" customWidth="1"/>
    <col min="3347" max="3347" width="11.42578125" style="132"/>
    <col min="3348" max="3348" width="12.140625" style="132" customWidth="1"/>
    <col min="3349" max="3349" width="10.5703125" style="132" customWidth="1"/>
    <col min="3350" max="3350" width="12.42578125" style="132" customWidth="1"/>
    <col min="3351" max="3351" width="15.140625" style="132" customWidth="1"/>
    <col min="3352" max="3352" width="13.5703125" style="132" customWidth="1"/>
    <col min="3353" max="3353" width="13.140625" style="132" customWidth="1"/>
    <col min="3354" max="3354" width="15.7109375" style="132" customWidth="1"/>
    <col min="3355" max="3355" width="37.5703125" style="132" customWidth="1"/>
    <col min="3356" max="3577" width="11.42578125" style="132"/>
    <col min="3578" max="3578" width="10.5703125" style="132" customWidth="1"/>
    <col min="3579" max="3579" width="4.85546875" style="132" customWidth="1"/>
    <col min="3580" max="3580" width="32.42578125" style="132" customWidth="1"/>
    <col min="3581" max="3581" width="9.85546875" style="132" customWidth="1"/>
    <col min="3582" max="3582" width="10.140625" style="132" customWidth="1"/>
    <col min="3583" max="3583" width="12.28515625" style="132" customWidth="1"/>
    <col min="3584" max="3584" width="15.42578125" style="132" customWidth="1"/>
    <col min="3585" max="3585" width="11.85546875" style="132" customWidth="1"/>
    <col min="3586" max="3586" width="13.28515625" style="132" customWidth="1"/>
    <col min="3587" max="3587" width="15.28515625" style="132" customWidth="1"/>
    <col min="3588" max="3588" width="11.85546875" style="132" customWidth="1"/>
    <col min="3589" max="3589" width="6.140625" style="132" customWidth="1"/>
    <col min="3590" max="3590" width="11.85546875" style="132" customWidth="1"/>
    <col min="3591" max="3591" width="9.42578125" style="132" customWidth="1"/>
    <col min="3592" max="3592" width="14.7109375" style="132" customWidth="1"/>
    <col min="3593" max="3593" width="11.5703125" style="132" customWidth="1"/>
    <col min="3594" max="3594" width="0.42578125" style="132" customWidth="1"/>
    <col min="3595" max="3595" width="10.5703125" style="132" bestFit="1" customWidth="1"/>
    <col min="3596" max="3596" width="12.28515625" style="132" customWidth="1"/>
    <col min="3597" max="3597" width="12.5703125" style="132" customWidth="1"/>
    <col min="3598" max="3598" width="10.5703125" style="132" customWidth="1"/>
    <col min="3599" max="3599" width="10.140625" style="132" customWidth="1"/>
    <col min="3600" max="3600" width="8.42578125" style="132" customWidth="1"/>
    <col min="3601" max="3601" width="18.85546875" style="132" customWidth="1"/>
    <col min="3602" max="3602" width="10.28515625" style="132" customWidth="1"/>
    <col min="3603" max="3603" width="11.42578125" style="132"/>
    <col min="3604" max="3604" width="12.140625" style="132" customWidth="1"/>
    <col min="3605" max="3605" width="10.5703125" style="132" customWidth="1"/>
    <col min="3606" max="3606" width="12.42578125" style="132" customWidth="1"/>
    <col min="3607" max="3607" width="15.140625" style="132" customWidth="1"/>
    <col min="3608" max="3608" width="13.5703125" style="132" customWidth="1"/>
    <col min="3609" max="3609" width="13.140625" style="132" customWidth="1"/>
    <col min="3610" max="3610" width="15.7109375" style="132" customWidth="1"/>
    <col min="3611" max="3611" width="37.5703125" style="132" customWidth="1"/>
    <col min="3612" max="3833" width="11.42578125" style="132"/>
    <col min="3834" max="3834" width="10.5703125" style="132" customWidth="1"/>
    <col min="3835" max="3835" width="4.85546875" style="132" customWidth="1"/>
    <col min="3836" max="3836" width="32.42578125" style="132" customWidth="1"/>
    <col min="3837" max="3837" width="9.85546875" style="132" customWidth="1"/>
    <col min="3838" max="3838" width="10.140625" style="132" customWidth="1"/>
    <col min="3839" max="3839" width="12.28515625" style="132" customWidth="1"/>
    <col min="3840" max="3840" width="15.42578125" style="132" customWidth="1"/>
    <col min="3841" max="3841" width="11.85546875" style="132" customWidth="1"/>
    <col min="3842" max="3842" width="13.28515625" style="132" customWidth="1"/>
    <col min="3843" max="3843" width="15.28515625" style="132" customWidth="1"/>
    <col min="3844" max="3844" width="11.85546875" style="132" customWidth="1"/>
    <col min="3845" max="3845" width="6.140625" style="132" customWidth="1"/>
    <col min="3846" max="3846" width="11.85546875" style="132" customWidth="1"/>
    <col min="3847" max="3847" width="9.42578125" style="132" customWidth="1"/>
    <col min="3848" max="3848" width="14.7109375" style="132" customWidth="1"/>
    <col min="3849" max="3849" width="11.5703125" style="132" customWidth="1"/>
    <col min="3850" max="3850" width="0.42578125" style="132" customWidth="1"/>
    <col min="3851" max="3851" width="10.5703125" style="132" bestFit="1" customWidth="1"/>
    <col min="3852" max="3852" width="12.28515625" style="132" customWidth="1"/>
    <col min="3853" max="3853" width="12.5703125" style="132" customWidth="1"/>
    <col min="3854" max="3854" width="10.5703125" style="132" customWidth="1"/>
    <col min="3855" max="3855" width="10.140625" style="132" customWidth="1"/>
    <col min="3856" max="3856" width="8.42578125" style="132" customWidth="1"/>
    <col min="3857" max="3857" width="18.85546875" style="132" customWidth="1"/>
    <col min="3858" max="3858" width="10.28515625" style="132" customWidth="1"/>
    <col min="3859" max="3859" width="11.42578125" style="132"/>
    <col min="3860" max="3860" width="12.140625" style="132" customWidth="1"/>
    <col min="3861" max="3861" width="10.5703125" style="132" customWidth="1"/>
    <col min="3862" max="3862" width="12.42578125" style="132" customWidth="1"/>
    <col min="3863" max="3863" width="15.140625" style="132" customWidth="1"/>
    <col min="3864" max="3864" width="13.5703125" style="132" customWidth="1"/>
    <col min="3865" max="3865" width="13.140625" style="132" customWidth="1"/>
    <col min="3866" max="3866" width="15.7109375" style="132" customWidth="1"/>
    <col min="3867" max="3867" width="37.5703125" style="132" customWidth="1"/>
    <col min="3868" max="4089" width="11.42578125" style="132"/>
    <col min="4090" max="4090" width="10.5703125" style="132" customWidth="1"/>
    <col min="4091" max="4091" width="4.85546875" style="132" customWidth="1"/>
    <col min="4092" max="4092" width="32.42578125" style="132" customWidth="1"/>
    <col min="4093" max="4093" width="9.85546875" style="132" customWidth="1"/>
    <col min="4094" max="4094" width="10.140625" style="132" customWidth="1"/>
    <col min="4095" max="4095" width="12.28515625" style="132" customWidth="1"/>
    <col min="4096" max="4096" width="15.42578125" style="132" customWidth="1"/>
    <col min="4097" max="4097" width="11.85546875" style="132" customWidth="1"/>
    <col min="4098" max="4098" width="13.28515625" style="132" customWidth="1"/>
    <col min="4099" max="4099" width="15.28515625" style="132" customWidth="1"/>
    <col min="4100" max="4100" width="11.85546875" style="132" customWidth="1"/>
    <col min="4101" max="4101" width="6.140625" style="132" customWidth="1"/>
    <col min="4102" max="4102" width="11.85546875" style="132" customWidth="1"/>
    <col min="4103" max="4103" width="9.42578125" style="132" customWidth="1"/>
    <col min="4104" max="4104" width="14.7109375" style="132" customWidth="1"/>
    <col min="4105" max="4105" width="11.5703125" style="132" customWidth="1"/>
    <col min="4106" max="4106" width="0.42578125" style="132" customWidth="1"/>
    <col min="4107" max="4107" width="10.5703125" style="132" bestFit="1" customWidth="1"/>
    <col min="4108" max="4108" width="12.28515625" style="132" customWidth="1"/>
    <col min="4109" max="4109" width="12.5703125" style="132" customWidth="1"/>
    <col min="4110" max="4110" width="10.5703125" style="132" customWidth="1"/>
    <col min="4111" max="4111" width="10.140625" style="132" customWidth="1"/>
    <col min="4112" max="4112" width="8.42578125" style="132" customWidth="1"/>
    <col min="4113" max="4113" width="18.85546875" style="132" customWidth="1"/>
    <col min="4114" max="4114" width="10.28515625" style="132" customWidth="1"/>
    <col min="4115" max="4115" width="11.42578125" style="132"/>
    <col min="4116" max="4116" width="12.140625" style="132" customWidth="1"/>
    <col min="4117" max="4117" width="10.5703125" style="132" customWidth="1"/>
    <col min="4118" max="4118" width="12.42578125" style="132" customWidth="1"/>
    <col min="4119" max="4119" width="15.140625" style="132" customWidth="1"/>
    <col min="4120" max="4120" width="13.5703125" style="132" customWidth="1"/>
    <col min="4121" max="4121" width="13.140625" style="132" customWidth="1"/>
    <col min="4122" max="4122" width="15.7109375" style="132" customWidth="1"/>
    <col min="4123" max="4123" width="37.5703125" style="132" customWidth="1"/>
    <col min="4124" max="4345" width="11.42578125" style="132"/>
    <col min="4346" max="4346" width="10.5703125" style="132" customWidth="1"/>
    <col min="4347" max="4347" width="4.85546875" style="132" customWidth="1"/>
    <col min="4348" max="4348" width="32.42578125" style="132" customWidth="1"/>
    <col min="4349" max="4349" width="9.85546875" style="132" customWidth="1"/>
    <col min="4350" max="4350" width="10.140625" style="132" customWidth="1"/>
    <col min="4351" max="4351" width="12.28515625" style="132" customWidth="1"/>
    <col min="4352" max="4352" width="15.42578125" style="132" customWidth="1"/>
    <col min="4353" max="4353" width="11.85546875" style="132" customWidth="1"/>
    <col min="4354" max="4354" width="13.28515625" style="132" customWidth="1"/>
    <col min="4355" max="4355" width="15.28515625" style="132" customWidth="1"/>
    <col min="4356" max="4356" width="11.85546875" style="132" customWidth="1"/>
    <col min="4357" max="4357" width="6.140625" style="132" customWidth="1"/>
    <col min="4358" max="4358" width="11.85546875" style="132" customWidth="1"/>
    <col min="4359" max="4359" width="9.42578125" style="132" customWidth="1"/>
    <col min="4360" max="4360" width="14.7109375" style="132" customWidth="1"/>
    <col min="4361" max="4361" width="11.5703125" style="132" customWidth="1"/>
    <col min="4362" max="4362" width="0.42578125" style="132" customWidth="1"/>
    <col min="4363" max="4363" width="10.5703125" style="132" bestFit="1" customWidth="1"/>
    <col min="4364" max="4364" width="12.28515625" style="132" customWidth="1"/>
    <col min="4365" max="4365" width="12.5703125" style="132" customWidth="1"/>
    <col min="4366" max="4366" width="10.5703125" style="132" customWidth="1"/>
    <col min="4367" max="4367" width="10.140625" style="132" customWidth="1"/>
    <col min="4368" max="4368" width="8.42578125" style="132" customWidth="1"/>
    <col min="4369" max="4369" width="18.85546875" style="132" customWidth="1"/>
    <col min="4370" max="4370" width="10.28515625" style="132" customWidth="1"/>
    <col min="4371" max="4371" width="11.42578125" style="132"/>
    <col min="4372" max="4372" width="12.140625" style="132" customWidth="1"/>
    <col min="4373" max="4373" width="10.5703125" style="132" customWidth="1"/>
    <col min="4374" max="4374" width="12.42578125" style="132" customWidth="1"/>
    <col min="4375" max="4375" width="15.140625" style="132" customWidth="1"/>
    <col min="4376" max="4376" width="13.5703125" style="132" customWidth="1"/>
    <col min="4377" max="4377" width="13.140625" style="132" customWidth="1"/>
    <col min="4378" max="4378" width="15.7109375" style="132" customWidth="1"/>
    <col min="4379" max="4379" width="37.5703125" style="132" customWidth="1"/>
    <col min="4380" max="4601" width="11.42578125" style="132"/>
    <col min="4602" max="4602" width="10.5703125" style="132" customWidth="1"/>
    <col min="4603" max="4603" width="4.85546875" style="132" customWidth="1"/>
    <col min="4604" max="4604" width="32.42578125" style="132" customWidth="1"/>
    <col min="4605" max="4605" width="9.85546875" style="132" customWidth="1"/>
    <col min="4606" max="4606" width="10.140625" style="132" customWidth="1"/>
    <col min="4607" max="4607" width="12.28515625" style="132" customWidth="1"/>
    <col min="4608" max="4608" width="15.42578125" style="132" customWidth="1"/>
    <col min="4609" max="4609" width="11.85546875" style="132" customWidth="1"/>
    <col min="4610" max="4610" width="13.28515625" style="132" customWidth="1"/>
    <col min="4611" max="4611" width="15.28515625" style="132" customWidth="1"/>
    <col min="4612" max="4612" width="11.85546875" style="132" customWidth="1"/>
    <col min="4613" max="4613" width="6.140625" style="132" customWidth="1"/>
    <col min="4614" max="4614" width="11.85546875" style="132" customWidth="1"/>
    <col min="4615" max="4615" width="9.42578125" style="132" customWidth="1"/>
    <col min="4616" max="4616" width="14.7109375" style="132" customWidth="1"/>
    <col min="4617" max="4617" width="11.5703125" style="132" customWidth="1"/>
    <col min="4618" max="4618" width="0.42578125" style="132" customWidth="1"/>
    <col min="4619" max="4619" width="10.5703125" style="132" bestFit="1" customWidth="1"/>
    <col min="4620" max="4620" width="12.28515625" style="132" customWidth="1"/>
    <col min="4621" max="4621" width="12.5703125" style="132" customWidth="1"/>
    <col min="4622" max="4622" width="10.5703125" style="132" customWidth="1"/>
    <col min="4623" max="4623" width="10.140625" style="132" customWidth="1"/>
    <col min="4624" max="4624" width="8.42578125" style="132" customWidth="1"/>
    <col min="4625" max="4625" width="18.85546875" style="132" customWidth="1"/>
    <col min="4626" max="4626" width="10.28515625" style="132" customWidth="1"/>
    <col min="4627" max="4627" width="11.42578125" style="132"/>
    <col min="4628" max="4628" width="12.140625" style="132" customWidth="1"/>
    <col min="4629" max="4629" width="10.5703125" style="132" customWidth="1"/>
    <col min="4630" max="4630" width="12.42578125" style="132" customWidth="1"/>
    <col min="4631" max="4631" width="15.140625" style="132" customWidth="1"/>
    <col min="4632" max="4632" width="13.5703125" style="132" customWidth="1"/>
    <col min="4633" max="4633" width="13.140625" style="132" customWidth="1"/>
    <col min="4634" max="4634" width="15.7109375" style="132" customWidth="1"/>
    <col min="4635" max="4635" width="37.5703125" style="132" customWidth="1"/>
    <col min="4636" max="4857" width="11.42578125" style="132"/>
    <col min="4858" max="4858" width="10.5703125" style="132" customWidth="1"/>
    <col min="4859" max="4859" width="4.85546875" style="132" customWidth="1"/>
    <col min="4860" max="4860" width="32.42578125" style="132" customWidth="1"/>
    <col min="4861" max="4861" width="9.85546875" style="132" customWidth="1"/>
    <col min="4862" max="4862" width="10.140625" style="132" customWidth="1"/>
    <col min="4863" max="4863" width="12.28515625" style="132" customWidth="1"/>
    <col min="4864" max="4864" width="15.42578125" style="132" customWidth="1"/>
    <col min="4865" max="4865" width="11.85546875" style="132" customWidth="1"/>
    <col min="4866" max="4866" width="13.28515625" style="132" customWidth="1"/>
    <col min="4867" max="4867" width="15.28515625" style="132" customWidth="1"/>
    <col min="4868" max="4868" width="11.85546875" style="132" customWidth="1"/>
    <col min="4869" max="4869" width="6.140625" style="132" customWidth="1"/>
    <col min="4870" max="4870" width="11.85546875" style="132" customWidth="1"/>
    <col min="4871" max="4871" width="9.42578125" style="132" customWidth="1"/>
    <col min="4872" max="4872" width="14.7109375" style="132" customWidth="1"/>
    <col min="4873" max="4873" width="11.5703125" style="132" customWidth="1"/>
    <col min="4874" max="4874" width="0.42578125" style="132" customWidth="1"/>
    <col min="4875" max="4875" width="10.5703125" style="132" bestFit="1" customWidth="1"/>
    <col min="4876" max="4876" width="12.28515625" style="132" customWidth="1"/>
    <col min="4877" max="4877" width="12.5703125" style="132" customWidth="1"/>
    <col min="4878" max="4878" width="10.5703125" style="132" customWidth="1"/>
    <col min="4879" max="4879" width="10.140625" style="132" customWidth="1"/>
    <col min="4880" max="4880" width="8.42578125" style="132" customWidth="1"/>
    <col min="4881" max="4881" width="18.85546875" style="132" customWidth="1"/>
    <col min="4882" max="4882" width="10.28515625" style="132" customWidth="1"/>
    <col min="4883" max="4883" width="11.42578125" style="132"/>
    <col min="4884" max="4884" width="12.140625" style="132" customWidth="1"/>
    <col min="4885" max="4885" width="10.5703125" style="132" customWidth="1"/>
    <col min="4886" max="4886" width="12.42578125" style="132" customWidth="1"/>
    <col min="4887" max="4887" width="15.140625" style="132" customWidth="1"/>
    <col min="4888" max="4888" width="13.5703125" style="132" customWidth="1"/>
    <col min="4889" max="4889" width="13.140625" style="132" customWidth="1"/>
    <col min="4890" max="4890" width="15.7109375" style="132" customWidth="1"/>
    <col min="4891" max="4891" width="37.5703125" style="132" customWidth="1"/>
    <col min="4892" max="5113" width="11.42578125" style="132"/>
    <col min="5114" max="5114" width="10.5703125" style="132" customWidth="1"/>
    <col min="5115" max="5115" width="4.85546875" style="132" customWidth="1"/>
    <col min="5116" max="5116" width="32.42578125" style="132" customWidth="1"/>
    <col min="5117" max="5117" width="9.85546875" style="132" customWidth="1"/>
    <col min="5118" max="5118" width="10.140625" style="132" customWidth="1"/>
    <col min="5119" max="5119" width="12.28515625" style="132" customWidth="1"/>
    <col min="5120" max="5120" width="15.42578125" style="132" customWidth="1"/>
    <col min="5121" max="5121" width="11.85546875" style="132" customWidth="1"/>
    <col min="5122" max="5122" width="13.28515625" style="132" customWidth="1"/>
    <col min="5123" max="5123" width="15.28515625" style="132" customWidth="1"/>
    <col min="5124" max="5124" width="11.85546875" style="132" customWidth="1"/>
    <col min="5125" max="5125" width="6.140625" style="132" customWidth="1"/>
    <col min="5126" max="5126" width="11.85546875" style="132" customWidth="1"/>
    <col min="5127" max="5127" width="9.42578125" style="132" customWidth="1"/>
    <col min="5128" max="5128" width="14.7109375" style="132" customWidth="1"/>
    <col min="5129" max="5129" width="11.5703125" style="132" customWidth="1"/>
    <col min="5130" max="5130" width="0.42578125" style="132" customWidth="1"/>
    <col min="5131" max="5131" width="10.5703125" style="132" bestFit="1" customWidth="1"/>
    <col min="5132" max="5132" width="12.28515625" style="132" customWidth="1"/>
    <col min="5133" max="5133" width="12.5703125" style="132" customWidth="1"/>
    <col min="5134" max="5134" width="10.5703125" style="132" customWidth="1"/>
    <col min="5135" max="5135" width="10.140625" style="132" customWidth="1"/>
    <col min="5136" max="5136" width="8.42578125" style="132" customWidth="1"/>
    <col min="5137" max="5137" width="18.85546875" style="132" customWidth="1"/>
    <col min="5138" max="5138" width="10.28515625" style="132" customWidth="1"/>
    <col min="5139" max="5139" width="11.42578125" style="132"/>
    <col min="5140" max="5140" width="12.140625" style="132" customWidth="1"/>
    <col min="5141" max="5141" width="10.5703125" style="132" customWidth="1"/>
    <col min="5142" max="5142" width="12.42578125" style="132" customWidth="1"/>
    <col min="5143" max="5143" width="15.140625" style="132" customWidth="1"/>
    <col min="5144" max="5144" width="13.5703125" style="132" customWidth="1"/>
    <col min="5145" max="5145" width="13.140625" style="132" customWidth="1"/>
    <col min="5146" max="5146" width="15.7109375" style="132" customWidth="1"/>
    <col min="5147" max="5147" width="37.5703125" style="132" customWidth="1"/>
    <col min="5148" max="5369" width="11.42578125" style="132"/>
    <col min="5370" max="5370" width="10.5703125" style="132" customWidth="1"/>
    <col min="5371" max="5371" width="4.85546875" style="132" customWidth="1"/>
    <col min="5372" max="5372" width="32.42578125" style="132" customWidth="1"/>
    <col min="5373" max="5373" width="9.85546875" style="132" customWidth="1"/>
    <col min="5374" max="5374" width="10.140625" style="132" customWidth="1"/>
    <col min="5375" max="5375" width="12.28515625" style="132" customWidth="1"/>
    <col min="5376" max="5376" width="15.42578125" style="132" customWidth="1"/>
    <col min="5377" max="5377" width="11.85546875" style="132" customWidth="1"/>
    <col min="5378" max="5378" width="13.28515625" style="132" customWidth="1"/>
    <col min="5379" max="5379" width="15.28515625" style="132" customWidth="1"/>
    <col min="5380" max="5380" width="11.85546875" style="132" customWidth="1"/>
    <col min="5381" max="5381" width="6.140625" style="132" customWidth="1"/>
    <col min="5382" max="5382" width="11.85546875" style="132" customWidth="1"/>
    <col min="5383" max="5383" width="9.42578125" style="132" customWidth="1"/>
    <col min="5384" max="5384" width="14.7109375" style="132" customWidth="1"/>
    <col min="5385" max="5385" width="11.5703125" style="132" customWidth="1"/>
    <col min="5386" max="5386" width="0.42578125" style="132" customWidth="1"/>
    <col min="5387" max="5387" width="10.5703125" style="132" bestFit="1" customWidth="1"/>
    <col min="5388" max="5388" width="12.28515625" style="132" customWidth="1"/>
    <col min="5389" max="5389" width="12.5703125" style="132" customWidth="1"/>
    <col min="5390" max="5390" width="10.5703125" style="132" customWidth="1"/>
    <col min="5391" max="5391" width="10.140625" style="132" customWidth="1"/>
    <col min="5392" max="5392" width="8.42578125" style="132" customWidth="1"/>
    <col min="5393" max="5393" width="18.85546875" style="132" customWidth="1"/>
    <col min="5394" max="5394" width="10.28515625" style="132" customWidth="1"/>
    <col min="5395" max="5395" width="11.42578125" style="132"/>
    <col min="5396" max="5396" width="12.140625" style="132" customWidth="1"/>
    <col min="5397" max="5397" width="10.5703125" style="132" customWidth="1"/>
    <col min="5398" max="5398" width="12.42578125" style="132" customWidth="1"/>
    <col min="5399" max="5399" width="15.140625" style="132" customWidth="1"/>
    <col min="5400" max="5400" width="13.5703125" style="132" customWidth="1"/>
    <col min="5401" max="5401" width="13.140625" style="132" customWidth="1"/>
    <col min="5402" max="5402" width="15.7109375" style="132" customWidth="1"/>
    <col min="5403" max="5403" width="37.5703125" style="132" customWidth="1"/>
    <col min="5404" max="5625" width="11.42578125" style="132"/>
    <col min="5626" max="5626" width="10.5703125" style="132" customWidth="1"/>
    <col min="5627" max="5627" width="4.85546875" style="132" customWidth="1"/>
    <col min="5628" max="5628" width="32.42578125" style="132" customWidth="1"/>
    <col min="5629" max="5629" width="9.85546875" style="132" customWidth="1"/>
    <col min="5630" max="5630" width="10.140625" style="132" customWidth="1"/>
    <col min="5631" max="5631" width="12.28515625" style="132" customWidth="1"/>
    <col min="5632" max="5632" width="15.42578125" style="132" customWidth="1"/>
    <col min="5633" max="5633" width="11.85546875" style="132" customWidth="1"/>
    <col min="5634" max="5634" width="13.28515625" style="132" customWidth="1"/>
    <col min="5635" max="5635" width="15.28515625" style="132" customWidth="1"/>
    <col min="5636" max="5636" width="11.85546875" style="132" customWidth="1"/>
    <col min="5637" max="5637" width="6.140625" style="132" customWidth="1"/>
    <col min="5638" max="5638" width="11.85546875" style="132" customWidth="1"/>
    <col min="5639" max="5639" width="9.42578125" style="132" customWidth="1"/>
    <col min="5640" max="5640" width="14.7109375" style="132" customWidth="1"/>
    <col min="5641" max="5641" width="11.5703125" style="132" customWidth="1"/>
    <col min="5642" max="5642" width="0.42578125" style="132" customWidth="1"/>
    <col min="5643" max="5643" width="10.5703125" style="132" bestFit="1" customWidth="1"/>
    <col min="5644" max="5644" width="12.28515625" style="132" customWidth="1"/>
    <col min="5645" max="5645" width="12.5703125" style="132" customWidth="1"/>
    <col min="5646" max="5646" width="10.5703125" style="132" customWidth="1"/>
    <col min="5647" max="5647" width="10.140625" style="132" customWidth="1"/>
    <col min="5648" max="5648" width="8.42578125" style="132" customWidth="1"/>
    <col min="5649" max="5649" width="18.85546875" style="132" customWidth="1"/>
    <col min="5650" max="5650" width="10.28515625" style="132" customWidth="1"/>
    <col min="5651" max="5651" width="11.42578125" style="132"/>
    <col min="5652" max="5652" width="12.140625" style="132" customWidth="1"/>
    <col min="5653" max="5653" width="10.5703125" style="132" customWidth="1"/>
    <col min="5654" max="5654" width="12.42578125" style="132" customWidth="1"/>
    <col min="5655" max="5655" width="15.140625" style="132" customWidth="1"/>
    <col min="5656" max="5656" width="13.5703125" style="132" customWidth="1"/>
    <col min="5657" max="5657" width="13.140625" style="132" customWidth="1"/>
    <col min="5658" max="5658" width="15.7109375" style="132" customWidth="1"/>
    <col min="5659" max="5659" width="37.5703125" style="132" customWidth="1"/>
    <col min="5660" max="5881" width="11.42578125" style="132"/>
    <col min="5882" max="5882" width="10.5703125" style="132" customWidth="1"/>
    <col min="5883" max="5883" width="4.85546875" style="132" customWidth="1"/>
    <col min="5884" max="5884" width="32.42578125" style="132" customWidth="1"/>
    <col min="5885" max="5885" width="9.85546875" style="132" customWidth="1"/>
    <col min="5886" max="5886" width="10.140625" style="132" customWidth="1"/>
    <col min="5887" max="5887" width="12.28515625" style="132" customWidth="1"/>
    <col min="5888" max="5888" width="15.42578125" style="132" customWidth="1"/>
    <col min="5889" max="5889" width="11.85546875" style="132" customWidth="1"/>
    <col min="5890" max="5890" width="13.28515625" style="132" customWidth="1"/>
    <col min="5891" max="5891" width="15.28515625" style="132" customWidth="1"/>
    <col min="5892" max="5892" width="11.85546875" style="132" customWidth="1"/>
    <col min="5893" max="5893" width="6.140625" style="132" customWidth="1"/>
    <col min="5894" max="5894" width="11.85546875" style="132" customWidth="1"/>
    <col min="5895" max="5895" width="9.42578125" style="132" customWidth="1"/>
    <col min="5896" max="5896" width="14.7109375" style="132" customWidth="1"/>
    <col min="5897" max="5897" width="11.5703125" style="132" customWidth="1"/>
    <col min="5898" max="5898" width="0.42578125" style="132" customWidth="1"/>
    <col min="5899" max="5899" width="10.5703125" style="132" bestFit="1" customWidth="1"/>
    <col min="5900" max="5900" width="12.28515625" style="132" customWidth="1"/>
    <col min="5901" max="5901" width="12.5703125" style="132" customWidth="1"/>
    <col min="5902" max="5902" width="10.5703125" style="132" customWidth="1"/>
    <col min="5903" max="5903" width="10.140625" style="132" customWidth="1"/>
    <col min="5904" max="5904" width="8.42578125" style="132" customWidth="1"/>
    <col min="5905" max="5905" width="18.85546875" style="132" customWidth="1"/>
    <col min="5906" max="5906" width="10.28515625" style="132" customWidth="1"/>
    <col min="5907" max="5907" width="11.42578125" style="132"/>
    <col min="5908" max="5908" width="12.140625" style="132" customWidth="1"/>
    <col min="5909" max="5909" width="10.5703125" style="132" customWidth="1"/>
    <col min="5910" max="5910" width="12.42578125" style="132" customWidth="1"/>
    <col min="5911" max="5911" width="15.140625" style="132" customWidth="1"/>
    <col min="5912" max="5912" width="13.5703125" style="132" customWidth="1"/>
    <col min="5913" max="5913" width="13.140625" style="132" customWidth="1"/>
    <col min="5914" max="5914" width="15.7109375" style="132" customWidth="1"/>
    <col min="5915" max="5915" width="37.5703125" style="132" customWidth="1"/>
    <col min="5916" max="6137" width="11.42578125" style="132"/>
    <col min="6138" max="6138" width="10.5703125" style="132" customWidth="1"/>
    <col min="6139" max="6139" width="4.85546875" style="132" customWidth="1"/>
    <col min="6140" max="6140" width="32.42578125" style="132" customWidth="1"/>
    <col min="6141" max="6141" width="9.85546875" style="132" customWidth="1"/>
    <col min="6142" max="6142" width="10.140625" style="132" customWidth="1"/>
    <col min="6143" max="6143" width="12.28515625" style="132" customWidth="1"/>
    <col min="6144" max="6144" width="15.42578125" style="132" customWidth="1"/>
    <col min="6145" max="6145" width="11.85546875" style="132" customWidth="1"/>
    <col min="6146" max="6146" width="13.28515625" style="132" customWidth="1"/>
    <col min="6147" max="6147" width="15.28515625" style="132" customWidth="1"/>
    <col min="6148" max="6148" width="11.85546875" style="132" customWidth="1"/>
    <col min="6149" max="6149" width="6.140625" style="132" customWidth="1"/>
    <col min="6150" max="6150" width="11.85546875" style="132" customWidth="1"/>
    <col min="6151" max="6151" width="9.42578125" style="132" customWidth="1"/>
    <col min="6152" max="6152" width="14.7109375" style="132" customWidth="1"/>
    <col min="6153" max="6153" width="11.5703125" style="132" customWidth="1"/>
    <col min="6154" max="6154" width="0.42578125" style="132" customWidth="1"/>
    <col min="6155" max="6155" width="10.5703125" style="132" bestFit="1" customWidth="1"/>
    <col min="6156" max="6156" width="12.28515625" style="132" customWidth="1"/>
    <col min="6157" max="6157" width="12.5703125" style="132" customWidth="1"/>
    <col min="6158" max="6158" width="10.5703125" style="132" customWidth="1"/>
    <col min="6159" max="6159" width="10.140625" style="132" customWidth="1"/>
    <col min="6160" max="6160" width="8.42578125" style="132" customWidth="1"/>
    <col min="6161" max="6161" width="18.85546875" style="132" customWidth="1"/>
    <col min="6162" max="6162" width="10.28515625" style="132" customWidth="1"/>
    <col min="6163" max="6163" width="11.42578125" style="132"/>
    <col min="6164" max="6164" width="12.140625" style="132" customWidth="1"/>
    <col min="6165" max="6165" width="10.5703125" style="132" customWidth="1"/>
    <col min="6166" max="6166" width="12.42578125" style="132" customWidth="1"/>
    <col min="6167" max="6167" width="15.140625" style="132" customWidth="1"/>
    <col min="6168" max="6168" width="13.5703125" style="132" customWidth="1"/>
    <col min="6169" max="6169" width="13.140625" style="132" customWidth="1"/>
    <col min="6170" max="6170" width="15.7109375" style="132" customWidth="1"/>
    <col min="6171" max="6171" width="37.5703125" style="132" customWidth="1"/>
    <col min="6172" max="6393" width="11.42578125" style="132"/>
    <col min="6394" max="6394" width="10.5703125" style="132" customWidth="1"/>
    <col min="6395" max="6395" width="4.85546875" style="132" customWidth="1"/>
    <col min="6396" max="6396" width="32.42578125" style="132" customWidth="1"/>
    <col min="6397" max="6397" width="9.85546875" style="132" customWidth="1"/>
    <col min="6398" max="6398" width="10.140625" style="132" customWidth="1"/>
    <col min="6399" max="6399" width="12.28515625" style="132" customWidth="1"/>
    <col min="6400" max="6400" width="15.42578125" style="132" customWidth="1"/>
    <col min="6401" max="6401" width="11.85546875" style="132" customWidth="1"/>
    <col min="6402" max="6402" width="13.28515625" style="132" customWidth="1"/>
    <col min="6403" max="6403" width="15.28515625" style="132" customWidth="1"/>
    <col min="6404" max="6404" width="11.85546875" style="132" customWidth="1"/>
    <col min="6405" max="6405" width="6.140625" style="132" customWidth="1"/>
    <col min="6406" max="6406" width="11.85546875" style="132" customWidth="1"/>
    <col min="6407" max="6407" width="9.42578125" style="132" customWidth="1"/>
    <col min="6408" max="6408" width="14.7109375" style="132" customWidth="1"/>
    <col min="6409" max="6409" width="11.5703125" style="132" customWidth="1"/>
    <col min="6410" max="6410" width="0.42578125" style="132" customWidth="1"/>
    <col min="6411" max="6411" width="10.5703125" style="132" bestFit="1" customWidth="1"/>
    <col min="6412" max="6412" width="12.28515625" style="132" customWidth="1"/>
    <col min="6413" max="6413" width="12.5703125" style="132" customWidth="1"/>
    <col min="6414" max="6414" width="10.5703125" style="132" customWidth="1"/>
    <col min="6415" max="6415" width="10.140625" style="132" customWidth="1"/>
    <col min="6416" max="6416" width="8.42578125" style="132" customWidth="1"/>
    <col min="6417" max="6417" width="18.85546875" style="132" customWidth="1"/>
    <col min="6418" max="6418" width="10.28515625" style="132" customWidth="1"/>
    <col min="6419" max="6419" width="11.42578125" style="132"/>
    <col min="6420" max="6420" width="12.140625" style="132" customWidth="1"/>
    <col min="6421" max="6421" width="10.5703125" style="132" customWidth="1"/>
    <col min="6422" max="6422" width="12.42578125" style="132" customWidth="1"/>
    <col min="6423" max="6423" width="15.140625" style="132" customWidth="1"/>
    <col min="6424" max="6424" width="13.5703125" style="132" customWidth="1"/>
    <col min="6425" max="6425" width="13.140625" style="132" customWidth="1"/>
    <col min="6426" max="6426" width="15.7109375" style="132" customWidth="1"/>
    <col min="6427" max="6427" width="37.5703125" style="132" customWidth="1"/>
    <col min="6428" max="6649" width="11.42578125" style="132"/>
    <col min="6650" max="6650" width="10.5703125" style="132" customWidth="1"/>
    <col min="6651" max="6651" width="4.85546875" style="132" customWidth="1"/>
    <col min="6652" max="6652" width="32.42578125" style="132" customWidth="1"/>
    <col min="6653" max="6653" width="9.85546875" style="132" customWidth="1"/>
    <col min="6654" max="6654" width="10.140625" style="132" customWidth="1"/>
    <col min="6655" max="6655" width="12.28515625" style="132" customWidth="1"/>
    <col min="6656" max="6656" width="15.42578125" style="132" customWidth="1"/>
    <col min="6657" max="6657" width="11.85546875" style="132" customWidth="1"/>
    <col min="6658" max="6658" width="13.28515625" style="132" customWidth="1"/>
    <col min="6659" max="6659" width="15.28515625" style="132" customWidth="1"/>
    <col min="6660" max="6660" width="11.85546875" style="132" customWidth="1"/>
    <col min="6661" max="6661" width="6.140625" style="132" customWidth="1"/>
    <col min="6662" max="6662" width="11.85546875" style="132" customWidth="1"/>
    <col min="6663" max="6663" width="9.42578125" style="132" customWidth="1"/>
    <col min="6664" max="6664" width="14.7109375" style="132" customWidth="1"/>
    <col min="6665" max="6665" width="11.5703125" style="132" customWidth="1"/>
    <col min="6666" max="6666" width="0.42578125" style="132" customWidth="1"/>
    <col min="6667" max="6667" width="10.5703125" style="132" bestFit="1" customWidth="1"/>
    <col min="6668" max="6668" width="12.28515625" style="132" customWidth="1"/>
    <col min="6669" max="6669" width="12.5703125" style="132" customWidth="1"/>
    <col min="6670" max="6670" width="10.5703125" style="132" customWidth="1"/>
    <col min="6671" max="6671" width="10.140625" style="132" customWidth="1"/>
    <col min="6672" max="6672" width="8.42578125" style="132" customWidth="1"/>
    <col min="6673" max="6673" width="18.85546875" style="132" customWidth="1"/>
    <col min="6674" max="6674" width="10.28515625" style="132" customWidth="1"/>
    <col min="6675" max="6675" width="11.42578125" style="132"/>
    <col min="6676" max="6676" width="12.140625" style="132" customWidth="1"/>
    <col min="6677" max="6677" width="10.5703125" style="132" customWidth="1"/>
    <col min="6678" max="6678" width="12.42578125" style="132" customWidth="1"/>
    <col min="6679" max="6679" width="15.140625" style="132" customWidth="1"/>
    <col min="6680" max="6680" width="13.5703125" style="132" customWidth="1"/>
    <col min="6681" max="6681" width="13.140625" style="132" customWidth="1"/>
    <col min="6682" max="6682" width="15.7109375" style="132" customWidth="1"/>
    <col min="6683" max="6683" width="37.5703125" style="132" customWidth="1"/>
    <col min="6684" max="6905" width="11.42578125" style="132"/>
    <col min="6906" max="6906" width="10.5703125" style="132" customWidth="1"/>
    <col min="6907" max="6907" width="4.85546875" style="132" customWidth="1"/>
    <col min="6908" max="6908" width="32.42578125" style="132" customWidth="1"/>
    <col min="6909" max="6909" width="9.85546875" style="132" customWidth="1"/>
    <col min="6910" max="6910" width="10.140625" style="132" customWidth="1"/>
    <col min="6911" max="6911" width="12.28515625" style="132" customWidth="1"/>
    <col min="6912" max="6912" width="15.42578125" style="132" customWidth="1"/>
    <col min="6913" max="6913" width="11.85546875" style="132" customWidth="1"/>
    <col min="6914" max="6914" width="13.28515625" style="132" customWidth="1"/>
    <col min="6915" max="6915" width="15.28515625" style="132" customWidth="1"/>
    <col min="6916" max="6916" width="11.85546875" style="132" customWidth="1"/>
    <col min="6917" max="6917" width="6.140625" style="132" customWidth="1"/>
    <col min="6918" max="6918" width="11.85546875" style="132" customWidth="1"/>
    <col min="6919" max="6919" width="9.42578125" style="132" customWidth="1"/>
    <col min="6920" max="6920" width="14.7109375" style="132" customWidth="1"/>
    <col min="6921" max="6921" width="11.5703125" style="132" customWidth="1"/>
    <col min="6922" max="6922" width="0.42578125" style="132" customWidth="1"/>
    <col min="6923" max="6923" width="10.5703125" style="132" bestFit="1" customWidth="1"/>
    <col min="6924" max="6924" width="12.28515625" style="132" customWidth="1"/>
    <col min="6925" max="6925" width="12.5703125" style="132" customWidth="1"/>
    <col min="6926" max="6926" width="10.5703125" style="132" customWidth="1"/>
    <col min="6927" max="6927" width="10.140625" style="132" customWidth="1"/>
    <col min="6928" max="6928" width="8.42578125" style="132" customWidth="1"/>
    <col min="6929" max="6929" width="18.85546875" style="132" customWidth="1"/>
    <col min="6930" max="6930" width="10.28515625" style="132" customWidth="1"/>
    <col min="6931" max="6931" width="11.42578125" style="132"/>
    <col min="6932" max="6932" width="12.140625" style="132" customWidth="1"/>
    <col min="6933" max="6933" width="10.5703125" style="132" customWidth="1"/>
    <col min="6934" max="6934" width="12.42578125" style="132" customWidth="1"/>
    <col min="6935" max="6935" width="15.140625" style="132" customWidth="1"/>
    <col min="6936" max="6936" width="13.5703125" style="132" customWidth="1"/>
    <col min="6937" max="6937" width="13.140625" style="132" customWidth="1"/>
    <col min="6938" max="6938" width="15.7109375" style="132" customWidth="1"/>
    <col min="6939" max="6939" width="37.5703125" style="132" customWidth="1"/>
    <col min="6940" max="7161" width="11.42578125" style="132"/>
    <col min="7162" max="7162" width="10.5703125" style="132" customWidth="1"/>
    <col min="7163" max="7163" width="4.85546875" style="132" customWidth="1"/>
    <col min="7164" max="7164" width="32.42578125" style="132" customWidth="1"/>
    <col min="7165" max="7165" width="9.85546875" style="132" customWidth="1"/>
    <col min="7166" max="7166" width="10.140625" style="132" customWidth="1"/>
    <col min="7167" max="7167" width="12.28515625" style="132" customWidth="1"/>
    <col min="7168" max="7168" width="15.42578125" style="132" customWidth="1"/>
    <col min="7169" max="7169" width="11.85546875" style="132" customWidth="1"/>
    <col min="7170" max="7170" width="13.28515625" style="132" customWidth="1"/>
    <col min="7171" max="7171" width="15.28515625" style="132" customWidth="1"/>
    <col min="7172" max="7172" width="11.85546875" style="132" customWidth="1"/>
    <col min="7173" max="7173" width="6.140625" style="132" customWidth="1"/>
    <col min="7174" max="7174" width="11.85546875" style="132" customWidth="1"/>
    <col min="7175" max="7175" width="9.42578125" style="132" customWidth="1"/>
    <col min="7176" max="7176" width="14.7109375" style="132" customWidth="1"/>
    <col min="7177" max="7177" width="11.5703125" style="132" customWidth="1"/>
    <col min="7178" max="7178" width="0.42578125" style="132" customWidth="1"/>
    <col min="7179" max="7179" width="10.5703125" style="132" bestFit="1" customWidth="1"/>
    <col min="7180" max="7180" width="12.28515625" style="132" customWidth="1"/>
    <col min="7181" max="7181" width="12.5703125" style="132" customWidth="1"/>
    <col min="7182" max="7182" width="10.5703125" style="132" customWidth="1"/>
    <col min="7183" max="7183" width="10.140625" style="132" customWidth="1"/>
    <col min="7184" max="7184" width="8.42578125" style="132" customWidth="1"/>
    <col min="7185" max="7185" width="18.85546875" style="132" customWidth="1"/>
    <col min="7186" max="7186" width="10.28515625" style="132" customWidth="1"/>
    <col min="7187" max="7187" width="11.42578125" style="132"/>
    <col min="7188" max="7188" width="12.140625" style="132" customWidth="1"/>
    <col min="7189" max="7189" width="10.5703125" style="132" customWidth="1"/>
    <col min="7190" max="7190" width="12.42578125" style="132" customWidth="1"/>
    <col min="7191" max="7191" width="15.140625" style="132" customWidth="1"/>
    <col min="7192" max="7192" width="13.5703125" style="132" customWidth="1"/>
    <col min="7193" max="7193" width="13.140625" style="132" customWidth="1"/>
    <col min="7194" max="7194" width="15.7109375" style="132" customWidth="1"/>
    <col min="7195" max="7195" width="37.5703125" style="132" customWidth="1"/>
    <col min="7196" max="7417" width="11.42578125" style="132"/>
    <col min="7418" max="7418" width="10.5703125" style="132" customWidth="1"/>
    <col min="7419" max="7419" width="4.85546875" style="132" customWidth="1"/>
    <col min="7420" max="7420" width="32.42578125" style="132" customWidth="1"/>
    <col min="7421" max="7421" width="9.85546875" style="132" customWidth="1"/>
    <col min="7422" max="7422" width="10.140625" style="132" customWidth="1"/>
    <col min="7423" max="7423" width="12.28515625" style="132" customWidth="1"/>
    <col min="7424" max="7424" width="15.42578125" style="132" customWidth="1"/>
    <col min="7425" max="7425" width="11.85546875" style="132" customWidth="1"/>
    <col min="7426" max="7426" width="13.28515625" style="132" customWidth="1"/>
    <col min="7427" max="7427" width="15.28515625" style="132" customWidth="1"/>
    <col min="7428" max="7428" width="11.85546875" style="132" customWidth="1"/>
    <col min="7429" max="7429" width="6.140625" style="132" customWidth="1"/>
    <col min="7430" max="7430" width="11.85546875" style="132" customWidth="1"/>
    <col min="7431" max="7431" width="9.42578125" style="132" customWidth="1"/>
    <col min="7432" max="7432" width="14.7109375" style="132" customWidth="1"/>
    <col min="7433" max="7433" width="11.5703125" style="132" customWidth="1"/>
    <col min="7434" max="7434" width="0.42578125" style="132" customWidth="1"/>
    <col min="7435" max="7435" width="10.5703125" style="132" bestFit="1" customWidth="1"/>
    <col min="7436" max="7436" width="12.28515625" style="132" customWidth="1"/>
    <col min="7437" max="7437" width="12.5703125" style="132" customWidth="1"/>
    <col min="7438" max="7438" width="10.5703125" style="132" customWidth="1"/>
    <col min="7439" max="7439" width="10.140625" style="132" customWidth="1"/>
    <col min="7440" max="7440" width="8.42578125" style="132" customWidth="1"/>
    <col min="7441" max="7441" width="18.85546875" style="132" customWidth="1"/>
    <col min="7442" max="7442" width="10.28515625" style="132" customWidth="1"/>
    <col min="7443" max="7443" width="11.42578125" style="132"/>
    <col min="7444" max="7444" width="12.140625" style="132" customWidth="1"/>
    <col min="7445" max="7445" width="10.5703125" style="132" customWidth="1"/>
    <col min="7446" max="7446" width="12.42578125" style="132" customWidth="1"/>
    <col min="7447" max="7447" width="15.140625" style="132" customWidth="1"/>
    <col min="7448" max="7448" width="13.5703125" style="132" customWidth="1"/>
    <col min="7449" max="7449" width="13.140625" style="132" customWidth="1"/>
    <col min="7450" max="7450" width="15.7109375" style="132" customWidth="1"/>
    <col min="7451" max="7451" width="37.5703125" style="132" customWidth="1"/>
    <col min="7452" max="7673" width="11.42578125" style="132"/>
    <col min="7674" max="7674" width="10.5703125" style="132" customWidth="1"/>
    <col min="7675" max="7675" width="4.85546875" style="132" customWidth="1"/>
    <col min="7676" max="7676" width="32.42578125" style="132" customWidth="1"/>
    <col min="7677" max="7677" width="9.85546875" style="132" customWidth="1"/>
    <col min="7678" max="7678" width="10.140625" style="132" customWidth="1"/>
    <col min="7679" max="7679" width="12.28515625" style="132" customWidth="1"/>
    <col min="7680" max="7680" width="15.42578125" style="132" customWidth="1"/>
    <col min="7681" max="7681" width="11.85546875" style="132" customWidth="1"/>
    <col min="7682" max="7682" width="13.28515625" style="132" customWidth="1"/>
    <col min="7683" max="7683" width="15.28515625" style="132" customWidth="1"/>
    <col min="7684" max="7684" width="11.85546875" style="132" customWidth="1"/>
    <col min="7685" max="7685" width="6.140625" style="132" customWidth="1"/>
    <col min="7686" max="7686" width="11.85546875" style="132" customWidth="1"/>
    <col min="7687" max="7687" width="9.42578125" style="132" customWidth="1"/>
    <col min="7688" max="7688" width="14.7109375" style="132" customWidth="1"/>
    <col min="7689" max="7689" width="11.5703125" style="132" customWidth="1"/>
    <col min="7690" max="7690" width="0.42578125" style="132" customWidth="1"/>
    <col min="7691" max="7691" width="10.5703125" style="132" bestFit="1" customWidth="1"/>
    <col min="7692" max="7692" width="12.28515625" style="132" customWidth="1"/>
    <col min="7693" max="7693" width="12.5703125" style="132" customWidth="1"/>
    <col min="7694" max="7694" width="10.5703125" style="132" customWidth="1"/>
    <col min="7695" max="7695" width="10.140625" style="132" customWidth="1"/>
    <col min="7696" max="7696" width="8.42578125" style="132" customWidth="1"/>
    <col min="7697" max="7697" width="18.85546875" style="132" customWidth="1"/>
    <col min="7698" max="7698" width="10.28515625" style="132" customWidth="1"/>
    <col min="7699" max="7699" width="11.42578125" style="132"/>
    <col min="7700" max="7700" width="12.140625" style="132" customWidth="1"/>
    <col min="7701" max="7701" width="10.5703125" style="132" customWidth="1"/>
    <col min="7702" max="7702" width="12.42578125" style="132" customWidth="1"/>
    <col min="7703" max="7703" width="15.140625" style="132" customWidth="1"/>
    <col min="7704" max="7704" width="13.5703125" style="132" customWidth="1"/>
    <col min="7705" max="7705" width="13.140625" style="132" customWidth="1"/>
    <col min="7706" max="7706" width="15.7109375" style="132" customWidth="1"/>
    <col min="7707" max="7707" width="37.5703125" style="132" customWidth="1"/>
    <col min="7708" max="7929" width="11.42578125" style="132"/>
    <col min="7930" max="7930" width="10.5703125" style="132" customWidth="1"/>
    <col min="7931" max="7931" width="4.85546875" style="132" customWidth="1"/>
    <col min="7932" max="7932" width="32.42578125" style="132" customWidth="1"/>
    <col min="7933" max="7933" width="9.85546875" style="132" customWidth="1"/>
    <col min="7934" max="7934" width="10.140625" style="132" customWidth="1"/>
    <col min="7935" max="7935" width="12.28515625" style="132" customWidth="1"/>
    <col min="7936" max="7936" width="15.42578125" style="132" customWidth="1"/>
    <col min="7937" max="7937" width="11.85546875" style="132" customWidth="1"/>
    <col min="7938" max="7938" width="13.28515625" style="132" customWidth="1"/>
    <col min="7939" max="7939" width="15.28515625" style="132" customWidth="1"/>
    <col min="7940" max="7940" width="11.85546875" style="132" customWidth="1"/>
    <col min="7941" max="7941" width="6.140625" style="132" customWidth="1"/>
    <col min="7942" max="7942" width="11.85546875" style="132" customWidth="1"/>
    <col min="7943" max="7943" width="9.42578125" style="132" customWidth="1"/>
    <col min="7944" max="7944" width="14.7109375" style="132" customWidth="1"/>
    <col min="7945" max="7945" width="11.5703125" style="132" customWidth="1"/>
    <col min="7946" max="7946" width="0.42578125" style="132" customWidth="1"/>
    <col min="7947" max="7947" width="10.5703125" style="132" bestFit="1" customWidth="1"/>
    <col min="7948" max="7948" width="12.28515625" style="132" customWidth="1"/>
    <col min="7949" max="7949" width="12.5703125" style="132" customWidth="1"/>
    <col min="7950" max="7950" width="10.5703125" style="132" customWidth="1"/>
    <col min="7951" max="7951" width="10.140625" style="132" customWidth="1"/>
    <col min="7952" max="7952" width="8.42578125" style="132" customWidth="1"/>
    <col min="7953" max="7953" width="18.85546875" style="132" customWidth="1"/>
    <col min="7954" max="7954" width="10.28515625" style="132" customWidth="1"/>
    <col min="7955" max="7955" width="11.42578125" style="132"/>
    <col min="7956" max="7956" width="12.140625" style="132" customWidth="1"/>
    <col min="7957" max="7957" width="10.5703125" style="132" customWidth="1"/>
    <col min="7958" max="7958" width="12.42578125" style="132" customWidth="1"/>
    <col min="7959" max="7959" width="15.140625" style="132" customWidth="1"/>
    <col min="7960" max="7960" width="13.5703125" style="132" customWidth="1"/>
    <col min="7961" max="7961" width="13.140625" style="132" customWidth="1"/>
    <col min="7962" max="7962" width="15.7109375" style="132" customWidth="1"/>
    <col min="7963" max="7963" width="37.5703125" style="132" customWidth="1"/>
    <col min="7964" max="8185" width="11.42578125" style="132"/>
    <col min="8186" max="8186" width="10.5703125" style="132" customWidth="1"/>
    <col min="8187" max="8187" width="4.85546875" style="132" customWidth="1"/>
    <col min="8188" max="8188" width="32.42578125" style="132" customWidth="1"/>
    <col min="8189" max="8189" width="9.85546875" style="132" customWidth="1"/>
    <col min="8190" max="8190" width="10.140625" style="132" customWidth="1"/>
    <col min="8191" max="8191" width="12.28515625" style="132" customWidth="1"/>
    <col min="8192" max="8192" width="15.42578125" style="132" customWidth="1"/>
    <col min="8193" max="8193" width="11.85546875" style="132" customWidth="1"/>
    <col min="8194" max="8194" width="13.28515625" style="132" customWidth="1"/>
    <col min="8195" max="8195" width="15.28515625" style="132" customWidth="1"/>
    <col min="8196" max="8196" width="11.85546875" style="132" customWidth="1"/>
    <col min="8197" max="8197" width="6.140625" style="132" customWidth="1"/>
    <col min="8198" max="8198" width="11.85546875" style="132" customWidth="1"/>
    <col min="8199" max="8199" width="9.42578125" style="132" customWidth="1"/>
    <col min="8200" max="8200" width="14.7109375" style="132" customWidth="1"/>
    <col min="8201" max="8201" width="11.5703125" style="132" customWidth="1"/>
    <col min="8202" max="8202" width="0.42578125" style="132" customWidth="1"/>
    <col min="8203" max="8203" width="10.5703125" style="132" bestFit="1" customWidth="1"/>
    <col min="8204" max="8204" width="12.28515625" style="132" customWidth="1"/>
    <col min="8205" max="8205" width="12.5703125" style="132" customWidth="1"/>
    <col min="8206" max="8206" width="10.5703125" style="132" customWidth="1"/>
    <col min="8207" max="8207" width="10.140625" style="132" customWidth="1"/>
    <col min="8208" max="8208" width="8.42578125" style="132" customWidth="1"/>
    <col min="8209" max="8209" width="18.85546875" style="132" customWidth="1"/>
    <col min="8210" max="8210" width="10.28515625" style="132" customWidth="1"/>
    <col min="8211" max="8211" width="11.42578125" style="132"/>
    <col min="8212" max="8212" width="12.140625" style="132" customWidth="1"/>
    <col min="8213" max="8213" width="10.5703125" style="132" customWidth="1"/>
    <col min="8214" max="8214" width="12.42578125" style="132" customWidth="1"/>
    <col min="8215" max="8215" width="15.140625" style="132" customWidth="1"/>
    <col min="8216" max="8216" width="13.5703125" style="132" customWidth="1"/>
    <col min="8217" max="8217" width="13.140625" style="132" customWidth="1"/>
    <col min="8218" max="8218" width="15.7109375" style="132" customWidth="1"/>
    <col min="8219" max="8219" width="37.5703125" style="132" customWidth="1"/>
    <col min="8220" max="8441" width="11.42578125" style="132"/>
    <col min="8442" max="8442" width="10.5703125" style="132" customWidth="1"/>
    <col min="8443" max="8443" width="4.85546875" style="132" customWidth="1"/>
    <col min="8444" max="8444" width="32.42578125" style="132" customWidth="1"/>
    <col min="8445" max="8445" width="9.85546875" style="132" customWidth="1"/>
    <col min="8446" max="8446" width="10.140625" style="132" customWidth="1"/>
    <col min="8447" max="8447" width="12.28515625" style="132" customWidth="1"/>
    <col min="8448" max="8448" width="15.42578125" style="132" customWidth="1"/>
    <col min="8449" max="8449" width="11.85546875" style="132" customWidth="1"/>
    <col min="8450" max="8450" width="13.28515625" style="132" customWidth="1"/>
    <col min="8451" max="8451" width="15.28515625" style="132" customWidth="1"/>
    <col min="8452" max="8452" width="11.85546875" style="132" customWidth="1"/>
    <col min="8453" max="8453" width="6.140625" style="132" customWidth="1"/>
    <col min="8454" max="8454" width="11.85546875" style="132" customWidth="1"/>
    <col min="8455" max="8455" width="9.42578125" style="132" customWidth="1"/>
    <col min="8456" max="8456" width="14.7109375" style="132" customWidth="1"/>
    <col min="8457" max="8457" width="11.5703125" style="132" customWidth="1"/>
    <col min="8458" max="8458" width="0.42578125" style="132" customWidth="1"/>
    <col min="8459" max="8459" width="10.5703125" style="132" bestFit="1" customWidth="1"/>
    <col min="8460" max="8460" width="12.28515625" style="132" customWidth="1"/>
    <col min="8461" max="8461" width="12.5703125" style="132" customWidth="1"/>
    <col min="8462" max="8462" width="10.5703125" style="132" customWidth="1"/>
    <col min="8463" max="8463" width="10.140625" style="132" customWidth="1"/>
    <col min="8464" max="8464" width="8.42578125" style="132" customWidth="1"/>
    <col min="8465" max="8465" width="18.85546875" style="132" customWidth="1"/>
    <col min="8466" max="8466" width="10.28515625" style="132" customWidth="1"/>
    <col min="8467" max="8467" width="11.42578125" style="132"/>
    <col min="8468" max="8468" width="12.140625" style="132" customWidth="1"/>
    <col min="8469" max="8469" width="10.5703125" style="132" customWidth="1"/>
    <col min="8470" max="8470" width="12.42578125" style="132" customWidth="1"/>
    <col min="8471" max="8471" width="15.140625" style="132" customWidth="1"/>
    <col min="8472" max="8472" width="13.5703125" style="132" customWidth="1"/>
    <col min="8473" max="8473" width="13.140625" style="132" customWidth="1"/>
    <col min="8474" max="8474" width="15.7109375" style="132" customWidth="1"/>
    <col min="8475" max="8475" width="37.5703125" style="132" customWidth="1"/>
    <col min="8476" max="8697" width="11.42578125" style="132"/>
    <col min="8698" max="8698" width="10.5703125" style="132" customWidth="1"/>
    <col min="8699" max="8699" width="4.85546875" style="132" customWidth="1"/>
    <col min="8700" max="8700" width="32.42578125" style="132" customWidth="1"/>
    <col min="8701" max="8701" width="9.85546875" style="132" customWidth="1"/>
    <col min="8702" max="8702" width="10.140625" style="132" customWidth="1"/>
    <col min="8703" max="8703" width="12.28515625" style="132" customWidth="1"/>
    <col min="8704" max="8704" width="15.42578125" style="132" customWidth="1"/>
    <col min="8705" max="8705" width="11.85546875" style="132" customWidth="1"/>
    <col min="8706" max="8706" width="13.28515625" style="132" customWidth="1"/>
    <col min="8707" max="8707" width="15.28515625" style="132" customWidth="1"/>
    <col min="8708" max="8708" width="11.85546875" style="132" customWidth="1"/>
    <col min="8709" max="8709" width="6.140625" style="132" customWidth="1"/>
    <col min="8710" max="8710" width="11.85546875" style="132" customWidth="1"/>
    <col min="8711" max="8711" width="9.42578125" style="132" customWidth="1"/>
    <col min="8712" max="8712" width="14.7109375" style="132" customWidth="1"/>
    <col min="8713" max="8713" width="11.5703125" style="132" customWidth="1"/>
    <col min="8714" max="8714" width="0.42578125" style="132" customWidth="1"/>
    <col min="8715" max="8715" width="10.5703125" style="132" bestFit="1" customWidth="1"/>
    <col min="8716" max="8716" width="12.28515625" style="132" customWidth="1"/>
    <col min="8717" max="8717" width="12.5703125" style="132" customWidth="1"/>
    <col min="8718" max="8718" width="10.5703125" style="132" customWidth="1"/>
    <col min="8719" max="8719" width="10.140625" style="132" customWidth="1"/>
    <col min="8720" max="8720" width="8.42578125" style="132" customWidth="1"/>
    <col min="8721" max="8721" width="18.85546875" style="132" customWidth="1"/>
    <col min="8722" max="8722" width="10.28515625" style="132" customWidth="1"/>
    <col min="8723" max="8723" width="11.42578125" style="132"/>
    <col min="8724" max="8724" width="12.140625" style="132" customWidth="1"/>
    <col min="8725" max="8725" width="10.5703125" style="132" customWidth="1"/>
    <col min="8726" max="8726" width="12.42578125" style="132" customWidth="1"/>
    <col min="8727" max="8727" width="15.140625" style="132" customWidth="1"/>
    <col min="8728" max="8728" width="13.5703125" style="132" customWidth="1"/>
    <col min="8729" max="8729" width="13.140625" style="132" customWidth="1"/>
    <col min="8730" max="8730" width="15.7109375" style="132" customWidth="1"/>
    <col min="8731" max="8731" width="37.5703125" style="132" customWidth="1"/>
    <col min="8732" max="8953" width="11.42578125" style="132"/>
    <col min="8954" max="8954" width="10.5703125" style="132" customWidth="1"/>
    <col min="8955" max="8955" width="4.85546875" style="132" customWidth="1"/>
    <col min="8956" max="8956" width="32.42578125" style="132" customWidth="1"/>
    <col min="8957" max="8957" width="9.85546875" style="132" customWidth="1"/>
    <col min="8958" max="8958" width="10.140625" style="132" customWidth="1"/>
    <col min="8959" max="8959" width="12.28515625" style="132" customWidth="1"/>
    <col min="8960" max="8960" width="15.42578125" style="132" customWidth="1"/>
    <col min="8961" max="8961" width="11.85546875" style="132" customWidth="1"/>
    <col min="8962" max="8962" width="13.28515625" style="132" customWidth="1"/>
    <col min="8963" max="8963" width="15.28515625" style="132" customWidth="1"/>
    <col min="8964" max="8964" width="11.85546875" style="132" customWidth="1"/>
    <col min="8965" max="8965" width="6.140625" style="132" customWidth="1"/>
    <col min="8966" max="8966" width="11.85546875" style="132" customWidth="1"/>
    <col min="8967" max="8967" width="9.42578125" style="132" customWidth="1"/>
    <col min="8968" max="8968" width="14.7109375" style="132" customWidth="1"/>
    <col min="8969" max="8969" width="11.5703125" style="132" customWidth="1"/>
    <col min="8970" max="8970" width="0.42578125" style="132" customWidth="1"/>
    <col min="8971" max="8971" width="10.5703125" style="132" bestFit="1" customWidth="1"/>
    <col min="8972" max="8972" width="12.28515625" style="132" customWidth="1"/>
    <col min="8973" max="8973" width="12.5703125" style="132" customWidth="1"/>
    <col min="8974" max="8974" width="10.5703125" style="132" customWidth="1"/>
    <col min="8975" max="8975" width="10.140625" style="132" customWidth="1"/>
    <col min="8976" max="8976" width="8.42578125" style="132" customWidth="1"/>
    <col min="8977" max="8977" width="18.85546875" style="132" customWidth="1"/>
    <col min="8978" max="8978" width="10.28515625" style="132" customWidth="1"/>
    <col min="8979" max="8979" width="11.42578125" style="132"/>
    <col min="8980" max="8980" width="12.140625" style="132" customWidth="1"/>
    <col min="8981" max="8981" width="10.5703125" style="132" customWidth="1"/>
    <col min="8982" max="8982" width="12.42578125" style="132" customWidth="1"/>
    <col min="8983" max="8983" width="15.140625" style="132" customWidth="1"/>
    <col min="8984" max="8984" width="13.5703125" style="132" customWidth="1"/>
    <col min="8985" max="8985" width="13.140625" style="132" customWidth="1"/>
    <col min="8986" max="8986" width="15.7109375" style="132" customWidth="1"/>
    <col min="8987" max="8987" width="37.5703125" style="132" customWidth="1"/>
    <col min="8988" max="9209" width="11.42578125" style="132"/>
    <col min="9210" max="9210" width="10.5703125" style="132" customWidth="1"/>
    <col min="9211" max="9211" width="4.85546875" style="132" customWidth="1"/>
    <col min="9212" max="9212" width="32.42578125" style="132" customWidth="1"/>
    <col min="9213" max="9213" width="9.85546875" style="132" customWidth="1"/>
    <col min="9214" max="9214" width="10.140625" style="132" customWidth="1"/>
    <col min="9215" max="9215" width="12.28515625" style="132" customWidth="1"/>
    <col min="9216" max="9216" width="15.42578125" style="132" customWidth="1"/>
    <col min="9217" max="9217" width="11.85546875" style="132" customWidth="1"/>
    <col min="9218" max="9218" width="13.28515625" style="132" customWidth="1"/>
    <col min="9219" max="9219" width="15.28515625" style="132" customWidth="1"/>
    <col min="9220" max="9220" width="11.85546875" style="132" customWidth="1"/>
    <col min="9221" max="9221" width="6.140625" style="132" customWidth="1"/>
    <col min="9222" max="9222" width="11.85546875" style="132" customWidth="1"/>
    <col min="9223" max="9223" width="9.42578125" style="132" customWidth="1"/>
    <col min="9224" max="9224" width="14.7109375" style="132" customWidth="1"/>
    <col min="9225" max="9225" width="11.5703125" style="132" customWidth="1"/>
    <col min="9226" max="9226" width="0.42578125" style="132" customWidth="1"/>
    <col min="9227" max="9227" width="10.5703125" style="132" bestFit="1" customWidth="1"/>
    <col min="9228" max="9228" width="12.28515625" style="132" customWidth="1"/>
    <col min="9229" max="9229" width="12.5703125" style="132" customWidth="1"/>
    <col min="9230" max="9230" width="10.5703125" style="132" customWidth="1"/>
    <col min="9231" max="9231" width="10.140625" style="132" customWidth="1"/>
    <col min="9232" max="9232" width="8.42578125" style="132" customWidth="1"/>
    <col min="9233" max="9233" width="18.85546875" style="132" customWidth="1"/>
    <col min="9234" max="9234" width="10.28515625" style="132" customWidth="1"/>
    <col min="9235" max="9235" width="11.42578125" style="132"/>
    <col min="9236" max="9236" width="12.140625" style="132" customWidth="1"/>
    <col min="9237" max="9237" width="10.5703125" style="132" customWidth="1"/>
    <col min="9238" max="9238" width="12.42578125" style="132" customWidth="1"/>
    <col min="9239" max="9239" width="15.140625" style="132" customWidth="1"/>
    <col min="9240" max="9240" width="13.5703125" style="132" customWidth="1"/>
    <col min="9241" max="9241" width="13.140625" style="132" customWidth="1"/>
    <col min="9242" max="9242" width="15.7109375" style="132" customWidth="1"/>
    <col min="9243" max="9243" width="37.5703125" style="132" customWidth="1"/>
    <col min="9244" max="9465" width="11.42578125" style="132"/>
    <col min="9466" max="9466" width="10.5703125" style="132" customWidth="1"/>
    <col min="9467" max="9467" width="4.85546875" style="132" customWidth="1"/>
    <col min="9468" max="9468" width="32.42578125" style="132" customWidth="1"/>
    <col min="9469" max="9469" width="9.85546875" style="132" customWidth="1"/>
    <col min="9470" max="9470" width="10.140625" style="132" customWidth="1"/>
    <col min="9471" max="9471" width="12.28515625" style="132" customWidth="1"/>
    <col min="9472" max="9472" width="15.42578125" style="132" customWidth="1"/>
    <col min="9473" max="9473" width="11.85546875" style="132" customWidth="1"/>
    <col min="9474" max="9474" width="13.28515625" style="132" customWidth="1"/>
    <col min="9475" max="9475" width="15.28515625" style="132" customWidth="1"/>
    <col min="9476" max="9476" width="11.85546875" style="132" customWidth="1"/>
    <col min="9477" max="9477" width="6.140625" style="132" customWidth="1"/>
    <col min="9478" max="9478" width="11.85546875" style="132" customWidth="1"/>
    <col min="9479" max="9479" width="9.42578125" style="132" customWidth="1"/>
    <col min="9480" max="9480" width="14.7109375" style="132" customWidth="1"/>
    <col min="9481" max="9481" width="11.5703125" style="132" customWidth="1"/>
    <col min="9482" max="9482" width="0.42578125" style="132" customWidth="1"/>
    <col min="9483" max="9483" width="10.5703125" style="132" bestFit="1" customWidth="1"/>
    <col min="9484" max="9484" width="12.28515625" style="132" customWidth="1"/>
    <col min="9485" max="9485" width="12.5703125" style="132" customWidth="1"/>
    <col min="9486" max="9486" width="10.5703125" style="132" customWidth="1"/>
    <col min="9487" max="9487" width="10.140625" style="132" customWidth="1"/>
    <col min="9488" max="9488" width="8.42578125" style="132" customWidth="1"/>
    <col min="9489" max="9489" width="18.85546875" style="132" customWidth="1"/>
    <col min="9490" max="9490" width="10.28515625" style="132" customWidth="1"/>
    <col min="9491" max="9491" width="11.42578125" style="132"/>
    <col min="9492" max="9492" width="12.140625" style="132" customWidth="1"/>
    <col min="9493" max="9493" width="10.5703125" style="132" customWidth="1"/>
    <col min="9494" max="9494" width="12.42578125" style="132" customWidth="1"/>
    <col min="9495" max="9495" width="15.140625" style="132" customWidth="1"/>
    <col min="9496" max="9496" width="13.5703125" style="132" customWidth="1"/>
    <col min="9497" max="9497" width="13.140625" style="132" customWidth="1"/>
    <col min="9498" max="9498" width="15.7109375" style="132" customWidth="1"/>
    <col min="9499" max="9499" width="37.5703125" style="132" customWidth="1"/>
    <col min="9500" max="9721" width="11.42578125" style="132"/>
    <col min="9722" max="9722" width="10.5703125" style="132" customWidth="1"/>
    <col min="9723" max="9723" width="4.85546875" style="132" customWidth="1"/>
    <col min="9724" max="9724" width="32.42578125" style="132" customWidth="1"/>
    <col min="9725" max="9725" width="9.85546875" style="132" customWidth="1"/>
    <col min="9726" max="9726" width="10.140625" style="132" customWidth="1"/>
    <col min="9727" max="9727" width="12.28515625" style="132" customWidth="1"/>
    <col min="9728" max="9728" width="15.42578125" style="132" customWidth="1"/>
    <col min="9729" max="9729" width="11.85546875" style="132" customWidth="1"/>
    <col min="9730" max="9730" width="13.28515625" style="132" customWidth="1"/>
    <col min="9731" max="9731" width="15.28515625" style="132" customWidth="1"/>
    <col min="9732" max="9732" width="11.85546875" style="132" customWidth="1"/>
    <col min="9733" max="9733" width="6.140625" style="132" customWidth="1"/>
    <col min="9734" max="9734" width="11.85546875" style="132" customWidth="1"/>
    <col min="9735" max="9735" width="9.42578125" style="132" customWidth="1"/>
    <col min="9736" max="9736" width="14.7109375" style="132" customWidth="1"/>
    <col min="9737" max="9737" width="11.5703125" style="132" customWidth="1"/>
    <col min="9738" max="9738" width="0.42578125" style="132" customWidth="1"/>
    <col min="9739" max="9739" width="10.5703125" style="132" bestFit="1" customWidth="1"/>
    <col min="9740" max="9740" width="12.28515625" style="132" customWidth="1"/>
    <col min="9741" max="9741" width="12.5703125" style="132" customWidth="1"/>
    <col min="9742" max="9742" width="10.5703125" style="132" customWidth="1"/>
    <col min="9743" max="9743" width="10.140625" style="132" customWidth="1"/>
    <col min="9744" max="9744" width="8.42578125" style="132" customWidth="1"/>
    <col min="9745" max="9745" width="18.85546875" style="132" customWidth="1"/>
    <col min="9746" max="9746" width="10.28515625" style="132" customWidth="1"/>
    <col min="9747" max="9747" width="11.42578125" style="132"/>
    <col min="9748" max="9748" width="12.140625" style="132" customWidth="1"/>
    <col min="9749" max="9749" width="10.5703125" style="132" customWidth="1"/>
    <col min="9750" max="9750" width="12.42578125" style="132" customWidth="1"/>
    <col min="9751" max="9751" width="15.140625" style="132" customWidth="1"/>
    <col min="9752" max="9752" width="13.5703125" style="132" customWidth="1"/>
    <col min="9753" max="9753" width="13.140625" style="132" customWidth="1"/>
    <col min="9754" max="9754" width="15.7109375" style="132" customWidth="1"/>
    <col min="9755" max="9755" width="37.5703125" style="132" customWidth="1"/>
    <col min="9756" max="9977" width="11.42578125" style="132"/>
    <col min="9978" max="9978" width="10.5703125" style="132" customWidth="1"/>
    <col min="9979" max="9979" width="4.85546875" style="132" customWidth="1"/>
    <col min="9980" max="9980" width="32.42578125" style="132" customWidth="1"/>
    <col min="9981" max="9981" width="9.85546875" style="132" customWidth="1"/>
    <col min="9982" max="9982" width="10.140625" style="132" customWidth="1"/>
    <col min="9983" max="9983" width="12.28515625" style="132" customWidth="1"/>
    <col min="9984" max="9984" width="15.42578125" style="132" customWidth="1"/>
    <col min="9985" max="9985" width="11.85546875" style="132" customWidth="1"/>
    <col min="9986" max="9986" width="13.28515625" style="132" customWidth="1"/>
    <col min="9987" max="9987" width="15.28515625" style="132" customWidth="1"/>
    <col min="9988" max="9988" width="11.85546875" style="132" customWidth="1"/>
    <col min="9989" max="9989" width="6.140625" style="132" customWidth="1"/>
    <col min="9990" max="9990" width="11.85546875" style="132" customWidth="1"/>
    <col min="9991" max="9991" width="9.42578125" style="132" customWidth="1"/>
    <col min="9992" max="9992" width="14.7109375" style="132" customWidth="1"/>
    <col min="9993" max="9993" width="11.5703125" style="132" customWidth="1"/>
    <col min="9994" max="9994" width="0.42578125" style="132" customWidth="1"/>
    <col min="9995" max="9995" width="10.5703125" style="132" bestFit="1" customWidth="1"/>
    <col min="9996" max="9996" width="12.28515625" style="132" customWidth="1"/>
    <col min="9997" max="9997" width="12.5703125" style="132" customWidth="1"/>
    <col min="9998" max="9998" width="10.5703125" style="132" customWidth="1"/>
    <col min="9999" max="9999" width="10.140625" style="132" customWidth="1"/>
    <col min="10000" max="10000" width="8.42578125" style="132" customWidth="1"/>
    <col min="10001" max="10001" width="18.85546875" style="132" customWidth="1"/>
    <col min="10002" max="10002" width="10.28515625" style="132" customWidth="1"/>
    <col min="10003" max="10003" width="11.42578125" style="132"/>
    <col min="10004" max="10004" width="12.140625" style="132" customWidth="1"/>
    <col min="10005" max="10005" width="10.5703125" style="132" customWidth="1"/>
    <col min="10006" max="10006" width="12.42578125" style="132" customWidth="1"/>
    <col min="10007" max="10007" width="15.140625" style="132" customWidth="1"/>
    <col min="10008" max="10008" width="13.5703125" style="132" customWidth="1"/>
    <col min="10009" max="10009" width="13.140625" style="132" customWidth="1"/>
    <col min="10010" max="10010" width="15.7109375" style="132" customWidth="1"/>
    <col min="10011" max="10011" width="37.5703125" style="132" customWidth="1"/>
    <col min="10012" max="10233" width="11.42578125" style="132"/>
    <col min="10234" max="10234" width="10.5703125" style="132" customWidth="1"/>
    <col min="10235" max="10235" width="4.85546875" style="132" customWidth="1"/>
    <col min="10236" max="10236" width="32.42578125" style="132" customWidth="1"/>
    <col min="10237" max="10237" width="9.85546875" style="132" customWidth="1"/>
    <col min="10238" max="10238" width="10.140625" style="132" customWidth="1"/>
    <col min="10239" max="10239" width="12.28515625" style="132" customWidth="1"/>
    <col min="10240" max="10240" width="15.42578125" style="132" customWidth="1"/>
    <col min="10241" max="10241" width="11.85546875" style="132" customWidth="1"/>
    <col min="10242" max="10242" width="13.28515625" style="132" customWidth="1"/>
    <col min="10243" max="10243" width="15.28515625" style="132" customWidth="1"/>
    <col min="10244" max="10244" width="11.85546875" style="132" customWidth="1"/>
    <col min="10245" max="10245" width="6.140625" style="132" customWidth="1"/>
    <col min="10246" max="10246" width="11.85546875" style="132" customWidth="1"/>
    <col min="10247" max="10247" width="9.42578125" style="132" customWidth="1"/>
    <col min="10248" max="10248" width="14.7109375" style="132" customWidth="1"/>
    <col min="10249" max="10249" width="11.5703125" style="132" customWidth="1"/>
    <col min="10250" max="10250" width="0.42578125" style="132" customWidth="1"/>
    <col min="10251" max="10251" width="10.5703125" style="132" bestFit="1" customWidth="1"/>
    <col min="10252" max="10252" width="12.28515625" style="132" customWidth="1"/>
    <col min="10253" max="10253" width="12.5703125" style="132" customWidth="1"/>
    <col min="10254" max="10254" width="10.5703125" style="132" customWidth="1"/>
    <col min="10255" max="10255" width="10.140625" style="132" customWidth="1"/>
    <col min="10256" max="10256" width="8.42578125" style="132" customWidth="1"/>
    <col min="10257" max="10257" width="18.85546875" style="132" customWidth="1"/>
    <col min="10258" max="10258" width="10.28515625" style="132" customWidth="1"/>
    <col min="10259" max="10259" width="11.42578125" style="132"/>
    <col min="10260" max="10260" width="12.140625" style="132" customWidth="1"/>
    <col min="10261" max="10261" width="10.5703125" style="132" customWidth="1"/>
    <col min="10262" max="10262" width="12.42578125" style="132" customWidth="1"/>
    <col min="10263" max="10263" width="15.140625" style="132" customWidth="1"/>
    <col min="10264" max="10264" width="13.5703125" style="132" customWidth="1"/>
    <col min="10265" max="10265" width="13.140625" style="132" customWidth="1"/>
    <col min="10266" max="10266" width="15.7109375" style="132" customWidth="1"/>
    <col min="10267" max="10267" width="37.5703125" style="132" customWidth="1"/>
    <col min="10268" max="10489" width="11.42578125" style="132"/>
    <col min="10490" max="10490" width="10.5703125" style="132" customWidth="1"/>
    <col min="10491" max="10491" width="4.85546875" style="132" customWidth="1"/>
    <col min="10492" max="10492" width="32.42578125" style="132" customWidth="1"/>
    <col min="10493" max="10493" width="9.85546875" style="132" customWidth="1"/>
    <col min="10494" max="10494" width="10.140625" style="132" customWidth="1"/>
    <col min="10495" max="10495" width="12.28515625" style="132" customWidth="1"/>
    <col min="10496" max="10496" width="15.42578125" style="132" customWidth="1"/>
    <col min="10497" max="10497" width="11.85546875" style="132" customWidth="1"/>
    <col min="10498" max="10498" width="13.28515625" style="132" customWidth="1"/>
    <col min="10499" max="10499" width="15.28515625" style="132" customWidth="1"/>
    <col min="10500" max="10500" width="11.85546875" style="132" customWidth="1"/>
    <col min="10501" max="10501" width="6.140625" style="132" customWidth="1"/>
    <col min="10502" max="10502" width="11.85546875" style="132" customWidth="1"/>
    <col min="10503" max="10503" width="9.42578125" style="132" customWidth="1"/>
    <col min="10504" max="10504" width="14.7109375" style="132" customWidth="1"/>
    <col min="10505" max="10505" width="11.5703125" style="132" customWidth="1"/>
    <col min="10506" max="10506" width="0.42578125" style="132" customWidth="1"/>
    <col min="10507" max="10507" width="10.5703125" style="132" bestFit="1" customWidth="1"/>
    <col min="10508" max="10508" width="12.28515625" style="132" customWidth="1"/>
    <col min="10509" max="10509" width="12.5703125" style="132" customWidth="1"/>
    <col min="10510" max="10510" width="10.5703125" style="132" customWidth="1"/>
    <col min="10511" max="10511" width="10.140625" style="132" customWidth="1"/>
    <col min="10512" max="10512" width="8.42578125" style="132" customWidth="1"/>
    <col min="10513" max="10513" width="18.85546875" style="132" customWidth="1"/>
    <col min="10514" max="10514" width="10.28515625" style="132" customWidth="1"/>
    <col min="10515" max="10515" width="11.42578125" style="132"/>
    <col min="10516" max="10516" width="12.140625" style="132" customWidth="1"/>
    <col min="10517" max="10517" width="10.5703125" style="132" customWidth="1"/>
    <col min="10518" max="10518" width="12.42578125" style="132" customWidth="1"/>
    <col min="10519" max="10519" width="15.140625" style="132" customWidth="1"/>
    <col min="10520" max="10520" width="13.5703125" style="132" customWidth="1"/>
    <col min="10521" max="10521" width="13.140625" style="132" customWidth="1"/>
    <col min="10522" max="10522" width="15.7109375" style="132" customWidth="1"/>
    <col min="10523" max="10523" width="37.5703125" style="132" customWidth="1"/>
    <col min="10524" max="10745" width="11.42578125" style="132"/>
    <col min="10746" max="10746" width="10.5703125" style="132" customWidth="1"/>
    <col min="10747" max="10747" width="4.85546875" style="132" customWidth="1"/>
    <col min="10748" max="10748" width="32.42578125" style="132" customWidth="1"/>
    <col min="10749" max="10749" width="9.85546875" style="132" customWidth="1"/>
    <col min="10750" max="10750" width="10.140625" style="132" customWidth="1"/>
    <col min="10751" max="10751" width="12.28515625" style="132" customWidth="1"/>
    <col min="10752" max="10752" width="15.42578125" style="132" customWidth="1"/>
    <col min="10753" max="10753" width="11.85546875" style="132" customWidth="1"/>
    <col min="10754" max="10754" width="13.28515625" style="132" customWidth="1"/>
    <col min="10755" max="10755" width="15.28515625" style="132" customWidth="1"/>
    <col min="10756" max="10756" width="11.85546875" style="132" customWidth="1"/>
    <col min="10757" max="10757" width="6.140625" style="132" customWidth="1"/>
    <col min="10758" max="10758" width="11.85546875" style="132" customWidth="1"/>
    <col min="10759" max="10759" width="9.42578125" style="132" customWidth="1"/>
    <col min="10760" max="10760" width="14.7109375" style="132" customWidth="1"/>
    <col min="10761" max="10761" width="11.5703125" style="132" customWidth="1"/>
    <col min="10762" max="10762" width="0.42578125" style="132" customWidth="1"/>
    <col min="10763" max="10763" width="10.5703125" style="132" bestFit="1" customWidth="1"/>
    <col min="10764" max="10764" width="12.28515625" style="132" customWidth="1"/>
    <col min="10765" max="10765" width="12.5703125" style="132" customWidth="1"/>
    <col min="10766" max="10766" width="10.5703125" style="132" customWidth="1"/>
    <col min="10767" max="10767" width="10.140625" style="132" customWidth="1"/>
    <col min="10768" max="10768" width="8.42578125" style="132" customWidth="1"/>
    <col min="10769" max="10769" width="18.85546875" style="132" customWidth="1"/>
    <col min="10770" max="10770" width="10.28515625" style="132" customWidth="1"/>
    <col min="10771" max="10771" width="11.42578125" style="132"/>
    <col min="10772" max="10772" width="12.140625" style="132" customWidth="1"/>
    <col min="10773" max="10773" width="10.5703125" style="132" customWidth="1"/>
    <col min="10774" max="10774" width="12.42578125" style="132" customWidth="1"/>
    <col min="10775" max="10775" width="15.140625" style="132" customWidth="1"/>
    <col min="10776" max="10776" width="13.5703125" style="132" customWidth="1"/>
    <col min="10777" max="10777" width="13.140625" style="132" customWidth="1"/>
    <col min="10778" max="10778" width="15.7109375" style="132" customWidth="1"/>
    <col min="10779" max="10779" width="37.5703125" style="132" customWidth="1"/>
    <col min="10780" max="11001" width="11.42578125" style="132"/>
    <col min="11002" max="11002" width="10.5703125" style="132" customWidth="1"/>
    <col min="11003" max="11003" width="4.85546875" style="132" customWidth="1"/>
    <col min="11004" max="11004" width="32.42578125" style="132" customWidth="1"/>
    <col min="11005" max="11005" width="9.85546875" style="132" customWidth="1"/>
    <col min="11006" max="11006" width="10.140625" style="132" customWidth="1"/>
    <col min="11007" max="11007" width="12.28515625" style="132" customWidth="1"/>
    <col min="11008" max="11008" width="15.42578125" style="132" customWidth="1"/>
    <col min="11009" max="11009" width="11.85546875" style="132" customWidth="1"/>
    <col min="11010" max="11010" width="13.28515625" style="132" customWidth="1"/>
    <col min="11011" max="11011" width="15.28515625" style="132" customWidth="1"/>
    <col min="11012" max="11012" width="11.85546875" style="132" customWidth="1"/>
    <col min="11013" max="11013" width="6.140625" style="132" customWidth="1"/>
    <col min="11014" max="11014" width="11.85546875" style="132" customWidth="1"/>
    <col min="11015" max="11015" width="9.42578125" style="132" customWidth="1"/>
    <col min="11016" max="11016" width="14.7109375" style="132" customWidth="1"/>
    <col min="11017" max="11017" width="11.5703125" style="132" customWidth="1"/>
    <col min="11018" max="11018" width="0.42578125" style="132" customWidth="1"/>
    <col min="11019" max="11019" width="10.5703125" style="132" bestFit="1" customWidth="1"/>
    <col min="11020" max="11020" width="12.28515625" style="132" customWidth="1"/>
    <col min="11021" max="11021" width="12.5703125" style="132" customWidth="1"/>
    <col min="11022" max="11022" width="10.5703125" style="132" customWidth="1"/>
    <col min="11023" max="11023" width="10.140625" style="132" customWidth="1"/>
    <col min="11024" max="11024" width="8.42578125" style="132" customWidth="1"/>
    <col min="11025" max="11025" width="18.85546875" style="132" customWidth="1"/>
    <col min="11026" max="11026" width="10.28515625" style="132" customWidth="1"/>
    <col min="11027" max="11027" width="11.42578125" style="132"/>
    <col min="11028" max="11028" width="12.140625" style="132" customWidth="1"/>
    <col min="11029" max="11029" width="10.5703125" style="132" customWidth="1"/>
    <col min="11030" max="11030" width="12.42578125" style="132" customWidth="1"/>
    <col min="11031" max="11031" width="15.140625" style="132" customWidth="1"/>
    <col min="11032" max="11032" width="13.5703125" style="132" customWidth="1"/>
    <col min="11033" max="11033" width="13.140625" style="132" customWidth="1"/>
    <col min="11034" max="11034" width="15.7109375" style="132" customWidth="1"/>
    <col min="11035" max="11035" width="37.5703125" style="132" customWidth="1"/>
    <col min="11036" max="11257" width="11.42578125" style="132"/>
    <col min="11258" max="11258" width="10.5703125" style="132" customWidth="1"/>
    <col min="11259" max="11259" width="4.85546875" style="132" customWidth="1"/>
    <col min="11260" max="11260" width="32.42578125" style="132" customWidth="1"/>
    <col min="11261" max="11261" width="9.85546875" style="132" customWidth="1"/>
    <col min="11262" max="11262" width="10.140625" style="132" customWidth="1"/>
    <col min="11263" max="11263" width="12.28515625" style="132" customWidth="1"/>
    <col min="11264" max="11264" width="15.42578125" style="132" customWidth="1"/>
    <col min="11265" max="11265" width="11.85546875" style="132" customWidth="1"/>
    <col min="11266" max="11266" width="13.28515625" style="132" customWidth="1"/>
    <col min="11267" max="11267" width="15.28515625" style="132" customWidth="1"/>
    <col min="11268" max="11268" width="11.85546875" style="132" customWidth="1"/>
    <col min="11269" max="11269" width="6.140625" style="132" customWidth="1"/>
    <col min="11270" max="11270" width="11.85546875" style="132" customWidth="1"/>
    <col min="11271" max="11271" width="9.42578125" style="132" customWidth="1"/>
    <col min="11272" max="11272" width="14.7109375" style="132" customWidth="1"/>
    <col min="11273" max="11273" width="11.5703125" style="132" customWidth="1"/>
    <col min="11274" max="11274" width="0.42578125" style="132" customWidth="1"/>
    <col min="11275" max="11275" width="10.5703125" style="132" bestFit="1" customWidth="1"/>
    <col min="11276" max="11276" width="12.28515625" style="132" customWidth="1"/>
    <col min="11277" max="11277" width="12.5703125" style="132" customWidth="1"/>
    <col min="11278" max="11278" width="10.5703125" style="132" customWidth="1"/>
    <col min="11279" max="11279" width="10.140625" style="132" customWidth="1"/>
    <col min="11280" max="11280" width="8.42578125" style="132" customWidth="1"/>
    <col min="11281" max="11281" width="18.85546875" style="132" customWidth="1"/>
    <col min="11282" max="11282" width="10.28515625" style="132" customWidth="1"/>
    <col min="11283" max="11283" width="11.42578125" style="132"/>
    <col min="11284" max="11284" width="12.140625" style="132" customWidth="1"/>
    <col min="11285" max="11285" width="10.5703125" style="132" customWidth="1"/>
    <col min="11286" max="11286" width="12.42578125" style="132" customWidth="1"/>
    <col min="11287" max="11287" width="15.140625" style="132" customWidth="1"/>
    <col min="11288" max="11288" width="13.5703125" style="132" customWidth="1"/>
    <col min="11289" max="11289" width="13.140625" style="132" customWidth="1"/>
    <col min="11290" max="11290" width="15.7109375" style="132" customWidth="1"/>
    <col min="11291" max="11291" width="37.5703125" style="132" customWidth="1"/>
    <col min="11292" max="11513" width="11.42578125" style="132"/>
    <col min="11514" max="11514" width="10.5703125" style="132" customWidth="1"/>
    <col min="11515" max="11515" width="4.85546875" style="132" customWidth="1"/>
    <col min="11516" max="11516" width="32.42578125" style="132" customWidth="1"/>
    <col min="11517" max="11517" width="9.85546875" style="132" customWidth="1"/>
    <col min="11518" max="11518" width="10.140625" style="132" customWidth="1"/>
    <col min="11519" max="11519" width="12.28515625" style="132" customWidth="1"/>
    <col min="11520" max="11520" width="15.42578125" style="132" customWidth="1"/>
    <col min="11521" max="11521" width="11.85546875" style="132" customWidth="1"/>
    <col min="11522" max="11522" width="13.28515625" style="132" customWidth="1"/>
    <col min="11523" max="11523" width="15.28515625" style="132" customWidth="1"/>
    <col min="11524" max="11524" width="11.85546875" style="132" customWidth="1"/>
    <col min="11525" max="11525" width="6.140625" style="132" customWidth="1"/>
    <col min="11526" max="11526" width="11.85546875" style="132" customWidth="1"/>
    <col min="11527" max="11527" width="9.42578125" style="132" customWidth="1"/>
    <col min="11528" max="11528" width="14.7109375" style="132" customWidth="1"/>
    <col min="11529" max="11529" width="11.5703125" style="132" customWidth="1"/>
    <col min="11530" max="11530" width="0.42578125" style="132" customWidth="1"/>
    <col min="11531" max="11531" width="10.5703125" style="132" bestFit="1" customWidth="1"/>
    <col min="11532" max="11532" width="12.28515625" style="132" customWidth="1"/>
    <col min="11533" max="11533" width="12.5703125" style="132" customWidth="1"/>
    <col min="11534" max="11534" width="10.5703125" style="132" customWidth="1"/>
    <col min="11535" max="11535" width="10.140625" style="132" customWidth="1"/>
    <col min="11536" max="11536" width="8.42578125" style="132" customWidth="1"/>
    <col min="11537" max="11537" width="18.85546875" style="132" customWidth="1"/>
    <col min="11538" max="11538" width="10.28515625" style="132" customWidth="1"/>
    <col min="11539" max="11539" width="11.42578125" style="132"/>
    <col min="11540" max="11540" width="12.140625" style="132" customWidth="1"/>
    <col min="11541" max="11541" width="10.5703125" style="132" customWidth="1"/>
    <col min="11542" max="11542" width="12.42578125" style="132" customWidth="1"/>
    <col min="11543" max="11543" width="15.140625" style="132" customWidth="1"/>
    <col min="11544" max="11544" width="13.5703125" style="132" customWidth="1"/>
    <col min="11545" max="11545" width="13.140625" style="132" customWidth="1"/>
    <col min="11546" max="11546" width="15.7109375" style="132" customWidth="1"/>
    <col min="11547" max="11547" width="37.5703125" style="132" customWidth="1"/>
    <col min="11548" max="11769" width="11.42578125" style="132"/>
    <col min="11770" max="11770" width="10.5703125" style="132" customWidth="1"/>
    <col min="11771" max="11771" width="4.85546875" style="132" customWidth="1"/>
    <col min="11772" max="11772" width="32.42578125" style="132" customWidth="1"/>
    <col min="11773" max="11773" width="9.85546875" style="132" customWidth="1"/>
    <col min="11774" max="11774" width="10.140625" style="132" customWidth="1"/>
    <col min="11775" max="11775" width="12.28515625" style="132" customWidth="1"/>
    <col min="11776" max="11776" width="15.42578125" style="132" customWidth="1"/>
    <col min="11777" max="11777" width="11.85546875" style="132" customWidth="1"/>
    <col min="11778" max="11778" width="13.28515625" style="132" customWidth="1"/>
    <col min="11779" max="11779" width="15.28515625" style="132" customWidth="1"/>
    <col min="11780" max="11780" width="11.85546875" style="132" customWidth="1"/>
    <col min="11781" max="11781" width="6.140625" style="132" customWidth="1"/>
    <col min="11782" max="11782" width="11.85546875" style="132" customWidth="1"/>
    <col min="11783" max="11783" width="9.42578125" style="132" customWidth="1"/>
    <col min="11784" max="11784" width="14.7109375" style="132" customWidth="1"/>
    <col min="11785" max="11785" width="11.5703125" style="132" customWidth="1"/>
    <col min="11786" max="11786" width="0.42578125" style="132" customWidth="1"/>
    <col min="11787" max="11787" width="10.5703125" style="132" bestFit="1" customWidth="1"/>
    <col min="11788" max="11788" width="12.28515625" style="132" customWidth="1"/>
    <col min="11789" max="11789" width="12.5703125" style="132" customWidth="1"/>
    <col min="11790" max="11790" width="10.5703125" style="132" customWidth="1"/>
    <col min="11791" max="11791" width="10.140625" style="132" customWidth="1"/>
    <col min="11792" max="11792" width="8.42578125" style="132" customWidth="1"/>
    <col min="11793" max="11793" width="18.85546875" style="132" customWidth="1"/>
    <col min="11794" max="11794" width="10.28515625" style="132" customWidth="1"/>
    <col min="11795" max="11795" width="11.42578125" style="132"/>
    <col min="11796" max="11796" width="12.140625" style="132" customWidth="1"/>
    <col min="11797" max="11797" width="10.5703125" style="132" customWidth="1"/>
    <col min="11798" max="11798" width="12.42578125" style="132" customWidth="1"/>
    <col min="11799" max="11799" width="15.140625" style="132" customWidth="1"/>
    <col min="11800" max="11800" width="13.5703125" style="132" customWidth="1"/>
    <col min="11801" max="11801" width="13.140625" style="132" customWidth="1"/>
    <col min="11802" max="11802" width="15.7109375" style="132" customWidth="1"/>
    <col min="11803" max="11803" width="37.5703125" style="132" customWidth="1"/>
    <col min="11804" max="12025" width="11.42578125" style="132"/>
    <col min="12026" max="12026" width="10.5703125" style="132" customWidth="1"/>
    <col min="12027" max="12027" width="4.85546875" style="132" customWidth="1"/>
    <col min="12028" max="12028" width="32.42578125" style="132" customWidth="1"/>
    <col min="12029" max="12029" width="9.85546875" style="132" customWidth="1"/>
    <col min="12030" max="12030" width="10.140625" style="132" customWidth="1"/>
    <col min="12031" max="12031" width="12.28515625" style="132" customWidth="1"/>
    <col min="12032" max="12032" width="15.42578125" style="132" customWidth="1"/>
    <col min="12033" max="12033" width="11.85546875" style="132" customWidth="1"/>
    <col min="12034" max="12034" width="13.28515625" style="132" customWidth="1"/>
    <col min="12035" max="12035" width="15.28515625" style="132" customWidth="1"/>
    <col min="12036" max="12036" width="11.85546875" style="132" customWidth="1"/>
    <col min="12037" max="12037" width="6.140625" style="132" customWidth="1"/>
    <col min="12038" max="12038" width="11.85546875" style="132" customWidth="1"/>
    <col min="12039" max="12039" width="9.42578125" style="132" customWidth="1"/>
    <col min="12040" max="12040" width="14.7109375" style="132" customWidth="1"/>
    <col min="12041" max="12041" width="11.5703125" style="132" customWidth="1"/>
    <col min="12042" max="12042" width="0.42578125" style="132" customWidth="1"/>
    <col min="12043" max="12043" width="10.5703125" style="132" bestFit="1" customWidth="1"/>
    <col min="12044" max="12044" width="12.28515625" style="132" customWidth="1"/>
    <col min="12045" max="12045" width="12.5703125" style="132" customWidth="1"/>
    <col min="12046" max="12046" width="10.5703125" style="132" customWidth="1"/>
    <col min="12047" max="12047" width="10.140625" style="132" customWidth="1"/>
    <col min="12048" max="12048" width="8.42578125" style="132" customWidth="1"/>
    <col min="12049" max="12049" width="18.85546875" style="132" customWidth="1"/>
    <col min="12050" max="12050" width="10.28515625" style="132" customWidth="1"/>
    <col min="12051" max="12051" width="11.42578125" style="132"/>
    <col min="12052" max="12052" width="12.140625" style="132" customWidth="1"/>
    <col min="12053" max="12053" width="10.5703125" style="132" customWidth="1"/>
    <col min="12054" max="12054" width="12.42578125" style="132" customWidth="1"/>
    <col min="12055" max="12055" width="15.140625" style="132" customWidth="1"/>
    <col min="12056" max="12056" width="13.5703125" style="132" customWidth="1"/>
    <col min="12057" max="12057" width="13.140625" style="132" customWidth="1"/>
    <col min="12058" max="12058" width="15.7109375" style="132" customWidth="1"/>
    <col min="12059" max="12059" width="37.5703125" style="132" customWidth="1"/>
    <col min="12060" max="12281" width="11.42578125" style="132"/>
    <col min="12282" max="12282" width="10.5703125" style="132" customWidth="1"/>
    <col min="12283" max="12283" width="4.85546875" style="132" customWidth="1"/>
    <col min="12284" max="12284" width="32.42578125" style="132" customWidth="1"/>
    <col min="12285" max="12285" width="9.85546875" style="132" customWidth="1"/>
    <col min="12286" max="12286" width="10.140625" style="132" customWidth="1"/>
    <col min="12287" max="12287" width="12.28515625" style="132" customWidth="1"/>
    <col min="12288" max="12288" width="15.42578125" style="132" customWidth="1"/>
    <col min="12289" max="12289" width="11.85546875" style="132" customWidth="1"/>
    <col min="12290" max="12290" width="13.28515625" style="132" customWidth="1"/>
    <col min="12291" max="12291" width="15.28515625" style="132" customWidth="1"/>
    <col min="12292" max="12292" width="11.85546875" style="132" customWidth="1"/>
    <col min="12293" max="12293" width="6.140625" style="132" customWidth="1"/>
    <col min="12294" max="12294" width="11.85546875" style="132" customWidth="1"/>
    <col min="12295" max="12295" width="9.42578125" style="132" customWidth="1"/>
    <col min="12296" max="12296" width="14.7109375" style="132" customWidth="1"/>
    <col min="12297" max="12297" width="11.5703125" style="132" customWidth="1"/>
    <col min="12298" max="12298" width="0.42578125" style="132" customWidth="1"/>
    <col min="12299" max="12299" width="10.5703125" style="132" bestFit="1" customWidth="1"/>
    <col min="12300" max="12300" width="12.28515625" style="132" customWidth="1"/>
    <col min="12301" max="12301" width="12.5703125" style="132" customWidth="1"/>
    <col min="12302" max="12302" width="10.5703125" style="132" customWidth="1"/>
    <col min="12303" max="12303" width="10.140625" style="132" customWidth="1"/>
    <col min="12304" max="12304" width="8.42578125" style="132" customWidth="1"/>
    <col min="12305" max="12305" width="18.85546875" style="132" customWidth="1"/>
    <col min="12306" max="12306" width="10.28515625" style="132" customWidth="1"/>
    <col min="12307" max="12307" width="11.42578125" style="132"/>
    <col min="12308" max="12308" width="12.140625" style="132" customWidth="1"/>
    <col min="12309" max="12309" width="10.5703125" style="132" customWidth="1"/>
    <col min="12310" max="12310" width="12.42578125" style="132" customWidth="1"/>
    <col min="12311" max="12311" width="15.140625" style="132" customWidth="1"/>
    <col min="12312" max="12312" width="13.5703125" style="132" customWidth="1"/>
    <col min="12313" max="12313" width="13.140625" style="132" customWidth="1"/>
    <col min="12314" max="12314" width="15.7109375" style="132" customWidth="1"/>
    <col min="12315" max="12315" width="37.5703125" style="132" customWidth="1"/>
    <col min="12316" max="12537" width="11.42578125" style="132"/>
    <col min="12538" max="12538" width="10.5703125" style="132" customWidth="1"/>
    <col min="12539" max="12539" width="4.85546875" style="132" customWidth="1"/>
    <col min="12540" max="12540" width="32.42578125" style="132" customWidth="1"/>
    <col min="12541" max="12541" width="9.85546875" style="132" customWidth="1"/>
    <col min="12542" max="12542" width="10.140625" style="132" customWidth="1"/>
    <col min="12543" max="12543" width="12.28515625" style="132" customWidth="1"/>
    <col min="12544" max="12544" width="15.42578125" style="132" customWidth="1"/>
    <col min="12545" max="12545" width="11.85546875" style="132" customWidth="1"/>
    <col min="12546" max="12546" width="13.28515625" style="132" customWidth="1"/>
    <col min="12547" max="12547" width="15.28515625" style="132" customWidth="1"/>
    <col min="12548" max="12548" width="11.85546875" style="132" customWidth="1"/>
    <col min="12549" max="12549" width="6.140625" style="132" customWidth="1"/>
    <col min="12550" max="12550" width="11.85546875" style="132" customWidth="1"/>
    <col min="12551" max="12551" width="9.42578125" style="132" customWidth="1"/>
    <col min="12552" max="12552" width="14.7109375" style="132" customWidth="1"/>
    <col min="12553" max="12553" width="11.5703125" style="132" customWidth="1"/>
    <col min="12554" max="12554" width="0.42578125" style="132" customWidth="1"/>
    <col min="12555" max="12555" width="10.5703125" style="132" bestFit="1" customWidth="1"/>
    <col min="12556" max="12556" width="12.28515625" style="132" customWidth="1"/>
    <col min="12557" max="12557" width="12.5703125" style="132" customWidth="1"/>
    <col min="12558" max="12558" width="10.5703125" style="132" customWidth="1"/>
    <col min="12559" max="12559" width="10.140625" style="132" customWidth="1"/>
    <col min="12560" max="12560" width="8.42578125" style="132" customWidth="1"/>
    <col min="12561" max="12561" width="18.85546875" style="132" customWidth="1"/>
    <col min="12562" max="12562" width="10.28515625" style="132" customWidth="1"/>
    <col min="12563" max="12563" width="11.42578125" style="132"/>
    <col min="12564" max="12564" width="12.140625" style="132" customWidth="1"/>
    <col min="12565" max="12565" width="10.5703125" style="132" customWidth="1"/>
    <col min="12566" max="12566" width="12.42578125" style="132" customWidth="1"/>
    <col min="12567" max="12567" width="15.140625" style="132" customWidth="1"/>
    <col min="12568" max="12568" width="13.5703125" style="132" customWidth="1"/>
    <col min="12569" max="12569" width="13.140625" style="132" customWidth="1"/>
    <col min="12570" max="12570" width="15.7109375" style="132" customWidth="1"/>
    <col min="12571" max="12571" width="37.5703125" style="132" customWidth="1"/>
    <col min="12572" max="12793" width="11.42578125" style="132"/>
    <col min="12794" max="12794" width="10.5703125" style="132" customWidth="1"/>
    <col min="12795" max="12795" width="4.85546875" style="132" customWidth="1"/>
    <col min="12796" max="12796" width="32.42578125" style="132" customWidth="1"/>
    <col min="12797" max="12797" width="9.85546875" style="132" customWidth="1"/>
    <col min="12798" max="12798" width="10.140625" style="132" customWidth="1"/>
    <col min="12799" max="12799" width="12.28515625" style="132" customWidth="1"/>
    <col min="12800" max="12800" width="15.42578125" style="132" customWidth="1"/>
    <col min="12801" max="12801" width="11.85546875" style="132" customWidth="1"/>
    <col min="12802" max="12802" width="13.28515625" style="132" customWidth="1"/>
    <col min="12803" max="12803" width="15.28515625" style="132" customWidth="1"/>
    <col min="12804" max="12804" width="11.85546875" style="132" customWidth="1"/>
    <col min="12805" max="12805" width="6.140625" style="132" customWidth="1"/>
    <col min="12806" max="12806" width="11.85546875" style="132" customWidth="1"/>
    <col min="12807" max="12807" width="9.42578125" style="132" customWidth="1"/>
    <col min="12808" max="12808" width="14.7109375" style="132" customWidth="1"/>
    <col min="12809" max="12809" width="11.5703125" style="132" customWidth="1"/>
    <col min="12810" max="12810" width="0.42578125" style="132" customWidth="1"/>
    <col min="12811" max="12811" width="10.5703125" style="132" bestFit="1" customWidth="1"/>
    <col min="12812" max="12812" width="12.28515625" style="132" customWidth="1"/>
    <col min="12813" max="12813" width="12.5703125" style="132" customWidth="1"/>
    <col min="12814" max="12814" width="10.5703125" style="132" customWidth="1"/>
    <col min="12815" max="12815" width="10.140625" style="132" customWidth="1"/>
    <col min="12816" max="12816" width="8.42578125" style="132" customWidth="1"/>
    <col min="12817" max="12817" width="18.85546875" style="132" customWidth="1"/>
    <col min="12818" max="12818" width="10.28515625" style="132" customWidth="1"/>
    <col min="12819" max="12819" width="11.42578125" style="132"/>
    <col min="12820" max="12820" width="12.140625" style="132" customWidth="1"/>
    <col min="12821" max="12821" width="10.5703125" style="132" customWidth="1"/>
    <col min="12822" max="12822" width="12.42578125" style="132" customWidth="1"/>
    <col min="12823" max="12823" width="15.140625" style="132" customWidth="1"/>
    <col min="12824" max="12824" width="13.5703125" style="132" customWidth="1"/>
    <col min="12825" max="12825" width="13.140625" style="132" customWidth="1"/>
    <col min="12826" max="12826" width="15.7109375" style="132" customWidth="1"/>
    <col min="12827" max="12827" width="37.5703125" style="132" customWidth="1"/>
    <col min="12828" max="13049" width="11.42578125" style="132"/>
    <col min="13050" max="13050" width="10.5703125" style="132" customWidth="1"/>
    <col min="13051" max="13051" width="4.85546875" style="132" customWidth="1"/>
    <col min="13052" max="13052" width="32.42578125" style="132" customWidth="1"/>
    <col min="13053" max="13053" width="9.85546875" style="132" customWidth="1"/>
    <col min="13054" max="13054" width="10.140625" style="132" customWidth="1"/>
    <col min="13055" max="13055" width="12.28515625" style="132" customWidth="1"/>
    <col min="13056" max="13056" width="15.42578125" style="132" customWidth="1"/>
    <col min="13057" max="13057" width="11.85546875" style="132" customWidth="1"/>
    <col min="13058" max="13058" width="13.28515625" style="132" customWidth="1"/>
    <col min="13059" max="13059" width="15.28515625" style="132" customWidth="1"/>
    <col min="13060" max="13060" width="11.85546875" style="132" customWidth="1"/>
    <col min="13061" max="13061" width="6.140625" style="132" customWidth="1"/>
    <col min="13062" max="13062" width="11.85546875" style="132" customWidth="1"/>
    <col min="13063" max="13063" width="9.42578125" style="132" customWidth="1"/>
    <col min="13064" max="13064" width="14.7109375" style="132" customWidth="1"/>
    <col min="13065" max="13065" width="11.5703125" style="132" customWidth="1"/>
    <col min="13066" max="13066" width="0.42578125" style="132" customWidth="1"/>
    <col min="13067" max="13067" width="10.5703125" style="132" bestFit="1" customWidth="1"/>
    <col min="13068" max="13068" width="12.28515625" style="132" customWidth="1"/>
    <col min="13069" max="13069" width="12.5703125" style="132" customWidth="1"/>
    <col min="13070" max="13070" width="10.5703125" style="132" customWidth="1"/>
    <col min="13071" max="13071" width="10.140625" style="132" customWidth="1"/>
    <col min="13072" max="13072" width="8.42578125" style="132" customWidth="1"/>
    <col min="13073" max="13073" width="18.85546875" style="132" customWidth="1"/>
    <col min="13074" max="13074" width="10.28515625" style="132" customWidth="1"/>
    <col min="13075" max="13075" width="11.42578125" style="132"/>
    <col min="13076" max="13076" width="12.140625" style="132" customWidth="1"/>
    <col min="13077" max="13077" width="10.5703125" style="132" customWidth="1"/>
    <col min="13078" max="13078" width="12.42578125" style="132" customWidth="1"/>
    <col min="13079" max="13079" width="15.140625" style="132" customWidth="1"/>
    <col min="13080" max="13080" width="13.5703125" style="132" customWidth="1"/>
    <col min="13081" max="13081" width="13.140625" style="132" customWidth="1"/>
    <col min="13082" max="13082" width="15.7109375" style="132" customWidth="1"/>
    <col min="13083" max="13083" width="37.5703125" style="132" customWidth="1"/>
    <col min="13084" max="13305" width="11.42578125" style="132"/>
    <col min="13306" max="13306" width="10.5703125" style="132" customWidth="1"/>
    <col min="13307" max="13307" width="4.85546875" style="132" customWidth="1"/>
    <col min="13308" max="13308" width="32.42578125" style="132" customWidth="1"/>
    <col min="13309" max="13309" width="9.85546875" style="132" customWidth="1"/>
    <col min="13310" max="13310" width="10.140625" style="132" customWidth="1"/>
    <col min="13311" max="13311" width="12.28515625" style="132" customWidth="1"/>
    <col min="13312" max="13312" width="15.42578125" style="132" customWidth="1"/>
    <col min="13313" max="13313" width="11.85546875" style="132" customWidth="1"/>
    <col min="13314" max="13314" width="13.28515625" style="132" customWidth="1"/>
    <col min="13315" max="13315" width="15.28515625" style="132" customWidth="1"/>
    <col min="13316" max="13316" width="11.85546875" style="132" customWidth="1"/>
    <col min="13317" max="13317" width="6.140625" style="132" customWidth="1"/>
    <col min="13318" max="13318" width="11.85546875" style="132" customWidth="1"/>
    <col min="13319" max="13319" width="9.42578125" style="132" customWidth="1"/>
    <col min="13320" max="13320" width="14.7109375" style="132" customWidth="1"/>
    <col min="13321" max="13321" width="11.5703125" style="132" customWidth="1"/>
    <col min="13322" max="13322" width="0.42578125" style="132" customWidth="1"/>
    <col min="13323" max="13323" width="10.5703125" style="132" bestFit="1" customWidth="1"/>
    <col min="13324" max="13324" width="12.28515625" style="132" customWidth="1"/>
    <col min="13325" max="13325" width="12.5703125" style="132" customWidth="1"/>
    <col min="13326" max="13326" width="10.5703125" style="132" customWidth="1"/>
    <col min="13327" max="13327" width="10.140625" style="132" customWidth="1"/>
    <col min="13328" max="13328" width="8.42578125" style="132" customWidth="1"/>
    <col min="13329" max="13329" width="18.85546875" style="132" customWidth="1"/>
    <col min="13330" max="13330" width="10.28515625" style="132" customWidth="1"/>
    <col min="13331" max="13331" width="11.42578125" style="132"/>
    <col min="13332" max="13332" width="12.140625" style="132" customWidth="1"/>
    <col min="13333" max="13333" width="10.5703125" style="132" customWidth="1"/>
    <col min="13334" max="13334" width="12.42578125" style="132" customWidth="1"/>
    <col min="13335" max="13335" width="15.140625" style="132" customWidth="1"/>
    <col min="13336" max="13336" width="13.5703125" style="132" customWidth="1"/>
    <col min="13337" max="13337" width="13.140625" style="132" customWidth="1"/>
    <col min="13338" max="13338" width="15.7109375" style="132" customWidth="1"/>
    <col min="13339" max="13339" width="37.5703125" style="132" customWidth="1"/>
    <col min="13340" max="13561" width="11.42578125" style="132"/>
    <col min="13562" max="13562" width="10.5703125" style="132" customWidth="1"/>
    <col min="13563" max="13563" width="4.85546875" style="132" customWidth="1"/>
    <col min="13564" max="13564" width="32.42578125" style="132" customWidth="1"/>
    <col min="13565" max="13565" width="9.85546875" style="132" customWidth="1"/>
    <col min="13566" max="13566" width="10.140625" style="132" customWidth="1"/>
    <col min="13567" max="13567" width="12.28515625" style="132" customWidth="1"/>
    <col min="13568" max="13568" width="15.42578125" style="132" customWidth="1"/>
    <col min="13569" max="13569" width="11.85546875" style="132" customWidth="1"/>
    <col min="13570" max="13570" width="13.28515625" style="132" customWidth="1"/>
    <col min="13571" max="13571" width="15.28515625" style="132" customWidth="1"/>
    <col min="13572" max="13572" width="11.85546875" style="132" customWidth="1"/>
    <col min="13573" max="13573" width="6.140625" style="132" customWidth="1"/>
    <col min="13574" max="13574" width="11.85546875" style="132" customWidth="1"/>
    <col min="13575" max="13575" width="9.42578125" style="132" customWidth="1"/>
    <col min="13576" max="13576" width="14.7109375" style="132" customWidth="1"/>
    <col min="13577" max="13577" width="11.5703125" style="132" customWidth="1"/>
    <col min="13578" max="13578" width="0.42578125" style="132" customWidth="1"/>
    <col min="13579" max="13579" width="10.5703125" style="132" bestFit="1" customWidth="1"/>
    <col min="13580" max="13580" width="12.28515625" style="132" customWidth="1"/>
    <col min="13581" max="13581" width="12.5703125" style="132" customWidth="1"/>
    <col min="13582" max="13582" width="10.5703125" style="132" customWidth="1"/>
    <col min="13583" max="13583" width="10.140625" style="132" customWidth="1"/>
    <col min="13584" max="13584" width="8.42578125" style="132" customWidth="1"/>
    <col min="13585" max="13585" width="18.85546875" style="132" customWidth="1"/>
    <col min="13586" max="13586" width="10.28515625" style="132" customWidth="1"/>
    <col min="13587" max="13587" width="11.42578125" style="132"/>
    <col min="13588" max="13588" width="12.140625" style="132" customWidth="1"/>
    <col min="13589" max="13589" width="10.5703125" style="132" customWidth="1"/>
    <col min="13590" max="13590" width="12.42578125" style="132" customWidth="1"/>
    <col min="13591" max="13591" width="15.140625" style="132" customWidth="1"/>
    <col min="13592" max="13592" width="13.5703125" style="132" customWidth="1"/>
    <col min="13593" max="13593" width="13.140625" style="132" customWidth="1"/>
    <col min="13594" max="13594" width="15.7109375" style="132" customWidth="1"/>
    <col min="13595" max="13595" width="37.5703125" style="132" customWidth="1"/>
    <col min="13596" max="13817" width="11.42578125" style="132"/>
    <col min="13818" max="13818" width="10.5703125" style="132" customWidth="1"/>
    <col min="13819" max="13819" width="4.85546875" style="132" customWidth="1"/>
    <col min="13820" max="13820" width="32.42578125" style="132" customWidth="1"/>
    <col min="13821" max="13821" width="9.85546875" style="132" customWidth="1"/>
    <col min="13822" max="13822" width="10.140625" style="132" customWidth="1"/>
    <col min="13823" max="13823" width="12.28515625" style="132" customWidth="1"/>
    <col min="13824" max="13824" width="15.42578125" style="132" customWidth="1"/>
    <col min="13825" max="13825" width="11.85546875" style="132" customWidth="1"/>
    <col min="13826" max="13826" width="13.28515625" style="132" customWidth="1"/>
    <col min="13827" max="13827" width="15.28515625" style="132" customWidth="1"/>
    <col min="13828" max="13828" width="11.85546875" style="132" customWidth="1"/>
    <col min="13829" max="13829" width="6.140625" style="132" customWidth="1"/>
    <col min="13830" max="13830" width="11.85546875" style="132" customWidth="1"/>
    <col min="13831" max="13831" width="9.42578125" style="132" customWidth="1"/>
    <col min="13832" max="13832" width="14.7109375" style="132" customWidth="1"/>
    <col min="13833" max="13833" width="11.5703125" style="132" customWidth="1"/>
    <col min="13834" max="13834" width="0.42578125" style="132" customWidth="1"/>
    <col min="13835" max="13835" width="10.5703125" style="132" bestFit="1" customWidth="1"/>
    <col min="13836" max="13836" width="12.28515625" style="132" customWidth="1"/>
    <col min="13837" max="13837" width="12.5703125" style="132" customWidth="1"/>
    <col min="13838" max="13838" width="10.5703125" style="132" customWidth="1"/>
    <col min="13839" max="13839" width="10.140625" style="132" customWidth="1"/>
    <col min="13840" max="13840" width="8.42578125" style="132" customWidth="1"/>
    <col min="13841" max="13841" width="18.85546875" style="132" customWidth="1"/>
    <col min="13842" max="13842" width="10.28515625" style="132" customWidth="1"/>
    <col min="13843" max="13843" width="11.42578125" style="132"/>
    <col min="13844" max="13844" width="12.140625" style="132" customWidth="1"/>
    <col min="13845" max="13845" width="10.5703125" style="132" customWidth="1"/>
    <col min="13846" max="13846" width="12.42578125" style="132" customWidth="1"/>
    <col min="13847" max="13847" width="15.140625" style="132" customWidth="1"/>
    <col min="13848" max="13848" width="13.5703125" style="132" customWidth="1"/>
    <col min="13849" max="13849" width="13.140625" style="132" customWidth="1"/>
    <col min="13850" max="13850" width="15.7109375" style="132" customWidth="1"/>
    <col min="13851" max="13851" width="37.5703125" style="132" customWidth="1"/>
    <col min="13852" max="14073" width="11.42578125" style="132"/>
    <col min="14074" max="14074" width="10.5703125" style="132" customWidth="1"/>
    <col min="14075" max="14075" width="4.85546875" style="132" customWidth="1"/>
    <col min="14076" max="14076" width="32.42578125" style="132" customWidth="1"/>
    <col min="14077" max="14077" width="9.85546875" style="132" customWidth="1"/>
    <col min="14078" max="14078" width="10.140625" style="132" customWidth="1"/>
    <col min="14079" max="14079" width="12.28515625" style="132" customWidth="1"/>
    <col min="14080" max="14080" width="15.42578125" style="132" customWidth="1"/>
    <col min="14081" max="14081" width="11.85546875" style="132" customWidth="1"/>
    <col min="14082" max="14082" width="13.28515625" style="132" customWidth="1"/>
    <col min="14083" max="14083" width="15.28515625" style="132" customWidth="1"/>
    <col min="14084" max="14084" width="11.85546875" style="132" customWidth="1"/>
    <col min="14085" max="14085" width="6.140625" style="132" customWidth="1"/>
    <col min="14086" max="14086" width="11.85546875" style="132" customWidth="1"/>
    <col min="14087" max="14087" width="9.42578125" style="132" customWidth="1"/>
    <col min="14088" max="14088" width="14.7109375" style="132" customWidth="1"/>
    <col min="14089" max="14089" width="11.5703125" style="132" customWidth="1"/>
    <col min="14090" max="14090" width="0.42578125" style="132" customWidth="1"/>
    <col min="14091" max="14091" width="10.5703125" style="132" bestFit="1" customWidth="1"/>
    <col min="14092" max="14092" width="12.28515625" style="132" customWidth="1"/>
    <col min="14093" max="14093" width="12.5703125" style="132" customWidth="1"/>
    <col min="14094" max="14094" width="10.5703125" style="132" customWidth="1"/>
    <col min="14095" max="14095" width="10.140625" style="132" customWidth="1"/>
    <col min="14096" max="14096" width="8.42578125" style="132" customWidth="1"/>
    <col min="14097" max="14097" width="18.85546875" style="132" customWidth="1"/>
    <col min="14098" max="14098" width="10.28515625" style="132" customWidth="1"/>
    <col min="14099" max="14099" width="11.42578125" style="132"/>
    <col min="14100" max="14100" width="12.140625" style="132" customWidth="1"/>
    <col min="14101" max="14101" width="10.5703125" style="132" customWidth="1"/>
    <col min="14102" max="14102" width="12.42578125" style="132" customWidth="1"/>
    <col min="14103" max="14103" width="15.140625" style="132" customWidth="1"/>
    <col min="14104" max="14104" width="13.5703125" style="132" customWidth="1"/>
    <col min="14105" max="14105" width="13.140625" style="132" customWidth="1"/>
    <col min="14106" max="14106" width="15.7109375" style="132" customWidth="1"/>
    <col min="14107" max="14107" width="37.5703125" style="132" customWidth="1"/>
    <col min="14108" max="14329" width="11.42578125" style="132"/>
    <col min="14330" max="14330" width="10.5703125" style="132" customWidth="1"/>
    <col min="14331" max="14331" width="4.85546875" style="132" customWidth="1"/>
    <col min="14332" max="14332" width="32.42578125" style="132" customWidth="1"/>
    <col min="14333" max="14333" width="9.85546875" style="132" customWidth="1"/>
    <col min="14334" max="14334" width="10.140625" style="132" customWidth="1"/>
    <col min="14335" max="14335" width="12.28515625" style="132" customWidth="1"/>
    <col min="14336" max="14336" width="15.42578125" style="132" customWidth="1"/>
    <col min="14337" max="14337" width="11.85546875" style="132" customWidth="1"/>
    <col min="14338" max="14338" width="13.28515625" style="132" customWidth="1"/>
    <col min="14339" max="14339" width="15.28515625" style="132" customWidth="1"/>
    <col min="14340" max="14340" width="11.85546875" style="132" customWidth="1"/>
    <col min="14341" max="14341" width="6.140625" style="132" customWidth="1"/>
    <col min="14342" max="14342" width="11.85546875" style="132" customWidth="1"/>
    <col min="14343" max="14343" width="9.42578125" style="132" customWidth="1"/>
    <col min="14344" max="14344" width="14.7109375" style="132" customWidth="1"/>
    <col min="14345" max="14345" width="11.5703125" style="132" customWidth="1"/>
    <col min="14346" max="14346" width="0.42578125" style="132" customWidth="1"/>
    <col min="14347" max="14347" width="10.5703125" style="132" bestFit="1" customWidth="1"/>
    <col min="14348" max="14348" width="12.28515625" style="132" customWidth="1"/>
    <col min="14349" max="14349" width="12.5703125" style="132" customWidth="1"/>
    <col min="14350" max="14350" width="10.5703125" style="132" customWidth="1"/>
    <col min="14351" max="14351" width="10.140625" style="132" customWidth="1"/>
    <col min="14352" max="14352" width="8.42578125" style="132" customWidth="1"/>
    <col min="14353" max="14353" width="18.85546875" style="132" customWidth="1"/>
    <col min="14354" max="14354" width="10.28515625" style="132" customWidth="1"/>
    <col min="14355" max="14355" width="11.42578125" style="132"/>
    <col min="14356" max="14356" width="12.140625" style="132" customWidth="1"/>
    <col min="14357" max="14357" width="10.5703125" style="132" customWidth="1"/>
    <col min="14358" max="14358" width="12.42578125" style="132" customWidth="1"/>
    <col min="14359" max="14359" width="15.140625" style="132" customWidth="1"/>
    <col min="14360" max="14360" width="13.5703125" style="132" customWidth="1"/>
    <col min="14361" max="14361" width="13.140625" style="132" customWidth="1"/>
    <col min="14362" max="14362" width="15.7109375" style="132" customWidth="1"/>
    <col min="14363" max="14363" width="37.5703125" style="132" customWidth="1"/>
    <col min="14364" max="14585" width="11.42578125" style="132"/>
    <col min="14586" max="14586" width="10.5703125" style="132" customWidth="1"/>
    <col min="14587" max="14587" width="4.85546875" style="132" customWidth="1"/>
    <col min="14588" max="14588" width="32.42578125" style="132" customWidth="1"/>
    <col min="14589" max="14589" width="9.85546875" style="132" customWidth="1"/>
    <col min="14590" max="14590" width="10.140625" style="132" customWidth="1"/>
    <col min="14591" max="14591" width="12.28515625" style="132" customWidth="1"/>
    <col min="14592" max="14592" width="15.42578125" style="132" customWidth="1"/>
    <col min="14593" max="14593" width="11.85546875" style="132" customWidth="1"/>
    <col min="14594" max="14594" width="13.28515625" style="132" customWidth="1"/>
    <col min="14595" max="14595" width="15.28515625" style="132" customWidth="1"/>
    <col min="14596" max="14596" width="11.85546875" style="132" customWidth="1"/>
    <col min="14597" max="14597" width="6.140625" style="132" customWidth="1"/>
    <col min="14598" max="14598" width="11.85546875" style="132" customWidth="1"/>
    <col min="14599" max="14599" width="9.42578125" style="132" customWidth="1"/>
    <col min="14600" max="14600" width="14.7109375" style="132" customWidth="1"/>
    <col min="14601" max="14601" width="11.5703125" style="132" customWidth="1"/>
    <col min="14602" max="14602" width="0.42578125" style="132" customWidth="1"/>
    <col min="14603" max="14603" width="10.5703125" style="132" bestFit="1" customWidth="1"/>
    <col min="14604" max="14604" width="12.28515625" style="132" customWidth="1"/>
    <col min="14605" max="14605" width="12.5703125" style="132" customWidth="1"/>
    <col min="14606" max="14606" width="10.5703125" style="132" customWidth="1"/>
    <col min="14607" max="14607" width="10.140625" style="132" customWidth="1"/>
    <col min="14608" max="14608" width="8.42578125" style="132" customWidth="1"/>
    <col min="14609" max="14609" width="18.85546875" style="132" customWidth="1"/>
    <col min="14610" max="14610" width="10.28515625" style="132" customWidth="1"/>
    <col min="14611" max="14611" width="11.42578125" style="132"/>
    <col min="14612" max="14612" width="12.140625" style="132" customWidth="1"/>
    <col min="14613" max="14613" width="10.5703125" style="132" customWidth="1"/>
    <col min="14614" max="14614" width="12.42578125" style="132" customWidth="1"/>
    <col min="14615" max="14615" width="15.140625" style="132" customWidth="1"/>
    <col min="14616" max="14616" width="13.5703125" style="132" customWidth="1"/>
    <col min="14617" max="14617" width="13.140625" style="132" customWidth="1"/>
    <col min="14618" max="14618" width="15.7109375" style="132" customWidth="1"/>
    <col min="14619" max="14619" width="37.5703125" style="132" customWidth="1"/>
    <col min="14620" max="14841" width="11.42578125" style="132"/>
    <col min="14842" max="14842" width="10.5703125" style="132" customWidth="1"/>
    <col min="14843" max="14843" width="4.85546875" style="132" customWidth="1"/>
    <col min="14844" max="14844" width="32.42578125" style="132" customWidth="1"/>
    <col min="14845" max="14845" width="9.85546875" style="132" customWidth="1"/>
    <col min="14846" max="14846" width="10.140625" style="132" customWidth="1"/>
    <col min="14847" max="14847" width="12.28515625" style="132" customWidth="1"/>
    <col min="14848" max="14848" width="15.42578125" style="132" customWidth="1"/>
    <col min="14849" max="14849" width="11.85546875" style="132" customWidth="1"/>
    <col min="14850" max="14850" width="13.28515625" style="132" customWidth="1"/>
    <col min="14851" max="14851" width="15.28515625" style="132" customWidth="1"/>
    <col min="14852" max="14852" width="11.85546875" style="132" customWidth="1"/>
    <col min="14853" max="14853" width="6.140625" style="132" customWidth="1"/>
    <col min="14854" max="14854" width="11.85546875" style="132" customWidth="1"/>
    <col min="14855" max="14855" width="9.42578125" style="132" customWidth="1"/>
    <col min="14856" max="14856" width="14.7109375" style="132" customWidth="1"/>
    <col min="14857" max="14857" width="11.5703125" style="132" customWidth="1"/>
    <col min="14858" max="14858" width="0.42578125" style="132" customWidth="1"/>
    <col min="14859" max="14859" width="10.5703125" style="132" bestFit="1" customWidth="1"/>
    <col min="14860" max="14860" width="12.28515625" style="132" customWidth="1"/>
    <col min="14861" max="14861" width="12.5703125" style="132" customWidth="1"/>
    <col min="14862" max="14862" width="10.5703125" style="132" customWidth="1"/>
    <col min="14863" max="14863" width="10.140625" style="132" customWidth="1"/>
    <col min="14864" max="14864" width="8.42578125" style="132" customWidth="1"/>
    <col min="14865" max="14865" width="18.85546875" style="132" customWidth="1"/>
    <col min="14866" max="14866" width="10.28515625" style="132" customWidth="1"/>
    <col min="14867" max="14867" width="11.42578125" style="132"/>
    <col min="14868" max="14868" width="12.140625" style="132" customWidth="1"/>
    <col min="14869" max="14869" width="10.5703125" style="132" customWidth="1"/>
    <col min="14870" max="14870" width="12.42578125" style="132" customWidth="1"/>
    <col min="14871" max="14871" width="15.140625" style="132" customWidth="1"/>
    <col min="14872" max="14872" width="13.5703125" style="132" customWidth="1"/>
    <col min="14873" max="14873" width="13.140625" style="132" customWidth="1"/>
    <col min="14874" max="14874" width="15.7109375" style="132" customWidth="1"/>
    <col min="14875" max="14875" width="37.5703125" style="132" customWidth="1"/>
    <col min="14876" max="15097" width="11.42578125" style="132"/>
    <col min="15098" max="15098" width="10.5703125" style="132" customWidth="1"/>
    <col min="15099" max="15099" width="4.85546875" style="132" customWidth="1"/>
    <col min="15100" max="15100" width="32.42578125" style="132" customWidth="1"/>
    <col min="15101" max="15101" width="9.85546875" style="132" customWidth="1"/>
    <col min="15102" max="15102" width="10.140625" style="132" customWidth="1"/>
    <col min="15103" max="15103" width="12.28515625" style="132" customWidth="1"/>
    <col min="15104" max="15104" width="15.42578125" style="132" customWidth="1"/>
    <col min="15105" max="15105" width="11.85546875" style="132" customWidth="1"/>
    <col min="15106" max="15106" width="13.28515625" style="132" customWidth="1"/>
    <col min="15107" max="15107" width="15.28515625" style="132" customWidth="1"/>
    <col min="15108" max="15108" width="11.85546875" style="132" customWidth="1"/>
    <col min="15109" max="15109" width="6.140625" style="132" customWidth="1"/>
    <col min="15110" max="15110" width="11.85546875" style="132" customWidth="1"/>
    <col min="15111" max="15111" width="9.42578125" style="132" customWidth="1"/>
    <col min="15112" max="15112" width="14.7109375" style="132" customWidth="1"/>
    <col min="15113" max="15113" width="11.5703125" style="132" customWidth="1"/>
    <col min="15114" max="15114" width="0.42578125" style="132" customWidth="1"/>
    <col min="15115" max="15115" width="10.5703125" style="132" bestFit="1" customWidth="1"/>
    <col min="15116" max="15116" width="12.28515625" style="132" customWidth="1"/>
    <col min="15117" max="15117" width="12.5703125" style="132" customWidth="1"/>
    <col min="15118" max="15118" width="10.5703125" style="132" customWidth="1"/>
    <col min="15119" max="15119" width="10.140625" style="132" customWidth="1"/>
    <col min="15120" max="15120" width="8.42578125" style="132" customWidth="1"/>
    <col min="15121" max="15121" width="18.85546875" style="132" customWidth="1"/>
    <col min="15122" max="15122" width="10.28515625" style="132" customWidth="1"/>
    <col min="15123" max="15123" width="11.42578125" style="132"/>
    <col min="15124" max="15124" width="12.140625" style="132" customWidth="1"/>
    <col min="15125" max="15125" width="10.5703125" style="132" customWidth="1"/>
    <col min="15126" max="15126" width="12.42578125" style="132" customWidth="1"/>
    <col min="15127" max="15127" width="15.140625" style="132" customWidth="1"/>
    <col min="15128" max="15128" width="13.5703125" style="132" customWidth="1"/>
    <col min="15129" max="15129" width="13.140625" style="132" customWidth="1"/>
    <col min="15130" max="15130" width="15.7109375" style="132" customWidth="1"/>
    <col min="15131" max="15131" width="37.5703125" style="132" customWidth="1"/>
    <col min="15132" max="15353" width="11.42578125" style="132"/>
    <col min="15354" max="15354" width="10.5703125" style="132" customWidth="1"/>
    <col min="15355" max="15355" width="4.85546875" style="132" customWidth="1"/>
    <col min="15356" max="15356" width="32.42578125" style="132" customWidth="1"/>
    <col min="15357" max="15357" width="9.85546875" style="132" customWidth="1"/>
    <col min="15358" max="15358" width="10.140625" style="132" customWidth="1"/>
    <col min="15359" max="15359" width="12.28515625" style="132" customWidth="1"/>
    <col min="15360" max="15360" width="15.42578125" style="132" customWidth="1"/>
    <col min="15361" max="15361" width="11.85546875" style="132" customWidth="1"/>
    <col min="15362" max="15362" width="13.28515625" style="132" customWidth="1"/>
    <col min="15363" max="15363" width="15.28515625" style="132" customWidth="1"/>
    <col min="15364" max="15364" width="11.85546875" style="132" customWidth="1"/>
    <col min="15365" max="15365" width="6.140625" style="132" customWidth="1"/>
    <col min="15366" max="15366" width="11.85546875" style="132" customWidth="1"/>
    <col min="15367" max="15367" width="9.42578125" style="132" customWidth="1"/>
    <col min="15368" max="15368" width="14.7109375" style="132" customWidth="1"/>
    <col min="15369" max="15369" width="11.5703125" style="132" customWidth="1"/>
    <col min="15370" max="15370" width="0.42578125" style="132" customWidth="1"/>
    <col min="15371" max="15371" width="10.5703125" style="132" bestFit="1" customWidth="1"/>
    <col min="15372" max="15372" width="12.28515625" style="132" customWidth="1"/>
    <col min="15373" max="15373" width="12.5703125" style="132" customWidth="1"/>
    <col min="15374" max="15374" width="10.5703125" style="132" customWidth="1"/>
    <col min="15375" max="15375" width="10.140625" style="132" customWidth="1"/>
    <col min="15376" max="15376" width="8.42578125" style="132" customWidth="1"/>
    <col min="15377" max="15377" width="18.85546875" style="132" customWidth="1"/>
    <col min="15378" max="15378" width="10.28515625" style="132" customWidth="1"/>
    <col min="15379" max="15379" width="11.42578125" style="132"/>
    <col min="15380" max="15380" width="12.140625" style="132" customWidth="1"/>
    <col min="15381" max="15381" width="10.5703125" style="132" customWidth="1"/>
    <col min="15382" max="15382" width="12.42578125" style="132" customWidth="1"/>
    <col min="15383" max="15383" width="15.140625" style="132" customWidth="1"/>
    <col min="15384" max="15384" width="13.5703125" style="132" customWidth="1"/>
    <col min="15385" max="15385" width="13.140625" style="132" customWidth="1"/>
    <col min="15386" max="15386" width="15.7109375" style="132" customWidth="1"/>
    <col min="15387" max="15387" width="37.5703125" style="132" customWidth="1"/>
    <col min="15388" max="15609" width="11.42578125" style="132"/>
    <col min="15610" max="15610" width="10.5703125" style="132" customWidth="1"/>
    <col min="15611" max="15611" width="4.85546875" style="132" customWidth="1"/>
    <col min="15612" max="15612" width="32.42578125" style="132" customWidth="1"/>
    <col min="15613" max="15613" width="9.85546875" style="132" customWidth="1"/>
    <col min="15614" max="15614" width="10.140625" style="132" customWidth="1"/>
    <col min="15615" max="15615" width="12.28515625" style="132" customWidth="1"/>
    <col min="15616" max="15616" width="15.42578125" style="132" customWidth="1"/>
    <col min="15617" max="15617" width="11.85546875" style="132" customWidth="1"/>
    <col min="15618" max="15618" width="13.28515625" style="132" customWidth="1"/>
    <col min="15619" max="15619" width="15.28515625" style="132" customWidth="1"/>
    <col min="15620" max="15620" width="11.85546875" style="132" customWidth="1"/>
    <col min="15621" max="15621" width="6.140625" style="132" customWidth="1"/>
    <col min="15622" max="15622" width="11.85546875" style="132" customWidth="1"/>
    <col min="15623" max="15623" width="9.42578125" style="132" customWidth="1"/>
    <col min="15624" max="15624" width="14.7109375" style="132" customWidth="1"/>
    <col min="15625" max="15625" width="11.5703125" style="132" customWidth="1"/>
    <col min="15626" max="15626" width="0.42578125" style="132" customWidth="1"/>
    <col min="15627" max="15627" width="10.5703125" style="132" bestFit="1" customWidth="1"/>
    <col min="15628" max="15628" width="12.28515625" style="132" customWidth="1"/>
    <col min="15629" max="15629" width="12.5703125" style="132" customWidth="1"/>
    <col min="15630" max="15630" width="10.5703125" style="132" customWidth="1"/>
    <col min="15631" max="15631" width="10.140625" style="132" customWidth="1"/>
    <col min="15632" max="15632" width="8.42578125" style="132" customWidth="1"/>
    <col min="15633" max="15633" width="18.85546875" style="132" customWidth="1"/>
    <col min="15634" max="15634" width="10.28515625" style="132" customWidth="1"/>
    <col min="15635" max="15635" width="11.42578125" style="132"/>
    <col min="15636" max="15636" width="12.140625" style="132" customWidth="1"/>
    <col min="15637" max="15637" width="10.5703125" style="132" customWidth="1"/>
    <col min="15638" max="15638" width="12.42578125" style="132" customWidth="1"/>
    <col min="15639" max="15639" width="15.140625" style="132" customWidth="1"/>
    <col min="15640" max="15640" width="13.5703125" style="132" customWidth="1"/>
    <col min="15641" max="15641" width="13.140625" style="132" customWidth="1"/>
    <col min="15642" max="15642" width="15.7109375" style="132" customWidth="1"/>
    <col min="15643" max="15643" width="37.5703125" style="132" customWidth="1"/>
    <col min="15644" max="15865" width="11.42578125" style="132"/>
    <col min="15866" max="15866" width="10.5703125" style="132" customWidth="1"/>
    <col min="15867" max="15867" width="4.85546875" style="132" customWidth="1"/>
    <col min="15868" max="15868" width="32.42578125" style="132" customWidth="1"/>
    <col min="15869" max="15869" width="9.85546875" style="132" customWidth="1"/>
    <col min="15870" max="15870" width="10.140625" style="132" customWidth="1"/>
    <col min="15871" max="15871" width="12.28515625" style="132" customWidth="1"/>
    <col min="15872" max="15872" width="15.42578125" style="132" customWidth="1"/>
    <col min="15873" max="15873" width="11.85546875" style="132" customWidth="1"/>
    <col min="15874" max="15874" width="13.28515625" style="132" customWidth="1"/>
    <col min="15875" max="15875" width="15.28515625" style="132" customWidth="1"/>
    <col min="15876" max="15876" width="11.85546875" style="132" customWidth="1"/>
    <col min="15877" max="15877" width="6.140625" style="132" customWidth="1"/>
    <col min="15878" max="15878" width="11.85546875" style="132" customWidth="1"/>
    <col min="15879" max="15879" width="9.42578125" style="132" customWidth="1"/>
    <col min="15880" max="15880" width="14.7109375" style="132" customWidth="1"/>
    <col min="15881" max="15881" width="11.5703125" style="132" customWidth="1"/>
    <col min="15882" max="15882" width="0.42578125" style="132" customWidth="1"/>
    <col min="15883" max="15883" width="10.5703125" style="132" bestFit="1" customWidth="1"/>
    <col min="15884" max="15884" width="12.28515625" style="132" customWidth="1"/>
    <col min="15885" max="15885" width="12.5703125" style="132" customWidth="1"/>
    <col min="15886" max="15886" width="10.5703125" style="132" customWidth="1"/>
    <col min="15887" max="15887" width="10.140625" style="132" customWidth="1"/>
    <col min="15888" max="15888" width="8.42578125" style="132" customWidth="1"/>
    <col min="15889" max="15889" width="18.85546875" style="132" customWidth="1"/>
    <col min="15890" max="15890" width="10.28515625" style="132" customWidth="1"/>
    <col min="15891" max="15891" width="11.42578125" style="132"/>
    <col min="15892" max="15892" width="12.140625" style="132" customWidth="1"/>
    <col min="15893" max="15893" width="10.5703125" style="132" customWidth="1"/>
    <col min="15894" max="15894" width="12.42578125" style="132" customWidth="1"/>
    <col min="15895" max="15895" width="15.140625" style="132" customWidth="1"/>
    <col min="15896" max="15896" width="13.5703125" style="132" customWidth="1"/>
    <col min="15897" max="15897" width="13.140625" style="132" customWidth="1"/>
    <col min="15898" max="15898" width="15.7109375" style="132" customWidth="1"/>
    <col min="15899" max="15899" width="37.5703125" style="132" customWidth="1"/>
    <col min="15900" max="16121" width="11.42578125" style="132"/>
    <col min="16122" max="16122" width="10.5703125" style="132" customWidth="1"/>
    <col min="16123" max="16123" width="4.85546875" style="132" customWidth="1"/>
    <col min="16124" max="16124" width="32.42578125" style="132" customWidth="1"/>
    <col min="16125" max="16125" width="9.85546875" style="132" customWidth="1"/>
    <col min="16126" max="16126" width="10.140625" style="132" customWidth="1"/>
    <col min="16127" max="16127" width="12.28515625" style="132" customWidth="1"/>
    <col min="16128" max="16128" width="15.42578125" style="132" customWidth="1"/>
    <col min="16129" max="16129" width="11.85546875" style="132" customWidth="1"/>
    <col min="16130" max="16130" width="13.28515625" style="132" customWidth="1"/>
    <col min="16131" max="16131" width="15.28515625" style="132" customWidth="1"/>
    <col min="16132" max="16132" width="11.85546875" style="132" customWidth="1"/>
    <col min="16133" max="16133" width="6.140625" style="132" customWidth="1"/>
    <col min="16134" max="16134" width="11.85546875" style="132" customWidth="1"/>
    <col min="16135" max="16135" width="9.42578125" style="132" customWidth="1"/>
    <col min="16136" max="16136" width="14.7109375" style="132" customWidth="1"/>
    <col min="16137" max="16137" width="11.5703125" style="132" customWidth="1"/>
    <col min="16138" max="16138" width="0.42578125" style="132" customWidth="1"/>
    <col min="16139" max="16139" width="10.5703125" style="132" bestFit="1" customWidth="1"/>
    <col min="16140" max="16140" width="12.28515625" style="132" customWidth="1"/>
    <col min="16141" max="16141" width="12.5703125" style="132" customWidth="1"/>
    <col min="16142" max="16142" width="10.5703125" style="132" customWidth="1"/>
    <col min="16143" max="16143" width="10.140625" style="132" customWidth="1"/>
    <col min="16144" max="16144" width="8.42578125" style="132" customWidth="1"/>
    <col min="16145" max="16145" width="18.85546875" style="132" customWidth="1"/>
    <col min="16146" max="16146" width="10.28515625" style="132" customWidth="1"/>
    <col min="16147" max="16147" width="11.42578125" style="132"/>
    <col min="16148" max="16148" width="12.140625" style="132" customWidth="1"/>
    <col min="16149" max="16149" width="10.5703125" style="132" customWidth="1"/>
    <col min="16150" max="16150" width="12.42578125" style="132" customWidth="1"/>
    <col min="16151" max="16151" width="15.140625" style="132" customWidth="1"/>
    <col min="16152" max="16152" width="13.5703125" style="132" customWidth="1"/>
    <col min="16153" max="16153" width="13.140625" style="132" customWidth="1"/>
    <col min="16154" max="16154" width="15.7109375" style="132" customWidth="1"/>
    <col min="16155" max="16155" width="37.5703125" style="132" customWidth="1"/>
    <col min="16156" max="16384" width="11.42578125" style="132"/>
  </cols>
  <sheetData>
    <row r="1" spans="1:27" ht="12.75" x14ac:dyDescent="0.25">
      <c r="A1" s="128"/>
      <c r="B1" s="128"/>
      <c r="C1" s="129" t="s">
        <v>117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0"/>
      <c r="Z1" s="131"/>
      <c r="AA1" s="130"/>
    </row>
    <row r="2" spans="1:27" ht="12.75" x14ac:dyDescent="0.25">
      <c r="A2" s="128"/>
      <c r="B2" s="128"/>
      <c r="C2" s="133" t="s">
        <v>1</v>
      </c>
      <c r="D2" s="130"/>
      <c r="E2" s="134" t="s">
        <v>2</v>
      </c>
      <c r="F2" s="134"/>
      <c r="G2" s="134"/>
      <c r="H2" s="134"/>
      <c r="I2" s="134"/>
      <c r="J2" s="134"/>
      <c r="K2" s="134"/>
      <c r="L2" s="134"/>
      <c r="M2" s="134"/>
      <c r="N2" s="134"/>
      <c r="O2" s="134" t="s">
        <v>3</v>
      </c>
      <c r="P2" s="134"/>
      <c r="Q2" s="134"/>
      <c r="R2" s="134"/>
      <c r="S2" s="134"/>
      <c r="T2" s="134"/>
      <c r="U2" s="134"/>
      <c r="V2" s="134"/>
      <c r="W2" s="134"/>
      <c r="X2" s="130"/>
      <c r="Y2" s="130"/>
      <c r="Z2" s="131"/>
      <c r="AA2" s="130"/>
    </row>
    <row r="3" spans="1:27" ht="39" customHeight="1" x14ac:dyDescent="0.25">
      <c r="A3" s="135" t="s">
        <v>4</v>
      </c>
      <c r="B3" s="136" t="s">
        <v>5</v>
      </c>
      <c r="C3" s="91" t="s">
        <v>6</v>
      </c>
      <c r="D3" s="91" t="s">
        <v>7</v>
      </c>
      <c r="E3" s="92" t="s">
        <v>8</v>
      </c>
      <c r="F3" s="92" t="s">
        <v>9</v>
      </c>
      <c r="G3" s="92" t="s">
        <v>10</v>
      </c>
      <c r="H3" s="92" t="s">
        <v>11</v>
      </c>
      <c r="I3" s="92" t="s">
        <v>12</v>
      </c>
      <c r="J3" s="92" t="s">
        <v>101</v>
      </c>
      <c r="K3" s="92" t="s">
        <v>14</v>
      </c>
      <c r="L3" s="92" t="s">
        <v>114</v>
      </c>
      <c r="M3" s="92" t="s">
        <v>16</v>
      </c>
      <c r="N3" s="92" t="s">
        <v>17</v>
      </c>
      <c r="O3" s="92" t="s">
        <v>18</v>
      </c>
      <c r="P3" s="92" t="s">
        <v>19</v>
      </c>
      <c r="Q3" s="92" t="s">
        <v>20</v>
      </c>
      <c r="R3" s="92" t="s">
        <v>21</v>
      </c>
      <c r="S3" s="92" t="s">
        <v>22</v>
      </c>
      <c r="T3" s="92" t="s">
        <v>23</v>
      </c>
      <c r="U3" s="92" t="s">
        <v>24</v>
      </c>
      <c r="V3" s="92" t="s">
        <v>25</v>
      </c>
      <c r="W3" s="92" t="s">
        <v>26</v>
      </c>
      <c r="X3" s="91" t="s">
        <v>27</v>
      </c>
      <c r="Y3" s="91"/>
      <c r="Z3" s="93"/>
      <c r="AA3" s="91" t="s">
        <v>30</v>
      </c>
    </row>
    <row r="4" spans="1:27" s="43" customFormat="1" ht="27.75" customHeight="1" x14ac:dyDescent="0.25">
      <c r="A4" s="135"/>
      <c r="B4" s="123">
        <v>1</v>
      </c>
      <c r="C4" s="37" t="s">
        <v>115</v>
      </c>
      <c r="D4" s="38" t="s">
        <v>32</v>
      </c>
      <c r="E4" s="39">
        <v>4500000</v>
      </c>
      <c r="F4" s="39">
        <v>6</v>
      </c>
      <c r="G4" s="39">
        <f>+E4/30*F4</f>
        <v>900000</v>
      </c>
      <c r="H4" s="39"/>
      <c r="I4" s="39"/>
      <c r="J4" s="39"/>
      <c r="K4" s="39"/>
      <c r="L4" s="39"/>
      <c r="M4" s="39"/>
      <c r="N4" s="39">
        <f>SUM(G4:M4)</f>
        <v>900000</v>
      </c>
      <c r="O4" s="39">
        <f>+G4*4%</f>
        <v>36000</v>
      </c>
      <c r="P4" s="39">
        <f>+O4</f>
        <v>36000</v>
      </c>
      <c r="Q4" s="39"/>
      <c r="R4" s="39"/>
      <c r="S4" s="39">
        <f>+G4*0.01</f>
        <v>9000</v>
      </c>
      <c r="T4" s="39">
        <v>0</v>
      </c>
      <c r="U4" s="39"/>
      <c r="V4" s="39"/>
      <c r="W4" s="39">
        <f t="shared" ref="W4:W58" si="0">SUM(O4:V4)</f>
        <v>81000</v>
      </c>
      <c r="X4" s="40">
        <f t="shared" ref="X4:X21" si="1">+N4-W4</f>
        <v>819000</v>
      </c>
      <c r="Y4" s="40"/>
      <c r="Z4" s="41"/>
      <c r="AA4" s="40">
        <f>X4+Y4-Z4</f>
        <v>819000</v>
      </c>
    </row>
    <row r="5" spans="1:27" s="43" customFormat="1" ht="27.75" customHeight="1" x14ac:dyDescent="0.25">
      <c r="A5" s="135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s="43" customFormat="1" ht="12.75" x14ac:dyDescent="0.25">
      <c r="A6" s="135"/>
      <c r="B6" s="123">
        <v>3</v>
      </c>
      <c r="C6" s="37" t="s">
        <v>33</v>
      </c>
      <c r="D6" s="38" t="s">
        <v>32</v>
      </c>
      <c r="E6" s="39">
        <v>4911500</v>
      </c>
      <c r="F6" s="39">
        <v>30</v>
      </c>
      <c r="G6" s="39">
        <f>+E6/30*F6</f>
        <v>4911500</v>
      </c>
      <c r="H6" s="39"/>
      <c r="I6" s="39"/>
      <c r="J6" s="39"/>
      <c r="K6" s="39"/>
      <c r="L6" s="39"/>
      <c r="M6" s="39"/>
      <c r="N6" s="39">
        <f t="shared" ref="N6:N26" si="2">SUM(G6:M6)</f>
        <v>4911500</v>
      </c>
      <c r="O6" s="39">
        <f>+G6*4%</f>
        <v>196460</v>
      </c>
      <c r="P6" s="39">
        <f>+O6</f>
        <v>196460</v>
      </c>
      <c r="Q6" s="39"/>
      <c r="R6" s="39"/>
      <c r="S6" s="39">
        <f t="shared" ref="S6:S31" si="3">+G6*0.01</f>
        <v>49115</v>
      </c>
      <c r="T6" s="48">
        <v>84469</v>
      </c>
      <c r="U6" s="39"/>
      <c r="V6" s="39"/>
      <c r="W6" s="39">
        <f t="shared" si="0"/>
        <v>526504</v>
      </c>
      <c r="X6" s="40">
        <f t="shared" si="1"/>
        <v>4384996</v>
      </c>
      <c r="Y6" s="40"/>
      <c r="Z6" s="41"/>
      <c r="AA6" s="40">
        <f>X6+Y6-Z6</f>
        <v>4384996</v>
      </c>
    </row>
    <row r="7" spans="1:27" s="43" customFormat="1" ht="23.25" customHeight="1" x14ac:dyDescent="0.25">
      <c r="A7" s="135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s="43" customFormat="1" ht="12.75" x14ac:dyDescent="0.25">
      <c r="A8" s="135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s="43" customFormat="1" ht="17.25" customHeight="1" x14ac:dyDescent="0.25">
      <c r="A9" s="135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4" si="4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>G9*4%</f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1" si="5">X9+Y9-Z9</f>
        <v>4228636</v>
      </c>
    </row>
    <row r="10" spans="1:27" s="43" customFormat="1" ht="12.75" x14ac:dyDescent="0.25">
      <c r="A10" s="135"/>
      <c r="B10" s="123">
        <v>7</v>
      </c>
      <c r="C10" s="118" t="s">
        <v>39</v>
      </c>
      <c r="D10" s="45" t="s">
        <v>32</v>
      </c>
      <c r="E10" s="39">
        <v>4000000</v>
      </c>
      <c r="F10" s="39">
        <v>30</v>
      </c>
      <c r="G10" s="39">
        <f t="shared" si="4"/>
        <v>4000000.0000000005</v>
      </c>
      <c r="H10" s="39"/>
      <c r="I10" s="39"/>
      <c r="J10" s="39"/>
      <c r="K10" s="39"/>
      <c r="L10" s="39"/>
      <c r="M10" s="39"/>
      <c r="N10" s="39">
        <f t="shared" si="2"/>
        <v>4000000.0000000005</v>
      </c>
      <c r="O10" s="39">
        <f>G10*4%</f>
        <v>160000.00000000003</v>
      </c>
      <c r="P10" s="39">
        <v>160000</v>
      </c>
      <c r="Q10" s="39"/>
      <c r="R10" s="39"/>
      <c r="S10" s="39">
        <v>40000</v>
      </c>
      <c r="T10" s="39">
        <v>31064</v>
      </c>
      <c r="U10" s="39"/>
      <c r="V10" s="39"/>
      <c r="W10" s="39">
        <f t="shared" si="0"/>
        <v>391064</v>
      </c>
      <c r="X10" s="40">
        <f t="shared" si="1"/>
        <v>3608936.0000000005</v>
      </c>
      <c r="Y10" s="40"/>
      <c r="Z10" s="41"/>
      <c r="AA10" s="40">
        <f t="shared" si="5"/>
        <v>3608936.0000000005</v>
      </c>
    </row>
    <row r="11" spans="1:27" s="43" customFormat="1" ht="12.75" x14ac:dyDescent="0.25">
      <c r="A11" s="135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4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>G11*4%</f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5"/>
        <v>3685000</v>
      </c>
    </row>
    <row r="12" spans="1:27" s="43" customFormat="1" ht="12.75" x14ac:dyDescent="0.25">
      <c r="A12" s="135"/>
      <c r="B12" s="123">
        <v>9</v>
      </c>
      <c r="C12" s="118" t="s">
        <v>108</v>
      </c>
      <c r="D12" s="45" t="s">
        <v>32</v>
      </c>
      <c r="E12" s="39">
        <v>2500000</v>
      </c>
      <c r="F12" s="39">
        <v>31</v>
      </c>
      <c r="G12" s="39">
        <f t="shared" si="4"/>
        <v>2583333.333333333</v>
      </c>
      <c r="H12" s="39"/>
      <c r="I12" s="39"/>
      <c r="J12" s="39"/>
      <c r="K12" s="39"/>
      <c r="L12" s="39"/>
      <c r="M12" s="39"/>
      <c r="N12" s="39">
        <f t="shared" si="2"/>
        <v>2583333.333333333</v>
      </c>
      <c r="O12" s="39">
        <f>G12*4%</f>
        <v>103333.33333333333</v>
      </c>
      <c r="P12" s="39">
        <f>O12</f>
        <v>103333.33333333333</v>
      </c>
      <c r="Q12" s="39"/>
      <c r="R12" s="39"/>
      <c r="S12" s="39"/>
      <c r="T12" s="39"/>
      <c r="U12" s="39"/>
      <c r="V12" s="39"/>
      <c r="W12" s="39">
        <f t="shared" si="0"/>
        <v>206666.66666666666</v>
      </c>
      <c r="X12" s="40">
        <f t="shared" si="1"/>
        <v>2376666.6666666665</v>
      </c>
      <c r="Y12" s="40"/>
      <c r="Z12" s="41"/>
      <c r="AA12" s="40">
        <f t="shared" si="5"/>
        <v>2376666.6666666665</v>
      </c>
    </row>
    <row r="13" spans="1:27" s="43" customFormat="1" ht="16.5" customHeight="1" x14ac:dyDescent="0.25">
      <c r="A13" s="135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4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5"/>
        <v>3583532</v>
      </c>
    </row>
    <row r="14" spans="1:27" s="43" customFormat="1" ht="17.25" customHeight="1" x14ac:dyDescent="0.25">
      <c r="A14" s="135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4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>
        <v>2000000</v>
      </c>
      <c r="W14" s="39">
        <f t="shared" si="0"/>
        <v>2503752</v>
      </c>
      <c r="X14" s="40">
        <f t="shared" si="1"/>
        <v>2296248</v>
      </c>
      <c r="Y14" s="40"/>
      <c r="Z14" s="41"/>
      <c r="AA14" s="40">
        <f t="shared" si="5"/>
        <v>2296248</v>
      </c>
    </row>
    <row r="15" spans="1:27" s="43" customFormat="1" ht="23.25" customHeight="1" x14ac:dyDescent="0.25">
      <c r="A15" s="135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6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5"/>
        <v>4293248</v>
      </c>
    </row>
    <row r="16" spans="1:27" s="43" customFormat="1" ht="21.75" customHeight="1" x14ac:dyDescent="0.25">
      <c r="A16" s="135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6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5"/>
        <v>3996248</v>
      </c>
    </row>
    <row r="17" spans="1:27" s="43" customFormat="1" ht="12.75" x14ac:dyDescent="0.25">
      <c r="A17" s="135"/>
      <c r="B17" s="123">
        <v>14</v>
      </c>
      <c r="C17" s="37" t="s">
        <v>45</v>
      </c>
      <c r="D17" s="38" t="s">
        <v>32</v>
      </c>
      <c r="E17" s="39">
        <v>4180000</v>
      </c>
      <c r="F17" s="39">
        <v>30</v>
      </c>
      <c r="G17" s="39">
        <f>E17/30*F17</f>
        <v>4180000.0000000005</v>
      </c>
      <c r="H17" s="39"/>
      <c r="I17" s="39"/>
      <c r="J17" s="39"/>
      <c r="K17" s="39"/>
      <c r="L17" s="39"/>
      <c r="M17" s="39">
        <v>1515250</v>
      </c>
      <c r="N17" s="39">
        <f t="shared" si="2"/>
        <v>5695250</v>
      </c>
      <c r="O17" s="39">
        <f>+G17*4%</f>
        <v>167200.00000000003</v>
      </c>
      <c r="P17" s="39">
        <f>+O17</f>
        <v>167200.00000000003</v>
      </c>
      <c r="Q17" s="39"/>
      <c r="R17" s="39"/>
      <c r="S17" s="39">
        <f t="shared" si="3"/>
        <v>41800.000000000007</v>
      </c>
      <c r="T17" s="48">
        <v>2545</v>
      </c>
      <c r="U17" s="39">
        <v>800000</v>
      </c>
      <c r="V17" s="39">
        <v>884747</v>
      </c>
      <c r="W17" s="39">
        <f t="shared" si="0"/>
        <v>2063492</v>
      </c>
      <c r="X17" s="40">
        <f t="shared" si="1"/>
        <v>3631758</v>
      </c>
      <c r="Y17" s="40"/>
      <c r="Z17" s="41"/>
      <c r="AA17" s="40">
        <f t="shared" si="5"/>
        <v>3631758</v>
      </c>
    </row>
    <row r="18" spans="1:27" s="43" customFormat="1" ht="12.75" x14ac:dyDescent="0.25">
      <c r="A18" s="135"/>
      <c r="B18" s="123">
        <v>15</v>
      </c>
      <c r="C18" s="37" t="s">
        <v>46</v>
      </c>
      <c r="D18" s="38" t="s">
        <v>32</v>
      </c>
      <c r="E18" s="39">
        <v>4702500</v>
      </c>
      <c r="F18" s="39">
        <v>30</v>
      </c>
      <c r="G18" s="39">
        <f>E18/30*F18</f>
        <v>4702500</v>
      </c>
      <c r="H18" s="39"/>
      <c r="I18" s="39"/>
      <c r="J18" s="39"/>
      <c r="K18" s="39"/>
      <c r="L18" s="39"/>
      <c r="M18" s="39"/>
      <c r="N18" s="39">
        <f t="shared" si="2"/>
        <v>4702500</v>
      </c>
      <c r="O18" s="39">
        <f t="shared" ref="O18:O19" si="7">+G18*4%</f>
        <v>188100</v>
      </c>
      <c r="P18" s="39">
        <f>+O18</f>
        <v>188100</v>
      </c>
      <c r="Q18" s="39"/>
      <c r="R18" s="39"/>
      <c r="S18" s="39">
        <f>N18*1%</f>
        <v>47025</v>
      </c>
      <c r="T18" s="48">
        <v>126165</v>
      </c>
      <c r="U18" s="39"/>
      <c r="V18" s="39"/>
      <c r="W18" s="39">
        <f t="shared" si="0"/>
        <v>549390</v>
      </c>
      <c r="X18" s="40">
        <f>N18-W18</f>
        <v>4153110</v>
      </c>
      <c r="Y18" s="40"/>
      <c r="Z18" s="41"/>
      <c r="AA18" s="40">
        <f t="shared" si="5"/>
        <v>4153110</v>
      </c>
    </row>
    <row r="19" spans="1:27" s="43" customFormat="1" ht="23.25" customHeight="1" x14ac:dyDescent="0.25">
      <c r="A19" s="135"/>
      <c r="B19" s="45">
        <v>16</v>
      </c>
      <c r="C19" s="138" t="s">
        <v>47</v>
      </c>
      <c r="D19" s="96" t="s">
        <v>32</v>
      </c>
      <c r="E19" s="39">
        <v>4200000</v>
      </c>
      <c r="F19" s="39">
        <v>30</v>
      </c>
      <c r="G19" s="39">
        <f t="shared" ref="G19:G32" si="8">+E19/30*F19</f>
        <v>4200000</v>
      </c>
      <c r="H19" s="39"/>
      <c r="I19" s="39"/>
      <c r="J19" s="39"/>
      <c r="K19" s="39"/>
      <c r="L19" s="39"/>
      <c r="M19" s="39">
        <v>40000</v>
      </c>
      <c r="N19" s="39">
        <f t="shared" si="2"/>
        <v>4240000</v>
      </c>
      <c r="O19" s="39">
        <f t="shared" si="7"/>
        <v>168000</v>
      </c>
      <c r="P19" s="39">
        <f>O19</f>
        <v>168000</v>
      </c>
      <c r="Q19" s="39"/>
      <c r="R19" s="39"/>
      <c r="S19" s="39">
        <f>N19*1%</f>
        <v>42400</v>
      </c>
      <c r="T19" s="48">
        <v>58139</v>
      </c>
      <c r="U19" s="39"/>
      <c r="V19" s="39"/>
      <c r="W19" s="39">
        <f t="shared" si="0"/>
        <v>436539</v>
      </c>
      <c r="X19" s="40">
        <f>N19-W19</f>
        <v>3803461</v>
      </c>
      <c r="Y19" s="40"/>
      <c r="Z19" s="41"/>
      <c r="AA19" s="40">
        <f t="shared" si="5"/>
        <v>3803461</v>
      </c>
    </row>
    <row r="20" spans="1:27" s="43" customFormat="1" ht="12.75" x14ac:dyDescent="0.25">
      <c r="A20" s="135"/>
      <c r="B20" s="123">
        <v>17</v>
      </c>
      <c r="C20" s="37" t="s">
        <v>48</v>
      </c>
      <c r="D20" s="38" t="s">
        <v>32</v>
      </c>
      <c r="E20" s="39">
        <v>4800000</v>
      </c>
      <c r="F20" s="39">
        <v>30</v>
      </c>
      <c r="G20" s="39">
        <f t="shared" si="8"/>
        <v>4800000</v>
      </c>
      <c r="H20" s="39"/>
      <c r="I20" s="39"/>
      <c r="J20" s="39"/>
      <c r="K20" s="39"/>
      <c r="L20" s="39"/>
      <c r="M20" s="39"/>
      <c r="N20" s="39">
        <f t="shared" si="2"/>
        <v>4800000</v>
      </c>
      <c r="O20" s="39">
        <f>+G20*4%</f>
        <v>192000</v>
      </c>
      <c r="P20" s="39">
        <f t="shared" ref="P20:P25" si="9">+O20</f>
        <v>192000</v>
      </c>
      <c r="Q20" s="39"/>
      <c r="R20" s="39"/>
      <c r="S20" s="39">
        <f t="shared" si="3"/>
        <v>48000</v>
      </c>
      <c r="T20" s="39">
        <v>139364</v>
      </c>
      <c r="U20" s="39"/>
      <c r="V20" s="39"/>
      <c r="W20" s="39">
        <f t="shared" si="0"/>
        <v>571364</v>
      </c>
      <c r="X20" s="40">
        <f t="shared" si="1"/>
        <v>4228636</v>
      </c>
      <c r="Y20" s="40"/>
      <c r="Z20" s="41"/>
      <c r="AA20" s="40">
        <f t="shared" si="5"/>
        <v>4228636</v>
      </c>
    </row>
    <row r="21" spans="1:27" s="43" customFormat="1" ht="12.75" x14ac:dyDescent="0.25">
      <c r="A21" s="135"/>
      <c r="B21" s="123">
        <v>18</v>
      </c>
      <c r="C21" s="37" t="s">
        <v>49</v>
      </c>
      <c r="D21" s="38" t="s">
        <v>32</v>
      </c>
      <c r="E21" s="39">
        <v>3850000</v>
      </c>
      <c r="F21" s="39">
        <v>30</v>
      </c>
      <c r="G21" s="39">
        <f t="shared" si="8"/>
        <v>3850000</v>
      </c>
      <c r="H21" s="39"/>
      <c r="I21" s="39"/>
      <c r="J21" s="39"/>
      <c r="K21" s="39"/>
      <c r="L21" s="39"/>
      <c r="M21" s="39"/>
      <c r="N21" s="39">
        <f t="shared" si="2"/>
        <v>3850000</v>
      </c>
      <c r="O21" s="39">
        <f>+G21*4%</f>
        <v>154000</v>
      </c>
      <c r="P21" s="39">
        <f t="shared" si="9"/>
        <v>154000</v>
      </c>
      <c r="Q21" s="39"/>
      <c r="R21" s="39"/>
      <c r="S21" s="39">
        <f t="shared" si="3"/>
        <v>38500</v>
      </c>
      <c r="T21" s="39">
        <v>0</v>
      </c>
      <c r="U21" s="39"/>
      <c r="V21" s="39"/>
      <c r="W21" s="39">
        <f t="shared" si="0"/>
        <v>346500</v>
      </c>
      <c r="X21" s="40">
        <f t="shared" si="1"/>
        <v>3503500</v>
      </c>
      <c r="Y21" s="40"/>
      <c r="Z21" s="41"/>
      <c r="AA21" s="40">
        <f t="shared" si="5"/>
        <v>3503500</v>
      </c>
    </row>
    <row r="22" spans="1:27" s="43" customFormat="1" ht="12.75" x14ac:dyDescent="0.25">
      <c r="A22" s="135"/>
      <c r="B22" s="123">
        <v>19</v>
      </c>
      <c r="C22" s="37" t="s">
        <v>50</v>
      </c>
      <c r="D22" s="38" t="s">
        <v>32</v>
      </c>
      <c r="E22" s="39">
        <v>6583500</v>
      </c>
      <c r="F22" s="39">
        <v>30</v>
      </c>
      <c r="G22" s="39">
        <f t="shared" si="8"/>
        <v>6583500</v>
      </c>
      <c r="H22" s="39"/>
      <c r="I22" s="39"/>
      <c r="J22" s="39"/>
      <c r="K22" s="39"/>
      <c r="L22" s="39"/>
      <c r="M22" s="39"/>
      <c r="N22" s="39">
        <f t="shared" si="2"/>
        <v>6583500</v>
      </c>
      <c r="O22" s="39">
        <f>+G22*4%</f>
        <v>263340</v>
      </c>
      <c r="P22" s="39">
        <f t="shared" si="9"/>
        <v>263340</v>
      </c>
      <c r="Q22" s="39"/>
      <c r="R22" s="39"/>
      <c r="S22" s="39">
        <f t="shared" si="3"/>
        <v>65835</v>
      </c>
      <c r="T22" s="48">
        <v>83706</v>
      </c>
      <c r="U22" s="39">
        <v>1560000</v>
      </c>
      <c r="V22" s="39"/>
      <c r="W22" s="39">
        <f t="shared" si="0"/>
        <v>2236221</v>
      </c>
      <c r="X22" s="40">
        <f>+N22-W22</f>
        <v>4347279</v>
      </c>
      <c r="Y22" s="40"/>
      <c r="Z22" s="41"/>
      <c r="AA22" s="40">
        <f t="shared" si="5"/>
        <v>4347279</v>
      </c>
    </row>
    <row r="23" spans="1:27" s="43" customFormat="1" ht="26.25" customHeight="1" x14ac:dyDescent="0.25">
      <c r="A23" s="135"/>
      <c r="B23" s="123">
        <v>20</v>
      </c>
      <c r="C23" s="37" t="s">
        <v>51</v>
      </c>
      <c r="D23" s="38" t="s">
        <v>32</v>
      </c>
      <c r="E23" s="39">
        <v>3500000</v>
      </c>
      <c r="F23" s="39">
        <v>30</v>
      </c>
      <c r="G23" s="39">
        <f t="shared" si="8"/>
        <v>3500000</v>
      </c>
      <c r="H23" s="39"/>
      <c r="I23" s="39"/>
      <c r="J23" s="39"/>
      <c r="K23" s="39"/>
      <c r="L23" s="39"/>
      <c r="M23" s="39">
        <v>500000</v>
      </c>
      <c r="N23" s="39">
        <f t="shared" si="2"/>
        <v>4000000</v>
      </c>
      <c r="O23" s="39">
        <f>+G23*4%</f>
        <v>140000</v>
      </c>
      <c r="P23" s="39">
        <f t="shared" si="9"/>
        <v>140000</v>
      </c>
      <c r="Q23" s="39"/>
      <c r="R23" s="39"/>
      <c r="S23" s="39">
        <f t="shared" si="3"/>
        <v>35000</v>
      </c>
      <c r="T23" s="39">
        <v>0</v>
      </c>
      <c r="U23" s="39"/>
      <c r="V23" s="39">
        <v>500000</v>
      </c>
      <c r="W23" s="39">
        <f t="shared" si="0"/>
        <v>815000</v>
      </c>
      <c r="X23" s="40">
        <f>+N23-W23</f>
        <v>3185000</v>
      </c>
      <c r="Y23" s="40"/>
      <c r="Z23" s="41"/>
      <c r="AA23" s="40">
        <f t="shared" si="5"/>
        <v>3185000</v>
      </c>
    </row>
    <row r="24" spans="1:27" s="43" customFormat="1" ht="26.25" customHeight="1" x14ac:dyDescent="0.25">
      <c r="A24" s="135"/>
      <c r="B24" s="123">
        <v>21</v>
      </c>
      <c r="C24" s="37" t="s">
        <v>105</v>
      </c>
      <c r="D24" s="38" t="s">
        <v>32</v>
      </c>
      <c r="E24" s="39">
        <v>4200000</v>
      </c>
      <c r="F24" s="39">
        <v>30</v>
      </c>
      <c r="G24" s="39">
        <f t="shared" si="8"/>
        <v>4200000</v>
      </c>
      <c r="H24" s="39"/>
      <c r="I24" s="39"/>
      <c r="J24" s="39"/>
      <c r="K24" s="39"/>
      <c r="L24" s="39"/>
      <c r="M24" s="39"/>
      <c r="N24" s="39">
        <f t="shared" si="2"/>
        <v>4200000</v>
      </c>
      <c r="O24" s="39">
        <f>+G24*4%</f>
        <v>168000</v>
      </c>
      <c r="P24" s="39">
        <f t="shared" si="9"/>
        <v>168000</v>
      </c>
      <c r="Q24" s="39"/>
      <c r="R24" s="39"/>
      <c r="S24" s="39">
        <f t="shared" si="3"/>
        <v>42000</v>
      </c>
      <c r="T24" s="39">
        <v>2545</v>
      </c>
      <c r="U24" s="39"/>
      <c r="V24" s="39"/>
      <c r="W24" s="39">
        <f t="shared" si="0"/>
        <v>380545</v>
      </c>
      <c r="X24" s="40">
        <f>+N24-W24</f>
        <v>3819455</v>
      </c>
      <c r="Y24" s="40"/>
      <c r="Z24" s="41"/>
      <c r="AA24" s="40">
        <f t="shared" si="5"/>
        <v>3819455</v>
      </c>
    </row>
    <row r="25" spans="1:27" s="43" customFormat="1" ht="19.5" customHeight="1" x14ac:dyDescent="0.25">
      <c r="A25" s="135"/>
      <c r="B25" s="123" t="s">
        <v>1</v>
      </c>
      <c r="C25" s="118" t="s">
        <v>53</v>
      </c>
      <c r="D25" s="45" t="s">
        <v>32</v>
      </c>
      <c r="E25" s="39">
        <v>4200000</v>
      </c>
      <c r="F25" s="39">
        <v>30</v>
      </c>
      <c r="G25" s="39">
        <f t="shared" si="8"/>
        <v>4200000</v>
      </c>
      <c r="H25" s="39"/>
      <c r="I25" s="39"/>
      <c r="J25" s="39"/>
      <c r="K25" s="39"/>
      <c r="L25" s="39"/>
      <c r="M25" s="39"/>
      <c r="N25" s="39">
        <f t="shared" si="2"/>
        <v>4200000</v>
      </c>
      <c r="O25" s="39">
        <f t="shared" ref="O25" si="10">+G25*4%</f>
        <v>168000</v>
      </c>
      <c r="P25" s="39">
        <f t="shared" si="9"/>
        <v>168000</v>
      </c>
      <c r="Q25" s="39"/>
      <c r="R25" s="39"/>
      <c r="S25" s="39">
        <f>N25*1%</f>
        <v>42000</v>
      </c>
      <c r="T25" s="39">
        <v>2545</v>
      </c>
      <c r="U25" s="39"/>
      <c r="V25" s="39"/>
      <c r="W25" s="39">
        <f t="shared" si="0"/>
        <v>380545</v>
      </c>
      <c r="X25" s="40">
        <f>N25-W25</f>
        <v>3819455</v>
      </c>
      <c r="Y25" s="40"/>
      <c r="Z25" s="41"/>
      <c r="AA25" s="40">
        <f t="shared" si="5"/>
        <v>3819455</v>
      </c>
    </row>
    <row r="26" spans="1:27" s="43" customFormat="1" ht="19.5" customHeight="1" x14ac:dyDescent="0.25">
      <c r="A26" s="135"/>
      <c r="B26" s="123">
        <v>23</v>
      </c>
      <c r="C26" s="139" t="s">
        <v>54</v>
      </c>
      <c r="D26" s="42" t="s">
        <v>32</v>
      </c>
      <c r="E26" s="39">
        <v>5000000</v>
      </c>
      <c r="F26" s="39">
        <v>30</v>
      </c>
      <c r="G26" s="39">
        <f t="shared" si="8"/>
        <v>5000000</v>
      </c>
      <c r="H26" s="39"/>
      <c r="I26" s="39"/>
      <c r="J26" s="39"/>
      <c r="K26" s="39"/>
      <c r="L26" s="39"/>
      <c r="M26" s="39">
        <f>400000/30*F26</f>
        <v>400000</v>
      </c>
      <c r="N26" s="39">
        <f t="shared" si="2"/>
        <v>5400000</v>
      </c>
      <c r="O26" s="39">
        <f>G26*4%</f>
        <v>200000</v>
      </c>
      <c r="P26" s="39">
        <f>O26</f>
        <v>200000</v>
      </c>
      <c r="Q26" s="39"/>
      <c r="R26" s="39"/>
      <c r="S26" s="39">
        <f>G26*1%</f>
        <v>50000</v>
      </c>
      <c r="T26" s="39">
        <v>166439</v>
      </c>
      <c r="U26" s="39"/>
      <c r="V26" s="39"/>
      <c r="W26" s="39">
        <f t="shared" si="0"/>
        <v>616439</v>
      </c>
      <c r="X26" s="40">
        <f>N26-W26</f>
        <v>4783561</v>
      </c>
      <c r="Y26" s="40"/>
      <c r="Z26" s="41"/>
      <c r="AA26" s="40">
        <f t="shared" si="5"/>
        <v>4783561</v>
      </c>
    </row>
    <row r="27" spans="1:27" s="43" customFormat="1" ht="25.5" x14ac:dyDescent="0.25">
      <c r="A27" s="135"/>
      <c r="B27" s="123">
        <v>24</v>
      </c>
      <c r="C27" s="37" t="s">
        <v>55</v>
      </c>
      <c r="D27" s="38" t="s">
        <v>32</v>
      </c>
      <c r="E27" s="39">
        <v>4410000</v>
      </c>
      <c r="F27" s="39">
        <v>30</v>
      </c>
      <c r="G27" s="39">
        <f t="shared" si="8"/>
        <v>4410000</v>
      </c>
      <c r="H27" s="39"/>
      <c r="I27" s="39"/>
      <c r="J27" s="39"/>
      <c r="K27" s="39"/>
      <c r="L27" s="39"/>
      <c r="M27" s="39"/>
      <c r="N27" s="39">
        <f>SUM(G27:M27)</f>
        <v>4410000</v>
      </c>
      <c r="O27" s="39">
        <f>+G27*4%</f>
        <v>176400</v>
      </c>
      <c r="P27" s="39">
        <f>+O27</f>
        <v>176400</v>
      </c>
      <c r="Q27" s="39"/>
      <c r="R27" s="39"/>
      <c r="S27" s="39">
        <f t="shared" si="3"/>
        <v>44100</v>
      </c>
      <c r="T27" s="39">
        <v>86568</v>
      </c>
      <c r="U27" s="39"/>
      <c r="V27" s="39"/>
      <c r="W27" s="39">
        <f t="shared" si="0"/>
        <v>483468</v>
      </c>
      <c r="X27" s="40">
        <f>+N27-W27</f>
        <v>3926532</v>
      </c>
      <c r="Y27" s="40"/>
      <c r="Z27" s="41"/>
      <c r="AA27" s="40">
        <f t="shared" si="5"/>
        <v>3926532</v>
      </c>
    </row>
    <row r="28" spans="1:27" s="43" customFormat="1" ht="12.75" x14ac:dyDescent="0.25">
      <c r="A28" s="135"/>
      <c r="B28" s="123">
        <v>25</v>
      </c>
      <c r="C28" s="37" t="s">
        <v>109</v>
      </c>
      <c r="D28" s="38" t="s">
        <v>32</v>
      </c>
      <c r="E28" s="39">
        <v>4200000</v>
      </c>
      <c r="F28" s="39">
        <v>30</v>
      </c>
      <c r="G28" s="39">
        <f t="shared" si="8"/>
        <v>4200000</v>
      </c>
      <c r="H28" s="39"/>
      <c r="I28" s="39"/>
      <c r="J28" s="39"/>
      <c r="K28" s="39"/>
      <c r="L28" s="39"/>
      <c r="M28" s="39"/>
      <c r="N28" s="39">
        <f>SUM(G28:M28)</f>
        <v>4200000</v>
      </c>
      <c r="O28" s="39">
        <f>+G28*4%</f>
        <v>168000</v>
      </c>
      <c r="P28" s="39">
        <f>+O28</f>
        <v>168000</v>
      </c>
      <c r="Q28" s="39"/>
      <c r="R28" s="39"/>
      <c r="S28" s="39">
        <v>42000</v>
      </c>
      <c r="T28" s="39">
        <v>2545</v>
      </c>
      <c r="U28" s="39"/>
      <c r="V28" s="39"/>
      <c r="W28" s="39">
        <f t="shared" si="0"/>
        <v>380545</v>
      </c>
      <c r="X28" s="40">
        <f>+N28-W28</f>
        <v>3819455</v>
      </c>
      <c r="Y28" s="40"/>
      <c r="Z28" s="41"/>
      <c r="AA28" s="40">
        <f t="shared" si="5"/>
        <v>3819455</v>
      </c>
    </row>
    <row r="29" spans="1:27" s="43" customFormat="1" ht="12.75" x14ac:dyDescent="0.25">
      <c r="A29" s="135"/>
      <c r="B29" s="123">
        <v>26</v>
      </c>
      <c r="C29" s="138" t="s">
        <v>56</v>
      </c>
      <c r="D29" s="96" t="s">
        <v>32</v>
      </c>
      <c r="E29" s="39">
        <v>4180000</v>
      </c>
      <c r="F29" s="39">
        <v>30</v>
      </c>
      <c r="G29" s="39">
        <f t="shared" si="8"/>
        <v>4180000.0000000005</v>
      </c>
      <c r="H29" s="39"/>
      <c r="I29" s="39"/>
      <c r="J29" s="39"/>
      <c r="K29" s="39"/>
      <c r="L29" s="39"/>
      <c r="M29" s="39">
        <v>500000</v>
      </c>
      <c r="N29" s="39">
        <f>SUM(G29:M29)</f>
        <v>4680000</v>
      </c>
      <c r="O29" s="39">
        <f>+G29*4%</f>
        <v>167200.00000000003</v>
      </c>
      <c r="P29" s="39">
        <f>+O29</f>
        <v>167200.00000000003</v>
      </c>
      <c r="Q29" s="39"/>
      <c r="R29" s="39"/>
      <c r="S29" s="39">
        <f t="shared" si="3"/>
        <v>41800.000000000007</v>
      </c>
      <c r="T29" s="39">
        <v>55432</v>
      </c>
      <c r="U29" s="39"/>
      <c r="V29" s="39"/>
      <c r="W29" s="39">
        <f t="shared" si="0"/>
        <v>431632.00000000006</v>
      </c>
      <c r="X29" s="40">
        <f>+N29-W29</f>
        <v>4248368</v>
      </c>
      <c r="Y29" s="40"/>
      <c r="Z29" s="41"/>
      <c r="AA29" s="40">
        <f t="shared" si="5"/>
        <v>4248368</v>
      </c>
    </row>
    <row r="30" spans="1:27" s="43" customFormat="1" ht="21.75" customHeight="1" x14ac:dyDescent="0.25">
      <c r="A30" s="135"/>
      <c r="B30" s="123">
        <v>27</v>
      </c>
      <c r="C30" s="37" t="s">
        <v>58</v>
      </c>
      <c r="D30" s="38" t="s">
        <v>32</v>
      </c>
      <c r="E30" s="39">
        <v>4500000</v>
      </c>
      <c r="F30" s="39">
        <v>30</v>
      </c>
      <c r="G30" s="39">
        <f t="shared" si="8"/>
        <v>4500000</v>
      </c>
      <c r="H30" s="39"/>
      <c r="I30" s="39"/>
      <c r="J30" s="39"/>
      <c r="K30" s="39"/>
      <c r="L30" s="39"/>
      <c r="M30" s="39">
        <v>300000</v>
      </c>
      <c r="N30" s="39">
        <f t="shared" ref="N30:N31" si="11">SUM(G30:M30)</f>
        <v>4800000</v>
      </c>
      <c r="O30" s="39">
        <f t="shared" ref="O30" si="12">+G30*4%</f>
        <v>180000</v>
      </c>
      <c r="P30" s="39">
        <f>O30</f>
        <v>180000</v>
      </c>
      <c r="Q30" s="39"/>
      <c r="R30" s="39"/>
      <c r="S30" s="39">
        <v>45000</v>
      </c>
      <c r="T30" s="39">
        <v>98752</v>
      </c>
      <c r="U30" s="39"/>
      <c r="V30" s="39"/>
      <c r="W30" s="39">
        <f t="shared" si="0"/>
        <v>503752</v>
      </c>
      <c r="X30" s="40">
        <f>N30-W30</f>
        <v>4296248</v>
      </c>
      <c r="Y30" s="40"/>
      <c r="Z30" s="41"/>
      <c r="AA30" s="40">
        <f t="shared" si="5"/>
        <v>4296248</v>
      </c>
    </row>
    <row r="31" spans="1:27" s="43" customFormat="1" ht="23.25" customHeight="1" x14ac:dyDescent="0.25">
      <c r="A31" s="135"/>
      <c r="B31" s="123">
        <v>28</v>
      </c>
      <c r="C31" s="37" t="s">
        <v>59</v>
      </c>
      <c r="D31" s="38" t="s">
        <v>32</v>
      </c>
      <c r="E31" s="39">
        <v>5747500</v>
      </c>
      <c r="F31" s="39">
        <v>30</v>
      </c>
      <c r="G31" s="39">
        <f t="shared" si="8"/>
        <v>5747500</v>
      </c>
      <c r="H31" s="39"/>
      <c r="I31" s="39"/>
      <c r="J31" s="39"/>
      <c r="K31" s="39"/>
      <c r="L31" s="39"/>
      <c r="M31" s="39">
        <v>500000</v>
      </c>
      <c r="N31" s="39">
        <f t="shared" si="11"/>
        <v>6247500</v>
      </c>
      <c r="O31" s="39">
        <f>+G31*4%</f>
        <v>229900</v>
      </c>
      <c r="P31" s="39">
        <f>+O31</f>
        <v>229900</v>
      </c>
      <c r="Q31" s="39"/>
      <c r="R31" s="39"/>
      <c r="S31" s="39">
        <f t="shared" si="3"/>
        <v>57475</v>
      </c>
      <c r="T31" s="39">
        <v>91627</v>
      </c>
      <c r="U31" s="39">
        <v>1000000</v>
      </c>
      <c r="V31" s="39"/>
      <c r="W31" s="39">
        <f t="shared" si="0"/>
        <v>1608902</v>
      </c>
      <c r="X31" s="40">
        <f>N31-W31</f>
        <v>4638598</v>
      </c>
      <c r="Y31" s="40"/>
      <c r="Z31" s="41"/>
      <c r="AA31" s="40">
        <f t="shared" si="5"/>
        <v>4638598</v>
      </c>
    </row>
    <row r="32" spans="1:27" s="43" customFormat="1" ht="23.25" customHeight="1" x14ac:dyDescent="0.25">
      <c r="A32" s="120" t="s">
        <v>60</v>
      </c>
      <c r="B32" s="123">
        <v>29</v>
      </c>
      <c r="C32" s="37" t="s">
        <v>61</v>
      </c>
      <c r="D32" s="38" t="s">
        <v>32</v>
      </c>
      <c r="E32" s="39">
        <v>1500000</v>
      </c>
      <c r="F32" s="39">
        <v>30</v>
      </c>
      <c r="G32" s="39">
        <f t="shared" si="8"/>
        <v>1500000</v>
      </c>
      <c r="H32" s="39"/>
      <c r="I32" s="39"/>
      <c r="J32" s="39"/>
      <c r="K32" s="39"/>
      <c r="L32" s="39"/>
      <c r="M32" s="39">
        <v>522500</v>
      </c>
      <c r="N32" s="39">
        <f>SUM(G32:M32)</f>
        <v>2022500</v>
      </c>
      <c r="O32" s="39">
        <f>+G32*4%</f>
        <v>60000</v>
      </c>
      <c r="P32" s="39">
        <f>+O32</f>
        <v>60000</v>
      </c>
      <c r="Q32" s="39"/>
      <c r="R32" s="39"/>
      <c r="S32" s="39"/>
      <c r="T32" s="48"/>
      <c r="U32" s="39"/>
      <c r="V32" s="39"/>
      <c r="W32" s="39">
        <f t="shared" si="0"/>
        <v>120000</v>
      </c>
      <c r="X32" s="40">
        <f>+N32-W32</f>
        <v>1902500</v>
      </c>
      <c r="Y32" s="40"/>
      <c r="Z32" s="41"/>
      <c r="AA32" s="40">
        <f t="shared" si="5"/>
        <v>1902500</v>
      </c>
    </row>
    <row r="33" spans="1:28" s="43" customFormat="1" ht="23.25" customHeight="1" x14ac:dyDescent="0.25">
      <c r="A33" s="120"/>
      <c r="B33" s="123">
        <v>30</v>
      </c>
      <c r="C33" s="37" t="s">
        <v>65</v>
      </c>
      <c r="D33" s="38" t="s">
        <v>32</v>
      </c>
      <c r="E33" s="39">
        <v>644350</v>
      </c>
      <c r="F33" s="39">
        <v>30</v>
      </c>
      <c r="G33" s="39">
        <f>E33/30*F33</f>
        <v>644350</v>
      </c>
      <c r="H33" s="39"/>
      <c r="I33" s="39"/>
      <c r="J33" s="39"/>
      <c r="K33" s="39"/>
      <c r="L33" s="39"/>
      <c r="M33" s="39"/>
      <c r="N33" s="39">
        <f t="shared" ref="N33:N49" si="13">SUM(G33:M33)</f>
        <v>644350</v>
      </c>
      <c r="O33" s="39"/>
      <c r="P33" s="39"/>
      <c r="Q33" s="39"/>
      <c r="R33" s="39"/>
      <c r="S33" s="39"/>
      <c r="T33" s="39"/>
      <c r="U33" s="39"/>
      <c r="V33" s="39"/>
      <c r="W33" s="39">
        <f t="shared" si="0"/>
        <v>0</v>
      </c>
      <c r="X33" s="40">
        <f>N33</f>
        <v>644350</v>
      </c>
      <c r="Y33" s="40"/>
      <c r="Z33" s="41"/>
      <c r="AA33" s="40">
        <f t="shared" si="5"/>
        <v>644350</v>
      </c>
    </row>
    <row r="34" spans="1:28" s="43" customFormat="1" ht="22.5" customHeight="1" x14ac:dyDescent="0.25">
      <c r="A34" s="120"/>
      <c r="B34" s="123">
        <v>31</v>
      </c>
      <c r="C34" s="37" t="s">
        <v>66</v>
      </c>
      <c r="D34" s="38" t="s">
        <v>32</v>
      </c>
      <c r="E34" s="39">
        <v>644350</v>
      </c>
      <c r="F34" s="39">
        <v>30</v>
      </c>
      <c r="G34" s="39">
        <f>E34/30*F34</f>
        <v>644350</v>
      </c>
      <c r="H34" s="39"/>
      <c r="I34" s="39"/>
      <c r="J34" s="39"/>
      <c r="K34" s="39"/>
      <c r="L34" s="39"/>
      <c r="M34" s="39"/>
      <c r="N34" s="39">
        <f t="shared" si="13"/>
        <v>644350</v>
      </c>
      <c r="O34" s="39"/>
      <c r="P34" s="39"/>
      <c r="Q34" s="39"/>
      <c r="R34" s="39"/>
      <c r="S34" s="39"/>
      <c r="T34" s="39"/>
      <c r="U34" s="39"/>
      <c r="V34" s="39"/>
      <c r="W34" s="39">
        <f t="shared" si="0"/>
        <v>0</v>
      </c>
      <c r="X34" s="40">
        <f>N34</f>
        <v>644350</v>
      </c>
      <c r="Y34" s="40"/>
      <c r="Z34" s="41"/>
      <c r="AA34" s="40">
        <f t="shared" si="5"/>
        <v>644350</v>
      </c>
    </row>
    <row r="35" spans="1:28" s="43" customFormat="1" ht="18" customHeight="1" x14ac:dyDescent="0.25">
      <c r="A35" s="120"/>
      <c r="B35" s="123">
        <v>32</v>
      </c>
      <c r="C35" s="118" t="s">
        <v>67</v>
      </c>
      <c r="D35" s="45" t="s">
        <v>32</v>
      </c>
      <c r="E35" s="39">
        <v>1300000</v>
      </c>
      <c r="F35" s="39">
        <v>30</v>
      </c>
      <c r="G35" s="39">
        <f>+E35/30*F35</f>
        <v>1300000</v>
      </c>
      <c r="H35" s="39"/>
      <c r="I35" s="39"/>
      <c r="J35" s="39"/>
      <c r="K35" s="39"/>
      <c r="L35" s="39"/>
      <c r="M35" s="39"/>
      <c r="N35" s="39">
        <f t="shared" si="13"/>
        <v>1300000</v>
      </c>
      <c r="O35" s="39">
        <f>G35*4%</f>
        <v>52000</v>
      </c>
      <c r="P35" s="39">
        <f>+O35</f>
        <v>52000</v>
      </c>
      <c r="Q35" s="39"/>
      <c r="R35" s="39"/>
      <c r="S35" s="39"/>
      <c r="T35" s="39"/>
      <c r="U35" s="39"/>
      <c r="V35" s="39"/>
      <c r="W35" s="39">
        <f t="shared" si="0"/>
        <v>104000</v>
      </c>
      <c r="X35" s="40">
        <f>N35-W35</f>
        <v>1196000</v>
      </c>
      <c r="Y35" s="40"/>
      <c r="Z35" s="41"/>
      <c r="AA35" s="40">
        <f t="shared" si="5"/>
        <v>1196000</v>
      </c>
    </row>
    <row r="36" spans="1:28" s="43" customFormat="1" ht="24" customHeight="1" x14ac:dyDescent="0.25">
      <c r="A36" s="120"/>
      <c r="B36" s="123">
        <v>33</v>
      </c>
      <c r="C36" s="37" t="s">
        <v>68</v>
      </c>
      <c r="D36" s="38" t="s">
        <v>32</v>
      </c>
      <c r="E36" s="39">
        <v>2500000</v>
      </c>
      <c r="F36" s="39">
        <v>30</v>
      </c>
      <c r="G36" s="39">
        <v>2500000</v>
      </c>
      <c r="H36" s="39"/>
      <c r="I36" s="39"/>
      <c r="J36" s="39"/>
      <c r="K36" s="39"/>
      <c r="L36" s="39"/>
      <c r="M36" s="39">
        <v>500000</v>
      </c>
      <c r="N36" s="39">
        <f t="shared" si="13"/>
        <v>3000000</v>
      </c>
      <c r="O36" s="39">
        <f>G36*4%</f>
        <v>100000</v>
      </c>
      <c r="P36" s="39">
        <f>O36</f>
        <v>100000</v>
      </c>
      <c r="Q36" s="39"/>
      <c r="R36" s="39"/>
      <c r="S36" s="39"/>
      <c r="T36" s="39"/>
      <c r="U36" s="39"/>
      <c r="V36" s="39"/>
      <c r="W36" s="39">
        <f t="shared" si="0"/>
        <v>200000</v>
      </c>
      <c r="X36" s="40">
        <f t="shared" ref="X36:X40" si="14">N36-W36</f>
        <v>2800000</v>
      </c>
      <c r="Y36" s="40"/>
      <c r="Z36" s="41"/>
      <c r="AA36" s="40">
        <f t="shared" si="5"/>
        <v>2800000</v>
      </c>
    </row>
    <row r="37" spans="1:28" s="43" customFormat="1" ht="12.75" x14ac:dyDescent="0.25">
      <c r="A37" s="120"/>
      <c r="B37" s="123">
        <v>34</v>
      </c>
      <c r="C37" s="37" t="s">
        <v>70</v>
      </c>
      <c r="D37" s="38" t="s">
        <v>32</v>
      </c>
      <c r="E37" s="39">
        <v>1700000</v>
      </c>
      <c r="F37" s="39">
        <v>30</v>
      </c>
      <c r="G37" s="39">
        <f>E37/30*F37</f>
        <v>1700000</v>
      </c>
      <c r="H37" s="39"/>
      <c r="I37" s="39"/>
      <c r="J37" s="39"/>
      <c r="K37" s="39"/>
      <c r="L37" s="39"/>
      <c r="M37" s="39"/>
      <c r="N37" s="39">
        <f t="shared" si="13"/>
        <v>1700000</v>
      </c>
      <c r="O37" s="39">
        <f t="shared" ref="O37" si="15">G37*4%</f>
        <v>68000</v>
      </c>
      <c r="P37" s="39">
        <f>O37</f>
        <v>68000</v>
      </c>
      <c r="Q37" s="39"/>
      <c r="R37" s="39"/>
      <c r="S37" s="39"/>
      <c r="T37" s="39"/>
      <c r="U37" s="39"/>
      <c r="V37" s="39"/>
      <c r="W37" s="39">
        <f t="shared" si="0"/>
        <v>136000</v>
      </c>
      <c r="X37" s="40">
        <f t="shared" si="14"/>
        <v>1564000</v>
      </c>
      <c r="Y37" s="40"/>
      <c r="Z37" s="41"/>
      <c r="AA37" s="40">
        <f t="shared" si="5"/>
        <v>1564000</v>
      </c>
    </row>
    <row r="38" spans="1:28" s="43" customFormat="1" ht="25.5" customHeight="1" x14ac:dyDescent="0.25">
      <c r="A38" s="120"/>
      <c r="B38" s="123">
        <v>35</v>
      </c>
      <c r="C38" s="37" t="s">
        <v>71</v>
      </c>
      <c r="D38" s="38" t="s">
        <v>32</v>
      </c>
      <c r="E38" s="39">
        <v>1300000</v>
      </c>
      <c r="F38" s="39">
        <v>30</v>
      </c>
      <c r="G38" s="39">
        <f>E38/30*F38</f>
        <v>1300000</v>
      </c>
      <c r="H38" s="39"/>
      <c r="I38" s="39"/>
      <c r="J38" s="39"/>
      <c r="K38" s="39"/>
      <c r="L38" s="39"/>
      <c r="M38" s="39"/>
      <c r="N38" s="39">
        <f t="shared" si="13"/>
        <v>1300000</v>
      </c>
      <c r="O38" s="39">
        <f>G38*4%</f>
        <v>52000</v>
      </c>
      <c r="P38" s="39">
        <f>O38</f>
        <v>52000</v>
      </c>
      <c r="Q38" s="39"/>
      <c r="R38" s="39"/>
      <c r="S38" s="39"/>
      <c r="T38" s="39"/>
      <c r="U38" s="39"/>
      <c r="V38" s="39"/>
      <c r="W38" s="39">
        <f t="shared" si="0"/>
        <v>104000</v>
      </c>
      <c r="X38" s="40">
        <f t="shared" si="14"/>
        <v>1196000</v>
      </c>
      <c r="Y38" s="40"/>
      <c r="Z38" s="41"/>
      <c r="AA38" s="40">
        <f t="shared" si="5"/>
        <v>1196000</v>
      </c>
    </row>
    <row r="39" spans="1:28" s="43" customFormat="1" ht="12.75" x14ac:dyDescent="0.25">
      <c r="A39" s="120"/>
      <c r="B39" s="123">
        <v>36</v>
      </c>
      <c r="C39" s="118" t="s">
        <v>111</v>
      </c>
      <c r="D39" s="45" t="s">
        <v>32</v>
      </c>
      <c r="E39" s="39">
        <v>644350</v>
      </c>
      <c r="F39" s="39">
        <v>30</v>
      </c>
      <c r="G39" s="39">
        <f>+E39/30*F39</f>
        <v>644350</v>
      </c>
      <c r="H39" s="39">
        <v>74000</v>
      </c>
      <c r="I39" s="39"/>
      <c r="J39" s="39"/>
      <c r="K39" s="39"/>
      <c r="L39" s="39"/>
      <c r="M39" s="39">
        <v>67000</v>
      </c>
      <c r="N39" s="39">
        <f t="shared" si="13"/>
        <v>785350</v>
      </c>
      <c r="O39" s="39">
        <f t="shared" ref="O39:O44" si="16">+G39*4%</f>
        <v>25774</v>
      </c>
      <c r="P39" s="39">
        <f>+O39</f>
        <v>25774</v>
      </c>
      <c r="Q39" s="39"/>
      <c r="R39" s="39"/>
      <c r="S39" s="39"/>
      <c r="T39" s="39"/>
      <c r="U39" s="39"/>
      <c r="V39" s="39">
        <v>100000</v>
      </c>
      <c r="W39" s="39">
        <f t="shared" si="0"/>
        <v>151548</v>
      </c>
      <c r="X39" s="40">
        <f t="shared" si="14"/>
        <v>633802</v>
      </c>
      <c r="Y39" s="40"/>
      <c r="Z39" s="41"/>
      <c r="AA39" s="40">
        <f t="shared" si="5"/>
        <v>633802</v>
      </c>
    </row>
    <row r="40" spans="1:28" s="43" customFormat="1" ht="12.75" x14ac:dyDescent="0.25">
      <c r="A40" s="120"/>
      <c r="B40" s="123">
        <v>37</v>
      </c>
      <c r="C40" s="118" t="s">
        <v>112</v>
      </c>
      <c r="D40" s="45" t="s">
        <v>32</v>
      </c>
      <c r="E40" s="39">
        <v>1500000</v>
      </c>
      <c r="F40" s="39">
        <v>30</v>
      </c>
      <c r="G40" s="39">
        <f>+E40/30*F40</f>
        <v>1500000</v>
      </c>
      <c r="H40" s="39"/>
      <c r="I40" s="39"/>
      <c r="J40" s="39"/>
      <c r="K40" s="39"/>
      <c r="L40" s="39"/>
      <c r="M40" s="39"/>
      <c r="N40" s="39">
        <f t="shared" si="13"/>
        <v>1500000</v>
      </c>
      <c r="O40" s="39">
        <f t="shared" si="16"/>
        <v>60000</v>
      </c>
      <c r="P40" s="39">
        <f>+O40</f>
        <v>60000</v>
      </c>
      <c r="Q40" s="39"/>
      <c r="R40" s="39"/>
      <c r="S40" s="39"/>
      <c r="T40" s="39"/>
      <c r="U40" s="39"/>
      <c r="V40" s="39"/>
      <c r="W40" s="39">
        <f t="shared" si="0"/>
        <v>120000</v>
      </c>
      <c r="X40" s="40">
        <f t="shared" si="14"/>
        <v>1380000</v>
      </c>
      <c r="Y40" s="40"/>
      <c r="Z40" s="41"/>
      <c r="AA40" s="40">
        <f t="shared" si="5"/>
        <v>1380000</v>
      </c>
    </row>
    <row r="41" spans="1:28" s="43" customFormat="1" ht="12.75" x14ac:dyDescent="0.25">
      <c r="A41" s="120"/>
      <c r="B41" s="123">
        <v>38</v>
      </c>
      <c r="C41" s="37" t="s">
        <v>74</v>
      </c>
      <c r="D41" s="38" t="s">
        <v>32</v>
      </c>
      <c r="E41" s="39">
        <v>1000000</v>
      </c>
      <c r="F41" s="39">
        <v>30</v>
      </c>
      <c r="G41" s="39">
        <f>+E41/30*F41</f>
        <v>1000000.0000000001</v>
      </c>
      <c r="H41" s="39">
        <v>74000</v>
      </c>
      <c r="I41" s="39"/>
      <c r="J41" s="39"/>
      <c r="K41" s="39"/>
      <c r="L41" s="39"/>
      <c r="M41" s="39"/>
      <c r="N41" s="39">
        <f t="shared" si="13"/>
        <v>1074000</v>
      </c>
      <c r="O41" s="39">
        <f t="shared" si="16"/>
        <v>40000.000000000007</v>
      </c>
      <c r="P41" s="39">
        <f t="shared" ref="P41:P50" si="17">+O41</f>
        <v>40000.000000000007</v>
      </c>
      <c r="Q41" s="39"/>
      <c r="R41" s="39"/>
      <c r="S41" s="39"/>
      <c r="T41" s="39"/>
      <c r="U41" s="39"/>
      <c r="V41" s="39"/>
      <c r="W41" s="39">
        <f t="shared" si="0"/>
        <v>80000.000000000015</v>
      </c>
      <c r="X41" s="40">
        <f t="shared" ref="X41:X46" si="18">+N41-W41</f>
        <v>994000</v>
      </c>
      <c r="Y41" s="40"/>
      <c r="Z41" s="41"/>
      <c r="AA41" s="40">
        <f t="shared" si="5"/>
        <v>994000</v>
      </c>
    </row>
    <row r="42" spans="1:28" s="43" customFormat="1" ht="22.5" customHeight="1" x14ac:dyDescent="0.25">
      <c r="A42" s="120"/>
      <c r="B42" s="123">
        <v>39</v>
      </c>
      <c r="C42" s="37" t="s">
        <v>75</v>
      </c>
      <c r="D42" s="38" t="s">
        <v>32</v>
      </c>
      <c r="E42" s="39">
        <v>3000000</v>
      </c>
      <c r="F42" s="39">
        <v>30</v>
      </c>
      <c r="G42" s="39">
        <f t="shared" ref="G42:G49" si="19">+E42/30*F42</f>
        <v>3000000</v>
      </c>
      <c r="H42" s="39"/>
      <c r="I42" s="39"/>
      <c r="J42" s="39"/>
      <c r="K42" s="39"/>
      <c r="L42" s="39"/>
      <c r="M42" s="39"/>
      <c r="N42" s="39">
        <f t="shared" si="13"/>
        <v>3000000</v>
      </c>
      <c r="O42" s="39">
        <f t="shared" si="16"/>
        <v>120000</v>
      </c>
      <c r="P42" s="39">
        <f t="shared" si="17"/>
        <v>120000</v>
      </c>
      <c r="Q42" s="39"/>
      <c r="R42" s="39"/>
      <c r="S42" s="39">
        <f>N42*1%</f>
        <v>30000</v>
      </c>
      <c r="T42" s="39"/>
      <c r="U42" s="39"/>
      <c r="V42" s="39"/>
      <c r="W42" s="39">
        <f t="shared" si="0"/>
        <v>270000</v>
      </c>
      <c r="X42" s="40">
        <f t="shared" si="18"/>
        <v>2730000</v>
      </c>
      <c r="Y42" s="40"/>
      <c r="Z42" s="41"/>
      <c r="AA42" s="40">
        <f t="shared" si="5"/>
        <v>2730000</v>
      </c>
    </row>
    <row r="43" spans="1:28" s="43" customFormat="1" ht="21" customHeight="1" x14ac:dyDescent="0.25">
      <c r="A43" s="120"/>
      <c r="B43" s="123">
        <v>40</v>
      </c>
      <c r="C43" s="37" t="s">
        <v>76</v>
      </c>
      <c r="D43" s="38" t="s">
        <v>32</v>
      </c>
      <c r="E43" s="39">
        <v>2500000</v>
      </c>
      <c r="F43" s="39">
        <v>30</v>
      </c>
      <c r="G43" s="39">
        <f t="shared" si="19"/>
        <v>2500000</v>
      </c>
      <c r="H43" s="39"/>
      <c r="I43" s="39"/>
      <c r="J43" s="39"/>
      <c r="K43" s="39"/>
      <c r="L43" s="39">
        <v>90000</v>
      </c>
      <c r="M43" s="39">
        <v>500000</v>
      </c>
      <c r="N43" s="39">
        <f t="shared" si="13"/>
        <v>3090000</v>
      </c>
      <c r="O43" s="39">
        <f t="shared" si="16"/>
        <v>100000</v>
      </c>
      <c r="P43" s="39">
        <f t="shared" si="17"/>
        <v>100000</v>
      </c>
      <c r="Q43" s="39"/>
      <c r="R43" s="39"/>
      <c r="S43" s="39">
        <v>0</v>
      </c>
      <c r="T43" s="39"/>
      <c r="U43" s="39"/>
      <c r="V43" s="39"/>
      <c r="W43" s="39">
        <f t="shared" si="0"/>
        <v>200000</v>
      </c>
      <c r="X43" s="40">
        <f t="shared" si="18"/>
        <v>2890000</v>
      </c>
      <c r="Y43" s="40"/>
      <c r="Z43" s="41"/>
      <c r="AA43" s="40">
        <f t="shared" si="5"/>
        <v>2890000</v>
      </c>
      <c r="AB43" s="43" t="s">
        <v>99</v>
      </c>
    </row>
    <row r="44" spans="1:28" s="43" customFormat="1" ht="23.25" customHeight="1" x14ac:dyDescent="0.25">
      <c r="A44" s="120"/>
      <c r="B44" s="123">
        <v>41</v>
      </c>
      <c r="C44" s="37" t="s">
        <v>77</v>
      </c>
      <c r="D44" s="38" t="s">
        <v>32</v>
      </c>
      <c r="E44" s="39">
        <v>2000000</v>
      </c>
      <c r="F44" s="39">
        <v>30</v>
      </c>
      <c r="G44" s="39">
        <f t="shared" si="19"/>
        <v>2000000.0000000002</v>
      </c>
      <c r="H44" s="39"/>
      <c r="I44" s="39"/>
      <c r="J44" s="39"/>
      <c r="K44" s="39"/>
      <c r="L44" s="39"/>
      <c r="M44" s="39"/>
      <c r="N44" s="39">
        <f t="shared" si="13"/>
        <v>2000000.0000000002</v>
      </c>
      <c r="O44" s="39">
        <f t="shared" si="16"/>
        <v>80000.000000000015</v>
      </c>
      <c r="P44" s="39">
        <f t="shared" si="17"/>
        <v>80000.000000000015</v>
      </c>
      <c r="Q44" s="39"/>
      <c r="R44" s="39"/>
      <c r="S44" s="39"/>
      <c r="T44" s="48"/>
      <c r="U44" s="39"/>
      <c r="V44" s="39"/>
      <c r="W44" s="39">
        <f t="shared" si="0"/>
        <v>160000.00000000003</v>
      </c>
      <c r="X44" s="40">
        <f>N44-W44</f>
        <v>1840000.0000000002</v>
      </c>
      <c r="Y44" s="40"/>
      <c r="Z44" s="41"/>
      <c r="AA44" s="40">
        <f t="shared" si="5"/>
        <v>1840000.0000000002</v>
      </c>
    </row>
    <row r="45" spans="1:28" s="43" customFormat="1" ht="12.75" x14ac:dyDescent="0.25">
      <c r="A45" s="120"/>
      <c r="B45" s="123">
        <v>42</v>
      </c>
      <c r="C45" s="37" t="s">
        <v>78</v>
      </c>
      <c r="D45" s="38" t="s">
        <v>32</v>
      </c>
      <c r="E45" s="39">
        <v>1500000</v>
      </c>
      <c r="F45" s="39">
        <v>30</v>
      </c>
      <c r="G45" s="39">
        <f t="shared" si="19"/>
        <v>1500000</v>
      </c>
      <c r="H45" s="39"/>
      <c r="I45" s="39"/>
      <c r="J45" s="39"/>
      <c r="K45" s="39"/>
      <c r="L45" s="39"/>
      <c r="M45" s="39"/>
      <c r="N45" s="39">
        <f t="shared" si="13"/>
        <v>1500000</v>
      </c>
      <c r="O45" s="39">
        <f>G45*4%</f>
        <v>60000</v>
      </c>
      <c r="P45" s="39">
        <f t="shared" si="17"/>
        <v>60000</v>
      </c>
      <c r="Q45" s="39"/>
      <c r="R45" s="39"/>
      <c r="S45" s="39"/>
      <c r="T45" s="48"/>
      <c r="U45" s="39"/>
      <c r="V45" s="39"/>
      <c r="W45" s="39">
        <f t="shared" si="0"/>
        <v>120000</v>
      </c>
      <c r="X45" s="40">
        <f t="shared" si="18"/>
        <v>1380000</v>
      </c>
      <c r="Y45" s="40"/>
      <c r="Z45" s="41"/>
      <c r="AA45" s="40">
        <f t="shared" si="5"/>
        <v>1380000</v>
      </c>
    </row>
    <row r="46" spans="1:28" s="43" customFormat="1" ht="24.75" customHeight="1" x14ac:dyDescent="0.25">
      <c r="A46" s="120"/>
      <c r="B46" s="123">
        <v>43</v>
      </c>
      <c r="C46" s="37" t="s">
        <v>79</v>
      </c>
      <c r="D46" s="38" t="s">
        <v>32</v>
      </c>
      <c r="E46" s="39">
        <v>1300000</v>
      </c>
      <c r="F46" s="39">
        <v>30</v>
      </c>
      <c r="G46" s="39">
        <f t="shared" si="19"/>
        <v>1300000</v>
      </c>
      <c r="H46" s="39"/>
      <c r="I46" s="39"/>
      <c r="J46" s="39"/>
      <c r="K46" s="39"/>
      <c r="L46" s="39"/>
      <c r="M46" s="39">
        <v>300000</v>
      </c>
      <c r="N46" s="39">
        <f t="shared" si="13"/>
        <v>1600000</v>
      </c>
      <c r="O46" s="39">
        <f>+G46*4%</f>
        <v>52000</v>
      </c>
      <c r="P46" s="39">
        <f t="shared" si="17"/>
        <v>52000</v>
      </c>
      <c r="Q46" s="39"/>
      <c r="R46" s="39"/>
      <c r="S46" s="39"/>
      <c r="T46" s="39"/>
      <c r="U46" s="39"/>
      <c r="V46" s="39"/>
      <c r="W46" s="39">
        <f t="shared" si="0"/>
        <v>104000</v>
      </c>
      <c r="X46" s="40">
        <f t="shared" si="18"/>
        <v>1496000</v>
      </c>
      <c r="Y46" s="40"/>
      <c r="Z46" s="41"/>
      <c r="AA46" s="40">
        <f t="shared" si="5"/>
        <v>1496000</v>
      </c>
    </row>
    <row r="47" spans="1:28" s="43" customFormat="1" ht="23.25" customHeight="1" x14ac:dyDescent="0.25">
      <c r="A47" s="120"/>
      <c r="B47" s="123">
        <v>44</v>
      </c>
      <c r="C47" s="37" t="s">
        <v>80</v>
      </c>
      <c r="D47" s="38" t="s">
        <v>32</v>
      </c>
      <c r="E47" s="39">
        <v>3500000</v>
      </c>
      <c r="F47" s="39">
        <v>30</v>
      </c>
      <c r="G47" s="39">
        <f t="shared" si="19"/>
        <v>3500000</v>
      </c>
      <c r="H47" s="39"/>
      <c r="I47" s="39"/>
      <c r="J47" s="39"/>
      <c r="K47" s="39"/>
      <c r="L47" s="39"/>
      <c r="M47" s="39">
        <v>500000</v>
      </c>
      <c r="N47" s="39">
        <f t="shared" si="13"/>
        <v>4000000</v>
      </c>
      <c r="O47" s="39">
        <f>+G47*4%</f>
        <v>140000</v>
      </c>
      <c r="P47" s="39">
        <f t="shared" si="17"/>
        <v>140000</v>
      </c>
      <c r="Q47" s="39"/>
      <c r="R47" s="39"/>
      <c r="S47" s="39">
        <v>35000</v>
      </c>
      <c r="T47" s="39"/>
      <c r="U47" s="39"/>
      <c r="V47" s="39"/>
      <c r="W47" s="39">
        <f t="shared" si="0"/>
        <v>315000</v>
      </c>
      <c r="X47" s="40">
        <f>N47-W47</f>
        <v>3685000</v>
      </c>
      <c r="Y47" s="40"/>
      <c r="Z47" s="41"/>
      <c r="AA47" s="40">
        <f t="shared" si="5"/>
        <v>3685000</v>
      </c>
    </row>
    <row r="48" spans="1:28" s="43" customFormat="1" ht="22.5" customHeight="1" x14ac:dyDescent="0.25">
      <c r="A48" s="120"/>
      <c r="B48" s="123">
        <v>45</v>
      </c>
      <c r="C48" s="37" t="s">
        <v>81</v>
      </c>
      <c r="D48" s="38" t="s">
        <v>32</v>
      </c>
      <c r="E48" s="39">
        <v>1500000</v>
      </c>
      <c r="F48" s="39">
        <v>30</v>
      </c>
      <c r="G48" s="39">
        <f t="shared" si="19"/>
        <v>1500000</v>
      </c>
      <c r="H48" s="39"/>
      <c r="I48" s="39"/>
      <c r="J48" s="39"/>
      <c r="K48" s="39"/>
      <c r="L48" s="39"/>
      <c r="M48" s="39"/>
      <c r="N48" s="39">
        <f t="shared" si="13"/>
        <v>1500000</v>
      </c>
      <c r="O48" s="39">
        <f>G48*4%</f>
        <v>60000</v>
      </c>
      <c r="P48" s="39">
        <f t="shared" si="17"/>
        <v>60000</v>
      </c>
      <c r="Q48" s="39"/>
      <c r="R48" s="39"/>
      <c r="S48" s="39"/>
      <c r="T48" s="39"/>
      <c r="U48" s="39"/>
      <c r="V48" s="39"/>
      <c r="W48" s="39">
        <f t="shared" si="0"/>
        <v>120000</v>
      </c>
      <c r="X48" s="40">
        <f>N48-W48</f>
        <v>1380000</v>
      </c>
      <c r="Y48" s="40"/>
      <c r="Z48" s="41"/>
      <c r="AA48" s="40">
        <f t="shared" si="5"/>
        <v>1380000</v>
      </c>
    </row>
    <row r="49" spans="1:27" s="43" customFormat="1" ht="12.75" x14ac:dyDescent="0.25">
      <c r="A49" s="120"/>
      <c r="B49" s="123">
        <v>46</v>
      </c>
      <c r="C49" s="37" t="s">
        <v>82</v>
      </c>
      <c r="D49" s="38" t="s">
        <v>32</v>
      </c>
      <c r="E49" s="39">
        <v>2000000</v>
      </c>
      <c r="F49" s="39">
        <v>30</v>
      </c>
      <c r="G49" s="39">
        <f t="shared" si="19"/>
        <v>2000000.0000000002</v>
      </c>
      <c r="H49" s="39"/>
      <c r="I49" s="39"/>
      <c r="J49" s="39"/>
      <c r="K49" s="39"/>
      <c r="L49" s="39"/>
      <c r="M49" s="39">
        <v>500000</v>
      </c>
      <c r="N49" s="39">
        <f t="shared" si="13"/>
        <v>2500000</v>
      </c>
      <c r="O49" s="39">
        <f>G49*4%</f>
        <v>80000.000000000015</v>
      </c>
      <c r="P49" s="39">
        <f t="shared" si="17"/>
        <v>80000.000000000015</v>
      </c>
      <c r="Q49" s="39"/>
      <c r="R49" s="39"/>
      <c r="S49" s="39"/>
      <c r="T49" s="39"/>
      <c r="U49" s="39"/>
      <c r="V49" s="39"/>
      <c r="W49" s="39">
        <f t="shared" si="0"/>
        <v>160000.00000000003</v>
      </c>
      <c r="X49" s="40">
        <f>N49-W49</f>
        <v>2340000</v>
      </c>
      <c r="Y49" s="40"/>
      <c r="Z49" s="41"/>
      <c r="AA49" s="40">
        <f t="shared" si="5"/>
        <v>2340000</v>
      </c>
    </row>
    <row r="50" spans="1:27" s="43" customFormat="1" ht="12.75" x14ac:dyDescent="0.25">
      <c r="A50" s="120"/>
      <c r="B50" s="123">
        <v>47</v>
      </c>
      <c r="C50" s="118" t="s">
        <v>83</v>
      </c>
      <c r="D50" s="45" t="s">
        <v>32</v>
      </c>
      <c r="E50" s="39">
        <v>2000000</v>
      </c>
      <c r="F50" s="39">
        <v>30</v>
      </c>
      <c r="G50" s="39">
        <v>2000000</v>
      </c>
      <c r="H50" s="39"/>
      <c r="I50" s="39"/>
      <c r="J50" s="39"/>
      <c r="K50" s="39"/>
      <c r="L50" s="39"/>
      <c r="M50" s="39">
        <v>500000</v>
      </c>
      <c r="N50" s="39">
        <f>SUM(G50:M50)</f>
        <v>2500000</v>
      </c>
      <c r="O50" s="39">
        <f>G50*4%</f>
        <v>80000</v>
      </c>
      <c r="P50" s="39">
        <f t="shared" si="17"/>
        <v>80000</v>
      </c>
      <c r="Q50" s="39"/>
      <c r="R50" s="39"/>
      <c r="S50" s="39"/>
      <c r="T50" s="39"/>
      <c r="U50" s="39"/>
      <c r="V50" s="39"/>
      <c r="W50" s="39">
        <f t="shared" si="0"/>
        <v>160000</v>
      </c>
      <c r="X50" s="40">
        <f>N50-W50</f>
        <v>2340000</v>
      </c>
      <c r="Y50" s="40"/>
      <c r="Z50" s="41"/>
      <c r="AA50" s="40">
        <f t="shared" si="5"/>
        <v>2340000</v>
      </c>
    </row>
    <row r="51" spans="1:27" s="43" customFormat="1" ht="12.75" x14ac:dyDescent="0.25">
      <c r="A51" s="120"/>
      <c r="B51" s="123">
        <v>48</v>
      </c>
      <c r="C51" s="118" t="s">
        <v>84</v>
      </c>
      <c r="D51" s="45" t="s">
        <v>32</v>
      </c>
      <c r="E51" s="39">
        <v>644350</v>
      </c>
      <c r="F51" s="39">
        <v>30</v>
      </c>
      <c r="G51" s="39">
        <f>+E51/30*F51</f>
        <v>644350</v>
      </c>
      <c r="H51" s="39">
        <v>74000</v>
      </c>
      <c r="I51" s="39"/>
      <c r="J51" s="39"/>
      <c r="K51" s="39"/>
      <c r="L51" s="39"/>
      <c r="M51" s="39">
        <v>100000</v>
      </c>
      <c r="N51" s="39">
        <f t="shared" ref="N51:N61" si="20">SUM(G51:M51)</f>
        <v>818350</v>
      </c>
      <c r="O51" s="39">
        <f>+G51*4%</f>
        <v>25774</v>
      </c>
      <c r="P51" s="39">
        <f>+O51</f>
        <v>25774</v>
      </c>
      <c r="Q51" s="39"/>
      <c r="R51" s="39"/>
      <c r="S51" s="39"/>
      <c r="T51" s="39"/>
      <c r="U51" s="39"/>
      <c r="V51" s="39"/>
      <c r="W51" s="39">
        <f t="shared" si="0"/>
        <v>51548</v>
      </c>
      <c r="X51" s="40">
        <f>N51-W51</f>
        <v>766802</v>
      </c>
      <c r="Y51" s="40"/>
      <c r="Z51" s="41"/>
      <c r="AA51" s="40">
        <f t="shared" si="5"/>
        <v>766802</v>
      </c>
    </row>
    <row r="52" spans="1:27" s="43" customFormat="1" ht="12.75" x14ac:dyDescent="0.25">
      <c r="A52" s="120"/>
      <c r="B52" s="123">
        <v>49</v>
      </c>
      <c r="C52" s="37" t="s">
        <v>85</v>
      </c>
      <c r="D52" s="38" t="s">
        <v>32</v>
      </c>
      <c r="E52" s="39">
        <v>15400000</v>
      </c>
      <c r="F52" s="39">
        <v>30</v>
      </c>
      <c r="G52" s="39">
        <f t="shared" ref="G52:G57" si="21">+E52/30*F52</f>
        <v>15400000</v>
      </c>
      <c r="H52" s="39"/>
      <c r="I52" s="39"/>
      <c r="J52" s="39"/>
      <c r="K52" s="39"/>
      <c r="L52" s="39"/>
      <c r="M52" s="39">
        <v>600000</v>
      </c>
      <c r="N52" s="39">
        <f t="shared" si="20"/>
        <v>16000000</v>
      </c>
      <c r="O52" s="39">
        <f>G52*4%</f>
        <v>616000</v>
      </c>
      <c r="P52" s="39">
        <f>O52</f>
        <v>616000</v>
      </c>
      <c r="Q52" s="39">
        <v>95900</v>
      </c>
      <c r="R52" s="39"/>
      <c r="S52" s="39">
        <f>G52*2%</f>
        <v>308000</v>
      </c>
      <c r="T52" s="39">
        <v>1014000</v>
      </c>
      <c r="U52" s="39">
        <v>5000000</v>
      </c>
      <c r="V52" s="39"/>
      <c r="W52" s="39">
        <f t="shared" si="0"/>
        <v>7649900</v>
      </c>
      <c r="X52" s="40">
        <f>+N52-W52</f>
        <v>8350100</v>
      </c>
      <c r="Y52" s="40"/>
      <c r="Z52" s="41"/>
      <c r="AA52" s="40">
        <f t="shared" si="5"/>
        <v>8350100</v>
      </c>
    </row>
    <row r="53" spans="1:27" s="43" customFormat="1" ht="12.75" x14ac:dyDescent="0.25">
      <c r="A53" s="120"/>
      <c r="B53" s="123">
        <v>50</v>
      </c>
      <c r="C53" s="37" t="s">
        <v>86</v>
      </c>
      <c r="D53" s="38" t="s">
        <v>32</v>
      </c>
      <c r="E53" s="39">
        <v>2800000</v>
      </c>
      <c r="F53" s="39">
        <v>30</v>
      </c>
      <c r="G53" s="39">
        <f t="shared" si="21"/>
        <v>2800000</v>
      </c>
      <c r="H53" s="39"/>
      <c r="I53" s="39"/>
      <c r="J53" s="39"/>
      <c r="K53" s="39"/>
      <c r="L53" s="39"/>
      <c r="M53" s="39">
        <v>700000</v>
      </c>
      <c r="N53" s="39">
        <f t="shared" si="20"/>
        <v>3500000</v>
      </c>
      <c r="O53" s="39">
        <f>+G53*4%</f>
        <v>112000</v>
      </c>
      <c r="P53" s="39">
        <f>+O53</f>
        <v>112000</v>
      </c>
      <c r="Q53" s="39"/>
      <c r="R53" s="39"/>
      <c r="S53" s="39">
        <v>28000</v>
      </c>
      <c r="T53" s="39"/>
      <c r="U53" s="39"/>
      <c r="V53" s="39">
        <v>887544</v>
      </c>
      <c r="W53" s="39">
        <f t="shared" si="0"/>
        <v>1139544</v>
      </c>
      <c r="X53" s="40">
        <f>+N53-W53</f>
        <v>2360456</v>
      </c>
      <c r="Y53" s="40"/>
      <c r="Z53" s="41"/>
      <c r="AA53" s="40">
        <f t="shared" si="5"/>
        <v>2360456</v>
      </c>
    </row>
    <row r="54" spans="1:27" s="43" customFormat="1" ht="12.75" x14ac:dyDescent="0.25">
      <c r="A54" s="120"/>
      <c r="B54" s="123">
        <v>51</v>
      </c>
      <c r="C54" s="37" t="s">
        <v>87</v>
      </c>
      <c r="D54" s="38" t="s">
        <v>32</v>
      </c>
      <c r="E54" s="39">
        <v>644350</v>
      </c>
      <c r="F54" s="39">
        <v>30</v>
      </c>
      <c r="G54" s="39">
        <f t="shared" si="21"/>
        <v>644350</v>
      </c>
      <c r="H54" s="39"/>
      <c r="I54" s="39"/>
      <c r="J54" s="39"/>
      <c r="K54" s="39"/>
      <c r="L54" s="39"/>
      <c r="M54" s="39"/>
      <c r="N54" s="39">
        <f t="shared" si="20"/>
        <v>644350</v>
      </c>
      <c r="O54" s="39"/>
      <c r="P54" s="39"/>
      <c r="Q54" s="39"/>
      <c r="R54" s="39"/>
      <c r="S54" s="39"/>
      <c r="T54" s="39"/>
      <c r="U54" s="39"/>
      <c r="V54" s="39"/>
      <c r="W54" s="39">
        <f t="shared" si="0"/>
        <v>0</v>
      </c>
      <c r="X54" s="40">
        <f>+N54-W54</f>
        <v>644350</v>
      </c>
      <c r="Y54" s="40"/>
      <c r="Z54" s="41"/>
      <c r="AA54" s="40">
        <f t="shared" si="5"/>
        <v>644350</v>
      </c>
    </row>
    <row r="55" spans="1:27" s="43" customFormat="1" ht="12.75" x14ac:dyDescent="0.25">
      <c r="A55" s="120"/>
      <c r="B55" s="123">
        <v>52</v>
      </c>
      <c r="C55" s="118" t="s">
        <v>88</v>
      </c>
      <c r="D55" s="45" t="s">
        <v>32</v>
      </c>
      <c r="E55" s="39">
        <v>1100000</v>
      </c>
      <c r="F55" s="39">
        <v>30</v>
      </c>
      <c r="G55" s="39">
        <f t="shared" si="21"/>
        <v>1100000</v>
      </c>
      <c r="H55" s="39">
        <v>74000</v>
      </c>
      <c r="I55" s="39"/>
      <c r="J55" s="39"/>
      <c r="K55" s="39"/>
      <c r="L55" s="39"/>
      <c r="M55" s="39"/>
      <c r="N55" s="39">
        <f t="shared" si="20"/>
        <v>1174000</v>
      </c>
      <c r="O55" s="39">
        <f>G55*4%</f>
        <v>44000</v>
      </c>
      <c r="P55" s="39">
        <f>G55*4%</f>
        <v>44000</v>
      </c>
      <c r="Q55" s="39"/>
      <c r="R55" s="39"/>
      <c r="S55" s="39"/>
      <c r="T55" s="39"/>
      <c r="U55" s="39"/>
      <c r="V55" s="39"/>
      <c r="W55" s="39">
        <f t="shared" si="0"/>
        <v>88000</v>
      </c>
      <c r="X55" s="40">
        <f>N55-W55</f>
        <v>1086000</v>
      </c>
      <c r="Y55" s="40"/>
      <c r="Z55" s="41"/>
      <c r="AA55" s="40">
        <f t="shared" si="5"/>
        <v>1086000</v>
      </c>
    </row>
    <row r="56" spans="1:27" s="43" customFormat="1" ht="23.25" customHeight="1" x14ac:dyDescent="0.25">
      <c r="A56" s="120"/>
      <c r="B56" s="123">
        <v>53</v>
      </c>
      <c r="C56" s="37" t="s">
        <v>89</v>
      </c>
      <c r="D56" s="38" t="s">
        <v>32</v>
      </c>
      <c r="E56" s="39">
        <v>1300000</v>
      </c>
      <c r="F56" s="39">
        <v>30</v>
      </c>
      <c r="G56" s="39">
        <f t="shared" si="21"/>
        <v>1300000</v>
      </c>
      <c r="H56" s="39"/>
      <c r="I56" s="39"/>
      <c r="J56" s="39"/>
      <c r="K56" s="39"/>
      <c r="L56" s="39"/>
      <c r="M56" s="39"/>
      <c r="N56" s="39">
        <f t="shared" si="20"/>
        <v>1300000</v>
      </c>
      <c r="O56" s="39">
        <f>G56*4%</f>
        <v>52000</v>
      </c>
      <c r="P56" s="39">
        <f>O56</f>
        <v>52000</v>
      </c>
      <c r="Q56" s="39"/>
      <c r="R56" s="39"/>
      <c r="S56" s="39"/>
      <c r="T56" s="39"/>
      <c r="U56" s="39"/>
      <c r="V56" s="39"/>
      <c r="W56" s="39">
        <f t="shared" si="0"/>
        <v>104000</v>
      </c>
      <c r="X56" s="40">
        <f>+N56-W56</f>
        <v>1196000</v>
      </c>
      <c r="Y56" s="40"/>
      <c r="Z56" s="41"/>
      <c r="AA56" s="40">
        <f t="shared" si="5"/>
        <v>1196000</v>
      </c>
    </row>
    <row r="57" spans="1:27" s="43" customFormat="1" ht="12.75" x14ac:dyDescent="0.25">
      <c r="A57" s="120"/>
      <c r="B57" s="123">
        <v>54</v>
      </c>
      <c r="C57" s="37" t="s">
        <v>90</v>
      </c>
      <c r="D57" s="38" t="s">
        <v>32</v>
      </c>
      <c r="E57" s="39">
        <v>4000000</v>
      </c>
      <c r="F57" s="39">
        <v>30</v>
      </c>
      <c r="G57" s="39">
        <f t="shared" si="21"/>
        <v>4000000.0000000005</v>
      </c>
      <c r="H57" s="39"/>
      <c r="I57" s="39"/>
      <c r="J57" s="39"/>
      <c r="K57" s="39"/>
      <c r="L57" s="39"/>
      <c r="M57" s="39"/>
      <c r="N57" s="39">
        <f t="shared" si="20"/>
        <v>4000000.0000000005</v>
      </c>
      <c r="O57" s="39">
        <f>G57*4%</f>
        <v>160000.00000000003</v>
      </c>
      <c r="P57" s="39">
        <f>O57</f>
        <v>160000.00000000003</v>
      </c>
      <c r="Q57" s="39"/>
      <c r="R57" s="39"/>
      <c r="S57" s="39">
        <v>40000</v>
      </c>
      <c r="T57" s="39">
        <v>31064</v>
      </c>
      <c r="U57" s="39"/>
      <c r="V57" s="39"/>
      <c r="W57" s="39">
        <f t="shared" si="0"/>
        <v>391064.00000000006</v>
      </c>
      <c r="X57" s="40">
        <f>+N57-W57</f>
        <v>3608936.0000000005</v>
      </c>
      <c r="Y57" s="40"/>
      <c r="Z57" s="41"/>
      <c r="AA57" s="40">
        <f t="shared" si="5"/>
        <v>3608936.0000000005</v>
      </c>
    </row>
    <row r="58" spans="1:27" s="43" customFormat="1" ht="12.75" x14ac:dyDescent="0.25">
      <c r="A58" s="120"/>
      <c r="B58" s="123">
        <v>55</v>
      </c>
      <c r="C58" s="118" t="s">
        <v>93</v>
      </c>
      <c r="D58" s="45" t="s">
        <v>32</v>
      </c>
      <c r="E58" s="39">
        <v>1300000</v>
      </c>
      <c r="F58" s="39">
        <v>30</v>
      </c>
      <c r="G58" s="39">
        <f>+E58/30*F58</f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/>
      <c r="T58" s="39"/>
      <c r="U58" s="39"/>
      <c r="V58" s="39"/>
      <c r="W58" s="39">
        <f t="shared" si="0"/>
        <v>104000</v>
      </c>
      <c r="X58" s="40">
        <f>N58-W58</f>
        <v>1196000</v>
      </c>
      <c r="Y58" s="40"/>
      <c r="Z58" s="41"/>
      <c r="AA58" s="40">
        <f t="shared" si="5"/>
        <v>1196000</v>
      </c>
    </row>
    <row r="59" spans="1:27" s="43" customFormat="1" ht="12.75" x14ac:dyDescent="0.25">
      <c r="A59" s="120"/>
      <c r="B59" s="123">
        <v>56</v>
      </c>
      <c r="C59" s="37" t="s">
        <v>94</v>
      </c>
      <c r="D59" s="38" t="s">
        <v>32</v>
      </c>
      <c r="E59" s="39">
        <v>644350</v>
      </c>
      <c r="F59" s="39">
        <v>30</v>
      </c>
      <c r="G59" s="39">
        <f>+E59/30*F59</f>
        <v>644350</v>
      </c>
      <c r="H59" s="39">
        <v>41933</v>
      </c>
      <c r="I59" s="39"/>
      <c r="J59" s="39"/>
      <c r="K59" s="39"/>
      <c r="L59" s="39"/>
      <c r="M59" s="39"/>
      <c r="N59" s="39">
        <f t="shared" si="20"/>
        <v>686283</v>
      </c>
      <c r="O59" s="39">
        <v>14605</v>
      </c>
      <c r="P59" s="39">
        <f>O59</f>
        <v>14605</v>
      </c>
      <c r="Q59" s="39"/>
      <c r="R59" s="39"/>
      <c r="S59" s="39"/>
      <c r="T59" s="39"/>
      <c r="U59" s="39"/>
      <c r="V59" s="39"/>
      <c r="W59" s="39">
        <f>SUM(O59:V59)</f>
        <v>29210</v>
      </c>
      <c r="X59" s="40">
        <f>+N59-W59</f>
        <v>657073</v>
      </c>
      <c r="Y59" s="40"/>
      <c r="Z59" s="41"/>
      <c r="AA59" s="40">
        <f t="shared" si="5"/>
        <v>657073</v>
      </c>
    </row>
    <row r="60" spans="1:27" s="43" customFormat="1" ht="23.25" customHeight="1" x14ac:dyDescent="0.25">
      <c r="A60" s="120"/>
      <c r="B60" s="123">
        <v>57</v>
      </c>
      <c r="C60" s="138" t="s">
        <v>95</v>
      </c>
      <c r="D60" s="96" t="s">
        <v>92</v>
      </c>
      <c r="E60" s="39">
        <v>644350</v>
      </c>
      <c r="F60" s="39">
        <v>30</v>
      </c>
      <c r="G60" s="39">
        <f>E60</f>
        <v>644350</v>
      </c>
      <c r="H60" s="39"/>
      <c r="I60" s="39"/>
      <c r="J60" s="39"/>
      <c r="K60" s="39"/>
      <c r="L60" s="39"/>
      <c r="M60" s="39"/>
      <c r="N60" s="39">
        <f t="shared" si="20"/>
        <v>644350</v>
      </c>
      <c r="O60" s="39"/>
      <c r="P60" s="39"/>
      <c r="Q60" s="39"/>
      <c r="R60" s="39"/>
      <c r="S60" s="39"/>
      <c r="T60" s="39"/>
      <c r="U60" s="39"/>
      <c r="V60" s="39"/>
      <c r="W60" s="39">
        <f>SUM(O60:V60)</f>
        <v>0</v>
      </c>
      <c r="X60" s="40">
        <f>+N60</f>
        <v>644350</v>
      </c>
      <c r="Y60" s="40"/>
      <c r="Z60" s="41"/>
      <c r="AA60" s="40">
        <f t="shared" si="5"/>
        <v>644350</v>
      </c>
    </row>
    <row r="61" spans="1:27" s="43" customFormat="1" ht="12.75" x14ac:dyDescent="0.25">
      <c r="A61" s="140"/>
      <c r="B61" s="123">
        <v>58</v>
      </c>
      <c r="C61" s="138" t="s">
        <v>116</v>
      </c>
      <c r="D61" s="96" t="s">
        <v>32</v>
      </c>
      <c r="E61" s="39">
        <v>2000000</v>
      </c>
      <c r="F61" s="39">
        <v>2</v>
      </c>
      <c r="G61" s="39">
        <f>+E61/30*F61</f>
        <v>133333.33333333334</v>
      </c>
      <c r="H61" s="39"/>
      <c r="I61" s="39"/>
      <c r="J61" s="39"/>
      <c r="K61" s="39"/>
      <c r="L61" s="39"/>
      <c r="M61" s="39"/>
      <c r="N61" s="39">
        <f t="shared" si="20"/>
        <v>133333.33333333334</v>
      </c>
      <c r="O61" s="39">
        <f>G61*4%</f>
        <v>5333.3333333333339</v>
      </c>
      <c r="P61" s="39">
        <f>G61*4%</f>
        <v>5333.3333333333339</v>
      </c>
      <c r="Q61" s="39"/>
      <c r="R61" s="39"/>
      <c r="S61" s="39"/>
      <c r="T61" s="39"/>
      <c r="U61" s="39"/>
      <c r="V61" s="39"/>
      <c r="W61" s="39">
        <f t="shared" ref="W61" si="22">SUM(O61:V61)</f>
        <v>10666.666666666668</v>
      </c>
      <c r="X61" s="40">
        <f>N61-W61</f>
        <v>122666.66666666667</v>
      </c>
      <c r="Y61" s="40"/>
      <c r="Z61" s="41"/>
      <c r="AA61" s="40">
        <f t="shared" si="5"/>
        <v>122666.66666666667</v>
      </c>
    </row>
    <row r="62" spans="1:27" ht="15" customHeight="1" x14ac:dyDescent="0.25">
      <c r="A62" s="130"/>
      <c r="B62" s="141"/>
      <c r="C62" s="142" t="s">
        <v>96</v>
      </c>
      <c r="D62" s="130"/>
      <c r="E62" s="143">
        <f>SUM(E5:E60)</f>
        <v>178815450</v>
      </c>
      <c r="F62" s="143" t="s">
        <v>1</v>
      </c>
      <c r="G62" s="143">
        <f>SUM(G5:G60)</f>
        <v>178898783.33333331</v>
      </c>
      <c r="H62" s="143">
        <f>SUM(H5:H60)</f>
        <v>337933</v>
      </c>
      <c r="I62" s="143">
        <f>SUM(I5:I60)</f>
        <v>0</v>
      </c>
      <c r="J62" s="143">
        <f>SUM(J5:J60)</f>
        <v>0</v>
      </c>
      <c r="K62" s="143"/>
      <c r="L62" s="143">
        <f t="shared" ref="L62:Q62" si="23">SUM(L5:L60)</f>
        <v>90000</v>
      </c>
      <c r="M62" s="143">
        <f t="shared" si="23"/>
        <v>11525750</v>
      </c>
      <c r="N62" s="143">
        <f t="shared" si="23"/>
        <v>190852466.33333334</v>
      </c>
      <c r="O62" s="143">
        <f t="shared" si="23"/>
        <v>7041686.333333334</v>
      </c>
      <c r="P62" s="143">
        <f t="shared" si="23"/>
        <v>7041686.333333334</v>
      </c>
      <c r="Q62" s="143">
        <f t="shared" si="23"/>
        <v>95900</v>
      </c>
      <c r="R62" s="143">
        <f>SUM(R6:R60)</f>
        <v>0</v>
      </c>
      <c r="S62" s="143">
        <f t="shared" ref="S62:AA62" si="24">SUM(S5:S60)</f>
        <v>1602450</v>
      </c>
      <c r="T62" s="143">
        <f t="shared" si="24"/>
        <v>2671973</v>
      </c>
      <c r="U62" s="143">
        <f t="shared" si="24"/>
        <v>8760000</v>
      </c>
      <c r="V62" s="143">
        <f t="shared" si="24"/>
        <v>4372291</v>
      </c>
      <c r="W62" s="143">
        <f t="shared" si="24"/>
        <v>31585986.666666664</v>
      </c>
      <c r="X62" s="144">
        <f t="shared" si="24"/>
        <v>159266479.66666669</v>
      </c>
      <c r="Y62" s="144">
        <f t="shared" si="24"/>
        <v>0</v>
      </c>
      <c r="Z62" s="131">
        <f t="shared" si="24"/>
        <v>0</v>
      </c>
      <c r="AA62" s="144">
        <f t="shared" si="24"/>
        <v>159266479.66666669</v>
      </c>
    </row>
    <row r="63" spans="1:27" ht="15" customHeight="1" x14ac:dyDescent="0.25">
      <c r="A63" s="145"/>
      <c r="B63" s="146"/>
      <c r="X63" s="145"/>
      <c r="Y63" s="145"/>
      <c r="Z63" s="150"/>
      <c r="AA63" s="146"/>
    </row>
    <row r="64" spans="1:27" s="146" customFormat="1" ht="12.75" x14ac:dyDescent="0.25">
      <c r="A64" s="151"/>
      <c r="B64" s="152"/>
      <c r="C64" s="153"/>
      <c r="D64" s="154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6"/>
      <c r="Y64" s="156"/>
      <c r="Z64" s="157"/>
      <c r="AA64" s="156"/>
    </row>
    <row r="65" spans="2:31" ht="15" customHeight="1" x14ac:dyDescent="0.25">
      <c r="D65" s="145"/>
      <c r="E65" s="158"/>
      <c r="F65" s="158"/>
      <c r="G65" s="159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45"/>
      <c r="Y65" s="145"/>
      <c r="Z65" s="150"/>
      <c r="AA65" s="146"/>
    </row>
    <row r="66" spans="2:31" ht="15" customHeight="1" x14ac:dyDescent="0.25">
      <c r="D66" s="145"/>
      <c r="E66" s="158"/>
      <c r="F66" s="158"/>
      <c r="G66" s="159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45"/>
      <c r="Y66" s="145"/>
      <c r="Z66" s="150"/>
      <c r="AA66" s="146"/>
    </row>
    <row r="67" spans="2:31" ht="15" customHeight="1" x14ac:dyDescent="0.25">
      <c r="C67" s="160"/>
      <c r="D67" s="145"/>
      <c r="E67" s="158"/>
      <c r="F67" s="158"/>
      <c r="G67" s="159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45"/>
      <c r="Y67" s="145"/>
      <c r="Z67" s="150"/>
      <c r="AA67" s="146"/>
    </row>
    <row r="68" spans="2:31" x14ac:dyDescent="0.25">
      <c r="C68" s="160"/>
      <c r="D68" s="145"/>
      <c r="E68" s="158"/>
      <c r="F68" s="158"/>
      <c r="G68" s="159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45"/>
      <c r="Y68" s="145"/>
      <c r="Z68" s="150"/>
      <c r="AA68" s="146"/>
      <c r="AB68" s="145"/>
      <c r="AC68" s="145"/>
      <c r="AD68" s="145"/>
      <c r="AE68" s="145"/>
    </row>
    <row r="69" spans="2:31" x14ac:dyDescent="0.25">
      <c r="B69" s="146"/>
      <c r="C69" s="160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45"/>
      <c r="AC69" s="145"/>
      <c r="AD69" s="145"/>
      <c r="AE69" s="145"/>
    </row>
    <row r="70" spans="2:31" x14ac:dyDescent="0.25">
      <c r="B70" s="146"/>
      <c r="C70" s="160"/>
      <c r="D70" s="145"/>
      <c r="E70" s="158"/>
      <c r="F70" s="158"/>
      <c r="G70" s="159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45"/>
      <c r="Y70" s="145"/>
      <c r="Z70" s="150"/>
      <c r="AA70" s="146"/>
      <c r="AB70" s="145"/>
      <c r="AC70" s="145"/>
      <c r="AD70" s="145"/>
      <c r="AE70" s="145"/>
    </row>
    <row r="71" spans="2:31" x14ac:dyDescent="0.25">
      <c r="B71" s="146"/>
      <c r="C71" s="160"/>
      <c r="D71" s="145"/>
      <c r="E71" s="158"/>
      <c r="F71" s="158"/>
      <c r="G71" s="159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45"/>
      <c r="Y71" s="145"/>
      <c r="Z71" s="150"/>
      <c r="AA71" s="146"/>
      <c r="AB71" s="145"/>
      <c r="AC71" s="145"/>
      <c r="AD71" s="145"/>
      <c r="AE71" s="145"/>
    </row>
    <row r="72" spans="2:31" x14ac:dyDescent="0.25">
      <c r="B72" s="146"/>
      <c r="C72" s="160"/>
      <c r="D72" s="145"/>
      <c r="E72" s="158"/>
      <c r="F72" s="158"/>
      <c r="G72" s="159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45"/>
      <c r="Y72" s="145"/>
      <c r="Z72" s="150"/>
      <c r="AA72" s="146"/>
      <c r="AB72" s="145"/>
      <c r="AC72" s="145"/>
      <c r="AD72" s="145"/>
      <c r="AE72" s="145"/>
    </row>
    <row r="73" spans="2:31" x14ac:dyDescent="0.25">
      <c r="B73" s="146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3"/>
      <c r="Z73" s="164"/>
      <c r="AA73" s="154"/>
      <c r="AB73" s="145"/>
      <c r="AC73" s="145"/>
      <c r="AD73" s="145"/>
      <c r="AE73" s="145"/>
    </row>
    <row r="74" spans="2:31" x14ac:dyDescent="0.25">
      <c r="B74" s="166"/>
      <c r="C74" s="160"/>
      <c r="D74" s="163"/>
      <c r="E74" s="167"/>
      <c r="F74" s="167"/>
      <c r="G74" s="168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3"/>
      <c r="Y74" s="163"/>
      <c r="Z74" s="164"/>
      <c r="AA74" s="154"/>
      <c r="AB74" s="145"/>
      <c r="AC74" s="145"/>
      <c r="AD74" s="145"/>
      <c r="AE74" s="145"/>
    </row>
    <row r="75" spans="2:31" x14ac:dyDescent="0.25">
      <c r="B75" s="146"/>
      <c r="C75" s="160"/>
      <c r="D75" s="145"/>
      <c r="E75" s="158"/>
      <c r="F75" s="158"/>
      <c r="G75" s="169"/>
      <c r="H75" s="158"/>
      <c r="I75" s="158"/>
      <c r="J75" s="158"/>
      <c r="K75" s="158"/>
      <c r="L75" s="158"/>
      <c r="M75" s="158"/>
      <c r="N75" s="158"/>
      <c r="O75" s="158"/>
      <c r="P75" s="158"/>
      <c r="Q75" s="170"/>
      <c r="R75" s="170"/>
      <c r="S75" s="170"/>
      <c r="T75" s="170"/>
      <c r="U75" s="170"/>
      <c r="V75" s="158"/>
      <c r="W75" s="158"/>
      <c r="X75" s="145"/>
      <c r="Y75" s="145"/>
      <c r="Z75" s="150"/>
      <c r="AA75" s="146"/>
      <c r="AB75" s="145"/>
      <c r="AC75" s="145"/>
      <c r="AD75" s="145"/>
      <c r="AE75" s="145"/>
    </row>
    <row r="76" spans="2:31" x14ac:dyDescent="0.25">
      <c r="B76" s="146"/>
      <c r="C76" s="165"/>
      <c r="D76" s="163"/>
      <c r="E76" s="167"/>
      <c r="F76" s="167"/>
      <c r="G76" s="168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3"/>
      <c r="Y76" s="163"/>
      <c r="Z76" s="164"/>
      <c r="AA76" s="154"/>
      <c r="AB76" s="145"/>
      <c r="AC76" s="145"/>
      <c r="AD76" s="145"/>
      <c r="AE76" s="145"/>
    </row>
    <row r="77" spans="2:31" x14ac:dyDescent="0.25">
      <c r="B77" s="154"/>
      <c r="C77" s="165"/>
      <c r="D77" s="163"/>
      <c r="E77" s="167"/>
      <c r="F77" s="167"/>
      <c r="G77" s="168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3"/>
      <c r="Y77" s="163"/>
      <c r="Z77" s="164"/>
      <c r="AA77" s="154"/>
      <c r="AB77" s="145"/>
      <c r="AC77" s="145"/>
      <c r="AD77" s="145"/>
      <c r="AE77" s="145"/>
    </row>
    <row r="78" spans="2:31" x14ac:dyDescent="0.25">
      <c r="B78" s="146"/>
      <c r="C78" s="165"/>
      <c r="D78" s="163"/>
      <c r="E78" s="158"/>
      <c r="F78" s="158"/>
      <c r="G78" s="159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71"/>
      <c r="Y78" s="171"/>
      <c r="Z78" s="150"/>
      <c r="AA78" s="172"/>
      <c r="AB78" s="145"/>
      <c r="AC78" s="145"/>
      <c r="AD78" s="145"/>
      <c r="AE78" s="145"/>
    </row>
    <row r="79" spans="2:31" x14ac:dyDescent="0.25">
      <c r="C79" s="165"/>
      <c r="D79" s="163"/>
      <c r="E79" s="158"/>
      <c r="F79" s="158"/>
      <c r="G79" s="159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71"/>
      <c r="Y79" s="171"/>
      <c r="Z79" s="150"/>
      <c r="AA79" s="172"/>
      <c r="AB79" s="145"/>
      <c r="AC79" s="145"/>
      <c r="AD79" s="145"/>
      <c r="AE79" s="145"/>
    </row>
    <row r="80" spans="2:31" x14ac:dyDescent="0.25">
      <c r="C80" s="165"/>
      <c r="D80" s="163"/>
      <c r="E80" s="158"/>
      <c r="F80" s="158"/>
      <c r="G80" s="159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71"/>
      <c r="Y80" s="171"/>
      <c r="Z80" s="150"/>
      <c r="AA80" s="172"/>
      <c r="AB80" s="145"/>
      <c r="AC80" s="145"/>
      <c r="AD80" s="145"/>
      <c r="AE80" s="145"/>
    </row>
    <row r="81" spans="3:31" x14ac:dyDescent="0.25">
      <c r="C81" s="165"/>
      <c r="D81" s="163"/>
      <c r="E81" s="158"/>
      <c r="F81" s="158"/>
      <c r="G81" s="159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71"/>
      <c r="Y81" s="171"/>
      <c r="Z81" s="150"/>
      <c r="AA81" s="172"/>
      <c r="AB81" s="145"/>
      <c r="AC81" s="145"/>
      <c r="AD81" s="145"/>
      <c r="AE81" s="145"/>
    </row>
    <row r="82" spans="3:31" x14ac:dyDescent="0.25">
      <c r="C82" s="165"/>
      <c r="D82" s="163"/>
      <c r="E82" s="158"/>
      <c r="F82" s="158"/>
      <c r="G82" s="159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71"/>
      <c r="Y82" s="171"/>
      <c r="Z82" s="150"/>
      <c r="AA82" s="172"/>
      <c r="AB82" s="145"/>
      <c r="AC82" s="145"/>
      <c r="AD82" s="145"/>
      <c r="AE82" s="145"/>
    </row>
    <row r="83" spans="3:31" x14ac:dyDescent="0.25">
      <c r="C83" s="165"/>
      <c r="D83" s="163"/>
      <c r="E83" s="158"/>
      <c r="F83" s="158"/>
      <c r="G83" s="159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71"/>
      <c r="Y83" s="171"/>
      <c r="Z83" s="150"/>
      <c r="AA83" s="172"/>
      <c r="AB83" s="145"/>
      <c r="AC83" s="145"/>
      <c r="AD83" s="145"/>
      <c r="AE83" s="145"/>
    </row>
    <row r="84" spans="3:31" x14ac:dyDescent="0.25">
      <c r="C84" s="160"/>
      <c r="D84" s="145"/>
      <c r="E84" s="158"/>
      <c r="F84" s="158"/>
      <c r="G84" s="159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71"/>
      <c r="Y84" s="171"/>
      <c r="Z84" s="150"/>
      <c r="AA84" s="172"/>
      <c r="AB84" s="145"/>
      <c r="AC84" s="145"/>
      <c r="AD84" s="145"/>
      <c r="AE84" s="145"/>
    </row>
    <row r="85" spans="3:31" x14ac:dyDescent="0.25">
      <c r="C85" s="165"/>
      <c r="D85" s="145"/>
      <c r="E85" s="158"/>
      <c r="F85" s="158"/>
      <c r="G85" s="159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71"/>
      <c r="Y85" s="171"/>
      <c r="Z85" s="150"/>
      <c r="AA85" s="172"/>
      <c r="AB85" s="145"/>
      <c r="AC85" s="145"/>
      <c r="AD85" s="145"/>
      <c r="AE85" s="145"/>
    </row>
    <row r="86" spans="3:31" x14ac:dyDescent="0.25">
      <c r="C86" s="165"/>
      <c r="D86" s="145"/>
      <c r="E86" s="158"/>
      <c r="F86" s="158"/>
      <c r="G86" s="159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71"/>
      <c r="Y86" s="171"/>
      <c r="Z86" s="150"/>
      <c r="AA86" s="172"/>
      <c r="AB86" s="145"/>
      <c r="AC86" s="145"/>
      <c r="AD86" s="145"/>
      <c r="AE86" s="145"/>
    </row>
    <row r="87" spans="3:31" x14ac:dyDescent="0.25">
      <c r="C87" s="165"/>
      <c r="D87" s="145"/>
      <c r="E87" s="158"/>
      <c r="F87" s="158"/>
      <c r="G87" s="159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71"/>
      <c r="Y87" s="171"/>
      <c r="Z87" s="150"/>
      <c r="AA87" s="172"/>
      <c r="AB87" s="145"/>
      <c r="AC87" s="145"/>
      <c r="AD87" s="145"/>
      <c r="AE87" s="145"/>
    </row>
    <row r="88" spans="3:31" x14ac:dyDescent="0.25">
      <c r="C88" s="165"/>
      <c r="D88" s="145"/>
      <c r="E88" s="158"/>
      <c r="F88" s="158"/>
      <c r="G88" s="159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71"/>
      <c r="Y88" s="171"/>
      <c r="Z88" s="150"/>
      <c r="AA88" s="172"/>
      <c r="AB88" s="145"/>
      <c r="AC88" s="145"/>
      <c r="AD88" s="145"/>
      <c r="AE88" s="145"/>
    </row>
    <row r="89" spans="3:31" x14ac:dyDescent="0.25">
      <c r="C89" s="165"/>
      <c r="D89" s="145"/>
      <c r="E89" s="158"/>
      <c r="F89" s="158"/>
      <c r="G89" s="159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71"/>
      <c r="Y89" s="171"/>
      <c r="Z89" s="150"/>
      <c r="AA89" s="172"/>
      <c r="AB89" s="145"/>
      <c r="AC89" s="145"/>
      <c r="AD89" s="145"/>
      <c r="AE89" s="145"/>
    </row>
    <row r="90" spans="3:31" x14ac:dyDescent="0.25">
      <c r="C90" s="165"/>
      <c r="D90" s="145"/>
      <c r="E90" s="158"/>
      <c r="F90" s="158"/>
      <c r="G90" s="159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71"/>
      <c r="Y90" s="171"/>
      <c r="Z90" s="150"/>
      <c r="AA90" s="172"/>
      <c r="AB90" s="145"/>
      <c r="AC90" s="145"/>
      <c r="AD90" s="145"/>
      <c r="AE90" s="145"/>
    </row>
    <row r="91" spans="3:31" x14ac:dyDescent="0.25">
      <c r="C91" s="165"/>
      <c r="D91" s="145"/>
      <c r="E91" s="158"/>
      <c r="F91" s="158"/>
      <c r="G91" s="159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71"/>
      <c r="Y91" s="171"/>
      <c r="Z91" s="150"/>
      <c r="AA91" s="172"/>
      <c r="AB91" s="145"/>
      <c r="AC91" s="145"/>
      <c r="AD91" s="145"/>
      <c r="AE91" s="145"/>
    </row>
    <row r="92" spans="3:31" x14ac:dyDescent="0.25">
      <c r="C92" s="165"/>
      <c r="D92" s="145"/>
      <c r="E92" s="158"/>
      <c r="F92" s="158"/>
      <c r="G92" s="159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71"/>
      <c r="Y92" s="171"/>
      <c r="Z92" s="150"/>
      <c r="AA92" s="172"/>
      <c r="AB92" s="145"/>
      <c r="AC92" s="145"/>
      <c r="AD92" s="145"/>
      <c r="AE92" s="145"/>
    </row>
    <row r="93" spans="3:31" x14ac:dyDescent="0.25">
      <c r="C93" s="165"/>
      <c r="D93" s="145"/>
      <c r="E93" s="158"/>
      <c r="F93" s="158"/>
      <c r="G93" s="159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71"/>
      <c r="Y93" s="171"/>
      <c r="Z93" s="150"/>
      <c r="AA93" s="172"/>
      <c r="AB93" s="145"/>
      <c r="AC93" s="145"/>
      <c r="AD93" s="145"/>
      <c r="AE93" s="145"/>
    </row>
    <row r="94" spans="3:31" x14ac:dyDescent="0.25">
      <c r="C94" s="165"/>
      <c r="D94" s="145"/>
      <c r="E94" s="158"/>
      <c r="F94" s="158"/>
      <c r="G94" s="159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71"/>
      <c r="Y94" s="171"/>
      <c r="Z94" s="150"/>
      <c r="AA94" s="172"/>
      <c r="AB94" s="145"/>
      <c r="AC94" s="145"/>
      <c r="AD94" s="145"/>
      <c r="AE94" s="145"/>
    </row>
    <row r="95" spans="3:31" x14ac:dyDescent="0.25">
      <c r="C95" s="165"/>
      <c r="D95" s="145"/>
      <c r="E95" s="158"/>
      <c r="F95" s="158"/>
      <c r="G95" s="159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71"/>
      <c r="Y95" s="171"/>
      <c r="Z95" s="150"/>
      <c r="AA95" s="172"/>
      <c r="AB95" s="145"/>
      <c r="AC95" s="145"/>
      <c r="AD95" s="145"/>
      <c r="AE95" s="145"/>
    </row>
    <row r="96" spans="3:31" x14ac:dyDescent="0.25">
      <c r="C96" s="160"/>
      <c r="D96" s="145"/>
      <c r="E96" s="158"/>
      <c r="F96" s="158"/>
      <c r="G96" s="159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45"/>
      <c r="Y96" s="145"/>
      <c r="Z96" s="150"/>
      <c r="AA96" s="146"/>
      <c r="AB96" s="145"/>
      <c r="AC96" s="145"/>
      <c r="AD96" s="145"/>
      <c r="AE96" s="145"/>
    </row>
    <row r="97" spans="2:31" x14ac:dyDescent="0.25">
      <c r="C97" s="160"/>
      <c r="D97" s="145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58"/>
      <c r="W97" s="158"/>
      <c r="X97" s="145"/>
      <c r="Y97" s="145"/>
      <c r="Z97" s="150"/>
      <c r="AA97" s="146"/>
      <c r="AB97" s="145"/>
      <c r="AC97" s="145"/>
      <c r="AD97" s="145"/>
      <c r="AE97" s="145"/>
    </row>
    <row r="98" spans="2:31" x14ac:dyDescent="0.25">
      <c r="B98" s="146"/>
      <c r="C98" s="160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45"/>
      <c r="AC98" s="145"/>
      <c r="AD98" s="145"/>
      <c r="AE98" s="145"/>
    </row>
    <row r="99" spans="2:31" x14ac:dyDescent="0.25">
      <c r="B99" s="146"/>
      <c r="C99" s="160"/>
      <c r="D99" s="145"/>
      <c r="E99" s="167"/>
      <c r="F99" s="167"/>
      <c r="G99" s="168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3"/>
      <c r="Y99" s="163"/>
      <c r="Z99" s="164"/>
      <c r="AA99" s="154"/>
      <c r="AB99" s="145"/>
      <c r="AC99" s="145"/>
      <c r="AD99" s="145"/>
      <c r="AE99" s="145"/>
    </row>
    <row r="100" spans="2:31" x14ac:dyDescent="0.25">
      <c r="B100" s="146"/>
      <c r="C100" s="165"/>
      <c r="D100" s="163"/>
      <c r="E100" s="167"/>
      <c r="F100" s="167"/>
      <c r="G100" s="168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3"/>
      <c r="Y100" s="163"/>
      <c r="Z100" s="164"/>
      <c r="AA100" s="154"/>
    </row>
    <row r="101" spans="2:31" x14ac:dyDescent="0.25">
      <c r="B101" s="173"/>
      <c r="C101" s="165"/>
      <c r="D101" s="163"/>
      <c r="E101" s="167"/>
      <c r="F101" s="167"/>
      <c r="G101" s="168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3"/>
      <c r="Y101" s="163"/>
      <c r="Z101" s="164"/>
      <c r="AA101" s="154"/>
    </row>
    <row r="102" spans="2:31" x14ac:dyDescent="0.25">
      <c r="C102" s="165"/>
      <c r="D102" s="163"/>
      <c r="E102" s="158"/>
      <c r="F102" s="158"/>
      <c r="G102" s="159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71"/>
      <c r="Y102" s="171"/>
      <c r="Z102" s="150"/>
      <c r="AA102" s="172"/>
    </row>
    <row r="103" spans="2:31" x14ac:dyDescent="0.25">
      <c r="C103" s="165"/>
      <c r="D103" s="163"/>
      <c r="E103" s="158"/>
      <c r="F103" s="158"/>
      <c r="G103" s="159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71"/>
      <c r="Y103" s="171"/>
      <c r="Z103" s="150"/>
      <c r="AA103" s="172"/>
    </row>
    <row r="104" spans="2:31" x14ac:dyDescent="0.25">
      <c r="C104" s="165"/>
      <c r="D104" s="163"/>
      <c r="E104" s="158"/>
      <c r="F104" s="158"/>
      <c r="G104" s="159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71"/>
      <c r="Y104" s="171"/>
      <c r="Z104" s="150"/>
      <c r="AA104" s="172"/>
    </row>
    <row r="105" spans="2:31" x14ac:dyDescent="0.25">
      <c r="C105" s="160"/>
      <c r="D105" s="145"/>
      <c r="E105" s="158"/>
      <c r="F105" s="158"/>
      <c r="G105" s="159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71"/>
      <c r="Y105" s="171"/>
      <c r="Z105" s="150"/>
      <c r="AA105" s="172"/>
    </row>
    <row r="106" spans="2:31" x14ac:dyDescent="0.25">
      <c r="C106" s="165"/>
      <c r="D106" s="145"/>
      <c r="E106" s="158"/>
      <c r="F106" s="158"/>
      <c r="G106" s="159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71"/>
      <c r="Y106" s="171"/>
      <c r="Z106" s="150"/>
      <c r="AA106" s="172"/>
    </row>
    <row r="107" spans="2:31" x14ac:dyDescent="0.25">
      <c r="C107" s="160"/>
      <c r="D107" s="145"/>
      <c r="E107" s="158"/>
      <c r="F107" s="158"/>
      <c r="G107" s="159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45"/>
      <c r="Y107" s="145"/>
      <c r="Z107" s="150"/>
      <c r="AA107" s="146"/>
    </row>
    <row r="108" spans="2:31" x14ac:dyDescent="0.25">
      <c r="C108" s="160"/>
      <c r="D108" s="145"/>
      <c r="E108" s="158"/>
      <c r="F108" s="158"/>
      <c r="G108" s="159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71"/>
      <c r="Y108" s="171"/>
      <c r="Z108" s="150"/>
      <c r="AA108" s="172"/>
    </row>
    <row r="109" spans="2:31" x14ac:dyDescent="0.25">
      <c r="B109" s="146"/>
      <c r="C109" s="160"/>
      <c r="D109" s="145"/>
      <c r="E109" s="158"/>
      <c r="F109" s="158"/>
      <c r="G109" s="159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45"/>
      <c r="Y109" s="145"/>
      <c r="Z109" s="150"/>
      <c r="AA109" s="146"/>
    </row>
    <row r="110" spans="2:31" x14ac:dyDescent="0.25">
      <c r="B110" s="146"/>
      <c r="C110" s="160"/>
      <c r="D110" s="145"/>
      <c r="E110" s="158"/>
      <c r="F110" s="158"/>
      <c r="G110" s="159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45"/>
      <c r="Y110" s="145"/>
      <c r="Z110" s="150"/>
      <c r="AA110" s="146"/>
    </row>
    <row r="111" spans="2:31" x14ac:dyDescent="0.25">
      <c r="B111" s="146"/>
      <c r="C111" s="160"/>
      <c r="D111" s="145"/>
      <c r="E111" s="158"/>
      <c r="F111" s="158"/>
      <c r="G111" s="159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74"/>
      <c r="Y111" s="174"/>
      <c r="Z111" s="150"/>
      <c r="AA111" s="175"/>
    </row>
    <row r="112" spans="2:31" x14ac:dyDescent="0.25">
      <c r="B112" s="146"/>
      <c r="C112" s="160"/>
      <c r="D112" s="145"/>
      <c r="E112" s="158"/>
      <c r="F112" s="158"/>
      <c r="G112" s="159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76"/>
      <c r="Y112" s="176"/>
      <c r="Z112" s="150"/>
      <c r="AA112" s="177"/>
    </row>
    <row r="113" spans="3:27" x14ac:dyDescent="0.25">
      <c r="C113" s="160"/>
      <c r="D113" s="145"/>
      <c r="E113" s="158"/>
      <c r="F113" s="158"/>
      <c r="G113" s="159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45"/>
      <c r="Y113" s="145"/>
      <c r="Z113" s="150"/>
      <c r="AA113" s="146"/>
    </row>
    <row r="114" spans="3:27" x14ac:dyDescent="0.25">
      <c r="C114" s="160"/>
      <c r="D114" s="145"/>
      <c r="E114" s="158"/>
      <c r="F114" s="158"/>
      <c r="G114" s="159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45"/>
      <c r="Y114" s="145"/>
      <c r="Z114" s="150"/>
      <c r="AA114" s="146"/>
    </row>
    <row r="115" spans="3:27" x14ac:dyDescent="0.25">
      <c r="C115" s="160"/>
      <c r="D115" s="145"/>
      <c r="E115" s="158"/>
      <c r="F115" s="158"/>
      <c r="G115" s="159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45"/>
      <c r="Y115" s="145"/>
      <c r="Z115" s="150"/>
      <c r="AA115" s="146"/>
    </row>
    <row r="116" spans="3:27" x14ac:dyDescent="0.25">
      <c r="C116" s="160"/>
      <c r="D116" s="145"/>
      <c r="E116" s="158"/>
      <c r="F116" s="158"/>
      <c r="G116" s="159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45"/>
      <c r="Y116" s="145"/>
      <c r="Z116" s="150"/>
      <c r="AA116" s="146"/>
    </row>
    <row r="117" spans="3:27" x14ac:dyDescent="0.25">
      <c r="C117" s="160"/>
      <c r="D117" s="145"/>
      <c r="E117" s="158"/>
      <c r="F117" s="158"/>
      <c r="G117" s="159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45"/>
      <c r="Y117" s="145"/>
      <c r="Z117" s="150"/>
      <c r="AA117" s="146"/>
    </row>
    <row r="118" spans="3:27" x14ac:dyDescent="0.25">
      <c r="C118" s="160"/>
      <c r="D118" s="145"/>
      <c r="E118" s="158"/>
      <c r="F118" s="158"/>
      <c r="G118" s="159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45"/>
      <c r="Y118" s="145"/>
      <c r="Z118" s="150"/>
      <c r="AA118" s="146"/>
    </row>
    <row r="119" spans="3:27" x14ac:dyDescent="0.25">
      <c r="C119" s="160"/>
      <c r="D119" s="145"/>
      <c r="E119" s="158"/>
      <c r="F119" s="158"/>
      <c r="G119" s="159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45"/>
      <c r="Y119" s="145"/>
      <c r="Z119" s="150"/>
      <c r="AA119" s="146"/>
    </row>
    <row r="120" spans="3:27" x14ac:dyDescent="0.25">
      <c r="C120" s="160"/>
      <c r="D120" s="145"/>
      <c r="E120" s="158"/>
      <c r="F120" s="158"/>
      <c r="G120" s="159"/>
      <c r="H120" s="158"/>
      <c r="I120" s="158"/>
      <c r="J120" s="158"/>
      <c r="K120" s="158"/>
      <c r="L120" s="158"/>
      <c r="M120" s="158"/>
      <c r="N120" s="158"/>
      <c r="O120" s="158">
        <v>3003000</v>
      </c>
      <c r="P120" s="158"/>
      <c r="Q120" s="158"/>
      <c r="R120" s="158"/>
      <c r="S120" s="158"/>
      <c r="T120" s="158"/>
      <c r="U120" s="158"/>
      <c r="V120" s="158"/>
      <c r="W120" s="158"/>
      <c r="X120" s="145"/>
      <c r="Y120" s="145"/>
      <c r="Z120" s="150"/>
      <c r="AA120" s="146"/>
    </row>
    <row r="121" spans="3:27" x14ac:dyDescent="0.25">
      <c r="C121" s="165"/>
      <c r="D121" s="145"/>
      <c r="E121" s="158"/>
      <c r="F121" s="158"/>
      <c r="G121" s="159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45"/>
      <c r="Y121" s="145"/>
      <c r="Z121" s="150"/>
      <c r="AA121" s="146"/>
    </row>
    <row r="122" spans="3:27" x14ac:dyDescent="0.25">
      <c r="C122" s="165"/>
      <c r="D122" s="145"/>
      <c r="E122" s="158"/>
      <c r="F122" s="158"/>
      <c r="G122" s="159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45"/>
      <c r="Y122" s="145"/>
      <c r="Z122" s="150"/>
      <c r="AA122" s="146"/>
    </row>
    <row r="123" spans="3:27" x14ac:dyDescent="0.25">
      <c r="C123" s="165"/>
      <c r="D123" s="145"/>
      <c r="E123" s="158"/>
      <c r="F123" s="158"/>
      <c r="G123" s="159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45"/>
      <c r="Y123" s="145"/>
      <c r="Z123" s="150"/>
      <c r="AA123" s="146"/>
    </row>
    <row r="124" spans="3:27" x14ac:dyDescent="0.25">
      <c r="C124" s="165"/>
      <c r="D124" s="145"/>
      <c r="E124" s="158"/>
      <c r="F124" s="158"/>
      <c r="G124" s="159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45"/>
      <c r="Y124" s="145"/>
      <c r="Z124" s="150"/>
      <c r="AA124" s="146"/>
    </row>
    <row r="125" spans="3:27" x14ac:dyDescent="0.25">
      <c r="C125" s="160">
        <v>42614840</v>
      </c>
      <c r="D125" s="145"/>
      <c r="E125" s="158"/>
      <c r="F125" s="158"/>
      <c r="G125" s="159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>
        <v>412608</v>
      </c>
      <c r="X125" s="145"/>
      <c r="Y125" s="145"/>
      <c r="Z125" s="150"/>
      <c r="AA125" s="146"/>
    </row>
    <row r="126" spans="3:27" x14ac:dyDescent="0.25">
      <c r="C126" s="160">
        <v>9675182</v>
      </c>
      <c r="D126" s="145"/>
      <c r="E126" s="158"/>
      <c r="F126" s="158"/>
      <c r="G126" s="159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>
        <v>1880000</v>
      </c>
      <c r="X126" s="145"/>
      <c r="Y126" s="145"/>
      <c r="Z126" s="150"/>
      <c r="AA126" s="146"/>
    </row>
    <row r="127" spans="3:27" x14ac:dyDescent="0.25">
      <c r="C127" s="160">
        <v>17903600</v>
      </c>
      <c r="D127" s="145"/>
      <c r="E127" s="158"/>
      <c r="F127" s="158"/>
      <c r="G127" s="159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45"/>
      <c r="Y127" s="145"/>
      <c r="Z127" s="150"/>
      <c r="AA127" s="146"/>
    </row>
    <row r="128" spans="3:27" x14ac:dyDescent="0.25">
      <c r="C128" s="160">
        <f>SUM(C125:C127)</f>
        <v>70193622</v>
      </c>
      <c r="D128" s="145"/>
      <c r="E128" s="158"/>
      <c r="F128" s="158"/>
      <c r="G128" s="159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45"/>
      <c r="Y128" s="145"/>
      <c r="Z128" s="150"/>
      <c r="AA128" s="146"/>
    </row>
    <row r="129" spans="3:27" x14ac:dyDescent="0.25">
      <c r="C129" s="160">
        <v>400000</v>
      </c>
      <c r="D129" s="145"/>
      <c r="E129" s="158"/>
      <c r="F129" s="158"/>
      <c r="G129" s="159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45"/>
      <c r="Y129" s="145"/>
      <c r="Z129" s="150"/>
      <c r="AA129" s="146"/>
    </row>
    <row r="130" spans="3:27" x14ac:dyDescent="0.25">
      <c r="C130" s="160">
        <f>+C128+C129</f>
        <v>70593622</v>
      </c>
      <c r="D130" s="145"/>
      <c r="E130" s="158"/>
      <c r="F130" s="158"/>
      <c r="G130" s="159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45"/>
      <c r="Y130" s="145"/>
      <c r="Z130" s="150"/>
      <c r="AA130" s="146"/>
    </row>
    <row r="133" spans="3:27" x14ac:dyDescent="0.25">
      <c r="C133" s="147">
        <v>64000000</v>
      </c>
    </row>
    <row r="134" spans="3:27" x14ac:dyDescent="0.25">
      <c r="C134" s="147">
        <v>11000000</v>
      </c>
    </row>
    <row r="135" spans="3:27" x14ac:dyDescent="0.25">
      <c r="C135" s="147">
        <f>+C133+C134</f>
        <v>75000000</v>
      </c>
    </row>
    <row r="139" spans="3:27" x14ac:dyDescent="0.25">
      <c r="C139" s="147">
        <v>2745000</v>
      </c>
    </row>
    <row r="140" spans="3:27" x14ac:dyDescent="0.25">
      <c r="C140" s="147">
        <v>3185000</v>
      </c>
    </row>
    <row r="141" spans="3:27" x14ac:dyDescent="0.25">
      <c r="C141" s="147">
        <v>1080000</v>
      </c>
    </row>
    <row r="142" spans="3:27" x14ac:dyDescent="0.25">
      <c r="C142" s="147">
        <v>4850100</v>
      </c>
    </row>
    <row r="143" spans="3:27" x14ac:dyDescent="0.25">
      <c r="C143" s="147">
        <v>5027500</v>
      </c>
    </row>
    <row r="144" spans="3:27" x14ac:dyDescent="0.25">
      <c r="C144" s="147">
        <v>4566000</v>
      </c>
    </row>
    <row r="145" spans="3:3" x14ac:dyDescent="0.25">
      <c r="C145" s="147">
        <v>1050000</v>
      </c>
    </row>
    <row r="146" spans="3:3" x14ac:dyDescent="0.25">
      <c r="C146" s="147">
        <v>3877333</v>
      </c>
    </row>
    <row r="147" spans="3:3" x14ac:dyDescent="0.25">
      <c r="C147" s="147">
        <v>6732440</v>
      </c>
    </row>
    <row r="148" spans="3:3" x14ac:dyDescent="0.25">
      <c r="C148" s="147">
        <v>3460000</v>
      </c>
    </row>
    <row r="149" spans="3:3" x14ac:dyDescent="0.25">
      <c r="C149" s="147">
        <v>588800</v>
      </c>
    </row>
    <row r="150" spans="3:3" x14ac:dyDescent="0.25">
      <c r="C150" s="147">
        <v>1868000</v>
      </c>
    </row>
    <row r="151" spans="3:3" x14ac:dyDescent="0.25">
      <c r="C151" s="147">
        <v>10313000</v>
      </c>
    </row>
    <row r="152" spans="3:3" x14ac:dyDescent="0.25">
      <c r="C152" s="147">
        <v>3443800</v>
      </c>
    </row>
    <row r="153" spans="3:3" x14ac:dyDescent="0.25">
      <c r="C153" s="147">
        <v>8136400</v>
      </c>
    </row>
    <row r="154" spans="3:3" x14ac:dyDescent="0.25">
      <c r="C154" s="147">
        <v>9675183</v>
      </c>
    </row>
    <row r="155" spans="3:3" x14ac:dyDescent="0.25">
      <c r="C155" s="147">
        <f>SUM(C139:C154)</f>
        <v>70598556</v>
      </c>
    </row>
  </sheetData>
  <mergeCells count="9">
    <mergeCell ref="C73:X73"/>
    <mergeCell ref="E97:U97"/>
    <mergeCell ref="D98:AA98"/>
    <mergeCell ref="C1:X1"/>
    <mergeCell ref="E2:N2"/>
    <mergeCell ref="O2:W2"/>
    <mergeCell ref="A3:A31"/>
    <mergeCell ref="A32:A60"/>
    <mergeCell ref="D69:A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A28E-FBC0-4835-9593-B8380EE4D2EB}">
  <dimension ref="A1:AE157"/>
  <sheetViews>
    <sheetView topLeftCell="P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5.8554687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123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0" si="0">SUM(O4:V4)</f>
        <v>503752</v>
      </c>
      <c r="X4" s="40">
        <f t="shared" ref="X4:X23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4911500</v>
      </c>
      <c r="F6" s="39">
        <v>30</v>
      </c>
      <c r="G6" s="39">
        <f>+E6/30*F6</f>
        <v>4911500</v>
      </c>
      <c r="H6" s="39"/>
      <c r="I6" s="39"/>
      <c r="J6" s="39"/>
      <c r="K6" s="39"/>
      <c r="L6" s="39"/>
      <c r="M6" s="39"/>
      <c r="N6" s="39">
        <f t="shared" ref="N6:N27" si="2">SUM(G6:M6)</f>
        <v>4911500</v>
      </c>
      <c r="O6" s="39">
        <f>+G6*4%</f>
        <v>196460</v>
      </c>
      <c r="P6" s="39">
        <f>+O6</f>
        <v>196460</v>
      </c>
      <c r="Q6" s="39"/>
      <c r="R6" s="39"/>
      <c r="S6" s="39">
        <f t="shared" ref="S6:S32" si="3">+G6*0.01</f>
        <v>49115</v>
      </c>
      <c r="T6" s="48">
        <v>84469</v>
      </c>
      <c r="U6" s="39"/>
      <c r="V6" s="39"/>
      <c r="W6" s="39">
        <f t="shared" si="0"/>
        <v>526504</v>
      </c>
      <c r="X6" s="40">
        <f t="shared" si="1"/>
        <v>4384996</v>
      </c>
      <c r="Y6" s="40"/>
      <c r="Z6" s="41"/>
      <c r="AA6" s="40">
        <f>X6+Y6-Z6</f>
        <v>4384996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 t="shared" ref="O8:O13" si="4"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12.75" x14ac:dyDescent="0.25">
      <c r="A9" s="120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5" si="5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 t="shared" si="4"/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3" si="6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4200000</v>
      </c>
      <c r="F10" s="39">
        <v>30</v>
      </c>
      <c r="G10" s="39">
        <f t="shared" si="5"/>
        <v>4200000</v>
      </c>
      <c r="H10" s="39"/>
      <c r="I10" s="39"/>
      <c r="J10" s="39"/>
      <c r="K10" s="39"/>
      <c r="L10" s="39"/>
      <c r="M10" s="39"/>
      <c r="N10" s="39">
        <f t="shared" si="2"/>
        <v>4200000</v>
      </c>
      <c r="O10" s="39">
        <f t="shared" si="4"/>
        <v>168000</v>
      </c>
      <c r="P10" s="39">
        <v>160000</v>
      </c>
      <c r="Q10" s="39"/>
      <c r="R10" s="39"/>
      <c r="S10" s="39">
        <v>40000</v>
      </c>
      <c r="T10" s="39">
        <v>58139</v>
      </c>
      <c r="U10" s="39"/>
      <c r="V10" s="39"/>
      <c r="W10" s="39">
        <f t="shared" si="0"/>
        <v>426139</v>
      </c>
      <c r="X10" s="40">
        <f t="shared" si="1"/>
        <v>3773861</v>
      </c>
      <c r="Y10" s="40"/>
      <c r="Z10" s="41"/>
      <c r="AA10" s="40">
        <f t="shared" si="6"/>
        <v>3773861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5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4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6"/>
        <v>3685000</v>
      </c>
    </row>
    <row r="12" spans="1:27" ht="12.75" x14ac:dyDescent="0.25">
      <c r="A12" s="120"/>
      <c r="B12" s="123">
        <v>9</v>
      </c>
      <c r="C12" s="118" t="s">
        <v>108</v>
      </c>
      <c r="D12" s="45" t="s">
        <v>32</v>
      </c>
      <c r="E12" s="39">
        <v>2500000</v>
      </c>
      <c r="F12" s="39">
        <v>30</v>
      </c>
      <c r="G12" s="39">
        <f t="shared" si="5"/>
        <v>2500000</v>
      </c>
      <c r="H12" s="39"/>
      <c r="I12" s="39"/>
      <c r="J12" s="39"/>
      <c r="K12" s="39"/>
      <c r="L12" s="39"/>
      <c r="M12" s="39"/>
      <c r="N12" s="39">
        <f t="shared" si="2"/>
        <v>2500000</v>
      </c>
      <c r="O12" s="39">
        <f t="shared" si="4"/>
        <v>100000</v>
      </c>
      <c r="P12" s="39">
        <f>O12</f>
        <v>100000</v>
      </c>
      <c r="Q12" s="39"/>
      <c r="R12" s="39"/>
      <c r="S12" s="39"/>
      <c r="T12" s="39"/>
      <c r="U12" s="39"/>
      <c r="V12" s="39"/>
      <c r="W12" s="39">
        <f t="shared" si="0"/>
        <v>200000</v>
      </c>
      <c r="X12" s="40">
        <f t="shared" si="1"/>
        <v>2300000</v>
      </c>
      <c r="Y12" s="40"/>
      <c r="Z12" s="41"/>
      <c r="AA12" s="40">
        <f t="shared" si="6"/>
        <v>2300000</v>
      </c>
    </row>
    <row r="13" spans="1:27" ht="12.75" x14ac:dyDescent="0.25">
      <c r="A13" s="120"/>
      <c r="B13" s="123">
        <v>10</v>
      </c>
      <c r="C13" s="118" t="s">
        <v>119</v>
      </c>
      <c r="D13" s="45" t="s">
        <v>32</v>
      </c>
      <c r="E13" s="39">
        <v>2800000</v>
      </c>
      <c r="F13" s="39">
        <v>15</v>
      </c>
      <c r="G13" s="39">
        <f t="shared" si="5"/>
        <v>1400000</v>
      </c>
      <c r="H13" s="39"/>
      <c r="I13" s="39">
        <v>116667</v>
      </c>
      <c r="J13" s="39"/>
      <c r="K13" s="39"/>
      <c r="L13" s="39"/>
      <c r="M13" s="39"/>
      <c r="N13" s="39">
        <f t="shared" si="2"/>
        <v>1516667</v>
      </c>
      <c r="O13" s="39">
        <f t="shared" si="4"/>
        <v>56000</v>
      </c>
      <c r="P13" s="39">
        <f>O13</f>
        <v>56000</v>
      </c>
      <c r="Q13" s="39"/>
      <c r="R13" s="39"/>
      <c r="S13" s="39"/>
      <c r="T13" s="39"/>
      <c r="U13" s="39"/>
      <c r="V13" s="39"/>
      <c r="W13" s="39">
        <f t="shared" si="0"/>
        <v>112000</v>
      </c>
      <c r="X13" s="40">
        <f t="shared" si="1"/>
        <v>1404667</v>
      </c>
      <c r="Y13" s="40"/>
      <c r="Z13" s="41"/>
      <c r="AA13" s="40">
        <f t="shared" si="6"/>
        <v>1404667</v>
      </c>
    </row>
    <row r="14" spans="1:27" ht="12.75" x14ac:dyDescent="0.25">
      <c r="A14" s="120"/>
      <c r="B14" s="123">
        <v>11</v>
      </c>
      <c r="C14" s="37" t="s">
        <v>42</v>
      </c>
      <c r="D14" s="38" t="s">
        <v>32</v>
      </c>
      <c r="E14" s="39">
        <v>4410000</v>
      </c>
      <c r="F14" s="39">
        <v>30</v>
      </c>
      <c r="G14" s="39">
        <f t="shared" si="5"/>
        <v>4410000</v>
      </c>
      <c r="H14" s="39"/>
      <c r="I14" s="39"/>
      <c r="J14" s="39"/>
      <c r="K14" s="39"/>
      <c r="L14" s="39"/>
      <c r="M14" s="39"/>
      <c r="N14" s="39">
        <f t="shared" si="2"/>
        <v>4410000</v>
      </c>
      <c r="O14" s="39">
        <f>+G14*4%</f>
        <v>176400</v>
      </c>
      <c r="P14" s="39">
        <f>+O14</f>
        <v>176400</v>
      </c>
      <c r="Q14" s="39"/>
      <c r="R14" s="39"/>
      <c r="S14" s="39">
        <f t="shared" si="3"/>
        <v>44100</v>
      </c>
      <c r="T14" s="48">
        <v>29568</v>
      </c>
      <c r="U14" s="39">
        <v>400000</v>
      </c>
      <c r="V14" s="39"/>
      <c r="W14" s="39">
        <f t="shared" si="0"/>
        <v>826468</v>
      </c>
      <c r="X14" s="40">
        <f t="shared" si="1"/>
        <v>3583532</v>
      </c>
      <c r="Y14" s="40"/>
      <c r="Z14" s="41"/>
      <c r="AA14" s="40">
        <f t="shared" si="6"/>
        <v>3583532</v>
      </c>
    </row>
    <row r="15" spans="1:27" ht="12.75" x14ac:dyDescent="0.25">
      <c r="A15" s="120"/>
      <c r="B15" s="123">
        <v>12</v>
      </c>
      <c r="C15" s="37" t="s">
        <v>104</v>
      </c>
      <c r="D15" s="38" t="s">
        <v>32</v>
      </c>
      <c r="E15" s="39">
        <v>4500000</v>
      </c>
      <c r="F15" s="39">
        <v>30</v>
      </c>
      <c r="G15" s="39">
        <f t="shared" si="5"/>
        <v>4500000</v>
      </c>
      <c r="H15" s="39"/>
      <c r="I15" s="39"/>
      <c r="J15" s="39"/>
      <c r="K15" s="39"/>
      <c r="L15" s="39"/>
      <c r="M15" s="39">
        <v>300000</v>
      </c>
      <c r="N15" s="39">
        <f t="shared" si="2"/>
        <v>4800000</v>
      </c>
      <c r="O15" s="39">
        <f>+G15*4%</f>
        <v>180000</v>
      </c>
      <c r="P15" s="39">
        <f>+O15</f>
        <v>180000</v>
      </c>
      <c r="Q15" s="39"/>
      <c r="R15" s="39"/>
      <c r="S15" s="39">
        <f t="shared" si="3"/>
        <v>45000</v>
      </c>
      <c r="T15" s="48">
        <v>98752</v>
      </c>
      <c r="U15" s="39"/>
      <c r="V15" s="39">
        <v>2000000</v>
      </c>
      <c r="W15" s="39">
        <f t="shared" si="0"/>
        <v>2503752</v>
      </c>
      <c r="X15" s="40">
        <f t="shared" si="1"/>
        <v>2296248</v>
      </c>
      <c r="Y15" s="40"/>
      <c r="Z15" s="41"/>
      <c r="AA15" s="40">
        <f t="shared" si="6"/>
        <v>2296248</v>
      </c>
    </row>
    <row r="16" spans="1:27" ht="25.5" x14ac:dyDescent="0.25">
      <c r="A16" s="120"/>
      <c r="B16" s="123">
        <v>13</v>
      </c>
      <c r="C16" s="37" t="s">
        <v>43</v>
      </c>
      <c r="D16" s="38" t="s">
        <v>32</v>
      </c>
      <c r="E16" s="39">
        <v>4500000</v>
      </c>
      <c r="F16" s="39">
        <v>29</v>
      </c>
      <c r="G16" s="39">
        <f>E16/30*F16+100005</f>
        <v>4450005</v>
      </c>
      <c r="H16" s="39"/>
      <c r="I16" s="39"/>
      <c r="J16" s="39"/>
      <c r="K16" s="39"/>
      <c r="L16" s="39"/>
      <c r="M16" s="39">
        <v>300000</v>
      </c>
      <c r="N16" s="39">
        <f>SUM(G16:M16)</f>
        <v>4750005</v>
      </c>
      <c r="O16" s="39">
        <f t="shared" ref="O16:O17" si="7">+G16*4%</f>
        <v>178000.2</v>
      </c>
      <c r="P16" s="39">
        <f>+O16</f>
        <v>178000.2</v>
      </c>
      <c r="Q16" s="39"/>
      <c r="R16" s="39"/>
      <c r="S16" s="39">
        <f>N16*1%</f>
        <v>47500.05</v>
      </c>
      <c r="T16" s="48">
        <v>98752</v>
      </c>
      <c r="U16" s="39"/>
      <c r="V16" s="39"/>
      <c r="W16" s="39">
        <f t="shared" si="0"/>
        <v>502252.45</v>
      </c>
      <c r="X16" s="40">
        <f>N16-W16</f>
        <v>4247752.55</v>
      </c>
      <c r="Y16" s="40"/>
      <c r="Z16" s="41"/>
      <c r="AA16" s="40">
        <f t="shared" si="6"/>
        <v>4247752.55</v>
      </c>
    </row>
    <row r="17" spans="1:27" ht="12.75" x14ac:dyDescent="0.25">
      <c r="A17" s="120"/>
      <c r="B17" s="123">
        <v>14</v>
      </c>
      <c r="C17" s="37" t="s">
        <v>44</v>
      </c>
      <c r="D17" s="38" t="s">
        <v>32</v>
      </c>
      <c r="E17" s="39">
        <v>4500000</v>
      </c>
      <c r="F17" s="39">
        <v>30</v>
      </c>
      <c r="G17" s="39">
        <f>E17/30*F17</f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 t="shared" si="7"/>
        <v>180000</v>
      </c>
      <c r="P17" s="39">
        <f>O17</f>
        <v>180000</v>
      </c>
      <c r="Q17" s="39"/>
      <c r="R17" s="39"/>
      <c r="S17" s="39">
        <v>45000</v>
      </c>
      <c r="T17" s="48">
        <v>98752</v>
      </c>
      <c r="U17" s="39"/>
      <c r="V17" s="39">
        <v>385173</v>
      </c>
      <c r="W17" s="39">
        <f t="shared" si="0"/>
        <v>888925</v>
      </c>
      <c r="X17" s="40">
        <f>N17-W17</f>
        <v>3611075</v>
      </c>
      <c r="Y17" s="40"/>
      <c r="Z17" s="41"/>
      <c r="AA17" s="40">
        <f t="shared" si="6"/>
        <v>3611075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>E18/30*F18</f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6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>E19/30*F19</f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6" si="8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6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3" si="9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8"/>
        <v>168000</v>
      </c>
      <c r="P20" s="39">
        <f>O20</f>
        <v>168000</v>
      </c>
      <c r="Q20" s="39"/>
      <c r="R20" s="39"/>
      <c r="S20" s="39">
        <f>N20*1%</f>
        <v>45000</v>
      </c>
      <c r="T20" s="48">
        <v>58139</v>
      </c>
      <c r="U20" s="39"/>
      <c r="V20" s="39"/>
      <c r="W20" s="39">
        <f t="shared" si="0"/>
        <v>439139</v>
      </c>
      <c r="X20" s="40">
        <f>N20-W20</f>
        <v>4060861</v>
      </c>
      <c r="Y20" s="40"/>
      <c r="Z20" s="41"/>
      <c r="AA20" s="40">
        <f t="shared" si="6"/>
        <v>4060861</v>
      </c>
    </row>
    <row r="21" spans="1:27" ht="12.75" x14ac:dyDescent="0.25">
      <c r="A21" s="120"/>
      <c r="B21" s="123">
        <v>18</v>
      </c>
      <c r="C21" s="138" t="s">
        <v>120</v>
      </c>
      <c r="D21" s="96" t="s">
        <v>32</v>
      </c>
      <c r="E21" s="39">
        <v>4500000</v>
      </c>
      <c r="F21" s="39">
        <v>6</v>
      </c>
      <c r="G21" s="39">
        <f t="shared" si="9"/>
        <v>900000</v>
      </c>
      <c r="H21" s="39"/>
      <c r="I21" s="39">
        <v>75000</v>
      </c>
      <c r="J21" s="39"/>
      <c r="K21" s="39"/>
      <c r="L21" s="39"/>
      <c r="M21" s="39"/>
      <c r="N21" s="39">
        <f t="shared" si="2"/>
        <v>975000</v>
      </c>
      <c r="O21" s="39">
        <f t="shared" si="8"/>
        <v>36000</v>
      </c>
      <c r="P21" s="39">
        <f>O21</f>
        <v>36000</v>
      </c>
      <c r="Q21" s="39"/>
      <c r="R21" s="39"/>
      <c r="S21" s="39">
        <f>N21*1%</f>
        <v>9750</v>
      </c>
      <c r="T21" s="48"/>
      <c r="U21" s="39"/>
      <c r="V21" s="39"/>
      <c r="W21" s="39">
        <f t="shared" si="0"/>
        <v>81750</v>
      </c>
      <c r="X21" s="40">
        <f>N21-W21</f>
        <v>893250</v>
      </c>
      <c r="Y21" s="40"/>
      <c r="Z21" s="41"/>
      <c r="AA21" s="40">
        <f t="shared" si="6"/>
        <v>893250</v>
      </c>
    </row>
    <row r="22" spans="1:27" ht="12.75" x14ac:dyDescent="0.25">
      <c r="A22" s="120"/>
      <c r="B22" s="123">
        <v>19</v>
      </c>
      <c r="C22" s="37" t="s">
        <v>48</v>
      </c>
      <c r="D22" s="38" t="s">
        <v>32</v>
      </c>
      <c r="E22" s="39">
        <v>4800000</v>
      </c>
      <c r="F22" s="39">
        <v>30</v>
      </c>
      <c r="G22" s="39">
        <f t="shared" si="9"/>
        <v>4800000</v>
      </c>
      <c r="H22" s="39"/>
      <c r="I22" s="39"/>
      <c r="J22" s="39"/>
      <c r="K22" s="39"/>
      <c r="L22" s="39"/>
      <c r="M22" s="39"/>
      <c r="N22" s="39">
        <f t="shared" si="2"/>
        <v>4800000</v>
      </c>
      <c r="O22" s="39">
        <f t="shared" si="8"/>
        <v>192000</v>
      </c>
      <c r="P22" s="39">
        <f t="shared" ref="P22:P26" si="10">+O22</f>
        <v>192000</v>
      </c>
      <c r="Q22" s="39"/>
      <c r="R22" s="39"/>
      <c r="S22" s="39">
        <f t="shared" si="3"/>
        <v>48000</v>
      </c>
      <c r="T22" s="39">
        <v>139364</v>
      </c>
      <c r="U22" s="39"/>
      <c r="V22" s="39"/>
      <c r="W22" s="39">
        <f t="shared" si="0"/>
        <v>571364</v>
      </c>
      <c r="X22" s="40">
        <f t="shared" si="1"/>
        <v>4228636</v>
      </c>
      <c r="Y22" s="40"/>
      <c r="Z22" s="41"/>
      <c r="AA22" s="40">
        <f t="shared" si="6"/>
        <v>4228636</v>
      </c>
    </row>
    <row r="23" spans="1:27" ht="12.75" x14ac:dyDescent="0.25">
      <c r="A23" s="120"/>
      <c r="B23" s="123">
        <v>20</v>
      </c>
      <c r="C23" s="37" t="s">
        <v>49</v>
      </c>
      <c r="D23" s="38" t="s">
        <v>32</v>
      </c>
      <c r="E23" s="39">
        <v>4023250</v>
      </c>
      <c r="F23" s="39">
        <v>30</v>
      </c>
      <c r="G23" s="39">
        <f t="shared" si="9"/>
        <v>4023250.0000000005</v>
      </c>
      <c r="H23" s="39"/>
      <c r="I23" s="39"/>
      <c r="J23" s="39"/>
      <c r="K23" s="39"/>
      <c r="L23" s="39"/>
      <c r="M23" s="39"/>
      <c r="N23" s="39">
        <f t="shared" si="2"/>
        <v>4023250.0000000005</v>
      </c>
      <c r="O23" s="39">
        <f t="shared" si="8"/>
        <v>160930.00000000003</v>
      </c>
      <c r="P23" s="39">
        <f t="shared" si="10"/>
        <v>160930.00000000003</v>
      </c>
      <c r="Q23" s="39"/>
      <c r="R23" s="39"/>
      <c r="S23" s="39">
        <f t="shared" si="3"/>
        <v>40232.500000000007</v>
      </c>
      <c r="T23" s="39">
        <v>2545</v>
      </c>
      <c r="U23" s="39"/>
      <c r="V23" s="39"/>
      <c r="W23" s="39">
        <f t="shared" si="0"/>
        <v>364637.50000000006</v>
      </c>
      <c r="X23" s="40">
        <f t="shared" si="1"/>
        <v>3658612.5000000005</v>
      </c>
      <c r="Y23" s="40"/>
      <c r="Z23" s="41"/>
      <c r="AA23" s="40">
        <f t="shared" si="6"/>
        <v>3658612.5000000005</v>
      </c>
    </row>
    <row r="24" spans="1:27" ht="12.75" x14ac:dyDescent="0.25">
      <c r="A24" s="120"/>
      <c r="B24" s="123">
        <v>21</v>
      </c>
      <c r="C24" s="37" t="s">
        <v>50</v>
      </c>
      <c r="D24" s="38" t="s">
        <v>32</v>
      </c>
      <c r="E24" s="39">
        <v>6583500</v>
      </c>
      <c r="F24" s="39">
        <v>30</v>
      </c>
      <c r="G24" s="39">
        <f t="shared" si="9"/>
        <v>6583500</v>
      </c>
      <c r="H24" s="39"/>
      <c r="I24" s="39"/>
      <c r="J24" s="39"/>
      <c r="K24" s="39"/>
      <c r="L24" s="39"/>
      <c r="M24" s="39"/>
      <c r="N24" s="39">
        <f t="shared" si="2"/>
        <v>6583500</v>
      </c>
      <c r="O24" s="39">
        <f t="shared" si="8"/>
        <v>263340</v>
      </c>
      <c r="P24" s="39">
        <f t="shared" si="10"/>
        <v>263340</v>
      </c>
      <c r="Q24" s="39"/>
      <c r="R24" s="39"/>
      <c r="S24" s="39">
        <f t="shared" si="3"/>
        <v>65835</v>
      </c>
      <c r="T24" s="48">
        <v>83706</v>
      </c>
      <c r="U24" s="39">
        <v>1560000</v>
      </c>
      <c r="V24" s="39"/>
      <c r="W24" s="39">
        <f t="shared" si="0"/>
        <v>2236221</v>
      </c>
      <c r="X24" s="40">
        <f>+N24-W24</f>
        <v>4347279</v>
      </c>
      <c r="Y24" s="40"/>
      <c r="Z24" s="41"/>
      <c r="AA24" s="40">
        <f t="shared" si="6"/>
        <v>4347279</v>
      </c>
    </row>
    <row r="25" spans="1:27" ht="12.75" x14ac:dyDescent="0.25">
      <c r="A25" s="120"/>
      <c r="B25" s="123">
        <v>22</v>
      </c>
      <c r="C25" s="37" t="s">
        <v>51</v>
      </c>
      <c r="D25" s="38" t="s">
        <v>32</v>
      </c>
      <c r="E25" s="39">
        <v>3500000</v>
      </c>
      <c r="F25" s="39">
        <v>30</v>
      </c>
      <c r="G25" s="39">
        <f t="shared" si="9"/>
        <v>3500000</v>
      </c>
      <c r="H25" s="39"/>
      <c r="I25" s="39"/>
      <c r="J25" s="39"/>
      <c r="K25" s="39"/>
      <c r="L25" s="39"/>
      <c r="M25" s="39">
        <v>500000</v>
      </c>
      <c r="N25" s="39">
        <f t="shared" si="2"/>
        <v>4000000</v>
      </c>
      <c r="O25" s="39">
        <f t="shared" si="8"/>
        <v>140000</v>
      </c>
      <c r="P25" s="39">
        <f t="shared" si="10"/>
        <v>140000</v>
      </c>
      <c r="Q25" s="39"/>
      <c r="R25" s="39"/>
      <c r="S25" s="39">
        <f t="shared" si="3"/>
        <v>35000</v>
      </c>
      <c r="T25" s="39">
        <v>0</v>
      </c>
      <c r="U25" s="39"/>
      <c r="V25" s="39"/>
      <c r="W25" s="39">
        <f t="shared" si="0"/>
        <v>315000</v>
      </c>
      <c r="X25" s="40">
        <f>+N25-W25</f>
        <v>3685000</v>
      </c>
      <c r="Y25" s="40"/>
      <c r="Z25" s="41"/>
      <c r="AA25" s="40">
        <f t="shared" si="6"/>
        <v>3685000</v>
      </c>
    </row>
    <row r="26" spans="1:27" ht="12.75" x14ac:dyDescent="0.25">
      <c r="A26" s="120"/>
      <c r="B26" s="123">
        <v>23</v>
      </c>
      <c r="C26" s="118" t="s">
        <v>53</v>
      </c>
      <c r="D26" s="45" t="s">
        <v>32</v>
      </c>
      <c r="E26" s="39">
        <v>4200000</v>
      </c>
      <c r="F26" s="39">
        <v>30</v>
      </c>
      <c r="G26" s="39">
        <f t="shared" si="9"/>
        <v>4200000</v>
      </c>
      <c r="H26" s="39"/>
      <c r="I26" s="39"/>
      <c r="J26" s="39"/>
      <c r="K26" s="39"/>
      <c r="L26" s="39"/>
      <c r="M26" s="39"/>
      <c r="N26" s="39">
        <f t="shared" si="2"/>
        <v>4200000</v>
      </c>
      <c r="O26" s="39">
        <f t="shared" si="8"/>
        <v>168000</v>
      </c>
      <c r="P26" s="39">
        <f t="shared" si="10"/>
        <v>168000</v>
      </c>
      <c r="Q26" s="39"/>
      <c r="R26" s="39"/>
      <c r="S26" s="39">
        <f>N26*1%</f>
        <v>42000</v>
      </c>
      <c r="T26" s="39">
        <v>2545</v>
      </c>
      <c r="U26" s="39"/>
      <c r="V26" s="39"/>
      <c r="W26" s="39">
        <f t="shared" si="0"/>
        <v>380545</v>
      </c>
      <c r="X26" s="40">
        <f>N26-W26</f>
        <v>3819455</v>
      </c>
      <c r="Y26" s="40"/>
      <c r="Z26" s="41"/>
      <c r="AA26" s="40">
        <f t="shared" si="6"/>
        <v>3819455</v>
      </c>
    </row>
    <row r="27" spans="1:27" ht="12.75" x14ac:dyDescent="0.25">
      <c r="A27" s="120"/>
      <c r="B27" s="123">
        <v>24</v>
      </c>
      <c r="C27" s="139" t="s">
        <v>54</v>
      </c>
      <c r="D27" s="42" t="s">
        <v>32</v>
      </c>
      <c r="E27" s="39">
        <v>5000000</v>
      </c>
      <c r="F27" s="39">
        <v>30</v>
      </c>
      <c r="G27" s="39">
        <f t="shared" si="9"/>
        <v>5000000</v>
      </c>
      <c r="H27" s="39"/>
      <c r="I27" s="39"/>
      <c r="J27" s="39"/>
      <c r="K27" s="39"/>
      <c r="L27" s="39"/>
      <c r="M27" s="39">
        <f>400000/30*F27</f>
        <v>400000</v>
      </c>
      <c r="N27" s="39">
        <f t="shared" si="2"/>
        <v>5400000</v>
      </c>
      <c r="O27" s="39">
        <f>G27*4%</f>
        <v>200000</v>
      </c>
      <c r="P27" s="39">
        <f>O27</f>
        <v>200000</v>
      </c>
      <c r="Q27" s="39"/>
      <c r="R27" s="39"/>
      <c r="S27" s="39">
        <f>G27*1%</f>
        <v>50000</v>
      </c>
      <c r="T27" s="39">
        <v>166439</v>
      </c>
      <c r="U27" s="39"/>
      <c r="V27" s="39"/>
      <c r="W27" s="39">
        <f t="shared" si="0"/>
        <v>616439</v>
      </c>
      <c r="X27" s="40">
        <f>N27-W27</f>
        <v>4783561</v>
      </c>
      <c r="Y27" s="40"/>
      <c r="Z27" s="41"/>
      <c r="AA27" s="40">
        <f t="shared" si="6"/>
        <v>4783561</v>
      </c>
    </row>
    <row r="28" spans="1:27" ht="25.5" x14ac:dyDescent="0.25">
      <c r="A28" s="120"/>
      <c r="B28" s="123">
        <v>25</v>
      </c>
      <c r="C28" s="37" t="s">
        <v>55</v>
      </c>
      <c r="D28" s="38" t="s">
        <v>32</v>
      </c>
      <c r="E28" s="39">
        <v>4410000</v>
      </c>
      <c r="F28" s="39">
        <v>30</v>
      </c>
      <c r="G28" s="39">
        <f t="shared" si="9"/>
        <v>4410000</v>
      </c>
      <c r="H28" s="39"/>
      <c r="I28" s="39"/>
      <c r="J28" s="39"/>
      <c r="K28" s="39"/>
      <c r="L28" s="39"/>
      <c r="M28" s="39"/>
      <c r="N28" s="39">
        <f>SUM(G28:M28)</f>
        <v>4410000</v>
      </c>
      <c r="O28" s="39">
        <f>+G28*4%</f>
        <v>176400</v>
      </c>
      <c r="P28" s="39">
        <f>+O28</f>
        <v>176400</v>
      </c>
      <c r="Q28" s="39"/>
      <c r="R28" s="39"/>
      <c r="S28" s="39">
        <f t="shared" si="3"/>
        <v>44100</v>
      </c>
      <c r="T28" s="39">
        <v>86568</v>
      </c>
      <c r="U28" s="39"/>
      <c r="V28" s="39"/>
      <c r="W28" s="39">
        <f t="shared" si="0"/>
        <v>483468</v>
      </c>
      <c r="X28" s="40">
        <f>+N28-W28</f>
        <v>3926532</v>
      </c>
      <c r="Y28" s="40"/>
      <c r="Z28" s="41"/>
      <c r="AA28" s="40">
        <f t="shared" si="6"/>
        <v>3926532</v>
      </c>
    </row>
    <row r="29" spans="1:27" ht="12.75" x14ac:dyDescent="0.25">
      <c r="A29" s="120"/>
      <c r="B29" s="123">
        <v>26</v>
      </c>
      <c r="C29" s="37" t="s">
        <v>109</v>
      </c>
      <c r="D29" s="38" t="s">
        <v>32</v>
      </c>
      <c r="E29" s="39">
        <v>4200000</v>
      </c>
      <c r="F29" s="39">
        <v>30</v>
      </c>
      <c r="G29" s="39">
        <f t="shared" si="9"/>
        <v>4200000</v>
      </c>
      <c r="H29" s="39"/>
      <c r="I29" s="39"/>
      <c r="J29" s="39"/>
      <c r="K29" s="39"/>
      <c r="L29" s="39"/>
      <c r="M29" s="39"/>
      <c r="N29" s="39">
        <f>SUM(G29:M29)</f>
        <v>4200000</v>
      </c>
      <c r="O29" s="39">
        <f>+G29*4%</f>
        <v>168000</v>
      </c>
      <c r="P29" s="39">
        <f>+O29</f>
        <v>168000</v>
      </c>
      <c r="Q29" s="39"/>
      <c r="R29" s="39"/>
      <c r="S29" s="39">
        <v>42000</v>
      </c>
      <c r="T29" s="39">
        <v>2545</v>
      </c>
      <c r="U29" s="39"/>
      <c r="V29" s="39"/>
      <c r="W29" s="39">
        <f t="shared" si="0"/>
        <v>380545</v>
      </c>
      <c r="X29" s="40">
        <f>+N29-W29</f>
        <v>3819455</v>
      </c>
      <c r="Y29" s="40"/>
      <c r="Z29" s="41"/>
      <c r="AA29" s="40">
        <f t="shared" si="6"/>
        <v>3819455</v>
      </c>
    </row>
    <row r="30" spans="1:27" ht="12.75" x14ac:dyDescent="0.25">
      <c r="A30" s="120"/>
      <c r="B30" s="123">
        <v>27</v>
      </c>
      <c r="C30" s="138" t="s">
        <v>56</v>
      </c>
      <c r="D30" s="96" t="s">
        <v>32</v>
      </c>
      <c r="E30" s="39">
        <v>4180000</v>
      </c>
      <c r="F30" s="39">
        <v>30</v>
      </c>
      <c r="G30" s="39">
        <f t="shared" si="9"/>
        <v>4180000.0000000005</v>
      </c>
      <c r="H30" s="39"/>
      <c r="I30" s="39"/>
      <c r="J30" s="39"/>
      <c r="K30" s="39"/>
      <c r="L30" s="39"/>
      <c r="M30" s="39">
        <v>500000</v>
      </c>
      <c r="N30" s="39">
        <f>SUM(G30:M30)</f>
        <v>4680000</v>
      </c>
      <c r="O30" s="39">
        <f>+G30*4%</f>
        <v>167200.00000000003</v>
      </c>
      <c r="P30" s="39">
        <f>+O30</f>
        <v>167200.00000000003</v>
      </c>
      <c r="Q30" s="39"/>
      <c r="R30" s="39"/>
      <c r="S30" s="39">
        <f t="shared" si="3"/>
        <v>41800.000000000007</v>
      </c>
      <c r="T30" s="39">
        <v>55432</v>
      </c>
      <c r="U30" s="39"/>
      <c r="V30" s="39"/>
      <c r="W30" s="39">
        <f t="shared" si="0"/>
        <v>431632.00000000006</v>
      </c>
      <c r="X30" s="40">
        <f>+N30-W30</f>
        <v>4248368</v>
      </c>
      <c r="Y30" s="40"/>
      <c r="Z30" s="41"/>
      <c r="AA30" s="40">
        <f t="shared" si="6"/>
        <v>4248368</v>
      </c>
    </row>
    <row r="31" spans="1:27" ht="30.75" customHeight="1" x14ac:dyDescent="0.25">
      <c r="A31" s="120"/>
      <c r="B31" s="123">
        <v>28</v>
      </c>
      <c r="C31" s="37" t="s">
        <v>121</v>
      </c>
      <c r="D31" s="38" t="s">
        <v>32</v>
      </c>
      <c r="E31" s="39">
        <v>4500000</v>
      </c>
      <c r="F31" s="39">
        <v>30</v>
      </c>
      <c r="G31" s="39">
        <f t="shared" si="9"/>
        <v>4500000</v>
      </c>
      <c r="H31" s="39"/>
      <c r="I31" s="39"/>
      <c r="J31" s="39"/>
      <c r="K31" s="39"/>
      <c r="L31" s="39"/>
      <c r="M31" s="39">
        <v>300000</v>
      </c>
      <c r="N31" s="39">
        <f t="shared" ref="N31:N32" si="11">SUM(G31:M31)</f>
        <v>4800000</v>
      </c>
      <c r="O31" s="39">
        <f t="shared" ref="O31" si="12">+G31*4%</f>
        <v>180000</v>
      </c>
      <c r="P31" s="39">
        <f>O31</f>
        <v>180000</v>
      </c>
      <c r="Q31" s="39"/>
      <c r="R31" s="39"/>
      <c r="S31" s="39">
        <v>45000</v>
      </c>
      <c r="T31" s="39">
        <v>98752</v>
      </c>
      <c r="U31" s="39"/>
      <c r="V31" s="39"/>
      <c r="W31" s="39">
        <f t="shared" si="0"/>
        <v>503752</v>
      </c>
      <c r="X31" s="40">
        <f>N31-W31</f>
        <v>4296248</v>
      </c>
      <c r="Y31" s="40"/>
      <c r="Z31" s="41"/>
      <c r="AA31" s="40">
        <f t="shared" si="6"/>
        <v>4296248</v>
      </c>
    </row>
    <row r="32" spans="1:27" ht="12.75" x14ac:dyDescent="0.25">
      <c r="A32" s="120"/>
      <c r="B32" s="123">
        <v>29</v>
      </c>
      <c r="C32" s="37" t="s">
        <v>59</v>
      </c>
      <c r="D32" s="38" t="s">
        <v>32</v>
      </c>
      <c r="E32" s="39">
        <v>5747500</v>
      </c>
      <c r="F32" s="39">
        <v>30</v>
      </c>
      <c r="G32" s="39">
        <f t="shared" si="9"/>
        <v>5747500</v>
      </c>
      <c r="H32" s="39"/>
      <c r="I32" s="39"/>
      <c r="J32" s="39"/>
      <c r="K32" s="39"/>
      <c r="L32" s="39"/>
      <c r="M32" s="39">
        <v>500000</v>
      </c>
      <c r="N32" s="39">
        <f t="shared" si="11"/>
        <v>6247500</v>
      </c>
      <c r="O32" s="39">
        <f>+G32*4%</f>
        <v>229900</v>
      </c>
      <c r="P32" s="39">
        <f>+O32</f>
        <v>229900</v>
      </c>
      <c r="Q32" s="39"/>
      <c r="R32" s="39"/>
      <c r="S32" s="39">
        <f t="shared" si="3"/>
        <v>57475</v>
      </c>
      <c r="T32" s="39">
        <v>91627</v>
      </c>
      <c r="U32" s="39">
        <v>1000000</v>
      </c>
      <c r="V32" s="39"/>
      <c r="W32" s="39">
        <f t="shared" si="0"/>
        <v>1608902</v>
      </c>
      <c r="X32" s="40">
        <f>N32-W32</f>
        <v>4638598</v>
      </c>
      <c r="Y32" s="40"/>
      <c r="Z32" s="41"/>
      <c r="AA32" s="40">
        <f t="shared" si="6"/>
        <v>4638598</v>
      </c>
    </row>
    <row r="33" spans="1:28" ht="12.75" x14ac:dyDescent="0.25">
      <c r="A33" s="120" t="s">
        <v>60</v>
      </c>
      <c r="B33" s="123">
        <v>30</v>
      </c>
      <c r="C33" s="37" t="s">
        <v>61</v>
      </c>
      <c r="D33" s="38" t="s">
        <v>32</v>
      </c>
      <c r="E33" s="39">
        <v>1500000</v>
      </c>
      <c r="F33" s="39">
        <v>30</v>
      </c>
      <c r="G33" s="39">
        <f t="shared" si="9"/>
        <v>1500000</v>
      </c>
      <c r="H33" s="39"/>
      <c r="I33" s="39"/>
      <c r="J33" s="39"/>
      <c r="K33" s="39"/>
      <c r="L33" s="39"/>
      <c r="M33" s="39">
        <v>522500</v>
      </c>
      <c r="N33" s="39">
        <f>SUM(G33:M33)</f>
        <v>2022500</v>
      </c>
      <c r="O33" s="39">
        <f>+G33*4%</f>
        <v>60000</v>
      </c>
      <c r="P33" s="39">
        <f>+O33</f>
        <v>60000</v>
      </c>
      <c r="Q33" s="39"/>
      <c r="R33" s="39"/>
      <c r="S33" s="39"/>
      <c r="T33" s="48"/>
      <c r="U33" s="39"/>
      <c r="V33" s="39"/>
      <c r="W33" s="39">
        <f t="shared" si="0"/>
        <v>120000</v>
      </c>
      <c r="X33" s="40">
        <f>+N33-W33</f>
        <v>1902500</v>
      </c>
      <c r="Y33" s="40"/>
      <c r="Z33" s="41"/>
      <c r="AA33" s="40">
        <f t="shared" si="6"/>
        <v>1902500</v>
      </c>
    </row>
    <row r="34" spans="1:28" ht="12.75" x14ac:dyDescent="0.25">
      <c r="A34" s="120"/>
      <c r="B34" s="123">
        <v>31</v>
      </c>
      <c r="C34" s="37" t="s">
        <v>65</v>
      </c>
      <c r="D34" s="38" t="s">
        <v>32</v>
      </c>
      <c r="E34" s="39">
        <v>644350</v>
      </c>
      <c r="F34" s="39">
        <v>30</v>
      </c>
      <c r="G34" s="39">
        <f>E34/30*F34</f>
        <v>644350</v>
      </c>
      <c r="H34" s="39"/>
      <c r="I34" s="39"/>
      <c r="J34" s="39"/>
      <c r="K34" s="39"/>
      <c r="L34" s="39"/>
      <c r="M34" s="39"/>
      <c r="N34" s="39">
        <f t="shared" ref="N34:N51" si="13">SUM(G34:M34)</f>
        <v>644350</v>
      </c>
      <c r="O34" s="39"/>
      <c r="P34" s="39"/>
      <c r="Q34" s="39"/>
      <c r="R34" s="39"/>
      <c r="S34" s="39"/>
      <c r="T34" s="39"/>
      <c r="U34" s="39"/>
      <c r="V34" s="39"/>
      <c r="W34" s="39">
        <f t="shared" si="0"/>
        <v>0</v>
      </c>
      <c r="X34" s="40">
        <f>N34</f>
        <v>644350</v>
      </c>
      <c r="Y34" s="40"/>
      <c r="Z34" s="41"/>
      <c r="AA34" s="40">
        <f t="shared" si="6"/>
        <v>644350</v>
      </c>
    </row>
    <row r="35" spans="1:28" ht="12.75" x14ac:dyDescent="0.25">
      <c r="A35" s="120"/>
      <c r="B35" s="123">
        <v>32</v>
      </c>
      <c r="C35" s="37" t="s">
        <v>66</v>
      </c>
      <c r="D35" s="38" t="s">
        <v>32</v>
      </c>
      <c r="E35" s="39">
        <v>644350</v>
      </c>
      <c r="F35" s="39">
        <v>30</v>
      </c>
      <c r="G35" s="39">
        <f>E35/30*F35</f>
        <v>644350</v>
      </c>
      <c r="H35" s="39"/>
      <c r="I35" s="39"/>
      <c r="J35" s="39"/>
      <c r="K35" s="39"/>
      <c r="L35" s="39"/>
      <c r="M35" s="39"/>
      <c r="N35" s="39">
        <f t="shared" si="13"/>
        <v>644350</v>
      </c>
      <c r="O35" s="39"/>
      <c r="P35" s="39"/>
      <c r="Q35" s="39"/>
      <c r="R35" s="39"/>
      <c r="S35" s="39"/>
      <c r="T35" s="39"/>
      <c r="U35" s="39"/>
      <c r="V35" s="39"/>
      <c r="W35" s="39">
        <f t="shared" si="0"/>
        <v>0</v>
      </c>
      <c r="X35" s="40">
        <f>N35</f>
        <v>644350</v>
      </c>
      <c r="Y35" s="40"/>
      <c r="Z35" s="41"/>
      <c r="AA35" s="40">
        <f t="shared" si="6"/>
        <v>644350</v>
      </c>
    </row>
    <row r="36" spans="1:28" ht="12.75" x14ac:dyDescent="0.25">
      <c r="A36" s="120"/>
      <c r="B36" s="123">
        <v>33</v>
      </c>
      <c r="C36" s="118" t="s">
        <v>67</v>
      </c>
      <c r="D36" s="45" t="s">
        <v>32</v>
      </c>
      <c r="E36" s="39">
        <v>1300000</v>
      </c>
      <c r="F36" s="39">
        <v>30</v>
      </c>
      <c r="G36" s="39">
        <f>+E36/30*F36</f>
        <v>1300000</v>
      </c>
      <c r="H36" s="39"/>
      <c r="I36" s="39"/>
      <c r="J36" s="39"/>
      <c r="K36" s="39"/>
      <c r="L36" s="39"/>
      <c r="M36" s="39"/>
      <c r="N36" s="39">
        <f t="shared" si="13"/>
        <v>1300000</v>
      </c>
      <c r="O36" s="39">
        <f>G36*4%</f>
        <v>52000</v>
      </c>
      <c r="P36" s="39">
        <f>+O36</f>
        <v>52000</v>
      </c>
      <c r="Q36" s="39"/>
      <c r="R36" s="39"/>
      <c r="S36" s="39"/>
      <c r="T36" s="39"/>
      <c r="U36" s="39"/>
      <c r="V36" s="39"/>
      <c r="W36" s="39">
        <f t="shared" si="0"/>
        <v>104000</v>
      </c>
      <c r="X36" s="40">
        <f>N36-W36</f>
        <v>1196000</v>
      </c>
      <c r="Y36" s="40"/>
      <c r="Z36" s="41"/>
      <c r="AA36" s="40">
        <f t="shared" si="6"/>
        <v>1196000</v>
      </c>
    </row>
    <row r="37" spans="1:28" ht="12.75" x14ac:dyDescent="0.25">
      <c r="A37" s="120"/>
      <c r="B37" s="123">
        <v>34</v>
      </c>
      <c r="C37" s="37" t="s">
        <v>68</v>
      </c>
      <c r="D37" s="38" t="s">
        <v>32</v>
      </c>
      <c r="E37" s="39">
        <v>2500000</v>
      </c>
      <c r="F37" s="39">
        <v>30</v>
      </c>
      <c r="G37" s="39">
        <v>2500000</v>
      </c>
      <c r="H37" s="39"/>
      <c r="I37" s="39"/>
      <c r="J37" s="39"/>
      <c r="K37" s="39"/>
      <c r="L37" s="39"/>
      <c r="M37" s="39">
        <v>500000</v>
      </c>
      <c r="N37" s="39">
        <f t="shared" si="13"/>
        <v>3000000</v>
      </c>
      <c r="O37" s="39">
        <f>G37*4%</f>
        <v>100000</v>
      </c>
      <c r="P37" s="39">
        <f>O37</f>
        <v>100000</v>
      </c>
      <c r="Q37" s="39"/>
      <c r="R37" s="39"/>
      <c r="S37" s="39"/>
      <c r="T37" s="39"/>
      <c r="U37" s="39"/>
      <c r="V37" s="39"/>
      <c r="W37" s="39">
        <f t="shared" si="0"/>
        <v>200000</v>
      </c>
      <c r="X37" s="40">
        <f t="shared" ref="X37:X41" si="14">N37-W37</f>
        <v>2800000</v>
      </c>
      <c r="Y37" s="40"/>
      <c r="Z37" s="41"/>
      <c r="AA37" s="40">
        <f t="shared" si="6"/>
        <v>2800000</v>
      </c>
    </row>
    <row r="38" spans="1:28" ht="12.75" x14ac:dyDescent="0.25">
      <c r="A38" s="120"/>
      <c r="B38" s="123">
        <v>35</v>
      </c>
      <c r="C38" s="37" t="s">
        <v>70</v>
      </c>
      <c r="D38" s="38" t="s">
        <v>32</v>
      </c>
      <c r="E38" s="39">
        <v>1700000</v>
      </c>
      <c r="F38" s="39">
        <v>30</v>
      </c>
      <c r="G38" s="39">
        <f>E38/30*F38</f>
        <v>1700000</v>
      </c>
      <c r="H38" s="39"/>
      <c r="I38" s="39"/>
      <c r="J38" s="39"/>
      <c r="K38" s="39"/>
      <c r="L38" s="39"/>
      <c r="M38" s="39"/>
      <c r="N38" s="39">
        <f t="shared" si="13"/>
        <v>1700000</v>
      </c>
      <c r="O38" s="39">
        <f t="shared" ref="O38" si="15">G38*4%</f>
        <v>68000</v>
      </c>
      <c r="P38" s="39">
        <f>O38</f>
        <v>68000</v>
      </c>
      <c r="Q38" s="39"/>
      <c r="R38" s="39"/>
      <c r="S38" s="39"/>
      <c r="T38" s="39"/>
      <c r="U38" s="39"/>
      <c r="V38" s="39"/>
      <c r="W38" s="39">
        <f t="shared" si="0"/>
        <v>136000</v>
      </c>
      <c r="X38" s="40">
        <f t="shared" si="14"/>
        <v>1564000</v>
      </c>
      <c r="Y38" s="40"/>
      <c r="Z38" s="41"/>
      <c r="AA38" s="40">
        <f t="shared" si="6"/>
        <v>1564000</v>
      </c>
    </row>
    <row r="39" spans="1:28" ht="12.75" x14ac:dyDescent="0.25">
      <c r="A39" s="120"/>
      <c r="B39" s="123">
        <v>36</v>
      </c>
      <c r="C39" s="37" t="s">
        <v>71</v>
      </c>
      <c r="D39" s="38" t="s">
        <v>32</v>
      </c>
      <c r="E39" s="39">
        <v>1300000</v>
      </c>
      <c r="F39" s="39">
        <v>30</v>
      </c>
      <c r="G39" s="39">
        <f>E39/30*F39</f>
        <v>1300000</v>
      </c>
      <c r="H39" s="39"/>
      <c r="I39" s="39"/>
      <c r="J39" s="39"/>
      <c r="K39" s="39"/>
      <c r="L39" s="39"/>
      <c r="M39" s="39"/>
      <c r="N39" s="39">
        <f t="shared" si="13"/>
        <v>1300000</v>
      </c>
      <c r="O39" s="39">
        <f>G39*4%</f>
        <v>52000</v>
      </c>
      <c r="P39" s="39">
        <f>O39</f>
        <v>52000</v>
      </c>
      <c r="Q39" s="39"/>
      <c r="R39" s="39"/>
      <c r="S39" s="39"/>
      <c r="T39" s="39"/>
      <c r="U39" s="39"/>
      <c r="V39" s="39"/>
      <c r="W39" s="39">
        <f t="shared" si="0"/>
        <v>104000</v>
      </c>
      <c r="X39" s="40">
        <f t="shared" si="14"/>
        <v>1196000</v>
      </c>
      <c r="Y39" s="40"/>
      <c r="Z39" s="41"/>
      <c r="AA39" s="40">
        <f t="shared" si="6"/>
        <v>1196000</v>
      </c>
    </row>
    <row r="40" spans="1:28" ht="12.75" x14ac:dyDescent="0.25">
      <c r="A40" s="120"/>
      <c r="B40" s="123">
        <v>37</v>
      </c>
      <c r="C40" s="118" t="s">
        <v>111</v>
      </c>
      <c r="D40" s="45" t="s">
        <v>32</v>
      </c>
      <c r="E40" s="39">
        <v>644350</v>
      </c>
      <c r="F40" s="39">
        <v>30</v>
      </c>
      <c r="G40" s="39">
        <f>+E40/30*F40</f>
        <v>644350</v>
      </c>
      <c r="H40" s="39">
        <v>74000</v>
      </c>
      <c r="I40" s="39"/>
      <c r="J40" s="39"/>
      <c r="K40" s="39"/>
      <c r="L40" s="39"/>
      <c r="M40" s="39"/>
      <c r="N40" s="39">
        <f t="shared" si="13"/>
        <v>718350</v>
      </c>
      <c r="O40" s="39">
        <f t="shared" ref="O40:O45" si="16">+G40*4%</f>
        <v>25774</v>
      </c>
      <c r="P40" s="39">
        <f>+O40</f>
        <v>25774</v>
      </c>
      <c r="Q40" s="39"/>
      <c r="R40" s="39"/>
      <c r="S40" s="39"/>
      <c r="T40" s="39"/>
      <c r="U40" s="39"/>
      <c r="V40" s="39"/>
      <c r="W40" s="39">
        <f t="shared" si="0"/>
        <v>51548</v>
      </c>
      <c r="X40" s="40">
        <f t="shared" si="14"/>
        <v>666802</v>
      </c>
      <c r="Y40" s="40"/>
      <c r="Z40" s="41"/>
      <c r="AA40" s="40">
        <f t="shared" si="6"/>
        <v>666802</v>
      </c>
    </row>
    <row r="41" spans="1:28" ht="12.75" x14ac:dyDescent="0.25">
      <c r="A41" s="120"/>
      <c r="B41" s="123">
        <v>38</v>
      </c>
      <c r="C41" s="118" t="s">
        <v>112</v>
      </c>
      <c r="D41" s="45" t="s">
        <v>32</v>
      </c>
      <c r="E41" s="39">
        <v>1500000</v>
      </c>
      <c r="F41" s="39">
        <v>30</v>
      </c>
      <c r="G41" s="39">
        <f>+E41/30*F41</f>
        <v>1500000</v>
      </c>
      <c r="H41" s="39"/>
      <c r="I41" s="39"/>
      <c r="J41" s="39"/>
      <c r="K41" s="39"/>
      <c r="L41" s="39"/>
      <c r="M41" s="39"/>
      <c r="N41" s="39">
        <f t="shared" si="13"/>
        <v>1500000</v>
      </c>
      <c r="O41" s="39">
        <f t="shared" si="16"/>
        <v>60000</v>
      </c>
      <c r="P41" s="39">
        <f>+O41</f>
        <v>60000</v>
      </c>
      <c r="Q41" s="39"/>
      <c r="R41" s="39"/>
      <c r="S41" s="39"/>
      <c r="T41" s="39"/>
      <c r="U41" s="39"/>
      <c r="V41" s="39"/>
      <c r="W41" s="39">
        <f t="shared" si="0"/>
        <v>120000</v>
      </c>
      <c r="X41" s="40">
        <f t="shared" si="14"/>
        <v>1380000</v>
      </c>
      <c r="Y41" s="40"/>
      <c r="Z41" s="41"/>
      <c r="AA41" s="40">
        <f t="shared" si="6"/>
        <v>1380000</v>
      </c>
    </row>
    <row r="42" spans="1:28" ht="12.75" x14ac:dyDescent="0.25">
      <c r="A42" s="120"/>
      <c r="B42" s="123">
        <v>39</v>
      </c>
      <c r="C42" s="37" t="s">
        <v>74</v>
      </c>
      <c r="D42" s="38" t="s">
        <v>32</v>
      </c>
      <c r="E42" s="39">
        <v>1000000</v>
      </c>
      <c r="F42" s="39">
        <v>30</v>
      </c>
      <c r="G42" s="39">
        <f>+E42/30*F42</f>
        <v>1000000.0000000001</v>
      </c>
      <c r="H42" s="39">
        <v>74000</v>
      </c>
      <c r="I42" s="39"/>
      <c r="J42" s="39"/>
      <c r="K42" s="39"/>
      <c r="L42" s="39"/>
      <c r="M42" s="39"/>
      <c r="N42" s="39">
        <f t="shared" si="13"/>
        <v>1074000</v>
      </c>
      <c r="O42" s="39">
        <f t="shared" si="16"/>
        <v>40000.000000000007</v>
      </c>
      <c r="P42" s="39">
        <f t="shared" ref="P42:P52" si="17">+O42</f>
        <v>40000.000000000007</v>
      </c>
      <c r="Q42" s="39"/>
      <c r="R42" s="39"/>
      <c r="S42" s="39"/>
      <c r="T42" s="39"/>
      <c r="U42" s="39"/>
      <c r="V42" s="39"/>
      <c r="W42" s="39">
        <f t="shared" si="0"/>
        <v>80000.000000000015</v>
      </c>
      <c r="X42" s="40">
        <f t="shared" ref="X42:X48" si="18">+N42-W42</f>
        <v>994000</v>
      </c>
      <c r="Y42" s="40"/>
      <c r="Z42" s="41"/>
      <c r="AA42" s="40">
        <f t="shared" si="6"/>
        <v>994000</v>
      </c>
    </row>
    <row r="43" spans="1:28" ht="12.75" x14ac:dyDescent="0.25">
      <c r="A43" s="120"/>
      <c r="B43" s="123">
        <v>40</v>
      </c>
      <c r="C43" s="37" t="s">
        <v>75</v>
      </c>
      <c r="D43" s="38" t="s">
        <v>32</v>
      </c>
      <c r="E43" s="39">
        <v>3000000</v>
      </c>
      <c r="F43" s="39">
        <v>30</v>
      </c>
      <c r="G43" s="39">
        <f t="shared" ref="G43:G51" si="19">+E43/30*F43</f>
        <v>3000000</v>
      </c>
      <c r="H43" s="39"/>
      <c r="I43" s="39"/>
      <c r="J43" s="39"/>
      <c r="K43" s="39"/>
      <c r="L43" s="39"/>
      <c r="M43" s="39"/>
      <c r="N43" s="39">
        <f t="shared" si="13"/>
        <v>3000000</v>
      </c>
      <c r="O43" s="39">
        <f t="shared" si="16"/>
        <v>120000</v>
      </c>
      <c r="P43" s="39">
        <f t="shared" si="17"/>
        <v>120000</v>
      </c>
      <c r="Q43" s="39"/>
      <c r="R43" s="39"/>
      <c r="S43" s="39">
        <f>N43*1%</f>
        <v>30000</v>
      </c>
      <c r="T43" s="39"/>
      <c r="U43" s="39"/>
      <c r="V43" s="39"/>
      <c r="W43" s="39">
        <f t="shared" si="0"/>
        <v>270000</v>
      </c>
      <c r="X43" s="40">
        <f t="shared" si="18"/>
        <v>2730000</v>
      </c>
      <c r="Y43" s="40"/>
      <c r="Z43" s="41"/>
      <c r="AA43" s="40">
        <f t="shared" si="6"/>
        <v>2730000</v>
      </c>
    </row>
    <row r="44" spans="1:28" ht="12.75" x14ac:dyDescent="0.25">
      <c r="A44" s="120"/>
      <c r="B44" s="123">
        <v>41</v>
      </c>
      <c r="C44" s="37" t="s">
        <v>76</v>
      </c>
      <c r="D44" s="38" t="s">
        <v>32</v>
      </c>
      <c r="E44" s="39">
        <v>2500000</v>
      </c>
      <c r="F44" s="39">
        <v>30</v>
      </c>
      <c r="G44" s="39">
        <f t="shared" si="19"/>
        <v>2500000</v>
      </c>
      <c r="H44" s="39"/>
      <c r="I44" s="39"/>
      <c r="J44" s="39"/>
      <c r="K44" s="39"/>
      <c r="L44" s="39">
        <v>90000</v>
      </c>
      <c r="M44" s="39">
        <v>500000</v>
      </c>
      <c r="N44" s="39">
        <f t="shared" si="13"/>
        <v>3090000</v>
      </c>
      <c r="O44" s="39">
        <f t="shared" si="16"/>
        <v>100000</v>
      </c>
      <c r="P44" s="39">
        <f t="shared" si="17"/>
        <v>100000</v>
      </c>
      <c r="Q44" s="39"/>
      <c r="R44" s="39"/>
      <c r="S44" s="39">
        <v>0</v>
      </c>
      <c r="T44" s="39"/>
      <c r="U44" s="39"/>
      <c r="V44" s="39"/>
      <c r="W44" s="39">
        <f t="shared" si="0"/>
        <v>200000</v>
      </c>
      <c r="X44" s="40">
        <f t="shared" si="18"/>
        <v>2890000</v>
      </c>
      <c r="Y44" s="40"/>
      <c r="Z44" s="41"/>
      <c r="AA44" s="40">
        <f t="shared" si="6"/>
        <v>2890000</v>
      </c>
      <c r="AB44" s="43" t="s">
        <v>99</v>
      </c>
    </row>
    <row r="45" spans="1:28" ht="12.75" x14ac:dyDescent="0.25">
      <c r="A45" s="120"/>
      <c r="B45" s="123">
        <v>42</v>
      </c>
      <c r="C45" s="37" t="s">
        <v>77</v>
      </c>
      <c r="D45" s="38" t="s">
        <v>32</v>
      </c>
      <c r="E45" s="39">
        <v>2000000</v>
      </c>
      <c r="F45" s="39">
        <v>30</v>
      </c>
      <c r="G45" s="39">
        <f t="shared" si="19"/>
        <v>2000000.0000000002</v>
      </c>
      <c r="H45" s="39"/>
      <c r="I45" s="39"/>
      <c r="J45" s="39"/>
      <c r="K45" s="39"/>
      <c r="L45" s="39"/>
      <c r="M45" s="39"/>
      <c r="N45" s="39">
        <f t="shared" si="13"/>
        <v>2000000.0000000002</v>
      </c>
      <c r="O45" s="39">
        <f t="shared" si="16"/>
        <v>80000.000000000015</v>
      </c>
      <c r="P45" s="39">
        <f t="shared" si="17"/>
        <v>80000.000000000015</v>
      </c>
      <c r="Q45" s="39"/>
      <c r="R45" s="39"/>
      <c r="S45" s="39"/>
      <c r="T45" s="48"/>
      <c r="U45" s="39"/>
      <c r="V45" s="39"/>
      <c r="W45" s="39">
        <f t="shared" si="0"/>
        <v>160000.00000000003</v>
      </c>
      <c r="X45" s="40">
        <f>N45-W45</f>
        <v>1840000.0000000002</v>
      </c>
      <c r="Y45" s="40"/>
      <c r="Z45" s="41"/>
      <c r="AA45" s="40">
        <f t="shared" si="6"/>
        <v>1840000.0000000002</v>
      </c>
    </row>
    <row r="46" spans="1:28" ht="12.75" x14ac:dyDescent="0.25">
      <c r="A46" s="120"/>
      <c r="B46" s="123">
        <v>43</v>
      </c>
      <c r="C46" s="37" t="s">
        <v>78</v>
      </c>
      <c r="D46" s="38" t="s">
        <v>32</v>
      </c>
      <c r="E46" s="39">
        <v>1500000</v>
      </c>
      <c r="F46" s="39">
        <v>30</v>
      </c>
      <c r="G46" s="39">
        <f t="shared" si="19"/>
        <v>1500000</v>
      </c>
      <c r="H46" s="39"/>
      <c r="I46" s="39"/>
      <c r="J46" s="39"/>
      <c r="K46" s="39"/>
      <c r="L46" s="39"/>
      <c r="M46" s="39"/>
      <c r="N46" s="39">
        <f t="shared" si="13"/>
        <v>1500000</v>
      </c>
      <c r="O46" s="39">
        <f>G46*4%</f>
        <v>60000</v>
      </c>
      <c r="P46" s="39">
        <f t="shared" si="17"/>
        <v>60000</v>
      </c>
      <c r="Q46" s="39"/>
      <c r="R46" s="39"/>
      <c r="S46" s="39"/>
      <c r="T46" s="48"/>
      <c r="U46" s="39"/>
      <c r="V46" s="39"/>
      <c r="W46" s="39">
        <f t="shared" si="0"/>
        <v>120000</v>
      </c>
      <c r="X46" s="40">
        <f t="shared" si="18"/>
        <v>1380000</v>
      </c>
      <c r="Y46" s="40"/>
      <c r="Z46" s="41"/>
      <c r="AA46" s="40">
        <f t="shared" si="6"/>
        <v>1380000</v>
      </c>
    </row>
    <row r="47" spans="1:28" ht="12.75" x14ac:dyDescent="0.25">
      <c r="A47" s="120"/>
      <c r="B47" s="123">
        <v>44</v>
      </c>
      <c r="C47" s="37" t="s">
        <v>122</v>
      </c>
      <c r="D47" s="38" t="s">
        <v>32</v>
      </c>
      <c r="E47" s="39">
        <v>900000</v>
      </c>
      <c r="F47" s="39">
        <v>21</v>
      </c>
      <c r="G47" s="39">
        <f t="shared" si="19"/>
        <v>630000</v>
      </c>
      <c r="H47" s="39">
        <f>+((74000/30)*21)</f>
        <v>51800</v>
      </c>
      <c r="I47" s="39">
        <v>52500</v>
      </c>
      <c r="J47" s="39"/>
      <c r="K47" s="39"/>
      <c r="L47" s="39"/>
      <c r="M47" s="39"/>
      <c r="N47" s="39">
        <f t="shared" si="13"/>
        <v>734300</v>
      </c>
      <c r="O47" s="39">
        <f>G47*4%</f>
        <v>25200</v>
      </c>
      <c r="P47" s="39">
        <f t="shared" si="17"/>
        <v>25200</v>
      </c>
      <c r="Q47" s="39"/>
      <c r="R47" s="39"/>
      <c r="S47" s="39"/>
      <c r="T47" s="48"/>
      <c r="U47" s="39"/>
      <c r="V47" s="39"/>
      <c r="W47" s="39">
        <f t="shared" si="0"/>
        <v>50400</v>
      </c>
      <c r="X47" s="40">
        <f t="shared" si="18"/>
        <v>683900</v>
      </c>
      <c r="Y47" s="40"/>
      <c r="Z47" s="41"/>
      <c r="AA47" s="40">
        <f t="shared" si="6"/>
        <v>683900</v>
      </c>
    </row>
    <row r="48" spans="1:28" ht="12.75" x14ac:dyDescent="0.25">
      <c r="A48" s="120"/>
      <c r="B48" s="123">
        <v>45</v>
      </c>
      <c r="C48" s="37" t="s">
        <v>79</v>
      </c>
      <c r="D48" s="38" t="s">
        <v>32</v>
      </c>
      <c r="E48" s="39">
        <v>1300000</v>
      </c>
      <c r="F48" s="39">
        <v>30</v>
      </c>
      <c r="G48" s="39">
        <f t="shared" si="19"/>
        <v>1300000</v>
      </c>
      <c r="H48" s="39"/>
      <c r="I48" s="39"/>
      <c r="J48" s="39"/>
      <c r="K48" s="39"/>
      <c r="L48" s="39"/>
      <c r="M48" s="39">
        <v>300000</v>
      </c>
      <c r="N48" s="39">
        <f t="shared" si="13"/>
        <v>1600000</v>
      </c>
      <c r="O48" s="39">
        <f>+G48*4%</f>
        <v>52000</v>
      </c>
      <c r="P48" s="39">
        <f t="shared" si="17"/>
        <v>52000</v>
      </c>
      <c r="Q48" s="39"/>
      <c r="R48" s="39"/>
      <c r="S48" s="39"/>
      <c r="T48" s="39"/>
      <c r="U48" s="39"/>
      <c r="V48" s="39"/>
      <c r="W48" s="39">
        <f t="shared" si="0"/>
        <v>104000</v>
      </c>
      <c r="X48" s="40">
        <f t="shared" si="18"/>
        <v>1496000</v>
      </c>
      <c r="Y48" s="40"/>
      <c r="Z48" s="41"/>
      <c r="AA48" s="40">
        <f t="shared" si="6"/>
        <v>1496000</v>
      </c>
    </row>
    <row r="49" spans="1:27" ht="12.75" x14ac:dyDescent="0.25">
      <c r="A49" s="120"/>
      <c r="B49" s="123">
        <v>46</v>
      </c>
      <c r="C49" s="37" t="s">
        <v>80</v>
      </c>
      <c r="D49" s="38" t="s">
        <v>32</v>
      </c>
      <c r="E49" s="39">
        <v>3500000</v>
      </c>
      <c r="F49" s="39">
        <v>30</v>
      </c>
      <c r="G49" s="39">
        <f t="shared" si="19"/>
        <v>3500000</v>
      </c>
      <c r="H49" s="39"/>
      <c r="I49" s="39"/>
      <c r="J49" s="39"/>
      <c r="K49" s="39"/>
      <c r="L49" s="39"/>
      <c r="M49" s="39">
        <v>500000</v>
      </c>
      <c r="N49" s="39">
        <f t="shared" si="13"/>
        <v>4000000</v>
      </c>
      <c r="O49" s="39">
        <f>+G49*4%</f>
        <v>140000</v>
      </c>
      <c r="P49" s="39">
        <f t="shared" si="17"/>
        <v>140000</v>
      </c>
      <c r="Q49" s="39"/>
      <c r="R49" s="39"/>
      <c r="S49" s="39">
        <v>35000</v>
      </c>
      <c r="T49" s="39"/>
      <c r="U49" s="39"/>
      <c r="V49" s="39"/>
      <c r="W49" s="39">
        <f t="shared" si="0"/>
        <v>315000</v>
      </c>
      <c r="X49" s="40">
        <f>N49-W49</f>
        <v>3685000</v>
      </c>
      <c r="Y49" s="40"/>
      <c r="Z49" s="41"/>
      <c r="AA49" s="40">
        <f t="shared" si="6"/>
        <v>3685000</v>
      </c>
    </row>
    <row r="50" spans="1:27" ht="12.75" x14ac:dyDescent="0.25">
      <c r="A50" s="120"/>
      <c r="B50" s="123">
        <v>47</v>
      </c>
      <c r="C50" s="37" t="s">
        <v>81</v>
      </c>
      <c r="D50" s="38" t="s">
        <v>32</v>
      </c>
      <c r="E50" s="39">
        <v>1500000</v>
      </c>
      <c r="F50" s="39">
        <v>30</v>
      </c>
      <c r="G50" s="39">
        <f t="shared" si="19"/>
        <v>1500000</v>
      </c>
      <c r="H50" s="39"/>
      <c r="I50" s="39"/>
      <c r="J50" s="39"/>
      <c r="K50" s="39"/>
      <c r="L50" s="39"/>
      <c r="M50" s="39"/>
      <c r="N50" s="39">
        <f t="shared" si="13"/>
        <v>1500000</v>
      </c>
      <c r="O50" s="39">
        <f>G50*4%</f>
        <v>60000</v>
      </c>
      <c r="P50" s="39">
        <f t="shared" si="17"/>
        <v>60000</v>
      </c>
      <c r="Q50" s="39"/>
      <c r="R50" s="39"/>
      <c r="S50" s="39"/>
      <c r="T50" s="39"/>
      <c r="U50" s="39"/>
      <c r="V50" s="39"/>
      <c r="W50" s="39">
        <f t="shared" si="0"/>
        <v>120000</v>
      </c>
      <c r="X50" s="40">
        <f>N50-W50</f>
        <v>1380000</v>
      </c>
      <c r="Y50" s="40"/>
      <c r="Z50" s="41"/>
      <c r="AA50" s="40">
        <f t="shared" si="6"/>
        <v>1380000</v>
      </c>
    </row>
    <row r="51" spans="1:27" ht="12.75" x14ac:dyDescent="0.25">
      <c r="A51" s="120"/>
      <c r="B51" s="123">
        <v>48</v>
      </c>
      <c r="C51" s="37" t="s">
        <v>82</v>
      </c>
      <c r="D51" s="38" t="s">
        <v>32</v>
      </c>
      <c r="E51" s="39">
        <v>2000000</v>
      </c>
      <c r="F51" s="39">
        <v>30</v>
      </c>
      <c r="G51" s="39">
        <f t="shared" si="19"/>
        <v>2000000.0000000002</v>
      </c>
      <c r="H51" s="39"/>
      <c r="I51" s="39"/>
      <c r="J51" s="39"/>
      <c r="K51" s="39"/>
      <c r="L51" s="39"/>
      <c r="M51" s="39">
        <v>500000</v>
      </c>
      <c r="N51" s="39">
        <f t="shared" si="13"/>
        <v>2500000</v>
      </c>
      <c r="O51" s="39">
        <f>G51*4%</f>
        <v>80000.000000000015</v>
      </c>
      <c r="P51" s="39">
        <f t="shared" si="17"/>
        <v>80000.000000000015</v>
      </c>
      <c r="Q51" s="39"/>
      <c r="R51" s="39"/>
      <c r="S51" s="39"/>
      <c r="T51" s="39"/>
      <c r="U51" s="39"/>
      <c r="V51" s="39"/>
      <c r="W51" s="39">
        <f t="shared" si="0"/>
        <v>160000.00000000003</v>
      </c>
      <c r="X51" s="40">
        <f>N51-W51</f>
        <v>2340000</v>
      </c>
      <c r="Y51" s="40"/>
      <c r="Z51" s="41"/>
      <c r="AA51" s="40">
        <f t="shared" si="6"/>
        <v>2340000</v>
      </c>
    </row>
    <row r="52" spans="1:27" ht="12.75" x14ac:dyDescent="0.25">
      <c r="A52" s="120"/>
      <c r="B52" s="123">
        <v>49</v>
      </c>
      <c r="C52" s="118" t="s">
        <v>83</v>
      </c>
      <c r="D52" s="45" t="s">
        <v>32</v>
      </c>
      <c r="E52" s="39">
        <v>2000000</v>
      </c>
      <c r="F52" s="39">
        <v>30</v>
      </c>
      <c r="G52" s="39">
        <v>2000000</v>
      </c>
      <c r="H52" s="39"/>
      <c r="I52" s="39"/>
      <c r="J52" s="39"/>
      <c r="K52" s="39"/>
      <c r="L52" s="39"/>
      <c r="M52" s="39">
        <v>500000</v>
      </c>
      <c r="N52" s="39">
        <f>SUM(G52:M52)</f>
        <v>2500000</v>
      </c>
      <c r="O52" s="39">
        <f>G52*4%</f>
        <v>80000</v>
      </c>
      <c r="P52" s="39">
        <f t="shared" si="17"/>
        <v>80000</v>
      </c>
      <c r="Q52" s="39"/>
      <c r="R52" s="39"/>
      <c r="S52" s="39"/>
      <c r="T52" s="39"/>
      <c r="U52" s="39"/>
      <c r="V52" s="39"/>
      <c r="W52" s="39">
        <f t="shared" si="0"/>
        <v>160000</v>
      </c>
      <c r="X52" s="40">
        <f>N52-W52</f>
        <v>2340000</v>
      </c>
      <c r="Y52" s="40"/>
      <c r="Z52" s="41"/>
      <c r="AA52" s="40">
        <f t="shared" si="6"/>
        <v>2340000</v>
      </c>
    </row>
    <row r="53" spans="1:27" ht="12.75" x14ac:dyDescent="0.25">
      <c r="A53" s="120"/>
      <c r="B53" s="123">
        <v>50</v>
      </c>
      <c r="C53" s="118" t="s">
        <v>84</v>
      </c>
      <c r="D53" s="45" t="s">
        <v>32</v>
      </c>
      <c r="E53" s="39">
        <v>644350</v>
      </c>
      <c r="F53" s="39">
        <v>30</v>
      </c>
      <c r="G53" s="39">
        <f>+E53/30*F53</f>
        <v>644350</v>
      </c>
      <c r="H53" s="39">
        <v>74000</v>
      </c>
      <c r="I53" s="39"/>
      <c r="J53" s="39"/>
      <c r="K53" s="39"/>
      <c r="L53" s="39"/>
      <c r="M53" s="39">
        <v>100000</v>
      </c>
      <c r="N53" s="39">
        <f t="shared" ref="N53:N63" si="20">SUM(G53:M53)</f>
        <v>818350</v>
      </c>
      <c r="O53" s="39">
        <f>+G53*4%</f>
        <v>25774</v>
      </c>
      <c r="P53" s="39">
        <f>+O53</f>
        <v>25774</v>
      </c>
      <c r="Q53" s="39"/>
      <c r="R53" s="39"/>
      <c r="S53" s="39"/>
      <c r="T53" s="39"/>
      <c r="U53" s="39"/>
      <c r="V53" s="39"/>
      <c r="W53" s="39">
        <f t="shared" si="0"/>
        <v>51548</v>
      </c>
      <c r="X53" s="40">
        <f>N53-W53</f>
        <v>766802</v>
      </c>
      <c r="Y53" s="40"/>
      <c r="Z53" s="41"/>
      <c r="AA53" s="40">
        <f t="shared" si="6"/>
        <v>766802</v>
      </c>
    </row>
    <row r="54" spans="1:27" ht="12.75" x14ac:dyDescent="0.25">
      <c r="A54" s="120"/>
      <c r="B54" s="123">
        <v>51</v>
      </c>
      <c r="C54" s="37" t="s">
        <v>85</v>
      </c>
      <c r="D54" s="38" t="s">
        <v>32</v>
      </c>
      <c r="E54" s="39">
        <v>15400000</v>
      </c>
      <c r="F54" s="39">
        <v>30</v>
      </c>
      <c r="G54" s="39">
        <f t="shared" ref="G54:G59" si="21">+E54/30*F54</f>
        <v>15400000</v>
      </c>
      <c r="H54" s="39"/>
      <c r="I54" s="39"/>
      <c r="J54" s="39"/>
      <c r="K54" s="39"/>
      <c r="L54" s="39"/>
      <c r="M54" s="39">
        <v>600000</v>
      </c>
      <c r="N54" s="39">
        <f t="shared" si="20"/>
        <v>16000000</v>
      </c>
      <c r="O54" s="39">
        <f>G54*4%</f>
        <v>616000</v>
      </c>
      <c r="P54" s="39">
        <f>O54</f>
        <v>616000</v>
      </c>
      <c r="Q54" s="39">
        <v>95900</v>
      </c>
      <c r="R54" s="39"/>
      <c r="S54" s="39">
        <f>G54*2%</f>
        <v>308000</v>
      </c>
      <c r="T54" s="39">
        <v>1014000</v>
      </c>
      <c r="U54" s="39">
        <v>5000000</v>
      </c>
      <c r="V54" s="39"/>
      <c r="W54" s="39">
        <f t="shared" si="0"/>
        <v>7649900</v>
      </c>
      <c r="X54" s="40">
        <f>+N54-W54</f>
        <v>8350100</v>
      </c>
      <c r="Y54" s="40"/>
      <c r="Z54" s="41"/>
      <c r="AA54" s="40">
        <f t="shared" si="6"/>
        <v>8350100</v>
      </c>
    </row>
    <row r="55" spans="1:27" ht="12.75" x14ac:dyDescent="0.25">
      <c r="A55" s="120"/>
      <c r="B55" s="123">
        <v>52</v>
      </c>
      <c r="C55" s="37" t="s">
        <v>86</v>
      </c>
      <c r="D55" s="38" t="s">
        <v>32</v>
      </c>
      <c r="E55" s="39">
        <v>2800000</v>
      </c>
      <c r="F55" s="39">
        <v>30</v>
      </c>
      <c r="G55" s="39">
        <f t="shared" si="21"/>
        <v>2800000</v>
      </c>
      <c r="H55" s="39"/>
      <c r="I55" s="39"/>
      <c r="J55" s="39"/>
      <c r="K55" s="39"/>
      <c r="L55" s="39"/>
      <c r="M55" s="39">
        <v>700000</v>
      </c>
      <c r="N55" s="39">
        <f t="shared" si="20"/>
        <v>3500000</v>
      </c>
      <c r="O55" s="39">
        <f>+G55*4%</f>
        <v>112000</v>
      </c>
      <c r="P55" s="39">
        <f>+O55</f>
        <v>112000</v>
      </c>
      <c r="Q55" s="39"/>
      <c r="R55" s="39"/>
      <c r="S55" s="39">
        <v>28000</v>
      </c>
      <c r="T55" s="39"/>
      <c r="U55" s="39"/>
      <c r="V55" s="39">
        <v>887544</v>
      </c>
      <c r="W55" s="39">
        <f t="shared" si="0"/>
        <v>1139544</v>
      </c>
      <c r="X55" s="40">
        <f>+N55-W55</f>
        <v>2360456</v>
      </c>
      <c r="Y55" s="40"/>
      <c r="Z55" s="41"/>
      <c r="AA55" s="40">
        <f t="shared" si="6"/>
        <v>2360456</v>
      </c>
    </row>
    <row r="56" spans="1:27" ht="12.75" x14ac:dyDescent="0.25">
      <c r="A56" s="120"/>
      <c r="B56" s="123">
        <v>53</v>
      </c>
      <c r="C56" s="37" t="s">
        <v>87</v>
      </c>
      <c r="D56" s="38" t="s">
        <v>32</v>
      </c>
      <c r="E56" s="39">
        <v>644350</v>
      </c>
      <c r="F56" s="39">
        <v>30</v>
      </c>
      <c r="G56" s="39">
        <f t="shared" si="21"/>
        <v>644350</v>
      </c>
      <c r="H56" s="39"/>
      <c r="I56" s="39"/>
      <c r="J56" s="39"/>
      <c r="K56" s="39"/>
      <c r="L56" s="39"/>
      <c r="M56" s="39"/>
      <c r="N56" s="39">
        <f t="shared" si="20"/>
        <v>644350</v>
      </c>
      <c r="O56" s="39"/>
      <c r="P56" s="39"/>
      <c r="Q56" s="39"/>
      <c r="R56" s="39"/>
      <c r="S56" s="39"/>
      <c r="T56" s="39"/>
      <c r="U56" s="39"/>
      <c r="V56" s="39"/>
      <c r="W56" s="39">
        <f t="shared" si="0"/>
        <v>0</v>
      </c>
      <c r="X56" s="40">
        <f>+N56-W56</f>
        <v>644350</v>
      </c>
      <c r="Y56" s="40"/>
      <c r="Z56" s="41"/>
      <c r="AA56" s="40">
        <f t="shared" si="6"/>
        <v>644350</v>
      </c>
    </row>
    <row r="57" spans="1:27" ht="12.75" x14ac:dyDescent="0.25">
      <c r="A57" s="120"/>
      <c r="B57" s="123">
        <v>54</v>
      </c>
      <c r="C57" s="118" t="s">
        <v>88</v>
      </c>
      <c r="D57" s="45" t="s">
        <v>32</v>
      </c>
      <c r="E57" s="39">
        <v>1100000</v>
      </c>
      <c r="F57" s="39">
        <v>30</v>
      </c>
      <c r="G57" s="39">
        <f t="shared" si="21"/>
        <v>1100000</v>
      </c>
      <c r="H57" s="39">
        <v>74000</v>
      </c>
      <c r="I57" s="39"/>
      <c r="J57" s="39"/>
      <c r="K57" s="39"/>
      <c r="L57" s="39"/>
      <c r="M57" s="39"/>
      <c r="N57" s="39">
        <f t="shared" si="20"/>
        <v>1174000</v>
      </c>
      <c r="O57" s="39">
        <f>G57*4%</f>
        <v>44000</v>
      </c>
      <c r="P57" s="39">
        <f>G57*4%</f>
        <v>44000</v>
      </c>
      <c r="Q57" s="39"/>
      <c r="R57" s="39"/>
      <c r="S57" s="39"/>
      <c r="T57" s="39"/>
      <c r="U57" s="39"/>
      <c r="V57" s="39"/>
      <c r="W57" s="39">
        <f t="shared" si="0"/>
        <v>88000</v>
      </c>
      <c r="X57" s="40">
        <f>N57-W57</f>
        <v>1086000</v>
      </c>
      <c r="Y57" s="40"/>
      <c r="Z57" s="41"/>
      <c r="AA57" s="40">
        <f t="shared" si="6"/>
        <v>1086000</v>
      </c>
    </row>
    <row r="58" spans="1:27" ht="12.75" x14ac:dyDescent="0.25">
      <c r="A58" s="120"/>
      <c r="B58" s="123">
        <v>55</v>
      </c>
      <c r="C58" s="37" t="s">
        <v>89</v>
      </c>
      <c r="D58" s="38" t="s">
        <v>32</v>
      </c>
      <c r="E58" s="39">
        <v>1300000</v>
      </c>
      <c r="F58" s="39">
        <v>30</v>
      </c>
      <c r="G58" s="39">
        <f t="shared" si="21"/>
        <v>1300000</v>
      </c>
      <c r="H58" s="39"/>
      <c r="I58" s="39"/>
      <c r="J58" s="39"/>
      <c r="K58" s="39"/>
      <c r="L58" s="39"/>
      <c r="M58" s="39"/>
      <c r="N58" s="39">
        <f t="shared" si="20"/>
        <v>1300000</v>
      </c>
      <c r="O58" s="39">
        <f>G58*4%</f>
        <v>52000</v>
      </c>
      <c r="P58" s="39">
        <f>O58</f>
        <v>52000</v>
      </c>
      <c r="Q58" s="39"/>
      <c r="R58" s="39"/>
      <c r="S58" s="39"/>
      <c r="T58" s="39"/>
      <c r="U58" s="39"/>
      <c r="V58" s="39"/>
      <c r="W58" s="39">
        <f t="shared" si="0"/>
        <v>104000</v>
      </c>
      <c r="X58" s="40">
        <f>+N58-W58</f>
        <v>1196000</v>
      </c>
      <c r="Y58" s="40"/>
      <c r="Z58" s="41"/>
      <c r="AA58" s="40">
        <f t="shared" si="6"/>
        <v>1196000</v>
      </c>
    </row>
    <row r="59" spans="1:27" ht="12.75" x14ac:dyDescent="0.25">
      <c r="A59" s="120"/>
      <c r="B59" s="123">
        <v>56</v>
      </c>
      <c r="C59" s="37" t="s">
        <v>90</v>
      </c>
      <c r="D59" s="38" t="s">
        <v>32</v>
      </c>
      <c r="E59" s="39">
        <v>4000000</v>
      </c>
      <c r="F59" s="39">
        <v>30</v>
      </c>
      <c r="G59" s="39">
        <f t="shared" si="21"/>
        <v>4000000.0000000005</v>
      </c>
      <c r="H59" s="39"/>
      <c r="I59" s="39"/>
      <c r="J59" s="39"/>
      <c r="K59" s="39"/>
      <c r="L59" s="39"/>
      <c r="M59" s="39"/>
      <c r="N59" s="39">
        <f t="shared" si="20"/>
        <v>4000000.0000000005</v>
      </c>
      <c r="O59" s="39">
        <f>G59*4%</f>
        <v>160000.00000000003</v>
      </c>
      <c r="P59" s="39">
        <f>O59</f>
        <v>160000.00000000003</v>
      </c>
      <c r="Q59" s="39"/>
      <c r="R59" s="39"/>
      <c r="S59" s="39">
        <v>40000</v>
      </c>
      <c r="T59" s="39">
        <v>31064</v>
      </c>
      <c r="U59" s="39"/>
      <c r="V59" s="39"/>
      <c r="W59" s="39">
        <f t="shared" si="0"/>
        <v>391064.00000000006</v>
      </c>
      <c r="X59" s="40">
        <f>+N59-W59</f>
        <v>3608936.0000000005</v>
      </c>
      <c r="Y59" s="40"/>
      <c r="Z59" s="41"/>
      <c r="AA59" s="40">
        <f t="shared" si="6"/>
        <v>3608936.0000000005</v>
      </c>
    </row>
    <row r="60" spans="1:27" ht="12.75" x14ac:dyDescent="0.25">
      <c r="A60" s="120"/>
      <c r="B60" s="123">
        <v>57</v>
      </c>
      <c r="C60" s="118" t="s">
        <v>93</v>
      </c>
      <c r="D60" s="45" t="s">
        <v>32</v>
      </c>
      <c r="E60" s="39">
        <v>1300000</v>
      </c>
      <c r="F60" s="39">
        <v>30</v>
      </c>
      <c r="G60" s="39">
        <f>+E60/30*F60</f>
        <v>1300000</v>
      </c>
      <c r="H60" s="39"/>
      <c r="I60" s="39"/>
      <c r="J60" s="39"/>
      <c r="K60" s="39"/>
      <c r="L60" s="39"/>
      <c r="M60" s="39"/>
      <c r="N60" s="39">
        <f t="shared" si="20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/>
      <c r="U60" s="39"/>
      <c r="V60" s="39"/>
      <c r="W60" s="39">
        <f t="shared" si="0"/>
        <v>104000</v>
      </c>
      <c r="X60" s="40">
        <f>N60-W60</f>
        <v>1196000</v>
      </c>
      <c r="Y60" s="40"/>
      <c r="Z60" s="41"/>
      <c r="AA60" s="40">
        <f t="shared" si="6"/>
        <v>1196000</v>
      </c>
    </row>
    <row r="61" spans="1:27" ht="12.75" x14ac:dyDescent="0.25">
      <c r="A61" s="120"/>
      <c r="B61" s="123">
        <v>58</v>
      </c>
      <c r="C61" s="37" t="s">
        <v>94</v>
      </c>
      <c r="D61" s="38" t="s">
        <v>32</v>
      </c>
      <c r="E61" s="39">
        <v>644350</v>
      </c>
      <c r="F61" s="39">
        <v>30</v>
      </c>
      <c r="G61" s="39">
        <f>+E61/30*F61</f>
        <v>644350</v>
      </c>
      <c r="H61" s="39">
        <v>74000</v>
      </c>
      <c r="I61" s="39"/>
      <c r="J61" s="39"/>
      <c r="K61" s="39"/>
      <c r="L61" s="39"/>
      <c r="M61" s="39"/>
      <c r="N61" s="39">
        <f t="shared" si="20"/>
        <v>718350</v>
      </c>
      <c r="O61" s="39">
        <f>G61*4%</f>
        <v>25774</v>
      </c>
      <c r="P61" s="39">
        <f>O61</f>
        <v>25774</v>
      </c>
      <c r="Q61" s="39"/>
      <c r="R61" s="39"/>
      <c r="S61" s="39"/>
      <c r="T61" s="39"/>
      <c r="U61" s="39"/>
      <c r="V61" s="39"/>
      <c r="W61" s="39">
        <f>SUM(O61:V61)</f>
        <v>51548</v>
      </c>
      <c r="X61" s="40">
        <f>+N61-W61</f>
        <v>666802</v>
      </c>
      <c r="Y61" s="40"/>
      <c r="Z61" s="41"/>
      <c r="AA61" s="40">
        <f t="shared" si="6"/>
        <v>666802</v>
      </c>
    </row>
    <row r="62" spans="1:27" ht="12.75" x14ac:dyDescent="0.25">
      <c r="A62" s="120"/>
      <c r="B62" s="123">
        <v>59</v>
      </c>
      <c r="C62" s="138" t="s">
        <v>95</v>
      </c>
      <c r="D62" s="96" t="s">
        <v>92</v>
      </c>
      <c r="E62" s="39">
        <v>644350</v>
      </c>
      <c r="F62" s="39">
        <v>30</v>
      </c>
      <c r="G62" s="39">
        <f>E62</f>
        <v>644350</v>
      </c>
      <c r="H62" s="39"/>
      <c r="I62" s="39"/>
      <c r="J62" s="39"/>
      <c r="K62" s="39"/>
      <c r="L62" s="39"/>
      <c r="M62" s="39"/>
      <c r="N62" s="39">
        <f t="shared" si="20"/>
        <v>644350</v>
      </c>
      <c r="O62" s="39"/>
      <c r="P62" s="39"/>
      <c r="Q62" s="39"/>
      <c r="R62" s="39"/>
      <c r="S62" s="39"/>
      <c r="T62" s="39"/>
      <c r="U62" s="39"/>
      <c r="V62" s="39"/>
      <c r="W62" s="39">
        <f>SUM(O62:V62)</f>
        <v>0</v>
      </c>
      <c r="X62" s="40">
        <f>+N62</f>
        <v>644350</v>
      </c>
      <c r="Y62" s="40"/>
      <c r="Z62" s="41"/>
      <c r="AA62" s="40">
        <f t="shared" si="6"/>
        <v>644350</v>
      </c>
    </row>
    <row r="63" spans="1:27" ht="12.75" x14ac:dyDescent="0.25">
      <c r="A63" s="140"/>
      <c r="B63" s="123">
        <v>60</v>
      </c>
      <c r="C63" s="138" t="s">
        <v>116</v>
      </c>
      <c r="D63" s="96" t="s">
        <v>32</v>
      </c>
      <c r="E63" s="39">
        <v>2000000</v>
      </c>
      <c r="F63" s="39">
        <v>30</v>
      </c>
      <c r="G63" s="39">
        <f>E63</f>
        <v>2000000</v>
      </c>
      <c r="H63" s="39"/>
      <c r="I63" s="39"/>
      <c r="J63" s="39"/>
      <c r="K63" s="39"/>
      <c r="L63" s="39"/>
      <c r="M63" s="39"/>
      <c r="N63" s="39">
        <f t="shared" si="20"/>
        <v>2000000</v>
      </c>
      <c r="O63" s="39">
        <f>G63*4%</f>
        <v>80000</v>
      </c>
      <c r="P63" s="39">
        <f>G63*4%</f>
        <v>80000</v>
      </c>
      <c r="Q63" s="39"/>
      <c r="R63" s="39"/>
      <c r="S63" s="39"/>
      <c r="T63" s="39"/>
      <c r="U63" s="39"/>
      <c r="V63" s="39"/>
      <c r="W63" s="39">
        <f t="shared" ref="W63" si="22">SUM(O63:V63)</f>
        <v>160000</v>
      </c>
      <c r="X63" s="40">
        <f>N63-W63</f>
        <v>1840000</v>
      </c>
      <c r="Y63" s="40"/>
      <c r="Z63" s="41"/>
      <c r="AA63" s="40">
        <f t="shared" si="6"/>
        <v>1840000</v>
      </c>
    </row>
    <row r="64" spans="1:27" ht="12.75" x14ac:dyDescent="0.25">
      <c r="A64" s="45"/>
      <c r="B64" s="123"/>
      <c r="C64" s="37" t="s">
        <v>96</v>
      </c>
      <c r="D64" s="45"/>
      <c r="E64" s="39">
        <f>SUM(E5:E62)</f>
        <v>183188700</v>
      </c>
      <c r="F64" s="39" t="s">
        <v>1</v>
      </c>
      <c r="G64" s="39">
        <f>SUM(G5:G62)</f>
        <v>177868705</v>
      </c>
      <c r="H64" s="39">
        <f>SUM(H5:H62)</f>
        <v>421800</v>
      </c>
      <c r="I64" s="39">
        <f>SUM(I5:I62)</f>
        <v>244167</v>
      </c>
      <c r="J64" s="39">
        <f>SUM(J5:J62)</f>
        <v>0</v>
      </c>
      <c r="K64" s="39"/>
      <c r="L64" s="39">
        <f t="shared" ref="L64:Q64" si="23">SUM(L5:L62)</f>
        <v>90000</v>
      </c>
      <c r="M64" s="39">
        <f t="shared" si="23"/>
        <v>11718750</v>
      </c>
      <c r="N64" s="39">
        <f t="shared" si="23"/>
        <v>190343422</v>
      </c>
      <c r="O64" s="39">
        <f t="shared" si="23"/>
        <v>7011652.2000000002</v>
      </c>
      <c r="P64" s="39">
        <f t="shared" si="23"/>
        <v>7003652.2000000002</v>
      </c>
      <c r="Q64" s="39">
        <f t="shared" si="23"/>
        <v>95900</v>
      </c>
      <c r="R64" s="39">
        <f>SUM(R6:R62)</f>
        <v>0</v>
      </c>
      <c r="S64" s="39">
        <f t="shared" ref="S64:AA64" si="24">SUM(S5:S62)</f>
        <v>1574032.55</v>
      </c>
      <c r="T64" s="39">
        <f t="shared" si="24"/>
        <v>2699048</v>
      </c>
      <c r="U64" s="39">
        <f t="shared" si="24"/>
        <v>8760000</v>
      </c>
      <c r="V64" s="39">
        <f t="shared" si="24"/>
        <v>4157464</v>
      </c>
      <c r="W64" s="39">
        <f t="shared" si="24"/>
        <v>31301748.949999999</v>
      </c>
      <c r="X64" s="40">
        <f t="shared" si="24"/>
        <v>159041673.05000001</v>
      </c>
      <c r="Y64" s="40">
        <f t="shared" si="24"/>
        <v>0</v>
      </c>
      <c r="Z64" s="41">
        <f t="shared" si="24"/>
        <v>0</v>
      </c>
      <c r="AA64" s="40">
        <f t="shared" si="24"/>
        <v>159041673.05000001</v>
      </c>
    </row>
    <row r="65" spans="1:31" x14ac:dyDescent="0.25">
      <c r="A65" s="99"/>
      <c r="B65" s="99"/>
      <c r="X65" s="99"/>
      <c r="Y65" s="99"/>
      <c r="Z65" s="102"/>
      <c r="AA65" s="99"/>
    </row>
    <row r="66" spans="1:31" x14ac:dyDescent="0.25">
      <c r="E66" s="107"/>
      <c r="F66" s="107"/>
      <c r="G66" s="107"/>
      <c r="X66" s="124"/>
      <c r="Y66" s="124"/>
      <c r="AA66" s="124"/>
    </row>
    <row r="67" spans="1:31" x14ac:dyDescent="0.25">
      <c r="D67" s="99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99"/>
      <c r="Y67" s="99"/>
      <c r="Z67" s="102"/>
      <c r="AA67" s="99"/>
    </row>
    <row r="68" spans="1:31" x14ac:dyDescent="0.25">
      <c r="D68" s="99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99"/>
      <c r="Y68" s="99"/>
      <c r="Z68" s="102"/>
      <c r="AA68" s="99"/>
    </row>
    <row r="69" spans="1:31" x14ac:dyDescent="0.25">
      <c r="C69" s="109"/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x14ac:dyDescent="0.25">
      <c r="C70" s="109"/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  <c r="AB70" s="99"/>
      <c r="AC70" s="99"/>
      <c r="AD70" s="99"/>
      <c r="AE70" s="99"/>
    </row>
    <row r="71" spans="1:31" x14ac:dyDescent="0.25">
      <c r="B71" s="99"/>
      <c r="C71" s="109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99"/>
      <c r="AC71" s="99"/>
      <c r="AD71" s="99"/>
      <c r="AE71" s="99"/>
    </row>
    <row r="72" spans="1:31" x14ac:dyDescent="0.25">
      <c r="B72" s="99"/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  <c r="AB72" s="99"/>
      <c r="AC72" s="99"/>
      <c r="AD72" s="99"/>
      <c r="AE72" s="99"/>
    </row>
    <row r="73" spans="1:31" x14ac:dyDescent="0.25">
      <c r="B73" s="99"/>
      <c r="C73" s="109"/>
      <c r="D73" s="99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99"/>
      <c r="Y73" s="99"/>
      <c r="Z73" s="102"/>
      <c r="AA73" s="9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05"/>
      <c r="Z75" s="112"/>
      <c r="AA75" s="105"/>
      <c r="AB75" s="99"/>
      <c r="AC75" s="99"/>
      <c r="AD75" s="99"/>
      <c r="AE75" s="99"/>
    </row>
    <row r="76" spans="1:31" x14ac:dyDescent="0.25">
      <c r="B76" s="125"/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5"/>
      <c r="Y76" s="105"/>
      <c r="Z76" s="112"/>
      <c r="AA76" s="105"/>
      <c r="AB76" s="99"/>
      <c r="AC76" s="99"/>
      <c r="AD76" s="99"/>
      <c r="AE76" s="99"/>
    </row>
    <row r="77" spans="1:31" x14ac:dyDescent="0.25">
      <c r="B77" s="99"/>
      <c r="C77" s="109"/>
      <c r="D77" s="99"/>
      <c r="E77" s="107"/>
      <c r="F77" s="107"/>
      <c r="G77" s="126"/>
      <c r="H77" s="107"/>
      <c r="I77" s="107"/>
      <c r="J77" s="107"/>
      <c r="K77" s="107"/>
      <c r="L77" s="107"/>
      <c r="M77" s="107"/>
      <c r="N77" s="107"/>
      <c r="O77" s="107"/>
      <c r="P77" s="107"/>
      <c r="Q77" s="127"/>
      <c r="R77" s="127"/>
      <c r="S77" s="127"/>
      <c r="T77" s="127"/>
      <c r="U77" s="12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04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5"/>
      <c r="Y78" s="105"/>
      <c r="Z78" s="112"/>
      <c r="AA78" s="105"/>
      <c r="AB78" s="99"/>
      <c r="AC78" s="99"/>
      <c r="AD78" s="99"/>
      <c r="AE78" s="99"/>
    </row>
    <row r="79" spans="1:31" x14ac:dyDescent="0.25">
      <c r="B79" s="105"/>
      <c r="C79" s="104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5"/>
      <c r="Y79" s="105"/>
      <c r="Z79" s="112"/>
      <c r="AA79" s="105"/>
      <c r="AB79" s="99"/>
      <c r="AC79" s="99"/>
      <c r="AD79" s="99"/>
      <c r="AE79" s="99"/>
    </row>
    <row r="80" spans="1:31" x14ac:dyDescent="0.25">
      <c r="B80" s="99"/>
      <c r="C80" s="104"/>
      <c r="D80" s="105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8"/>
      <c r="Y80" s="108"/>
      <c r="Z80" s="102"/>
      <c r="AA80" s="108"/>
      <c r="AB80" s="99"/>
      <c r="AC80" s="99"/>
      <c r="AD80" s="99"/>
      <c r="AE80" s="99"/>
    </row>
    <row r="81" spans="3:31" x14ac:dyDescent="0.25">
      <c r="C81" s="104"/>
      <c r="D81" s="105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8"/>
      <c r="Z81" s="102"/>
      <c r="AA81" s="108"/>
      <c r="AB81" s="99"/>
      <c r="AC81" s="99"/>
      <c r="AD81" s="99"/>
      <c r="AE81" s="99"/>
    </row>
    <row r="82" spans="3:31" x14ac:dyDescent="0.25"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3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3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3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3:31" x14ac:dyDescent="0.25">
      <c r="C86" s="109"/>
      <c r="D86" s="99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3:31" x14ac:dyDescent="0.25">
      <c r="C87" s="104"/>
      <c r="D87" s="99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3:31" x14ac:dyDescent="0.25">
      <c r="C88" s="104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3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3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3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3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3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3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3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3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9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99"/>
      <c r="Y98" s="99"/>
      <c r="Z98" s="102"/>
      <c r="AA98" s="99"/>
      <c r="AB98" s="99"/>
      <c r="AC98" s="99"/>
      <c r="AD98" s="99"/>
      <c r="AE98" s="99"/>
    </row>
    <row r="99" spans="2:31" x14ac:dyDescent="0.25">
      <c r="C99" s="109"/>
      <c r="D99" s="99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07"/>
      <c r="W99" s="107"/>
      <c r="X99" s="99"/>
      <c r="Y99" s="99"/>
      <c r="Z99" s="102"/>
      <c r="AA99" s="99"/>
      <c r="AB99" s="99"/>
      <c r="AC99" s="99"/>
      <c r="AD99" s="99"/>
      <c r="AE99" s="99"/>
    </row>
    <row r="100" spans="2:31" x14ac:dyDescent="0.25">
      <c r="B100" s="99"/>
      <c r="C100" s="109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99"/>
      <c r="AC100" s="99"/>
      <c r="AD100" s="99"/>
      <c r="AE100" s="99"/>
    </row>
    <row r="101" spans="2:31" x14ac:dyDescent="0.25">
      <c r="B101" s="99"/>
      <c r="C101" s="109"/>
      <c r="D101" s="99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5"/>
      <c r="Y101" s="105"/>
      <c r="Z101" s="112"/>
      <c r="AA101" s="105"/>
      <c r="AB101" s="99"/>
      <c r="AC101" s="99"/>
      <c r="AD101" s="99"/>
      <c r="AE101" s="99"/>
    </row>
    <row r="102" spans="2:31" x14ac:dyDescent="0.25">
      <c r="B102" s="99"/>
      <c r="C102" s="104"/>
      <c r="D102" s="105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5"/>
      <c r="Y102" s="105"/>
      <c r="Z102" s="112"/>
      <c r="AA102" s="105"/>
    </row>
    <row r="103" spans="2:31" x14ac:dyDescent="0.25">
      <c r="B103" s="113"/>
      <c r="C103" s="104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</row>
    <row r="104" spans="2:31" x14ac:dyDescent="0.25">
      <c r="C104" s="104"/>
      <c r="D104" s="105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</row>
    <row r="105" spans="2:31" x14ac:dyDescent="0.25">
      <c r="C105" s="104"/>
      <c r="D105" s="105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9"/>
      <c r="D107" s="99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99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99"/>
      <c r="Y109" s="99"/>
      <c r="Z109" s="102"/>
      <c r="AA109" s="99"/>
    </row>
    <row r="110" spans="2:31" x14ac:dyDescent="0.25">
      <c r="C110" s="109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B111" s="99"/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31" x14ac:dyDescent="0.25">
      <c r="B112" s="99"/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99"/>
      <c r="Y112" s="99"/>
      <c r="Z112" s="102"/>
      <c r="AA112" s="99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14"/>
      <c r="Y113" s="114"/>
      <c r="Z113" s="102"/>
      <c r="AA113" s="114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15"/>
      <c r="Y114" s="115"/>
      <c r="Z114" s="102"/>
      <c r="AA114" s="115"/>
    </row>
    <row r="115" spans="2:27" x14ac:dyDescent="0.25"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99"/>
      <c r="Y115" s="99"/>
      <c r="Z115" s="102"/>
      <c r="AA115" s="99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>
        <v>3003000</v>
      </c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4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4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9">
        <v>42614840</v>
      </c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>
        <v>412608</v>
      </c>
      <c r="X127" s="99"/>
      <c r="Y127" s="99"/>
      <c r="Z127" s="102"/>
      <c r="AA127" s="99"/>
    </row>
    <row r="128" spans="2:27" x14ac:dyDescent="0.25">
      <c r="C128" s="109">
        <v>9675182</v>
      </c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>
        <v>1880000</v>
      </c>
      <c r="X128" s="99"/>
      <c r="Y128" s="99"/>
      <c r="Z128" s="102"/>
      <c r="AA128" s="99"/>
    </row>
    <row r="129" spans="3:27" x14ac:dyDescent="0.25">
      <c r="C129" s="109">
        <v>17903600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9">
        <f>SUM(C127:C129)</f>
        <v>70193622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9">
        <v>400000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f>+C130+C131</f>
        <v>70593622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5" spans="3:27" x14ac:dyDescent="0.25">
      <c r="C135" s="100">
        <v>64000000</v>
      </c>
    </row>
    <row r="136" spans="3:27" x14ac:dyDescent="0.25">
      <c r="C136" s="100">
        <v>11000000</v>
      </c>
    </row>
    <row r="137" spans="3:27" x14ac:dyDescent="0.25">
      <c r="C137" s="100">
        <f>+C135+C136</f>
        <v>75000000</v>
      </c>
    </row>
    <row r="141" spans="3:27" x14ac:dyDescent="0.25">
      <c r="C141" s="100">
        <v>2745000</v>
      </c>
    </row>
    <row r="142" spans="3:27" x14ac:dyDescent="0.25">
      <c r="C142" s="100">
        <v>3185000</v>
      </c>
    </row>
    <row r="143" spans="3:27" x14ac:dyDescent="0.25">
      <c r="C143" s="100">
        <v>1080000</v>
      </c>
    </row>
    <row r="144" spans="3:27" x14ac:dyDescent="0.25">
      <c r="C144" s="100">
        <v>4850100</v>
      </c>
    </row>
    <row r="145" spans="3:3" x14ac:dyDescent="0.25">
      <c r="C145" s="100">
        <v>5027500</v>
      </c>
    </row>
    <row r="146" spans="3:3" x14ac:dyDescent="0.25">
      <c r="C146" s="100">
        <v>4566000</v>
      </c>
    </row>
    <row r="147" spans="3:3" x14ac:dyDescent="0.25">
      <c r="C147" s="100">
        <v>1050000</v>
      </c>
    </row>
    <row r="148" spans="3:3" x14ac:dyDescent="0.25">
      <c r="C148" s="100">
        <v>3877333</v>
      </c>
    </row>
    <row r="149" spans="3:3" x14ac:dyDescent="0.25">
      <c r="C149" s="100">
        <v>6732440</v>
      </c>
    </row>
    <row r="150" spans="3:3" x14ac:dyDescent="0.25">
      <c r="C150" s="100">
        <v>3460000</v>
      </c>
    </row>
    <row r="151" spans="3:3" x14ac:dyDescent="0.25">
      <c r="C151" s="100">
        <v>588800</v>
      </c>
    </row>
    <row r="152" spans="3:3" x14ac:dyDescent="0.25">
      <c r="C152" s="100">
        <v>1868000</v>
      </c>
    </row>
    <row r="153" spans="3:3" x14ac:dyDescent="0.25">
      <c r="C153" s="100">
        <v>10313000</v>
      </c>
    </row>
    <row r="154" spans="3:3" x14ac:dyDescent="0.25">
      <c r="C154" s="100">
        <v>3443800</v>
      </c>
    </row>
    <row r="155" spans="3:3" x14ac:dyDescent="0.25">
      <c r="C155" s="100">
        <v>8136400</v>
      </c>
    </row>
    <row r="156" spans="3:3" x14ac:dyDescent="0.25">
      <c r="C156" s="100">
        <v>9675183</v>
      </c>
    </row>
    <row r="157" spans="3:3" x14ac:dyDescent="0.25">
      <c r="C157" s="100">
        <f>SUM(C141:C156)</f>
        <v>70598556</v>
      </c>
    </row>
  </sheetData>
  <mergeCells count="9">
    <mergeCell ref="C75:X75"/>
    <mergeCell ref="E99:U99"/>
    <mergeCell ref="D100:AA100"/>
    <mergeCell ref="C1:X1"/>
    <mergeCell ref="E2:N2"/>
    <mergeCell ref="O2:W2"/>
    <mergeCell ref="A3:A32"/>
    <mergeCell ref="A33:A62"/>
    <mergeCell ref="D71:AA7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ED02-48A4-4AF9-B99E-B1054A42CC3F}">
  <dimension ref="A1:AE159"/>
  <sheetViews>
    <sheetView topLeftCell="P1" workbookViewId="0">
      <selection activeCell="AB1" sqref="AB1:AB1048576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bestFit="1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124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2" si="0">SUM(O4:V4)</f>
        <v>503752</v>
      </c>
      <c r="X4" s="40">
        <f t="shared" ref="X4:X24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2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35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36</v>
      </c>
      <c r="D8" s="38" t="s">
        <v>32</v>
      </c>
      <c r="E8" s="39">
        <v>4500000</v>
      </c>
      <c r="F8" s="39">
        <v>30</v>
      </c>
      <c r="G8" s="39">
        <f>E8/30*F8</f>
        <v>4500000</v>
      </c>
      <c r="H8" s="39"/>
      <c r="I8" s="39"/>
      <c r="J8" s="39"/>
      <c r="K8" s="39"/>
      <c r="L8" s="39"/>
      <c r="M8" s="39"/>
      <c r="N8" s="39">
        <f t="shared" si="2"/>
        <v>4500000</v>
      </c>
      <c r="O8" s="39">
        <f t="shared" ref="O8:O12" si="4">G8*4%</f>
        <v>180000</v>
      </c>
      <c r="P8" s="39">
        <f>O8</f>
        <v>180000</v>
      </c>
      <c r="Q8" s="39"/>
      <c r="R8" s="39"/>
      <c r="S8" s="39">
        <f>G8*1%</f>
        <v>45000</v>
      </c>
      <c r="T8" s="39">
        <v>98752</v>
      </c>
      <c r="U8" s="39"/>
      <c r="V8" s="39"/>
      <c r="W8" s="39">
        <f t="shared" si="0"/>
        <v>503752</v>
      </c>
      <c r="X8" s="40">
        <f>N8-W8</f>
        <v>3996248</v>
      </c>
      <c r="Y8" s="40"/>
      <c r="Z8" s="41"/>
      <c r="AA8" s="40">
        <f>X8+Y8-Z8</f>
        <v>3996248</v>
      </c>
    </row>
    <row r="9" spans="1:27" ht="12.75" x14ac:dyDescent="0.25">
      <c r="A9" s="120"/>
      <c r="B9" s="123">
        <v>6</v>
      </c>
      <c r="C9" s="137" t="s">
        <v>38</v>
      </c>
      <c r="D9" s="96" t="s">
        <v>32</v>
      </c>
      <c r="E9" s="39">
        <v>4800000</v>
      </c>
      <c r="F9" s="39">
        <v>30</v>
      </c>
      <c r="G9" s="39">
        <f t="shared" ref="G9:G14" si="5">+E9/30*F9</f>
        <v>4800000</v>
      </c>
      <c r="H9" s="39"/>
      <c r="I9" s="39"/>
      <c r="J9" s="39"/>
      <c r="K9" s="39"/>
      <c r="L9" s="39"/>
      <c r="M9" s="39"/>
      <c r="N9" s="39">
        <f t="shared" si="2"/>
        <v>4800000</v>
      </c>
      <c r="O9" s="39">
        <f t="shared" si="4"/>
        <v>192000</v>
      </c>
      <c r="P9" s="39">
        <f>+O9</f>
        <v>192000</v>
      </c>
      <c r="Q9" s="39"/>
      <c r="R9" s="39"/>
      <c r="S9" s="39">
        <f t="shared" si="3"/>
        <v>48000</v>
      </c>
      <c r="T9" s="39">
        <v>139364</v>
      </c>
      <c r="U9" s="39"/>
      <c r="V9" s="39"/>
      <c r="W9" s="39">
        <f t="shared" si="0"/>
        <v>571364</v>
      </c>
      <c r="X9" s="40">
        <f t="shared" si="1"/>
        <v>4228636</v>
      </c>
      <c r="Y9" s="40"/>
      <c r="Z9" s="41"/>
      <c r="AA9" s="40">
        <f t="shared" ref="AA9:AA65" si="6">X9+Y9-Z9</f>
        <v>4228636</v>
      </c>
    </row>
    <row r="10" spans="1:27" ht="12.75" x14ac:dyDescent="0.25">
      <c r="A10" s="120"/>
      <c r="B10" s="123">
        <v>7</v>
      </c>
      <c r="C10" s="118" t="s">
        <v>39</v>
      </c>
      <c r="D10" s="45" t="s">
        <v>32</v>
      </c>
      <c r="E10" s="39">
        <v>4200000</v>
      </c>
      <c r="F10" s="39">
        <v>30</v>
      </c>
      <c r="G10" s="39">
        <f t="shared" si="5"/>
        <v>4200000</v>
      </c>
      <c r="H10" s="39"/>
      <c r="I10" s="39"/>
      <c r="J10" s="39"/>
      <c r="K10" s="39"/>
      <c r="L10" s="39"/>
      <c r="M10" s="39"/>
      <c r="N10" s="39">
        <f t="shared" si="2"/>
        <v>4200000</v>
      </c>
      <c r="O10" s="39">
        <f t="shared" si="4"/>
        <v>168000</v>
      </c>
      <c r="P10" s="39">
        <v>160000</v>
      </c>
      <c r="Q10" s="39"/>
      <c r="R10" s="39"/>
      <c r="S10" s="39">
        <v>40000</v>
      </c>
      <c r="T10" s="39">
        <v>58139</v>
      </c>
      <c r="U10" s="39"/>
      <c r="V10" s="39"/>
      <c r="W10" s="39">
        <f t="shared" si="0"/>
        <v>426139</v>
      </c>
      <c r="X10" s="40">
        <f t="shared" si="1"/>
        <v>3773861</v>
      </c>
      <c r="Y10" s="40"/>
      <c r="Z10" s="41"/>
      <c r="AA10" s="40">
        <f t="shared" si="6"/>
        <v>3773861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5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4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6"/>
        <v>3685000</v>
      </c>
    </row>
    <row r="12" spans="1:27" ht="12.75" x14ac:dyDescent="0.25">
      <c r="A12" s="120"/>
      <c r="B12" s="123">
        <v>9</v>
      </c>
      <c r="C12" s="118" t="s">
        <v>119</v>
      </c>
      <c r="D12" s="45" t="s">
        <v>32</v>
      </c>
      <c r="E12" s="39">
        <v>2800000</v>
      </c>
      <c r="F12" s="39">
        <v>30</v>
      </c>
      <c r="G12" s="39">
        <f t="shared" si="5"/>
        <v>2800000</v>
      </c>
      <c r="H12" s="39"/>
      <c r="I12" s="39"/>
      <c r="J12" s="39"/>
      <c r="K12" s="39"/>
      <c r="L12" s="39"/>
      <c r="M12" s="39"/>
      <c r="N12" s="39">
        <f t="shared" si="2"/>
        <v>2800000</v>
      </c>
      <c r="O12" s="39">
        <f t="shared" si="4"/>
        <v>112000</v>
      </c>
      <c r="P12" s="39">
        <f>O12</f>
        <v>112000</v>
      </c>
      <c r="Q12" s="39"/>
      <c r="R12" s="39"/>
      <c r="S12" s="39">
        <v>28000</v>
      </c>
      <c r="T12" s="39">
        <v>0</v>
      </c>
      <c r="U12" s="39"/>
      <c r="V12" s="39"/>
      <c r="W12" s="39">
        <f t="shared" si="0"/>
        <v>252000</v>
      </c>
      <c r="X12" s="40">
        <f t="shared" si="1"/>
        <v>2548000</v>
      </c>
      <c r="Y12" s="40"/>
      <c r="Z12" s="41"/>
      <c r="AA12" s="40">
        <f t="shared" si="6"/>
        <v>2548000</v>
      </c>
    </row>
    <row r="13" spans="1:27" ht="12.75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5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6"/>
        <v>3583532</v>
      </c>
    </row>
    <row r="14" spans="1:27" ht="12.75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5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/>
      <c r="W14" s="39">
        <f t="shared" si="0"/>
        <v>503752</v>
      </c>
      <c r="X14" s="40">
        <f t="shared" si="1"/>
        <v>4296248</v>
      </c>
      <c r="Y14" s="40"/>
      <c r="Z14" s="41"/>
      <c r="AA14" s="40">
        <f t="shared" si="6"/>
        <v>4296248</v>
      </c>
    </row>
    <row r="15" spans="1:27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6" si="7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6"/>
        <v>4293248</v>
      </c>
    </row>
    <row r="16" spans="1:27" ht="12.75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>E16/30*F16</f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7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6"/>
        <v>3996248</v>
      </c>
    </row>
    <row r="17" spans="1:27" ht="12.75" x14ac:dyDescent="0.25">
      <c r="A17" s="120"/>
      <c r="B17" s="123">
        <v>14</v>
      </c>
      <c r="C17" s="37" t="s">
        <v>125</v>
      </c>
      <c r="D17" s="38" t="s">
        <v>32</v>
      </c>
      <c r="E17" s="39">
        <v>4500000</v>
      </c>
      <c r="F17" s="39">
        <v>18</v>
      </c>
      <c r="G17" s="39">
        <f>E17/30*F17</f>
        <v>2700000</v>
      </c>
      <c r="H17" s="39"/>
      <c r="I17" s="39"/>
      <c r="J17" s="39"/>
      <c r="K17" s="39"/>
      <c r="L17" s="39"/>
      <c r="M17" s="39"/>
      <c r="N17" s="39">
        <f t="shared" si="2"/>
        <v>2700000</v>
      </c>
      <c r="O17" s="39">
        <f>+G17*4%</f>
        <v>108000</v>
      </c>
      <c r="P17" s="39">
        <f>O17</f>
        <v>108000</v>
      </c>
      <c r="Q17" s="39"/>
      <c r="R17" s="39"/>
      <c r="S17" s="39">
        <f>+G17*1%</f>
        <v>27000</v>
      </c>
      <c r="T17" s="48"/>
      <c r="U17" s="39"/>
      <c r="V17" s="39"/>
      <c r="W17" s="39">
        <f t="shared" si="0"/>
        <v>243000</v>
      </c>
      <c r="X17" s="40">
        <f>N17-W17</f>
        <v>2457000</v>
      </c>
      <c r="Y17" s="40"/>
      <c r="Z17" s="41"/>
      <c r="AA17" s="40">
        <f t="shared" si="6"/>
        <v>2457000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>E18/30*F18</f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6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>E19/30*F19</f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8" si="8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6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6" si="9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8"/>
        <v>168000</v>
      </c>
      <c r="P20" s="39">
        <f>O20</f>
        <v>168000</v>
      </c>
      <c r="Q20" s="39"/>
      <c r="R20" s="39"/>
      <c r="S20" s="39">
        <f>N20*1%</f>
        <v>45000</v>
      </c>
      <c r="T20" s="48">
        <v>58139</v>
      </c>
      <c r="U20" s="39"/>
      <c r="V20" s="39"/>
      <c r="W20" s="39">
        <f t="shared" si="0"/>
        <v>439139</v>
      </c>
      <c r="X20" s="40">
        <f>N20-W20</f>
        <v>4060861</v>
      </c>
      <c r="Y20" s="40"/>
      <c r="Z20" s="41"/>
      <c r="AA20" s="40">
        <f t="shared" si="6"/>
        <v>4060861</v>
      </c>
    </row>
    <row r="21" spans="1:27" ht="12.75" x14ac:dyDescent="0.25">
      <c r="A21" s="120"/>
      <c r="B21" s="123">
        <v>18</v>
      </c>
      <c r="C21" s="37" t="s">
        <v>126</v>
      </c>
      <c r="D21" s="38" t="s">
        <v>32</v>
      </c>
      <c r="E21" s="39">
        <v>3000000</v>
      </c>
      <c r="F21" s="39">
        <v>10</v>
      </c>
      <c r="G21" s="39">
        <f>E21/30*F21</f>
        <v>1000000</v>
      </c>
      <c r="H21" s="39"/>
      <c r="I21" s="39"/>
      <c r="J21" s="39"/>
      <c r="K21" s="39"/>
      <c r="L21" s="39"/>
      <c r="M21" s="39"/>
      <c r="N21" s="39">
        <f t="shared" ref="N21" si="10">SUM(G21:M21)</f>
        <v>1000000</v>
      </c>
      <c r="O21" s="39">
        <f>+G21*4%</f>
        <v>40000</v>
      </c>
      <c r="P21" s="39">
        <f>O21</f>
        <v>40000</v>
      </c>
      <c r="Q21" s="39"/>
      <c r="R21" s="39"/>
      <c r="S21" s="39">
        <f>+G21*1%</f>
        <v>10000</v>
      </c>
      <c r="T21" s="48">
        <v>0</v>
      </c>
      <c r="U21" s="39"/>
      <c r="V21" s="39"/>
      <c r="W21" s="39">
        <f t="shared" ref="W21" si="11">SUM(O21:V21)</f>
        <v>90000</v>
      </c>
      <c r="X21" s="40">
        <f>N21-W21</f>
        <v>910000</v>
      </c>
      <c r="Y21" s="40"/>
      <c r="Z21" s="41"/>
      <c r="AA21" s="40">
        <f t="shared" si="6"/>
        <v>910000</v>
      </c>
    </row>
    <row r="22" spans="1:27" ht="12.75" x14ac:dyDescent="0.25">
      <c r="A22" s="120"/>
      <c r="B22" s="123">
        <v>19</v>
      </c>
      <c r="C22" s="138" t="s">
        <v>120</v>
      </c>
      <c r="D22" s="96" t="s">
        <v>32</v>
      </c>
      <c r="E22" s="39">
        <v>4500000</v>
      </c>
      <c r="F22" s="39">
        <v>30</v>
      </c>
      <c r="G22" s="39">
        <f t="shared" si="9"/>
        <v>4500000</v>
      </c>
      <c r="H22" s="39"/>
      <c r="I22" s="39"/>
      <c r="J22" s="39"/>
      <c r="K22" s="39"/>
      <c r="L22" s="39"/>
      <c r="M22" s="39"/>
      <c r="N22" s="39">
        <f t="shared" si="2"/>
        <v>4500000</v>
      </c>
      <c r="O22" s="39">
        <f t="shared" si="8"/>
        <v>180000</v>
      </c>
      <c r="P22" s="39">
        <f>O22</f>
        <v>180000</v>
      </c>
      <c r="Q22" s="39"/>
      <c r="R22" s="39"/>
      <c r="S22" s="39">
        <f>N22*1%</f>
        <v>45000</v>
      </c>
      <c r="T22" s="48">
        <v>34627</v>
      </c>
      <c r="U22" s="39"/>
      <c r="V22" s="39"/>
      <c r="W22" s="39">
        <f t="shared" si="0"/>
        <v>439627</v>
      </c>
      <c r="X22" s="40">
        <f>N22-W22</f>
        <v>4060373</v>
      </c>
      <c r="Y22" s="40"/>
      <c r="Z22" s="41"/>
      <c r="AA22" s="40">
        <f t="shared" si="6"/>
        <v>4060373</v>
      </c>
    </row>
    <row r="23" spans="1:27" ht="12.75" x14ac:dyDescent="0.25">
      <c r="A23" s="120"/>
      <c r="B23" s="123">
        <v>20</v>
      </c>
      <c r="C23" s="37" t="s">
        <v>48</v>
      </c>
      <c r="D23" s="38" t="s">
        <v>32</v>
      </c>
      <c r="E23" s="39">
        <v>4800000</v>
      </c>
      <c r="F23" s="39">
        <v>30</v>
      </c>
      <c r="G23" s="39">
        <f t="shared" si="9"/>
        <v>4800000</v>
      </c>
      <c r="H23" s="39"/>
      <c r="I23" s="39"/>
      <c r="J23" s="39"/>
      <c r="K23" s="39"/>
      <c r="L23" s="39"/>
      <c r="M23" s="39"/>
      <c r="N23" s="39">
        <f t="shared" si="2"/>
        <v>4800000</v>
      </c>
      <c r="O23" s="39">
        <f t="shared" si="8"/>
        <v>192000</v>
      </c>
      <c r="P23" s="39">
        <f t="shared" ref="P23:P28" si="12">+O23</f>
        <v>192000</v>
      </c>
      <c r="Q23" s="39"/>
      <c r="R23" s="39"/>
      <c r="S23" s="39">
        <f t="shared" si="3"/>
        <v>48000</v>
      </c>
      <c r="T23" s="39">
        <v>139364</v>
      </c>
      <c r="U23" s="39"/>
      <c r="V23" s="39"/>
      <c r="W23" s="39">
        <f t="shared" si="0"/>
        <v>571364</v>
      </c>
      <c r="X23" s="40">
        <f t="shared" si="1"/>
        <v>4228636</v>
      </c>
      <c r="Y23" s="40"/>
      <c r="Z23" s="41"/>
      <c r="AA23" s="40">
        <f t="shared" si="6"/>
        <v>4228636</v>
      </c>
    </row>
    <row r="24" spans="1:27" ht="12.75" x14ac:dyDescent="0.25">
      <c r="A24" s="120"/>
      <c r="B24" s="123">
        <v>21</v>
      </c>
      <c r="C24" s="37" t="s">
        <v>49</v>
      </c>
      <c r="D24" s="38" t="s">
        <v>32</v>
      </c>
      <c r="E24" s="39">
        <v>4023250</v>
      </c>
      <c r="F24" s="39">
        <v>30</v>
      </c>
      <c r="G24" s="39">
        <f t="shared" si="9"/>
        <v>4023250.0000000005</v>
      </c>
      <c r="H24" s="39"/>
      <c r="I24" s="39"/>
      <c r="J24" s="39"/>
      <c r="K24" s="39"/>
      <c r="L24" s="39"/>
      <c r="M24" s="39"/>
      <c r="N24" s="39">
        <f t="shared" si="2"/>
        <v>4023250.0000000005</v>
      </c>
      <c r="O24" s="39">
        <f t="shared" si="8"/>
        <v>160930.00000000003</v>
      </c>
      <c r="P24" s="39">
        <f t="shared" si="12"/>
        <v>160930.00000000003</v>
      </c>
      <c r="Q24" s="39"/>
      <c r="R24" s="39"/>
      <c r="S24" s="39">
        <f t="shared" si="3"/>
        <v>40232.500000000007</v>
      </c>
      <c r="T24" s="39">
        <v>2545</v>
      </c>
      <c r="U24" s="39"/>
      <c r="V24" s="39"/>
      <c r="W24" s="39">
        <f t="shared" si="0"/>
        <v>364637.50000000006</v>
      </c>
      <c r="X24" s="40">
        <f t="shared" si="1"/>
        <v>3658612.5000000005</v>
      </c>
      <c r="Y24" s="40"/>
      <c r="Z24" s="41"/>
      <c r="AA24" s="40">
        <f t="shared" si="6"/>
        <v>3658612.5000000005</v>
      </c>
    </row>
    <row r="25" spans="1:27" ht="12.75" x14ac:dyDescent="0.25">
      <c r="A25" s="120"/>
      <c r="B25" s="123">
        <v>22</v>
      </c>
      <c r="C25" s="37" t="s">
        <v>50</v>
      </c>
      <c r="D25" s="38" t="s">
        <v>32</v>
      </c>
      <c r="E25" s="39">
        <v>6583500</v>
      </c>
      <c r="F25" s="39">
        <v>30</v>
      </c>
      <c r="G25" s="39">
        <f t="shared" si="9"/>
        <v>6583500</v>
      </c>
      <c r="H25" s="39"/>
      <c r="I25" s="39"/>
      <c r="J25" s="39"/>
      <c r="K25" s="39"/>
      <c r="L25" s="39"/>
      <c r="M25" s="39"/>
      <c r="N25" s="39">
        <f t="shared" si="2"/>
        <v>6583500</v>
      </c>
      <c r="O25" s="39">
        <f t="shared" si="8"/>
        <v>263340</v>
      </c>
      <c r="P25" s="39">
        <f t="shared" si="12"/>
        <v>263340</v>
      </c>
      <c r="Q25" s="39"/>
      <c r="R25" s="39"/>
      <c r="S25" s="39">
        <f t="shared" si="3"/>
        <v>65835</v>
      </c>
      <c r="T25" s="48">
        <v>83706</v>
      </c>
      <c r="U25" s="39">
        <v>1560000</v>
      </c>
      <c r="V25" s="39"/>
      <c r="W25" s="39">
        <f t="shared" si="0"/>
        <v>2236221</v>
      </c>
      <c r="X25" s="40">
        <f>+N25-W25</f>
        <v>4347279</v>
      </c>
      <c r="Y25" s="40"/>
      <c r="Z25" s="41"/>
      <c r="AA25" s="40">
        <f t="shared" si="6"/>
        <v>4347279</v>
      </c>
    </row>
    <row r="26" spans="1:27" ht="12.75" x14ac:dyDescent="0.25">
      <c r="A26" s="120"/>
      <c r="B26" s="123">
        <v>23</v>
      </c>
      <c r="C26" s="37" t="s">
        <v>51</v>
      </c>
      <c r="D26" s="38" t="s">
        <v>32</v>
      </c>
      <c r="E26" s="39">
        <v>3500000</v>
      </c>
      <c r="F26" s="39">
        <v>30</v>
      </c>
      <c r="G26" s="39">
        <f t="shared" si="9"/>
        <v>3500000</v>
      </c>
      <c r="H26" s="39"/>
      <c r="I26" s="39"/>
      <c r="J26" s="39"/>
      <c r="K26" s="39"/>
      <c r="L26" s="39"/>
      <c r="M26" s="39">
        <v>500000</v>
      </c>
      <c r="N26" s="39">
        <f t="shared" si="2"/>
        <v>4000000</v>
      </c>
      <c r="O26" s="39">
        <f t="shared" si="8"/>
        <v>140000</v>
      </c>
      <c r="P26" s="39">
        <f t="shared" si="12"/>
        <v>140000</v>
      </c>
      <c r="Q26" s="39"/>
      <c r="R26" s="39"/>
      <c r="S26" s="39">
        <f t="shared" si="3"/>
        <v>35000</v>
      </c>
      <c r="T26" s="39">
        <v>0</v>
      </c>
      <c r="U26" s="39"/>
      <c r="V26" s="39">
        <v>500000</v>
      </c>
      <c r="W26" s="39">
        <f t="shared" si="0"/>
        <v>815000</v>
      </c>
      <c r="X26" s="40">
        <f>+N26-W26</f>
        <v>3185000</v>
      </c>
      <c r="Y26" s="40"/>
      <c r="Z26" s="41"/>
      <c r="AA26" s="40">
        <f t="shared" si="6"/>
        <v>3185000</v>
      </c>
    </row>
    <row r="27" spans="1:27" ht="12.75" x14ac:dyDescent="0.25">
      <c r="A27" s="120"/>
      <c r="B27" s="123">
        <v>24</v>
      </c>
      <c r="C27" s="37" t="s">
        <v>127</v>
      </c>
      <c r="D27" s="38" t="s">
        <v>32</v>
      </c>
      <c r="E27" s="39">
        <v>4000000</v>
      </c>
      <c r="F27" s="39">
        <v>22</v>
      </c>
      <c r="G27" s="39">
        <f t="shared" si="9"/>
        <v>2933333.3333333335</v>
      </c>
      <c r="H27" s="39"/>
      <c r="I27" s="39"/>
      <c r="J27" s="39"/>
      <c r="K27" s="39"/>
      <c r="L27" s="39"/>
      <c r="M27" s="39"/>
      <c r="N27" s="39">
        <f>SUM(G27:M27)</f>
        <v>2933333.3333333335</v>
      </c>
      <c r="O27" s="39">
        <f>+G27*4%</f>
        <v>117333.33333333334</v>
      </c>
      <c r="P27" s="39">
        <f>+O27</f>
        <v>117333.33333333334</v>
      </c>
      <c r="Q27" s="39"/>
      <c r="R27" s="39"/>
      <c r="S27" s="39">
        <f>+G27*1%</f>
        <v>29333.333333333336</v>
      </c>
      <c r="T27" s="39">
        <v>0</v>
      </c>
      <c r="U27" s="39"/>
      <c r="V27" s="39"/>
      <c r="W27" s="39">
        <f t="shared" si="0"/>
        <v>264000</v>
      </c>
      <c r="X27" s="40">
        <f>+N27-W27</f>
        <v>2669333.3333333335</v>
      </c>
      <c r="Y27" s="40"/>
      <c r="Z27" s="41"/>
      <c r="AA27" s="40">
        <f t="shared" si="6"/>
        <v>2669333.3333333335</v>
      </c>
    </row>
    <row r="28" spans="1:27" ht="12.75" x14ac:dyDescent="0.25">
      <c r="A28" s="120"/>
      <c r="B28" s="123">
        <v>25</v>
      </c>
      <c r="C28" s="118" t="s">
        <v>53</v>
      </c>
      <c r="D28" s="45" t="s">
        <v>32</v>
      </c>
      <c r="E28" s="39">
        <v>4500000</v>
      </c>
      <c r="F28" s="39">
        <v>30</v>
      </c>
      <c r="G28" s="39">
        <f t="shared" si="9"/>
        <v>4500000</v>
      </c>
      <c r="H28" s="39"/>
      <c r="I28" s="39"/>
      <c r="J28" s="39"/>
      <c r="K28" s="39"/>
      <c r="L28" s="39"/>
      <c r="M28" s="39"/>
      <c r="N28" s="39">
        <f t="shared" si="2"/>
        <v>4500000</v>
      </c>
      <c r="O28" s="39">
        <f t="shared" si="8"/>
        <v>180000</v>
      </c>
      <c r="P28" s="39">
        <f t="shared" si="12"/>
        <v>180000</v>
      </c>
      <c r="Q28" s="39"/>
      <c r="R28" s="39"/>
      <c r="S28" s="39">
        <f>N28*1%</f>
        <v>45000</v>
      </c>
      <c r="T28" s="39">
        <v>34627</v>
      </c>
      <c r="U28" s="39"/>
      <c r="V28" s="39"/>
      <c r="W28" s="39">
        <f t="shared" si="0"/>
        <v>439627</v>
      </c>
      <c r="X28" s="40">
        <f>N28-W28</f>
        <v>4060373</v>
      </c>
      <c r="Y28" s="40"/>
      <c r="Z28" s="41"/>
      <c r="AA28" s="40">
        <f t="shared" si="6"/>
        <v>4060373</v>
      </c>
    </row>
    <row r="29" spans="1:27" ht="12.75" x14ac:dyDescent="0.25">
      <c r="A29" s="120"/>
      <c r="B29" s="123">
        <v>26</v>
      </c>
      <c r="C29" s="139" t="s">
        <v>54</v>
      </c>
      <c r="D29" s="42" t="s">
        <v>32</v>
      </c>
      <c r="E29" s="39">
        <v>5000000</v>
      </c>
      <c r="F29" s="39">
        <v>30</v>
      </c>
      <c r="G29" s="39">
        <f t="shared" si="9"/>
        <v>5000000</v>
      </c>
      <c r="H29" s="39"/>
      <c r="I29" s="39"/>
      <c r="J29" s="39"/>
      <c r="K29" s="39"/>
      <c r="L29" s="39"/>
      <c r="M29" s="39">
        <f>400000/30*F29</f>
        <v>400000</v>
      </c>
      <c r="N29" s="39">
        <f t="shared" si="2"/>
        <v>5400000</v>
      </c>
      <c r="O29" s="39">
        <f>G29*4%</f>
        <v>200000</v>
      </c>
      <c r="P29" s="39">
        <f>O29</f>
        <v>200000</v>
      </c>
      <c r="Q29" s="39"/>
      <c r="R29" s="39"/>
      <c r="S29" s="39">
        <f>G29*1%</f>
        <v>50000</v>
      </c>
      <c r="T29" s="39">
        <v>166439</v>
      </c>
      <c r="U29" s="39"/>
      <c r="V29" s="39"/>
      <c r="W29" s="39">
        <f t="shared" si="0"/>
        <v>616439</v>
      </c>
      <c r="X29" s="40">
        <f>N29-W29</f>
        <v>4783561</v>
      </c>
      <c r="Y29" s="40"/>
      <c r="Z29" s="41"/>
      <c r="AA29" s="40">
        <f t="shared" si="6"/>
        <v>4783561</v>
      </c>
    </row>
    <row r="30" spans="1:27" ht="25.5" x14ac:dyDescent="0.25">
      <c r="A30" s="120"/>
      <c r="B30" s="123">
        <v>27</v>
      </c>
      <c r="C30" s="37" t="s">
        <v>55</v>
      </c>
      <c r="D30" s="38" t="s">
        <v>32</v>
      </c>
      <c r="E30" s="39">
        <v>4410000</v>
      </c>
      <c r="F30" s="39">
        <v>30</v>
      </c>
      <c r="G30" s="39">
        <f t="shared" si="9"/>
        <v>4410000</v>
      </c>
      <c r="H30" s="39"/>
      <c r="I30" s="39"/>
      <c r="J30" s="39"/>
      <c r="K30" s="39"/>
      <c r="L30" s="39"/>
      <c r="M30" s="39"/>
      <c r="N30" s="39">
        <f>SUM(G30:M30)</f>
        <v>4410000</v>
      </c>
      <c r="O30" s="39">
        <f>+G30*4%</f>
        <v>176400</v>
      </c>
      <c r="P30" s="39">
        <f>+O30</f>
        <v>176400</v>
      </c>
      <c r="Q30" s="39"/>
      <c r="R30" s="39"/>
      <c r="S30" s="39">
        <f t="shared" si="3"/>
        <v>44100</v>
      </c>
      <c r="T30" s="39">
        <v>86568</v>
      </c>
      <c r="U30" s="39"/>
      <c r="V30" s="39"/>
      <c r="W30" s="39">
        <f t="shared" si="0"/>
        <v>483468</v>
      </c>
      <c r="X30" s="40">
        <f>+N30-W30</f>
        <v>3926532</v>
      </c>
      <c r="Y30" s="40"/>
      <c r="Z30" s="41"/>
      <c r="AA30" s="40">
        <f t="shared" si="6"/>
        <v>3926532</v>
      </c>
    </row>
    <row r="31" spans="1:27" ht="12.75" x14ac:dyDescent="0.25">
      <c r="A31" s="120"/>
      <c r="B31" s="123">
        <v>28</v>
      </c>
      <c r="C31" s="37" t="s">
        <v>109</v>
      </c>
      <c r="D31" s="38" t="s">
        <v>32</v>
      </c>
      <c r="E31" s="39">
        <v>4200000</v>
      </c>
      <c r="F31" s="39">
        <v>30</v>
      </c>
      <c r="G31" s="39">
        <f t="shared" si="9"/>
        <v>4200000</v>
      </c>
      <c r="H31" s="39"/>
      <c r="I31" s="39"/>
      <c r="J31" s="39"/>
      <c r="K31" s="39"/>
      <c r="L31" s="39"/>
      <c r="M31" s="39"/>
      <c r="N31" s="39">
        <f>SUM(G31:M31)</f>
        <v>4200000</v>
      </c>
      <c r="O31" s="39">
        <f>+G31*4%</f>
        <v>168000</v>
      </c>
      <c r="P31" s="39">
        <f>+O31</f>
        <v>168000</v>
      </c>
      <c r="Q31" s="39"/>
      <c r="R31" s="39"/>
      <c r="S31" s="39">
        <v>42000</v>
      </c>
      <c r="T31" s="39">
        <v>2545</v>
      </c>
      <c r="U31" s="39"/>
      <c r="V31" s="39"/>
      <c r="W31" s="39">
        <f t="shared" si="0"/>
        <v>380545</v>
      </c>
      <c r="X31" s="40">
        <f>+N31-W31</f>
        <v>3819455</v>
      </c>
      <c r="Y31" s="40"/>
      <c r="Z31" s="41"/>
      <c r="AA31" s="40">
        <f t="shared" si="6"/>
        <v>3819455</v>
      </c>
    </row>
    <row r="32" spans="1:27" ht="12.75" x14ac:dyDescent="0.25">
      <c r="A32" s="120"/>
      <c r="B32" s="123">
        <v>29</v>
      </c>
      <c r="C32" s="37" t="s">
        <v>128</v>
      </c>
      <c r="D32" s="38" t="s">
        <v>32</v>
      </c>
      <c r="E32" s="39">
        <v>4500000</v>
      </c>
      <c r="F32" s="39">
        <v>18</v>
      </c>
      <c r="G32" s="39">
        <f t="shared" si="9"/>
        <v>2700000</v>
      </c>
      <c r="H32" s="39"/>
      <c r="I32" s="39"/>
      <c r="J32" s="39"/>
      <c r="K32" s="39"/>
      <c r="L32" s="39"/>
      <c r="M32" s="39"/>
      <c r="N32" s="39">
        <f>SUM(G32:M32)</f>
        <v>2700000</v>
      </c>
      <c r="O32" s="39">
        <f>+G32*4%</f>
        <v>108000</v>
      </c>
      <c r="P32" s="39">
        <f>+O32</f>
        <v>108000</v>
      </c>
      <c r="Q32" s="39"/>
      <c r="R32" s="39"/>
      <c r="S32" s="39">
        <f>+G32*1%</f>
        <v>27000</v>
      </c>
      <c r="T32" s="39">
        <v>0</v>
      </c>
      <c r="U32" s="39"/>
      <c r="V32" s="39"/>
      <c r="W32" s="39">
        <f t="shared" ref="W32" si="13">SUM(O32:V32)</f>
        <v>243000</v>
      </c>
      <c r="X32" s="40">
        <f>+N32-W32</f>
        <v>2457000</v>
      </c>
      <c r="Y32" s="40"/>
      <c r="Z32" s="41"/>
      <c r="AA32" s="40">
        <f t="shared" si="6"/>
        <v>2457000</v>
      </c>
    </row>
    <row r="33" spans="1:28" ht="12.75" x14ac:dyDescent="0.25">
      <c r="A33" s="120"/>
      <c r="B33" s="123">
        <v>30</v>
      </c>
      <c r="C33" s="138" t="s">
        <v>56</v>
      </c>
      <c r="D33" s="96" t="s">
        <v>32</v>
      </c>
      <c r="E33" s="39">
        <v>4180000</v>
      </c>
      <c r="F33" s="39">
        <v>30</v>
      </c>
      <c r="G33" s="39">
        <f t="shared" si="9"/>
        <v>4180000.0000000005</v>
      </c>
      <c r="H33" s="39"/>
      <c r="I33" s="39"/>
      <c r="J33" s="39"/>
      <c r="K33" s="39"/>
      <c r="L33" s="39"/>
      <c r="M33" s="39">
        <v>657500</v>
      </c>
      <c r="N33" s="39">
        <f>SUM(G33:M33)</f>
        <v>4837500</v>
      </c>
      <c r="O33" s="39">
        <f>+G33*4%</f>
        <v>167200.00000000003</v>
      </c>
      <c r="P33" s="39">
        <f>+O33</f>
        <v>167200.00000000003</v>
      </c>
      <c r="Q33" s="39"/>
      <c r="R33" s="39"/>
      <c r="S33" s="39">
        <f t="shared" si="3"/>
        <v>41800.000000000007</v>
      </c>
      <c r="T33" s="39">
        <v>55432</v>
      </c>
      <c r="U33" s="39"/>
      <c r="V33" s="39"/>
      <c r="W33" s="39">
        <f t="shared" si="0"/>
        <v>431632.00000000006</v>
      </c>
      <c r="X33" s="40">
        <f>+N33-W33</f>
        <v>4405868</v>
      </c>
      <c r="Y33" s="40"/>
      <c r="Z33" s="41"/>
      <c r="AA33" s="40">
        <f t="shared" si="6"/>
        <v>4405868</v>
      </c>
    </row>
    <row r="34" spans="1:28" ht="30.75" customHeight="1" x14ac:dyDescent="0.25">
      <c r="A34" s="120"/>
      <c r="B34" s="123">
        <v>31</v>
      </c>
      <c r="C34" s="37" t="s">
        <v>121</v>
      </c>
      <c r="D34" s="38" t="s">
        <v>32</v>
      </c>
      <c r="E34" s="39">
        <v>4500000</v>
      </c>
      <c r="F34" s="39">
        <v>30</v>
      </c>
      <c r="G34" s="39">
        <f t="shared" si="9"/>
        <v>4500000</v>
      </c>
      <c r="H34" s="39"/>
      <c r="I34" s="39"/>
      <c r="J34" s="39"/>
      <c r="K34" s="39"/>
      <c r="L34" s="39"/>
      <c r="M34" s="39">
        <v>300000</v>
      </c>
      <c r="N34" s="39">
        <f t="shared" ref="N34:N35" si="14">SUM(G34:M34)</f>
        <v>4800000</v>
      </c>
      <c r="O34" s="39">
        <f t="shared" ref="O34" si="15">+G34*4%</f>
        <v>180000</v>
      </c>
      <c r="P34" s="39">
        <f>O34</f>
        <v>180000</v>
      </c>
      <c r="Q34" s="39"/>
      <c r="R34" s="39"/>
      <c r="S34" s="39">
        <v>45000</v>
      </c>
      <c r="T34" s="39">
        <v>98752</v>
      </c>
      <c r="U34" s="39"/>
      <c r="V34" s="39"/>
      <c r="W34" s="39">
        <f t="shared" si="0"/>
        <v>503752</v>
      </c>
      <c r="X34" s="40">
        <f>N34-W34</f>
        <v>4296248</v>
      </c>
      <c r="Y34" s="40"/>
      <c r="Z34" s="41"/>
      <c r="AA34" s="40">
        <f t="shared" si="6"/>
        <v>4296248</v>
      </c>
    </row>
    <row r="35" spans="1:28" ht="12.75" x14ac:dyDescent="0.25">
      <c r="A35" s="120"/>
      <c r="B35" s="123">
        <v>32</v>
      </c>
      <c r="C35" s="37" t="s">
        <v>59</v>
      </c>
      <c r="D35" s="38" t="s">
        <v>32</v>
      </c>
      <c r="E35" s="39">
        <v>5619790</v>
      </c>
      <c r="F35" s="39">
        <v>30</v>
      </c>
      <c r="G35" s="39">
        <f t="shared" si="9"/>
        <v>5619790</v>
      </c>
      <c r="H35" s="39"/>
      <c r="I35" s="39"/>
      <c r="J35" s="39"/>
      <c r="K35" s="39"/>
      <c r="L35" s="39"/>
      <c r="M35" s="39">
        <v>500000</v>
      </c>
      <c r="N35" s="39">
        <f t="shared" si="14"/>
        <v>6119790</v>
      </c>
      <c r="O35" s="39">
        <v>229900</v>
      </c>
      <c r="P35" s="39">
        <f>+O35</f>
        <v>229900</v>
      </c>
      <c r="Q35" s="39"/>
      <c r="R35" s="39"/>
      <c r="S35" s="39">
        <f t="shared" si="3"/>
        <v>56197.9</v>
      </c>
      <c r="T35" s="39">
        <v>91627</v>
      </c>
      <c r="U35" s="39">
        <v>1000000</v>
      </c>
      <c r="V35" s="39"/>
      <c r="W35" s="39">
        <f t="shared" si="0"/>
        <v>1607624.9</v>
      </c>
      <c r="X35" s="40">
        <f>N35-W35</f>
        <v>4512165.0999999996</v>
      </c>
      <c r="Y35" s="40"/>
      <c r="Z35" s="41"/>
      <c r="AA35" s="40">
        <f t="shared" si="6"/>
        <v>4512165.0999999996</v>
      </c>
    </row>
    <row r="36" spans="1:28" ht="12.75" x14ac:dyDescent="0.25">
      <c r="A36" s="120" t="s">
        <v>60</v>
      </c>
      <c r="B36" s="123">
        <v>33</v>
      </c>
      <c r="C36" s="37" t="s">
        <v>61</v>
      </c>
      <c r="D36" s="38" t="s">
        <v>32</v>
      </c>
      <c r="E36" s="39">
        <v>1500000</v>
      </c>
      <c r="F36" s="39">
        <v>30</v>
      </c>
      <c r="G36" s="39">
        <f t="shared" si="9"/>
        <v>1500000</v>
      </c>
      <c r="H36" s="39"/>
      <c r="I36" s="39"/>
      <c r="J36" s="39"/>
      <c r="K36" s="39"/>
      <c r="L36" s="39"/>
      <c r="M36" s="39">
        <v>522500</v>
      </c>
      <c r="N36" s="39">
        <f>SUM(G36:M36)</f>
        <v>2022500</v>
      </c>
      <c r="O36" s="39">
        <f>+G36*4%</f>
        <v>60000</v>
      </c>
      <c r="P36" s="39">
        <f>+O36</f>
        <v>60000</v>
      </c>
      <c r="Q36" s="39"/>
      <c r="R36" s="39"/>
      <c r="S36" s="39"/>
      <c r="T36" s="48">
        <v>0</v>
      </c>
      <c r="U36" s="39"/>
      <c r="V36" s="39"/>
      <c r="W36" s="39">
        <f t="shared" si="0"/>
        <v>120000</v>
      </c>
      <c r="X36" s="40">
        <f>+N36-W36</f>
        <v>1902500</v>
      </c>
      <c r="Y36" s="40"/>
      <c r="Z36" s="41"/>
      <c r="AA36" s="40">
        <f t="shared" si="6"/>
        <v>1902500</v>
      </c>
    </row>
    <row r="37" spans="1:28" ht="12.75" x14ac:dyDescent="0.25">
      <c r="A37" s="120"/>
      <c r="B37" s="123">
        <v>34</v>
      </c>
      <c r="C37" s="37" t="s">
        <v>65</v>
      </c>
      <c r="D37" s="38" t="s">
        <v>32</v>
      </c>
      <c r="E37" s="39">
        <v>644350</v>
      </c>
      <c r="F37" s="39">
        <v>30</v>
      </c>
      <c r="G37" s="39">
        <f>E37/30*F37</f>
        <v>644350</v>
      </c>
      <c r="H37" s="39"/>
      <c r="I37" s="39"/>
      <c r="J37" s="39"/>
      <c r="K37" s="39"/>
      <c r="L37" s="39"/>
      <c r="M37" s="39"/>
      <c r="N37" s="39">
        <f t="shared" ref="N37:N54" si="16">SUM(G37:M37)</f>
        <v>644350</v>
      </c>
      <c r="O37" s="39"/>
      <c r="P37" s="39"/>
      <c r="Q37" s="39"/>
      <c r="R37" s="39"/>
      <c r="S37" s="39"/>
      <c r="T37" s="39">
        <v>0</v>
      </c>
      <c r="U37" s="39"/>
      <c r="V37" s="39"/>
      <c r="W37" s="39">
        <f t="shared" si="0"/>
        <v>0</v>
      </c>
      <c r="X37" s="40">
        <f>N37</f>
        <v>644350</v>
      </c>
      <c r="Y37" s="40"/>
      <c r="Z37" s="41"/>
      <c r="AA37" s="40">
        <f t="shared" si="6"/>
        <v>644350</v>
      </c>
    </row>
    <row r="38" spans="1:28" ht="12.75" x14ac:dyDescent="0.25">
      <c r="A38" s="120"/>
      <c r="B38" s="123">
        <v>35</v>
      </c>
      <c r="C38" s="37" t="s">
        <v>66</v>
      </c>
      <c r="D38" s="38" t="s">
        <v>32</v>
      </c>
      <c r="E38" s="39">
        <v>644350</v>
      </c>
      <c r="F38" s="39">
        <v>30</v>
      </c>
      <c r="G38" s="39">
        <f>E38/30*F38</f>
        <v>644350</v>
      </c>
      <c r="H38" s="39"/>
      <c r="I38" s="39"/>
      <c r="J38" s="39"/>
      <c r="K38" s="39"/>
      <c r="L38" s="39"/>
      <c r="M38" s="39"/>
      <c r="N38" s="39">
        <f t="shared" si="16"/>
        <v>644350</v>
      </c>
      <c r="O38" s="39"/>
      <c r="P38" s="39"/>
      <c r="Q38" s="39"/>
      <c r="R38" s="39"/>
      <c r="S38" s="39"/>
      <c r="T38" s="39">
        <v>0</v>
      </c>
      <c r="U38" s="39"/>
      <c r="V38" s="39"/>
      <c r="W38" s="39">
        <f t="shared" si="0"/>
        <v>0</v>
      </c>
      <c r="X38" s="40">
        <f>N38</f>
        <v>644350</v>
      </c>
      <c r="Y38" s="40"/>
      <c r="Z38" s="41"/>
      <c r="AA38" s="40">
        <f t="shared" si="6"/>
        <v>644350</v>
      </c>
    </row>
    <row r="39" spans="1:28" ht="12.75" x14ac:dyDescent="0.25">
      <c r="A39" s="120"/>
      <c r="B39" s="123">
        <v>36</v>
      </c>
      <c r="C39" s="118" t="s">
        <v>67</v>
      </c>
      <c r="D39" s="45" t="s">
        <v>32</v>
      </c>
      <c r="E39" s="39">
        <v>1300000</v>
      </c>
      <c r="F39" s="39">
        <v>30</v>
      </c>
      <c r="G39" s="39">
        <f>+E39/30*F39</f>
        <v>1300000</v>
      </c>
      <c r="H39" s="39"/>
      <c r="I39" s="39"/>
      <c r="J39" s="39"/>
      <c r="K39" s="39"/>
      <c r="L39" s="39"/>
      <c r="M39" s="39"/>
      <c r="N39" s="39">
        <f t="shared" si="16"/>
        <v>1300000</v>
      </c>
      <c r="O39" s="39">
        <f>G39*4%</f>
        <v>52000</v>
      </c>
      <c r="P39" s="39">
        <f>+O39</f>
        <v>52000</v>
      </c>
      <c r="Q39" s="39"/>
      <c r="R39" s="39"/>
      <c r="S39" s="39"/>
      <c r="T39" s="39">
        <v>0</v>
      </c>
      <c r="U39" s="39"/>
      <c r="V39" s="39"/>
      <c r="W39" s="39">
        <f t="shared" si="0"/>
        <v>104000</v>
      </c>
      <c r="X39" s="40">
        <f>N39-W39</f>
        <v>1196000</v>
      </c>
      <c r="Y39" s="40"/>
      <c r="Z39" s="41"/>
      <c r="AA39" s="40">
        <f t="shared" si="6"/>
        <v>1196000</v>
      </c>
    </row>
    <row r="40" spans="1:28" ht="12.75" x14ac:dyDescent="0.25">
      <c r="A40" s="120"/>
      <c r="B40" s="123">
        <v>37</v>
      </c>
      <c r="C40" s="37" t="s">
        <v>68</v>
      </c>
      <c r="D40" s="38" t="s">
        <v>32</v>
      </c>
      <c r="E40" s="39">
        <v>2500000</v>
      </c>
      <c r="F40" s="39">
        <v>30</v>
      </c>
      <c r="G40" s="39">
        <v>2500000</v>
      </c>
      <c r="H40" s="39"/>
      <c r="I40" s="39"/>
      <c r="J40" s="39"/>
      <c r="K40" s="39"/>
      <c r="L40" s="39"/>
      <c r="M40" s="39">
        <v>500000</v>
      </c>
      <c r="N40" s="39">
        <f t="shared" si="16"/>
        <v>3000000</v>
      </c>
      <c r="O40" s="39">
        <f>G40*4%</f>
        <v>100000</v>
      </c>
      <c r="P40" s="39">
        <f>O40</f>
        <v>100000</v>
      </c>
      <c r="Q40" s="39"/>
      <c r="R40" s="39"/>
      <c r="S40" s="39"/>
      <c r="T40" s="39">
        <v>0</v>
      </c>
      <c r="U40" s="39"/>
      <c r="V40" s="39"/>
      <c r="W40" s="39">
        <f t="shared" si="0"/>
        <v>200000</v>
      </c>
      <c r="X40" s="40">
        <f t="shared" ref="X40:X44" si="17">N40-W40</f>
        <v>2800000</v>
      </c>
      <c r="Y40" s="40"/>
      <c r="Z40" s="41"/>
      <c r="AA40" s="40">
        <f t="shared" si="6"/>
        <v>2800000</v>
      </c>
    </row>
    <row r="41" spans="1:28" ht="12.75" x14ac:dyDescent="0.25">
      <c r="A41" s="120"/>
      <c r="B41" s="123">
        <v>38</v>
      </c>
      <c r="C41" s="37" t="s">
        <v>70</v>
      </c>
      <c r="D41" s="38" t="s">
        <v>32</v>
      </c>
      <c r="E41" s="39">
        <v>1700000</v>
      </c>
      <c r="F41" s="39">
        <v>30</v>
      </c>
      <c r="G41" s="39">
        <f>E41/30*F41</f>
        <v>1700000</v>
      </c>
      <c r="H41" s="39"/>
      <c r="I41" s="39"/>
      <c r="J41" s="39"/>
      <c r="K41" s="39"/>
      <c r="L41" s="39"/>
      <c r="M41" s="39"/>
      <c r="N41" s="39">
        <f t="shared" si="16"/>
        <v>1700000</v>
      </c>
      <c r="O41" s="39">
        <f t="shared" ref="O41" si="18">G41*4%</f>
        <v>68000</v>
      </c>
      <c r="P41" s="39">
        <f>O41</f>
        <v>68000</v>
      </c>
      <c r="Q41" s="39"/>
      <c r="R41" s="39"/>
      <c r="S41" s="39"/>
      <c r="T41" s="39">
        <v>0</v>
      </c>
      <c r="U41" s="39"/>
      <c r="V41" s="39"/>
      <c r="W41" s="39">
        <f t="shared" si="0"/>
        <v>136000</v>
      </c>
      <c r="X41" s="40">
        <f t="shared" si="17"/>
        <v>1564000</v>
      </c>
      <c r="Y41" s="40"/>
      <c r="Z41" s="41"/>
      <c r="AA41" s="40">
        <f t="shared" si="6"/>
        <v>1564000</v>
      </c>
    </row>
    <row r="42" spans="1:28" ht="12.75" x14ac:dyDescent="0.25">
      <c r="A42" s="120"/>
      <c r="B42" s="123">
        <v>39</v>
      </c>
      <c r="C42" s="37" t="s">
        <v>71</v>
      </c>
      <c r="D42" s="38" t="s">
        <v>32</v>
      </c>
      <c r="E42" s="39">
        <v>1300000</v>
      </c>
      <c r="F42" s="39">
        <v>30</v>
      </c>
      <c r="G42" s="39">
        <f>E42/30*F42</f>
        <v>1300000</v>
      </c>
      <c r="H42" s="39"/>
      <c r="I42" s="39"/>
      <c r="J42" s="39"/>
      <c r="K42" s="39"/>
      <c r="L42" s="39"/>
      <c r="M42" s="39"/>
      <c r="N42" s="39">
        <f t="shared" si="16"/>
        <v>1300000</v>
      </c>
      <c r="O42" s="39">
        <f>G42*4%</f>
        <v>52000</v>
      </c>
      <c r="P42" s="39">
        <f>O42</f>
        <v>52000</v>
      </c>
      <c r="Q42" s="39"/>
      <c r="R42" s="39"/>
      <c r="S42" s="39"/>
      <c r="T42" s="39">
        <v>0</v>
      </c>
      <c r="U42" s="39"/>
      <c r="V42" s="39"/>
      <c r="W42" s="39">
        <f t="shared" si="0"/>
        <v>104000</v>
      </c>
      <c r="X42" s="40">
        <f t="shared" si="17"/>
        <v>1196000</v>
      </c>
      <c r="Y42" s="40"/>
      <c r="Z42" s="41"/>
      <c r="AA42" s="40">
        <f t="shared" si="6"/>
        <v>1196000</v>
      </c>
    </row>
    <row r="43" spans="1:28" ht="12.75" x14ac:dyDescent="0.25">
      <c r="A43" s="120"/>
      <c r="B43" s="123">
        <v>40</v>
      </c>
      <c r="C43" s="118" t="s">
        <v>111</v>
      </c>
      <c r="D43" s="45" t="s">
        <v>32</v>
      </c>
      <c r="E43" s="39">
        <v>644350</v>
      </c>
      <c r="F43" s="39">
        <v>30</v>
      </c>
      <c r="G43" s="39">
        <f>+E43/30*F43</f>
        <v>644350</v>
      </c>
      <c r="H43" s="39">
        <v>74000</v>
      </c>
      <c r="I43" s="39"/>
      <c r="J43" s="39"/>
      <c r="K43" s="39"/>
      <c r="L43" s="39"/>
      <c r="M43" s="39"/>
      <c r="N43" s="39">
        <f t="shared" si="16"/>
        <v>718350</v>
      </c>
      <c r="O43" s="39">
        <f t="shared" ref="O43:O48" si="19">+G43*4%</f>
        <v>25774</v>
      </c>
      <c r="P43" s="39">
        <f>+O43</f>
        <v>25774</v>
      </c>
      <c r="Q43" s="39"/>
      <c r="R43" s="39"/>
      <c r="S43" s="39"/>
      <c r="T43" s="39">
        <v>0</v>
      </c>
      <c r="U43" s="39"/>
      <c r="V43" s="39"/>
      <c r="W43" s="39">
        <f t="shared" si="0"/>
        <v>51548</v>
      </c>
      <c r="X43" s="40">
        <f t="shared" si="17"/>
        <v>666802</v>
      </c>
      <c r="Y43" s="40"/>
      <c r="Z43" s="41"/>
      <c r="AA43" s="40">
        <f t="shared" si="6"/>
        <v>666802</v>
      </c>
    </row>
    <row r="44" spans="1:28" ht="12.75" x14ac:dyDescent="0.25">
      <c r="A44" s="120"/>
      <c r="B44" s="123">
        <v>41</v>
      </c>
      <c r="C44" s="118" t="s">
        <v>112</v>
      </c>
      <c r="D44" s="45" t="s">
        <v>32</v>
      </c>
      <c r="E44" s="39">
        <v>1483335</v>
      </c>
      <c r="F44" s="39">
        <v>30</v>
      </c>
      <c r="G44" s="39">
        <f>+E44/30*F44</f>
        <v>1483335</v>
      </c>
      <c r="H44" s="39"/>
      <c r="I44" s="39"/>
      <c r="J44" s="39"/>
      <c r="K44" s="39"/>
      <c r="L44" s="39"/>
      <c r="M44" s="39"/>
      <c r="N44" s="39">
        <f t="shared" si="16"/>
        <v>1483335</v>
      </c>
      <c r="O44" s="39">
        <v>60000</v>
      </c>
      <c r="P44" s="39">
        <f>+O44</f>
        <v>60000</v>
      </c>
      <c r="Q44" s="39"/>
      <c r="R44" s="39"/>
      <c r="S44" s="39"/>
      <c r="T44" s="39">
        <v>0</v>
      </c>
      <c r="U44" s="39"/>
      <c r="V44" s="39"/>
      <c r="W44" s="39">
        <f t="shared" si="0"/>
        <v>120000</v>
      </c>
      <c r="X44" s="40">
        <f t="shared" si="17"/>
        <v>1363335</v>
      </c>
      <c r="Y44" s="40"/>
      <c r="Z44" s="41"/>
      <c r="AA44" s="40">
        <f t="shared" si="6"/>
        <v>1363335</v>
      </c>
    </row>
    <row r="45" spans="1:28" ht="12.75" x14ac:dyDescent="0.25">
      <c r="A45" s="120"/>
      <c r="B45" s="123">
        <v>42</v>
      </c>
      <c r="C45" s="37" t="s">
        <v>74</v>
      </c>
      <c r="D45" s="38" t="s">
        <v>32</v>
      </c>
      <c r="E45" s="39">
        <v>1000000</v>
      </c>
      <c r="F45" s="39">
        <v>30</v>
      </c>
      <c r="G45" s="39">
        <f>+E45/30*F45</f>
        <v>1000000.0000000001</v>
      </c>
      <c r="H45" s="39">
        <v>74000</v>
      </c>
      <c r="I45" s="39"/>
      <c r="J45" s="39"/>
      <c r="K45" s="39"/>
      <c r="L45" s="39"/>
      <c r="M45" s="39"/>
      <c r="N45" s="39">
        <f t="shared" si="16"/>
        <v>1074000</v>
      </c>
      <c r="O45" s="39">
        <f t="shared" si="19"/>
        <v>40000.000000000007</v>
      </c>
      <c r="P45" s="39">
        <f t="shared" ref="P45:P54" si="20">+O45</f>
        <v>40000.000000000007</v>
      </c>
      <c r="Q45" s="39"/>
      <c r="R45" s="39"/>
      <c r="S45" s="39"/>
      <c r="T45" s="39">
        <v>0</v>
      </c>
      <c r="U45" s="39"/>
      <c r="V45" s="39"/>
      <c r="W45" s="39">
        <f t="shared" si="0"/>
        <v>80000.000000000015</v>
      </c>
      <c r="X45" s="40">
        <f t="shared" ref="X45:X51" si="21">+N45-W45</f>
        <v>994000</v>
      </c>
      <c r="Y45" s="40"/>
      <c r="Z45" s="41"/>
      <c r="AA45" s="40">
        <f t="shared" si="6"/>
        <v>994000</v>
      </c>
    </row>
    <row r="46" spans="1:28" ht="12.75" x14ac:dyDescent="0.25">
      <c r="A46" s="120"/>
      <c r="B46" s="123">
        <v>43</v>
      </c>
      <c r="C46" s="37" t="s">
        <v>75</v>
      </c>
      <c r="D46" s="38" t="s">
        <v>32</v>
      </c>
      <c r="E46" s="39">
        <v>3000000</v>
      </c>
      <c r="F46" s="39">
        <v>30</v>
      </c>
      <c r="G46" s="39">
        <f t="shared" ref="G46:G54" si="22">+E46/30*F46</f>
        <v>3000000</v>
      </c>
      <c r="H46" s="39"/>
      <c r="I46" s="39"/>
      <c r="J46" s="39"/>
      <c r="K46" s="39"/>
      <c r="L46" s="39"/>
      <c r="M46" s="39"/>
      <c r="N46" s="39">
        <f t="shared" si="16"/>
        <v>3000000</v>
      </c>
      <c r="O46" s="39">
        <f t="shared" si="19"/>
        <v>120000</v>
      </c>
      <c r="P46" s="39">
        <f t="shared" si="20"/>
        <v>120000</v>
      </c>
      <c r="Q46" s="39"/>
      <c r="R46" s="39"/>
      <c r="S46" s="39">
        <f>N46*1%</f>
        <v>30000</v>
      </c>
      <c r="T46" s="39">
        <v>0</v>
      </c>
      <c r="U46" s="39"/>
      <c r="V46" s="39"/>
      <c r="W46" s="39">
        <f t="shared" si="0"/>
        <v>270000</v>
      </c>
      <c r="X46" s="40">
        <f t="shared" si="21"/>
        <v>2730000</v>
      </c>
      <c r="Y46" s="40"/>
      <c r="Z46" s="41"/>
      <c r="AA46" s="40">
        <f t="shared" si="6"/>
        <v>2730000</v>
      </c>
    </row>
    <row r="47" spans="1:28" ht="12.75" x14ac:dyDescent="0.25">
      <c r="A47" s="120"/>
      <c r="B47" s="123">
        <v>44</v>
      </c>
      <c r="C47" s="37" t="s">
        <v>76</v>
      </c>
      <c r="D47" s="38" t="s">
        <v>32</v>
      </c>
      <c r="E47" s="39">
        <v>2500000</v>
      </c>
      <c r="F47" s="39">
        <v>30</v>
      </c>
      <c r="G47" s="39">
        <f t="shared" si="22"/>
        <v>2500000</v>
      </c>
      <c r="H47" s="39"/>
      <c r="I47" s="39"/>
      <c r="J47" s="39"/>
      <c r="K47" s="39"/>
      <c r="L47" s="39">
        <v>90000</v>
      </c>
      <c r="M47" s="39">
        <v>500000</v>
      </c>
      <c r="N47" s="39">
        <f t="shared" si="16"/>
        <v>3090000</v>
      </c>
      <c r="O47" s="39">
        <f t="shared" si="19"/>
        <v>100000</v>
      </c>
      <c r="P47" s="39">
        <f t="shared" si="20"/>
        <v>100000</v>
      </c>
      <c r="Q47" s="39"/>
      <c r="R47" s="39"/>
      <c r="S47" s="39">
        <v>0</v>
      </c>
      <c r="T47" s="39">
        <v>0</v>
      </c>
      <c r="U47" s="39"/>
      <c r="V47" s="39"/>
      <c r="W47" s="39">
        <f t="shared" si="0"/>
        <v>200000</v>
      </c>
      <c r="X47" s="40">
        <f t="shared" si="21"/>
        <v>2890000</v>
      </c>
      <c r="Y47" s="40"/>
      <c r="Z47" s="41"/>
      <c r="AA47" s="40">
        <f t="shared" si="6"/>
        <v>2890000</v>
      </c>
      <c r="AB47" s="43" t="s">
        <v>99</v>
      </c>
    </row>
    <row r="48" spans="1:28" ht="12.75" x14ac:dyDescent="0.25">
      <c r="A48" s="120"/>
      <c r="B48" s="123">
        <v>45</v>
      </c>
      <c r="C48" s="37" t="s">
        <v>77</v>
      </c>
      <c r="D48" s="38" t="s">
        <v>32</v>
      </c>
      <c r="E48" s="39">
        <v>2000000</v>
      </c>
      <c r="F48" s="39">
        <v>30</v>
      </c>
      <c r="G48" s="39">
        <f t="shared" si="22"/>
        <v>2000000.0000000002</v>
      </c>
      <c r="H48" s="39"/>
      <c r="I48" s="39"/>
      <c r="J48" s="39"/>
      <c r="K48" s="39"/>
      <c r="L48" s="39"/>
      <c r="M48" s="39"/>
      <c r="N48" s="39">
        <f t="shared" si="16"/>
        <v>2000000.0000000002</v>
      </c>
      <c r="O48" s="39">
        <f t="shared" si="19"/>
        <v>80000.000000000015</v>
      </c>
      <c r="P48" s="39">
        <f t="shared" si="20"/>
        <v>80000.000000000015</v>
      </c>
      <c r="Q48" s="39"/>
      <c r="R48" s="39"/>
      <c r="S48" s="39"/>
      <c r="T48" s="48">
        <v>0</v>
      </c>
      <c r="U48" s="39"/>
      <c r="V48" s="39"/>
      <c r="W48" s="39">
        <f t="shared" si="0"/>
        <v>160000.00000000003</v>
      </c>
      <c r="X48" s="40">
        <f>N48-W48</f>
        <v>1840000.0000000002</v>
      </c>
      <c r="Y48" s="40"/>
      <c r="Z48" s="41"/>
      <c r="AA48" s="40">
        <f t="shared" si="6"/>
        <v>1840000.0000000002</v>
      </c>
    </row>
    <row r="49" spans="1:27" ht="12.75" x14ac:dyDescent="0.25">
      <c r="A49" s="120"/>
      <c r="B49" s="123">
        <v>46</v>
      </c>
      <c r="C49" s="37" t="s">
        <v>78</v>
      </c>
      <c r="D49" s="38" t="s">
        <v>32</v>
      </c>
      <c r="E49" s="39">
        <v>1500000</v>
      </c>
      <c r="F49" s="39">
        <v>30</v>
      </c>
      <c r="G49" s="39">
        <f t="shared" si="22"/>
        <v>1500000</v>
      </c>
      <c r="H49" s="39"/>
      <c r="I49" s="39"/>
      <c r="J49" s="39"/>
      <c r="K49" s="39"/>
      <c r="L49" s="39"/>
      <c r="M49" s="39"/>
      <c r="N49" s="39">
        <f t="shared" si="16"/>
        <v>1500000</v>
      </c>
      <c r="O49" s="39">
        <f>G49*4%</f>
        <v>60000</v>
      </c>
      <c r="P49" s="39">
        <f t="shared" si="20"/>
        <v>60000</v>
      </c>
      <c r="Q49" s="39"/>
      <c r="R49" s="39"/>
      <c r="S49" s="39"/>
      <c r="T49" s="48">
        <v>0</v>
      </c>
      <c r="U49" s="39"/>
      <c r="V49" s="39"/>
      <c r="W49" s="39">
        <f t="shared" si="0"/>
        <v>120000</v>
      </c>
      <c r="X49" s="40">
        <f t="shared" si="21"/>
        <v>1380000</v>
      </c>
      <c r="Y49" s="40"/>
      <c r="Z49" s="41"/>
      <c r="AA49" s="40">
        <f t="shared" si="6"/>
        <v>1380000</v>
      </c>
    </row>
    <row r="50" spans="1:27" ht="12.75" x14ac:dyDescent="0.25">
      <c r="A50" s="120"/>
      <c r="B50" s="123">
        <v>47</v>
      </c>
      <c r="C50" s="37" t="s">
        <v>122</v>
      </c>
      <c r="D50" s="38" t="s">
        <v>32</v>
      </c>
      <c r="E50" s="39">
        <v>900000</v>
      </c>
      <c r="F50" s="39">
        <v>30</v>
      </c>
      <c r="G50" s="39">
        <f t="shared" si="22"/>
        <v>900000</v>
      </c>
      <c r="H50" s="39">
        <v>74000</v>
      </c>
      <c r="I50" s="39"/>
      <c r="J50" s="39"/>
      <c r="K50" s="39"/>
      <c r="L50" s="39"/>
      <c r="M50" s="39"/>
      <c r="N50" s="39">
        <f t="shared" si="16"/>
        <v>974000</v>
      </c>
      <c r="O50" s="39">
        <f>G50*4%</f>
        <v>36000</v>
      </c>
      <c r="P50" s="39">
        <f t="shared" si="20"/>
        <v>36000</v>
      </c>
      <c r="Q50" s="39"/>
      <c r="R50" s="39"/>
      <c r="S50" s="39"/>
      <c r="T50" s="48">
        <v>0</v>
      </c>
      <c r="U50" s="39"/>
      <c r="V50" s="39"/>
      <c r="W50" s="39">
        <f t="shared" si="0"/>
        <v>72000</v>
      </c>
      <c r="X50" s="40">
        <f t="shared" si="21"/>
        <v>902000</v>
      </c>
      <c r="Y50" s="40"/>
      <c r="Z50" s="41"/>
      <c r="AA50" s="40">
        <f t="shared" si="6"/>
        <v>902000</v>
      </c>
    </row>
    <row r="51" spans="1:27" ht="12.75" x14ac:dyDescent="0.25">
      <c r="A51" s="120"/>
      <c r="B51" s="123">
        <v>48</v>
      </c>
      <c r="C51" s="37" t="s">
        <v>79</v>
      </c>
      <c r="D51" s="38" t="s">
        <v>32</v>
      </c>
      <c r="E51" s="39">
        <v>1300000</v>
      </c>
      <c r="F51" s="39">
        <v>30</v>
      </c>
      <c r="G51" s="39">
        <f t="shared" si="22"/>
        <v>1300000</v>
      </c>
      <c r="H51" s="39"/>
      <c r="I51" s="39"/>
      <c r="J51" s="39"/>
      <c r="K51" s="39"/>
      <c r="L51" s="39"/>
      <c r="M51" s="39">
        <v>300000</v>
      </c>
      <c r="N51" s="39">
        <f t="shared" si="16"/>
        <v>1600000</v>
      </c>
      <c r="O51" s="39">
        <f>+G51*4%</f>
        <v>52000</v>
      </c>
      <c r="P51" s="39">
        <f t="shared" si="20"/>
        <v>52000</v>
      </c>
      <c r="Q51" s="39"/>
      <c r="R51" s="39"/>
      <c r="S51" s="39"/>
      <c r="T51" s="39">
        <v>0</v>
      </c>
      <c r="U51" s="39"/>
      <c r="V51" s="39"/>
      <c r="W51" s="39">
        <f t="shared" si="0"/>
        <v>104000</v>
      </c>
      <c r="X51" s="40">
        <f t="shared" si="21"/>
        <v>1496000</v>
      </c>
      <c r="Y51" s="40"/>
      <c r="Z51" s="41"/>
      <c r="AA51" s="40">
        <f t="shared" si="6"/>
        <v>1496000</v>
      </c>
    </row>
    <row r="52" spans="1:27" ht="12.75" x14ac:dyDescent="0.25">
      <c r="A52" s="120"/>
      <c r="B52" s="123">
        <v>49</v>
      </c>
      <c r="C52" s="37" t="s">
        <v>80</v>
      </c>
      <c r="D52" s="38" t="s">
        <v>32</v>
      </c>
      <c r="E52" s="39">
        <v>4500000</v>
      </c>
      <c r="F52" s="39">
        <v>30</v>
      </c>
      <c r="G52" s="39">
        <f t="shared" si="22"/>
        <v>4500000</v>
      </c>
      <c r="H52" s="39"/>
      <c r="I52" s="39"/>
      <c r="J52" s="39"/>
      <c r="K52" s="39"/>
      <c r="L52" s="39"/>
      <c r="M52" s="39"/>
      <c r="N52" s="39">
        <f t="shared" si="16"/>
        <v>4500000</v>
      </c>
      <c r="O52" s="39">
        <f>+G52*4%</f>
        <v>180000</v>
      </c>
      <c r="P52" s="39">
        <f t="shared" si="20"/>
        <v>180000</v>
      </c>
      <c r="Q52" s="39"/>
      <c r="R52" s="39"/>
      <c r="S52" s="39">
        <v>45000</v>
      </c>
      <c r="T52" s="39">
        <v>98752</v>
      </c>
      <c r="U52" s="39"/>
      <c r="V52" s="39"/>
      <c r="W52" s="39">
        <f t="shared" si="0"/>
        <v>503752</v>
      </c>
      <c r="X52" s="40">
        <f>N52-W52</f>
        <v>3996248</v>
      </c>
      <c r="Y52" s="40"/>
      <c r="Z52" s="41"/>
      <c r="AA52" s="40">
        <f t="shared" si="6"/>
        <v>3996248</v>
      </c>
    </row>
    <row r="53" spans="1:27" ht="12.75" x14ac:dyDescent="0.25">
      <c r="A53" s="120"/>
      <c r="B53" s="123">
        <v>50</v>
      </c>
      <c r="C53" s="37" t="s">
        <v>81</v>
      </c>
      <c r="D53" s="38" t="s">
        <v>32</v>
      </c>
      <c r="E53" s="39">
        <v>1500000</v>
      </c>
      <c r="F53" s="39">
        <v>30</v>
      </c>
      <c r="G53" s="39">
        <f t="shared" si="22"/>
        <v>1500000</v>
      </c>
      <c r="H53" s="39"/>
      <c r="I53" s="39"/>
      <c r="J53" s="39"/>
      <c r="K53" s="39"/>
      <c r="L53" s="39"/>
      <c r="M53" s="39"/>
      <c r="N53" s="39">
        <f t="shared" si="16"/>
        <v>1500000</v>
      </c>
      <c r="O53" s="39">
        <f>G53*4%</f>
        <v>60000</v>
      </c>
      <c r="P53" s="39">
        <f t="shared" si="20"/>
        <v>60000</v>
      </c>
      <c r="Q53" s="39"/>
      <c r="R53" s="39"/>
      <c r="S53" s="39"/>
      <c r="T53" s="39">
        <v>0</v>
      </c>
      <c r="U53" s="39"/>
      <c r="V53" s="39"/>
      <c r="W53" s="39">
        <f t="shared" si="0"/>
        <v>120000</v>
      </c>
      <c r="X53" s="40">
        <f>N53-W53</f>
        <v>1380000</v>
      </c>
      <c r="Y53" s="40"/>
      <c r="Z53" s="41"/>
      <c r="AA53" s="40">
        <f t="shared" si="6"/>
        <v>1380000</v>
      </c>
    </row>
    <row r="54" spans="1:27" ht="12.75" x14ac:dyDescent="0.25">
      <c r="A54" s="120"/>
      <c r="B54" s="123">
        <v>51</v>
      </c>
      <c r="C54" s="37" t="s">
        <v>82</v>
      </c>
      <c r="D54" s="38" t="s">
        <v>32</v>
      </c>
      <c r="E54" s="39">
        <v>2000000</v>
      </c>
      <c r="F54" s="39">
        <v>30</v>
      </c>
      <c r="G54" s="39">
        <f t="shared" si="22"/>
        <v>2000000.0000000002</v>
      </c>
      <c r="H54" s="39"/>
      <c r="I54" s="39"/>
      <c r="J54" s="39"/>
      <c r="K54" s="39"/>
      <c r="L54" s="39"/>
      <c r="M54" s="39">
        <v>500000</v>
      </c>
      <c r="N54" s="39">
        <f t="shared" si="16"/>
        <v>2500000</v>
      </c>
      <c r="O54" s="39">
        <f>G54*4%</f>
        <v>80000.000000000015</v>
      </c>
      <c r="P54" s="39">
        <f t="shared" si="20"/>
        <v>80000.000000000015</v>
      </c>
      <c r="Q54" s="39"/>
      <c r="R54" s="39"/>
      <c r="S54" s="39"/>
      <c r="T54" s="39">
        <v>0</v>
      </c>
      <c r="U54" s="39"/>
      <c r="V54" s="39"/>
      <c r="W54" s="39">
        <f t="shared" si="0"/>
        <v>160000.00000000003</v>
      </c>
      <c r="X54" s="40">
        <f>N54-W54</f>
        <v>2340000</v>
      </c>
      <c r="Y54" s="40"/>
      <c r="Z54" s="41"/>
      <c r="AA54" s="40">
        <f t="shared" si="6"/>
        <v>2340000</v>
      </c>
    </row>
    <row r="55" spans="1:27" ht="12.75" x14ac:dyDescent="0.25">
      <c r="A55" s="120"/>
      <c r="B55" s="123">
        <v>52</v>
      </c>
      <c r="C55" s="118" t="s">
        <v>84</v>
      </c>
      <c r="D55" s="45" t="s">
        <v>32</v>
      </c>
      <c r="E55" s="39">
        <v>644350</v>
      </c>
      <c r="F55" s="39">
        <v>30</v>
      </c>
      <c r="G55" s="39">
        <f>+E55/30*F55</f>
        <v>644350</v>
      </c>
      <c r="H55" s="39">
        <v>74000</v>
      </c>
      <c r="I55" s="39"/>
      <c r="J55" s="39"/>
      <c r="K55" s="39"/>
      <c r="L55" s="39"/>
      <c r="M55" s="39">
        <v>100000</v>
      </c>
      <c r="N55" s="39">
        <f t="shared" ref="N55:N65" si="23">SUM(G55:M55)</f>
        <v>818350</v>
      </c>
      <c r="O55" s="39">
        <f>+G55*4%</f>
        <v>25774</v>
      </c>
      <c r="P55" s="39">
        <f>+O55</f>
        <v>25774</v>
      </c>
      <c r="Q55" s="39"/>
      <c r="R55" s="39"/>
      <c r="S55" s="39"/>
      <c r="T55" s="39">
        <v>0</v>
      </c>
      <c r="U55" s="39"/>
      <c r="V55" s="39"/>
      <c r="W55" s="39">
        <f t="shared" si="0"/>
        <v>51548</v>
      </c>
      <c r="X55" s="40">
        <f>N55-W55</f>
        <v>766802</v>
      </c>
      <c r="Y55" s="40"/>
      <c r="Z55" s="41"/>
      <c r="AA55" s="40">
        <f t="shared" si="6"/>
        <v>766802</v>
      </c>
    </row>
    <row r="56" spans="1:27" ht="12.75" x14ac:dyDescent="0.25">
      <c r="A56" s="120"/>
      <c r="B56" s="123">
        <v>53</v>
      </c>
      <c r="C56" s="37" t="s">
        <v>85</v>
      </c>
      <c r="D56" s="38" t="s">
        <v>32</v>
      </c>
      <c r="E56" s="39">
        <v>15400000</v>
      </c>
      <c r="F56" s="39">
        <v>30</v>
      </c>
      <c r="G56" s="39">
        <f t="shared" ref="G56:G61" si="24">+E56/30*F56</f>
        <v>15400000</v>
      </c>
      <c r="H56" s="39"/>
      <c r="I56" s="39"/>
      <c r="J56" s="39"/>
      <c r="K56" s="39"/>
      <c r="L56" s="39"/>
      <c r="M56" s="39">
        <v>600000</v>
      </c>
      <c r="N56" s="39">
        <f t="shared" si="23"/>
        <v>16000000</v>
      </c>
      <c r="O56" s="39">
        <f>G56*4%</f>
        <v>616000</v>
      </c>
      <c r="P56" s="39">
        <f>O56</f>
        <v>616000</v>
      </c>
      <c r="Q56" s="39">
        <v>95900</v>
      </c>
      <c r="R56" s="39"/>
      <c r="S56" s="39">
        <f>G56*2%</f>
        <v>308000</v>
      </c>
      <c r="T56" s="39">
        <v>1014000</v>
      </c>
      <c r="U56" s="39">
        <v>5000000</v>
      </c>
      <c r="V56" s="39"/>
      <c r="W56" s="39">
        <f t="shared" si="0"/>
        <v>7649900</v>
      </c>
      <c r="X56" s="40">
        <f>+N56-W56</f>
        <v>8350100</v>
      </c>
      <c r="Y56" s="40"/>
      <c r="Z56" s="41"/>
      <c r="AA56" s="40">
        <f t="shared" si="6"/>
        <v>8350100</v>
      </c>
    </row>
    <row r="57" spans="1:27" ht="12.75" x14ac:dyDescent="0.25">
      <c r="A57" s="120"/>
      <c r="B57" s="123">
        <v>54</v>
      </c>
      <c r="C57" s="37" t="s">
        <v>86</v>
      </c>
      <c r="D57" s="38" t="s">
        <v>32</v>
      </c>
      <c r="E57" s="39">
        <v>2800000</v>
      </c>
      <c r="F57" s="39">
        <v>30</v>
      </c>
      <c r="G57" s="39">
        <f t="shared" si="24"/>
        <v>2800000</v>
      </c>
      <c r="H57" s="39"/>
      <c r="I57" s="39"/>
      <c r="J57" s="39"/>
      <c r="K57" s="39"/>
      <c r="L57" s="39"/>
      <c r="M57" s="39">
        <v>700000</v>
      </c>
      <c r="N57" s="39">
        <f t="shared" si="23"/>
        <v>3500000</v>
      </c>
      <c r="O57" s="39">
        <f>+G57*4%</f>
        <v>112000</v>
      </c>
      <c r="P57" s="39">
        <f>+O57</f>
        <v>112000</v>
      </c>
      <c r="Q57" s="39"/>
      <c r="R57" s="39"/>
      <c r="S57" s="39">
        <v>28000</v>
      </c>
      <c r="T57" s="39">
        <v>0</v>
      </c>
      <c r="U57" s="39"/>
      <c r="V57" s="39">
        <f>887544+522124</f>
        <v>1409668</v>
      </c>
      <c r="W57" s="39">
        <f t="shared" si="0"/>
        <v>1661668</v>
      </c>
      <c r="X57" s="40">
        <f>+N57-W57</f>
        <v>1838332</v>
      </c>
      <c r="Y57" s="40"/>
      <c r="Z57" s="41"/>
      <c r="AA57" s="40">
        <f t="shared" si="6"/>
        <v>1838332</v>
      </c>
    </row>
    <row r="58" spans="1:27" ht="12.75" x14ac:dyDescent="0.25">
      <c r="A58" s="120"/>
      <c r="B58" s="123">
        <v>55</v>
      </c>
      <c r="C58" s="37" t="s">
        <v>87</v>
      </c>
      <c r="D58" s="38" t="s">
        <v>32</v>
      </c>
      <c r="E58" s="39">
        <v>644350</v>
      </c>
      <c r="F58" s="39">
        <v>30</v>
      </c>
      <c r="G58" s="39">
        <f t="shared" si="24"/>
        <v>644350</v>
      </c>
      <c r="H58" s="39"/>
      <c r="I58" s="39"/>
      <c r="J58" s="39"/>
      <c r="K58" s="39"/>
      <c r="L58" s="39"/>
      <c r="M58" s="39"/>
      <c r="N58" s="39">
        <f t="shared" si="23"/>
        <v>644350</v>
      </c>
      <c r="O58" s="39"/>
      <c r="P58" s="39"/>
      <c r="Q58" s="39"/>
      <c r="R58" s="39"/>
      <c r="S58" s="39"/>
      <c r="T58" s="39">
        <v>0</v>
      </c>
      <c r="U58" s="39"/>
      <c r="V58" s="39"/>
      <c r="W58" s="39">
        <f t="shared" si="0"/>
        <v>0</v>
      </c>
      <c r="X58" s="40">
        <f>+N58-W58</f>
        <v>644350</v>
      </c>
      <c r="Y58" s="40"/>
      <c r="Z58" s="41"/>
      <c r="AA58" s="40">
        <f t="shared" si="6"/>
        <v>644350</v>
      </c>
    </row>
    <row r="59" spans="1:27" ht="12.75" x14ac:dyDescent="0.25">
      <c r="A59" s="120"/>
      <c r="B59" s="123">
        <v>56</v>
      </c>
      <c r="C59" s="118" t="s">
        <v>88</v>
      </c>
      <c r="D59" s="45" t="s">
        <v>32</v>
      </c>
      <c r="E59" s="39">
        <v>1100000</v>
      </c>
      <c r="F59" s="39">
        <v>30</v>
      </c>
      <c r="G59" s="39">
        <f t="shared" si="24"/>
        <v>1100000</v>
      </c>
      <c r="H59" s="39">
        <v>74000</v>
      </c>
      <c r="I59" s="39"/>
      <c r="J59" s="39"/>
      <c r="K59" s="39"/>
      <c r="L59" s="39"/>
      <c r="M59" s="39"/>
      <c r="N59" s="39">
        <f t="shared" si="23"/>
        <v>1174000</v>
      </c>
      <c r="O59" s="39">
        <f>G59*4%</f>
        <v>44000</v>
      </c>
      <c r="P59" s="39">
        <f>G59*4%</f>
        <v>44000</v>
      </c>
      <c r="Q59" s="39"/>
      <c r="R59" s="39"/>
      <c r="S59" s="39"/>
      <c r="T59" s="39">
        <v>0</v>
      </c>
      <c r="U59" s="39"/>
      <c r="V59" s="39"/>
      <c r="W59" s="39">
        <f t="shared" si="0"/>
        <v>88000</v>
      </c>
      <c r="X59" s="40">
        <f>N59-W59</f>
        <v>1086000</v>
      </c>
      <c r="Y59" s="40"/>
      <c r="Z59" s="41"/>
      <c r="AA59" s="40">
        <f t="shared" si="6"/>
        <v>1086000</v>
      </c>
    </row>
    <row r="60" spans="1:27" ht="12.75" x14ac:dyDescent="0.25">
      <c r="A60" s="120"/>
      <c r="B60" s="123">
        <v>57</v>
      </c>
      <c r="C60" s="37" t="s">
        <v>89</v>
      </c>
      <c r="D60" s="38" t="s">
        <v>32</v>
      </c>
      <c r="E60" s="39">
        <v>1300000</v>
      </c>
      <c r="F60" s="39">
        <v>30</v>
      </c>
      <c r="G60" s="39">
        <f t="shared" si="24"/>
        <v>1300000</v>
      </c>
      <c r="H60" s="39"/>
      <c r="I60" s="39"/>
      <c r="J60" s="39"/>
      <c r="K60" s="39"/>
      <c r="L60" s="39"/>
      <c r="M60" s="39"/>
      <c r="N60" s="39">
        <f t="shared" si="23"/>
        <v>1300000</v>
      </c>
      <c r="O60" s="39">
        <f>G60*4%</f>
        <v>52000</v>
      </c>
      <c r="P60" s="39">
        <f>O60</f>
        <v>52000</v>
      </c>
      <c r="Q60" s="39"/>
      <c r="R60" s="39"/>
      <c r="S60" s="39"/>
      <c r="T60" s="39">
        <v>0</v>
      </c>
      <c r="U60" s="39"/>
      <c r="V60" s="39"/>
      <c r="W60" s="39">
        <f t="shared" si="0"/>
        <v>104000</v>
      </c>
      <c r="X60" s="40">
        <f>+N60-W60</f>
        <v>1196000</v>
      </c>
      <c r="Y60" s="40"/>
      <c r="Z60" s="41"/>
      <c r="AA60" s="40">
        <f t="shared" si="6"/>
        <v>1196000</v>
      </c>
    </row>
    <row r="61" spans="1:27" ht="12.75" x14ac:dyDescent="0.25">
      <c r="A61" s="120"/>
      <c r="B61" s="123">
        <v>58</v>
      </c>
      <c r="C61" s="37" t="s">
        <v>90</v>
      </c>
      <c r="D61" s="38" t="s">
        <v>32</v>
      </c>
      <c r="E61" s="39">
        <v>3644470</v>
      </c>
      <c r="F61" s="39">
        <v>30</v>
      </c>
      <c r="G61" s="39">
        <f t="shared" si="24"/>
        <v>3644470</v>
      </c>
      <c r="H61" s="39"/>
      <c r="I61" s="39"/>
      <c r="J61" s="39"/>
      <c r="K61" s="39"/>
      <c r="L61" s="39"/>
      <c r="M61" s="39"/>
      <c r="N61" s="39">
        <f t="shared" si="23"/>
        <v>3644470</v>
      </c>
      <c r="O61" s="39">
        <v>160000</v>
      </c>
      <c r="P61" s="39">
        <f>O61</f>
        <v>160000</v>
      </c>
      <c r="Q61" s="39"/>
      <c r="R61" s="39"/>
      <c r="S61" s="39">
        <v>40000</v>
      </c>
      <c r="T61" s="39">
        <v>31064</v>
      </c>
      <c r="U61" s="39"/>
      <c r="V61" s="39"/>
      <c r="W61" s="39">
        <f t="shared" si="0"/>
        <v>391064</v>
      </c>
      <c r="X61" s="40">
        <f>+N61-W61</f>
        <v>3253406</v>
      </c>
      <c r="Y61" s="40"/>
      <c r="Z61" s="41"/>
      <c r="AA61" s="40">
        <f t="shared" si="6"/>
        <v>3253406</v>
      </c>
    </row>
    <row r="62" spans="1:27" ht="12.75" x14ac:dyDescent="0.25">
      <c r="A62" s="120"/>
      <c r="B62" s="123">
        <v>59</v>
      </c>
      <c r="C62" s="118" t="s">
        <v>93</v>
      </c>
      <c r="D62" s="45" t="s">
        <v>32</v>
      </c>
      <c r="E62" s="39">
        <v>1300000</v>
      </c>
      <c r="F62" s="39">
        <v>30</v>
      </c>
      <c r="G62" s="39">
        <f>+E62/30*F62</f>
        <v>1300000</v>
      </c>
      <c r="H62" s="39"/>
      <c r="I62" s="39"/>
      <c r="J62" s="39"/>
      <c r="K62" s="39"/>
      <c r="L62" s="39"/>
      <c r="M62" s="39"/>
      <c r="N62" s="39">
        <f t="shared" si="23"/>
        <v>1300000</v>
      </c>
      <c r="O62" s="39">
        <f>G62*4%</f>
        <v>52000</v>
      </c>
      <c r="P62" s="39">
        <f>O62</f>
        <v>52000</v>
      </c>
      <c r="Q62" s="39"/>
      <c r="R62" s="39"/>
      <c r="S62" s="39"/>
      <c r="T62" s="39">
        <v>0</v>
      </c>
      <c r="U62" s="39"/>
      <c r="V62" s="39"/>
      <c r="W62" s="39">
        <f t="shared" si="0"/>
        <v>104000</v>
      </c>
      <c r="X62" s="40">
        <f>N62-W62</f>
        <v>1196000</v>
      </c>
      <c r="Y62" s="40"/>
      <c r="Z62" s="41"/>
      <c r="AA62" s="40">
        <f t="shared" si="6"/>
        <v>1196000</v>
      </c>
    </row>
    <row r="63" spans="1:27" ht="12.75" x14ac:dyDescent="0.25">
      <c r="A63" s="120"/>
      <c r="B63" s="123">
        <v>60</v>
      </c>
      <c r="C63" s="37" t="s">
        <v>94</v>
      </c>
      <c r="D63" s="38" t="s">
        <v>32</v>
      </c>
      <c r="E63" s="39">
        <v>644350</v>
      </c>
      <c r="F63" s="39">
        <v>30</v>
      </c>
      <c r="G63" s="39">
        <f>+E63/30*F63</f>
        <v>644350</v>
      </c>
      <c r="H63" s="39">
        <v>74000</v>
      </c>
      <c r="I63" s="39"/>
      <c r="J63" s="39"/>
      <c r="K63" s="39"/>
      <c r="L63" s="39"/>
      <c r="M63" s="39"/>
      <c r="N63" s="39">
        <f t="shared" si="23"/>
        <v>718350</v>
      </c>
      <c r="O63" s="39">
        <f>G63*4%</f>
        <v>25774</v>
      </c>
      <c r="P63" s="39">
        <f>O63</f>
        <v>25774</v>
      </c>
      <c r="Q63" s="39"/>
      <c r="R63" s="39"/>
      <c r="S63" s="39"/>
      <c r="T63" s="39">
        <v>0</v>
      </c>
      <c r="U63" s="39"/>
      <c r="V63" s="39"/>
      <c r="W63" s="39">
        <f>SUM(O63:V63)</f>
        <v>51548</v>
      </c>
      <c r="X63" s="40">
        <f>+N63-W63</f>
        <v>666802</v>
      </c>
      <c r="Y63" s="40"/>
      <c r="Z63" s="41"/>
      <c r="AA63" s="40">
        <f t="shared" si="6"/>
        <v>666802</v>
      </c>
    </row>
    <row r="64" spans="1:27" ht="12.75" x14ac:dyDescent="0.25">
      <c r="A64" s="120"/>
      <c r="B64" s="123">
        <v>61</v>
      </c>
      <c r="C64" s="138" t="s">
        <v>95</v>
      </c>
      <c r="D64" s="96" t="s">
        <v>92</v>
      </c>
      <c r="E64" s="39">
        <v>644350</v>
      </c>
      <c r="F64" s="39">
        <v>30</v>
      </c>
      <c r="G64" s="39">
        <f>E64</f>
        <v>644350</v>
      </c>
      <c r="H64" s="39"/>
      <c r="I64" s="39"/>
      <c r="J64" s="39"/>
      <c r="K64" s="39"/>
      <c r="L64" s="39"/>
      <c r="M64" s="39"/>
      <c r="N64" s="39">
        <f t="shared" si="23"/>
        <v>644350</v>
      </c>
      <c r="O64" s="39"/>
      <c r="P64" s="39"/>
      <c r="Q64" s="39"/>
      <c r="R64" s="39"/>
      <c r="S64" s="39"/>
      <c r="T64" s="39">
        <v>0</v>
      </c>
      <c r="U64" s="39"/>
      <c r="V64" s="39"/>
      <c r="W64" s="39">
        <f>SUM(O64:V64)</f>
        <v>0</v>
      </c>
      <c r="X64" s="40">
        <f>+N64</f>
        <v>644350</v>
      </c>
      <c r="Y64" s="40"/>
      <c r="Z64" s="41"/>
      <c r="AA64" s="40">
        <f t="shared" si="6"/>
        <v>644350</v>
      </c>
    </row>
    <row r="65" spans="1:31" ht="12.75" x14ac:dyDescent="0.25">
      <c r="A65" s="140"/>
      <c r="B65" s="123">
        <v>62</v>
      </c>
      <c r="C65" s="138" t="s">
        <v>116</v>
      </c>
      <c r="D65" s="96" t="s">
        <v>32</v>
      </c>
      <c r="E65" s="39">
        <v>2000000</v>
      </c>
      <c r="F65" s="39">
        <v>30</v>
      </c>
      <c r="G65" s="39">
        <f>E65</f>
        <v>2000000</v>
      </c>
      <c r="H65" s="39"/>
      <c r="I65" s="39"/>
      <c r="J65" s="39"/>
      <c r="K65" s="39"/>
      <c r="L65" s="39"/>
      <c r="M65" s="39"/>
      <c r="N65" s="39">
        <f t="shared" si="23"/>
        <v>2000000</v>
      </c>
      <c r="O65" s="39">
        <f>G65*4%</f>
        <v>80000</v>
      </c>
      <c r="P65" s="39">
        <f>G65*4%</f>
        <v>80000</v>
      </c>
      <c r="Q65" s="39"/>
      <c r="R65" s="39"/>
      <c r="S65" s="39"/>
      <c r="T65" s="39">
        <v>0</v>
      </c>
      <c r="U65" s="39"/>
      <c r="V65" s="39"/>
      <c r="W65" s="39">
        <f t="shared" ref="W65" si="25">SUM(O65:V65)</f>
        <v>160000</v>
      </c>
      <c r="X65" s="40">
        <f>N65-W65</f>
        <v>1840000</v>
      </c>
      <c r="Y65" s="40"/>
      <c r="Z65" s="41"/>
      <c r="AA65" s="40">
        <f t="shared" si="6"/>
        <v>1840000</v>
      </c>
    </row>
    <row r="66" spans="1:31" ht="12.75" x14ac:dyDescent="0.25">
      <c r="A66" s="45"/>
      <c r="B66" s="123"/>
      <c r="C66" s="37" t="s">
        <v>96</v>
      </c>
      <c r="D66" s="45"/>
      <c r="E66" s="39">
        <f>SUM(E5:E64)</f>
        <v>195710295</v>
      </c>
      <c r="F66" s="39" t="s">
        <v>1</v>
      </c>
      <c r="G66" s="39">
        <f>SUM(G5:G64)</f>
        <v>189043628.33333331</v>
      </c>
      <c r="H66" s="39">
        <f>SUM(H5:H64)</f>
        <v>444000</v>
      </c>
      <c r="I66" s="39">
        <f>SUM(I5:I64)</f>
        <v>0</v>
      </c>
      <c r="J66" s="39">
        <f>SUM(J5:J64)</f>
        <v>0</v>
      </c>
      <c r="K66" s="39"/>
      <c r="L66" s="39">
        <f t="shared" ref="L66:Q66" si="26">SUM(L5:L64)</f>
        <v>90000</v>
      </c>
      <c r="M66" s="39">
        <f t="shared" si="26"/>
        <v>10876250</v>
      </c>
      <c r="N66" s="39">
        <f t="shared" si="26"/>
        <v>200453878.33333331</v>
      </c>
      <c r="O66" s="39">
        <f t="shared" si="26"/>
        <v>7478645.333333334</v>
      </c>
      <c r="P66" s="39">
        <f t="shared" si="26"/>
        <v>7470645.333333334</v>
      </c>
      <c r="Q66" s="39">
        <f t="shared" si="26"/>
        <v>95900</v>
      </c>
      <c r="R66" s="39">
        <f>SUM(R6:R64)</f>
        <v>0</v>
      </c>
      <c r="S66" s="39">
        <f t="shared" ref="S66:AA66" si="27">SUM(S5:S64)</f>
        <v>1745053.7333333334</v>
      </c>
      <c r="T66" s="39">
        <f t="shared" si="27"/>
        <v>2891339</v>
      </c>
      <c r="U66" s="39">
        <f t="shared" si="27"/>
        <v>8760000</v>
      </c>
      <c r="V66" s="39">
        <f t="shared" si="27"/>
        <v>2794415</v>
      </c>
      <c r="W66" s="39">
        <f t="shared" si="27"/>
        <v>31235998.399999999</v>
      </c>
      <c r="X66" s="40">
        <f t="shared" si="27"/>
        <v>169217879.93333334</v>
      </c>
      <c r="Y66" s="40">
        <f t="shared" si="27"/>
        <v>0</v>
      </c>
      <c r="Z66" s="41">
        <f t="shared" si="27"/>
        <v>0</v>
      </c>
      <c r="AA66" s="40">
        <f t="shared" si="27"/>
        <v>169217879.93333334</v>
      </c>
    </row>
    <row r="67" spans="1:31" x14ac:dyDescent="0.25">
      <c r="A67" s="99"/>
      <c r="B67" s="99"/>
      <c r="X67" s="99"/>
      <c r="Y67" s="99"/>
      <c r="Z67" s="102"/>
      <c r="AA67" s="99"/>
    </row>
    <row r="68" spans="1:31" x14ac:dyDescent="0.25">
      <c r="E68" s="107"/>
      <c r="F68" s="107"/>
      <c r="G68" s="107"/>
      <c r="X68" s="124"/>
      <c r="Y68" s="124"/>
      <c r="AA68" s="124"/>
    </row>
    <row r="69" spans="1:31" x14ac:dyDescent="0.25">
      <c r="D69" s="99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99"/>
      <c r="Y69" s="99"/>
      <c r="Z69" s="102"/>
      <c r="AA69" s="99"/>
    </row>
    <row r="70" spans="1:31" x14ac:dyDescent="0.25">
      <c r="D70" s="99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99"/>
      <c r="Y70" s="99"/>
      <c r="Z70" s="102"/>
      <c r="AA70" s="99"/>
    </row>
    <row r="71" spans="1:31" x14ac:dyDescent="0.25">
      <c r="C71" s="109"/>
      <c r="D71" s="99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99"/>
      <c r="Y71" s="99"/>
      <c r="Z71" s="102"/>
      <c r="AA71" s="99"/>
    </row>
    <row r="72" spans="1:31" x14ac:dyDescent="0.25">
      <c r="C72" s="109"/>
      <c r="D72" s="99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99"/>
      <c r="Y72" s="99"/>
      <c r="Z72" s="102"/>
      <c r="AA72" s="99"/>
      <c r="AB72" s="99"/>
      <c r="AC72" s="99"/>
      <c r="AD72" s="99"/>
      <c r="AE72" s="99"/>
    </row>
    <row r="73" spans="1:31" x14ac:dyDescent="0.25">
      <c r="B73" s="99"/>
      <c r="C73" s="10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99"/>
      <c r="AC73" s="99"/>
      <c r="AD73" s="99"/>
      <c r="AE73" s="99"/>
    </row>
    <row r="74" spans="1:31" x14ac:dyDescent="0.25">
      <c r="B74" s="99"/>
      <c r="C74" s="109"/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  <c r="AB74" s="99"/>
      <c r="AC74" s="99"/>
      <c r="AD74" s="99"/>
      <c r="AE74" s="99"/>
    </row>
    <row r="75" spans="1:31" x14ac:dyDescent="0.25">
      <c r="B75" s="99"/>
      <c r="C75" s="109"/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  <c r="AB75" s="99"/>
      <c r="AC75" s="99"/>
      <c r="AD75" s="99"/>
      <c r="AE75" s="99"/>
    </row>
    <row r="76" spans="1:31" x14ac:dyDescent="0.25">
      <c r="B76" s="99"/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  <c r="AB76" s="99"/>
      <c r="AC76" s="99"/>
      <c r="AD76" s="99"/>
      <c r="AE76" s="99"/>
    </row>
    <row r="77" spans="1:31" x14ac:dyDescent="0.25">
      <c r="B77" s="99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05"/>
      <c r="Z77" s="112"/>
      <c r="AA77" s="105"/>
      <c r="AB77" s="99"/>
      <c r="AC77" s="99"/>
      <c r="AD77" s="99"/>
      <c r="AE77" s="99"/>
    </row>
    <row r="78" spans="1:31" x14ac:dyDescent="0.25">
      <c r="B78" s="125"/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5"/>
      <c r="Y78" s="105"/>
      <c r="Z78" s="112"/>
      <c r="AA78" s="105"/>
      <c r="AB78" s="99"/>
      <c r="AC78" s="99"/>
      <c r="AD78" s="99"/>
      <c r="AE78" s="99"/>
    </row>
    <row r="79" spans="1:31" x14ac:dyDescent="0.25">
      <c r="B79" s="99"/>
      <c r="C79" s="109"/>
      <c r="D79" s="99"/>
      <c r="E79" s="107"/>
      <c r="F79" s="107"/>
      <c r="G79" s="126"/>
      <c r="H79" s="107"/>
      <c r="I79" s="107"/>
      <c r="J79" s="107"/>
      <c r="K79" s="107"/>
      <c r="L79" s="107"/>
      <c r="M79" s="107"/>
      <c r="N79" s="107"/>
      <c r="O79" s="107"/>
      <c r="P79" s="107"/>
      <c r="Q79" s="127"/>
      <c r="R79" s="127"/>
      <c r="S79" s="127"/>
      <c r="T79" s="127"/>
      <c r="U79" s="127"/>
      <c r="V79" s="107"/>
      <c r="W79" s="107"/>
      <c r="X79" s="99"/>
      <c r="Y79" s="99"/>
      <c r="Z79" s="102"/>
      <c r="AA79" s="99"/>
      <c r="AB79" s="99"/>
      <c r="AC79" s="99"/>
      <c r="AD79" s="99"/>
      <c r="AE79" s="99"/>
    </row>
    <row r="80" spans="1:31" x14ac:dyDescent="0.25">
      <c r="B80" s="99"/>
      <c r="C80" s="104"/>
      <c r="D80" s="105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5"/>
      <c r="Y80" s="105"/>
      <c r="Z80" s="112"/>
      <c r="AA80" s="105"/>
      <c r="AB80" s="99"/>
      <c r="AC80" s="99"/>
      <c r="AD80" s="99"/>
      <c r="AE80" s="99"/>
    </row>
    <row r="81" spans="2:31" x14ac:dyDescent="0.25">
      <c r="B81" s="105"/>
      <c r="C81" s="104"/>
      <c r="D81" s="105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5"/>
      <c r="Y81" s="105"/>
      <c r="Z81" s="112"/>
      <c r="AA81" s="105"/>
      <c r="AB81" s="99"/>
      <c r="AC81" s="99"/>
      <c r="AD81" s="99"/>
      <c r="AE81" s="99"/>
    </row>
    <row r="82" spans="2:31" x14ac:dyDescent="0.25">
      <c r="B82" s="99"/>
      <c r="C82" s="104"/>
      <c r="D82" s="105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8"/>
      <c r="Z82" s="102"/>
      <c r="AA82" s="108"/>
      <c r="AB82" s="99"/>
      <c r="AC82" s="99"/>
      <c r="AD82" s="99"/>
      <c r="AE82" s="99"/>
    </row>
    <row r="83" spans="2:31" x14ac:dyDescent="0.25">
      <c r="C83" s="104"/>
      <c r="D83" s="105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8"/>
      <c r="Y83" s="108"/>
      <c r="Z83" s="102"/>
      <c r="AA83" s="108"/>
      <c r="AB83" s="99"/>
      <c r="AC83" s="99"/>
      <c r="AD83" s="99"/>
      <c r="AE83" s="99"/>
    </row>
    <row r="84" spans="2:31" x14ac:dyDescent="0.25">
      <c r="C84" s="104"/>
      <c r="D84" s="105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8"/>
      <c r="Y84" s="108"/>
      <c r="Z84" s="102"/>
      <c r="AA84" s="108"/>
      <c r="AB84" s="99"/>
      <c r="AC84" s="99"/>
      <c r="AD84" s="99"/>
      <c r="AE84" s="99"/>
    </row>
    <row r="85" spans="2:31" x14ac:dyDescent="0.25">
      <c r="C85" s="104"/>
      <c r="D85" s="105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8"/>
      <c r="Y85" s="108"/>
      <c r="Z85" s="102"/>
      <c r="AA85" s="108"/>
      <c r="AB85" s="99"/>
      <c r="AC85" s="99"/>
      <c r="AD85" s="99"/>
      <c r="AE85" s="99"/>
    </row>
    <row r="86" spans="2:31" x14ac:dyDescent="0.25">
      <c r="C86" s="104"/>
      <c r="D86" s="105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8"/>
      <c r="Y86" s="108"/>
      <c r="Z86" s="102"/>
      <c r="AA86" s="108"/>
      <c r="AB86" s="99"/>
      <c r="AC86" s="99"/>
      <c r="AD86" s="99"/>
      <c r="AE86" s="99"/>
    </row>
    <row r="87" spans="2:31" x14ac:dyDescent="0.25"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9"/>
      <c r="D88" s="99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99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99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99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99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9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99"/>
      <c r="Y100" s="99"/>
      <c r="Z100" s="102"/>
      <c r="AA100" s="99"/>
      <c r="AB100" s="99"/>
      <c r="AC100" s="99"/>
      <c r="AD100" s="99"/>
      <c r="AE100" s="99"/>
    </row>
    <row r="101" spans="2:31" x14ac:dyDescent="0.25">
      <c r="C101" s="109"/>
      <c r="D101" s="99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07"/>
      <c r="W101" s="107"/>
      <c r="X101" s="99"/>
      <c r="Y101" s="99"/>
      <c r="Z101" s="102"/>
      <c r="AA101" s="99"/>
      <c r="AB101" s="99"/>
      <c r="AC101" s="99"/>
      <c r="AD101" s="99"/>
      <c r="AE101" s="99"/>
    </row>
    <row r="102" spans="2:31" x14ac:dyDescent="0.25">
      <c r="B102" s="99"/>
      <c r="C102" s="109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99"/>
      <c r="AC102" s="99"/>
      <c r="AD102" s="99"/>
      <c r="AE102" s="99"/>
    </row>
    <row r="103" spans="2:31" x14ac:dyDescent="0.25">
      <c r="B103" s="99"/>
      <c r="C103" s="109"/>
      <c r="D103" s="99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5"/>
      <c r="Y103" s="105"/>
      <c r="Z103" s="112"/>
      <c r="AA103" s="105"/>
      <c r="AB103" s="99"/>
      <c r="AC103" s="99"/>
      <c r="AD103" s="99"/>
      <c r="AE103" s="99"/>
    </row>
    <row r="104" spans="2:31" x14ac:dyDescent="0.25">
      <c r="B104" s="99"/>
      <c r="C104" s="104"/>
      <c r="D104" s="105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5"/>
      <c r="Y104" s="105"/>
      <c r="Z104" s="112"/>
      <c r="AA104" s="105"/>
    </row>
    <row r="105" spans="2:31" x14ac:dyDescent="0.25">
      <c r="B105" s="113"/>
      <c r="C105" s="104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5"/>
      <c r="Y105" s="105"/>
      <c r="Z105" s="112"/>
      <c r="AA105" s="105"/>
    </row>
    <row r="106" spans="2:31" x14ac:dyDescent="0.25">
      <c r="C106" s="104"/>
      <c r="D106" s="105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/>
      <c r="Y106" s="108"/>
      <c r="Z106" s="102"/>
      <c r="AA106" s="108"/>
    </row>
    <row r="107" spans="2:31" x14ac:dyDescent="0.25">
      <c r="C107" s="104"/>
      <c r="D107" s="105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8"/>
      <c r="Y107" s="108"/>
      <c r="Z107" s="102"/>
      <c r="AA107" s="108"/>
    </row>
    <row r="108" spans="2:31" x14ac:dyDescent="0.25">
      <c r="C108" s="104"/>
      <c r="D108" s="105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8"/>
      <c r="Y108" s="108"/>
      <c r="Z108" s="102"/>
      <c r="AA108" s="108"/>
    </row>
    <row r="109" spans="2:31" x14ac:dyDescent="0.25">
      <c r="C109" s="109"/>
      <c r="D109" s="99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8"/>
      <c r="Y109" s="108"/>
      <c r="Z109" s="102"/>
      <c r="AA109" s="108"/>
    </row>
    <row r="110" spans="2:31" x14ac:dyDescent="0.25">
      <c r="C110" s="104"/>
      <c r="D110" s="99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8"/>
      <c r="Y110" s="108"/>
      <c r="Z110" s="102"/>
      <c r="AA110" s="108"/>
    </row>
    <row r="111" spans="2:31" x14ac:dyDescent="0.25">
      <c r="C111" s="109"/>
      <c r="D111" s="99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99"/>
      <c r="Y111" s="99"/>
      <c r="Z111" s="102"/>
      <c r="AA111" s="99"/>
    </row>
    <row r="112" spans="2:31" x14ac:dyDescent="0.25">
      <c r="C112" s="109"/>
      <c r="D112" s="99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</row>
    <row r="113" spans="2:27" x14ac:dyDescent="0.25">
      <c r="B113" s="99"/>
      <c r="C113" s="109"/>
      <c r="D113" s="99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99"/>
      <c r="Y113" s="99"/>
      <c r="Z113" s="102"/>
      <c r="AA113" s="99"/>
    </row>
    <row r="114" spans="2:27" x14ac:dyDescent="0.25">
      <c r="B114" s="99"/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99"/>
      <c r="Y114" s="99"/>
      <c r="Z114" s="102"/>
      <c r="AA114" s="99"/>
    </row>
    <row r="115" spans="2:27" x14ac:dyDescent="0.25">
      <c r="B115" s="99"/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14"/>
      <c r="Y115" s="114"/>
      <c r="Z115" s="102"/>
      <c r="AA115" s="114"/>
    </row>
    <row r="116" spans="2:27" x14ac:dyDescent="0.25">
      <c r="B116" s="99"/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15"/>
      <c r="Y116" s="115"/>
      <c r="Z116" s="102"/>
      <c r="AA116" s="115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99"/>
      <c r="Y121" s="99"/>
      <c r="Z121" s="102"/>
      <c r="AA121" s="99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>
        <v>3003000</v>
      </c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4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4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4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4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9">
        <v>42614840</v>
      </c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>
        <v>412608</v>
      </c>
      <c r="X129" s="99"/>
      <c r="Y129" s="99"/>
      <c r="Z129" s="102"/>
      <c r="AA129" s="99"/>
    </row>
    <row r="130" spans="3:27" x14ac:dyDescent="0.25">
      <c r="C130" s="109">
        <v>9675182</v>
      </c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>
        <v>1880000</v>
      </c>
      <c r="X130" s="99"/>
      <c r="Y130" s="99"/>
      <c r="Z130" s="102"/>
      <c r="AA130" s="99"/>
    </row>
    <row r="131" spans="3:27" x14ac:dyDescent="0.25">
      <c r="C131" s="109">
        <v>17903600</v>
      </c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9">
        <f>SUM(C129:C131)</f>
        <v>70193622</v>
      </c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9">
        <v>400000</v>
      </c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f>+C132+C133</f>
        <v>70593622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7" spans="3:27" x14ac:dyDescent="0.25">
      <c r="C137" s="100">
        <v>64000000</v>
      </c>
    </row>
    <row r="138" spans="3:27" x14ac:dyDescent="0.25">
      <c r="C138" s="100">
        <v>11000000</v>
      </c>
    </row>
    <row r="139" spans="3:27" x14ac:dyDescent="0.25">
      <c r="C139" s="100">
        <f>+C137+C138</f>
        <v>75000000</v>
      </c>
    </row>
    <row r="143" spans="3:27" x14ac:dyDescent="0.25">
      <c r="C143" s="100">
        <v>2745000</v>
      </c>
    </row>
    <row r="144" spans="3:27" x14ac:dyDescent="0.25">
      <c r="C144" s="100">
        <v>3185000</v>
      </c>
    </row>
    <row r="145" spans="3:3" x14ac:dyDescent="0.25">
      <c r="C145" s="100">
        <v>1080000</v>
      </c>
    </row>
    <row r="146" spans="3:3" x14ac:dyDescent="0.25">
      <c r="C146" s="100">
        <v>4850100</v>
      </c>
    </row>
    <row r="147" spans="3:3" x14ac:dyDescent="0.25">
      <c r="C147" s="100">
        <v>5027500</v>
      </c>
    </row>
    <row r="148" spans="3:3" x14ac:dyDescent="0.25">
      <c r="C148" s="100">
        <v>4566000</v>
      </c>
    </row>
    <row r="149" spans="3:3" x14ac:dyDescent="0.25">
      <c r="C149" s="100">
        <v>1050000</v>
      </c>
    </row>
    <row r="150" spans="3:3" x14ac:dyDescent="0.25">
      <c r="C150" s="100">
        <v>3877333</v>
      </c>
    </row>
    <row r="151" spans="3:3" x14ac:dyDescent="0.25">
      <c r="C151" s="100">
        <v>6732440</v>
      </c>
    </row>
    <row r="152" spans="3:3" x14ac:dyDescent="0.25">
      <c r="C152" s="100">
        <v>3460000</v>
      </c>
    </row>
    <row r="153" spans="3:3" x14ac:dyDescent="0.25">
      <c r="C153" s="100">
        <v>588800</v>
      </c>
    </row>
    <row r="154" spans="3:3" x14ac:dyDescent="0.25">
      <c r="C154" s="100">
        <v>1868000</v>
      </c>
    </row>
    <row r="155" spans="3:3" x14ac:dyDescent="0.25">
      <c r="C155" s="100">
        <v>10313000</v>
      </c>
    </row>
    <row r="156" spans="3:3" x14ac:dyDescent="0.25">
      <c r="C156" s="100">
        <v>3443800</v>
      </c>
    </row>
    <row r="157" spans="3:3" x14ac:dyDescent="0.25">
      <c r="C157" s="100">
        <v>8136400</v>
      </c>
    </row>
    <row r="158" spans="3:3" x14ac:dyDescent="0.25">
      <c r="C158" s="100">
        <v>9675183</v>
      </c>
    </row>
    <row r="159" spans="3:3" x14ac:dyDescent="0.25">
      <c r="C159" s="100">
        <f>SUM(C143:C158)</f>
        <v>70598556</v>
      </c>
    </row>
  </sheetData>
  <mergeCells count="7">
    <mergeCell ref="D102:AA102"/>
    <mergeCell ref="C1:X1"/>
    <mergeCell ref="E2:N2"/>
    <mergeCell ref="O2:W2"/>
    <mergeCell ref="A3:A35"/>
    <mergeCell ref="A36:A64"/>
    <mergeCell ref="E101:U1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8E92-C8E1-4CB3-9524-D776E0D9B249}">
  <dimension ref="A1:AE165"/>
  <sheetViews>
    <sheetView tabSelected="1" workbookViewId="0">
      <selection activeCell="M7" sqref="M7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bestFit="1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171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7" si="0">SUM(O4:V4)</f>
        <v>503752</v>
      </c>
      <c r="X4" s="40">
        <f t="shared" ref="X4:X25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3750000</v>
      </c>
      <c r="F5" s="39">
        <v>30</v>
      </c>
      <c r="G5" s="39">
        <f>+E5/30*F5</f>
        <v>3750000</v>
      </c>
      <c r="H5" s="39"/>
      <c r="I5" s="39"/>
      <c r="J5" s="39"/>
      <c r="K5" s="39"/>
      <c r="L5" s="39"/>
      <c r="M5" s="39"/>
      <c r="N5" s="39">
        <f>SUM(G5:M5)</f>
        <v>3750000</v>
      </c>
      <c r="O5" s="39">
        <f>+G5*4%</f>
        <v>150000</v>
      </c>
      <c r="P5" s="39">
        <f>+O5</f>
        <v>150000</v>
      </c>
      <c r="Q5" s="39"/>
      <c r="R5" s="39"/>
      <c r="S5" s="39">
        <f>+G5*0.01</f>
        <v>37500</v>
      </c>
      <c r="T5" s="39">
        <v>0</v>
      </c>
      <c r="U5" s="39"/>
      <c r="V5" s="39"/>
      <c r="W5" s="39">
        <f t="shared" si="0"/>
        <v>337500</v>
      </c>
      <c r="X5" s="40">
        <f t="shared" si="1"/>
        <v>3412500</v>
      </c>
      <c r="Y5" s="40"/>
      <c r="Z5" s="41"/>
      <c r="AA5" s="40">
        <f>X5+Y5-Z5</f>
        <v>3412500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30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36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130</v>
      </c>
      <c r="D8" s="38" t="s">
        <v>32</v>
      </c>
      <c r="E8" s="39">
        <v>4200000</v>
      </c>
      <c r="F8" s="39">
        <v>13</v>
      </c>
      <c r="G8" s="39">
        <f>E8/30*F8</f>
        <v>1820000</v>
      </c>
      <c r="H8" s="39"/>
      <c r="I8" s="39"/>
      <c r="J8" s="39"/>
      <c r="K8" s="39"/>
      <c r="L8" s="39"/>
      <c r="M8" s="39"/>
      <c r="N8" s="39">
        <f t="shared" si="2"/>
        <v>1820000</v>
      </c>
      <c r="O8" s="39">
        <f t="shared" ref="O8" si="4">+G8*4%</f>
        <v>72800</v>
      </c>
      <c r="P8" s="39">
        <f>O8</f>
        <v>72800</v>
      </c>
      <c r="Q8" s="39"/>
      <c r="R8" s="39"/>
      <c r="S8" s="39">
        <f>+G8*1%</f>
        <v>18200</v>
      </c>
      <c r="T8" s="48"/>
      <c r="U8" s="39"/>
      <c r="V8" s="39"/>
      <c r="W8" s="39">
        <f t="shared" si="0"/>
        <v>163800</v>
      </c>
      <c r="X8" s="40">
        <f>N8-W8</f>
        <v>1656200</v>
      </c>
      <c r="Y8" s="40"/>
      <c r="Z8" s="41"/>
      <c r="AA8" s="40">
        <f t="shared" ref="AA8" si="5">X8+Y8-Z8</f>
        <v>1656200</v>
      </c>
    </row>
    <row r="9" spans="1:27" ht="12.75" x14ac:dyDescent="0.25">
      <c r="A9" s="120"/>
      <c r="B9" s="123">
        <v>6</v>
      </c>
      <c r="C9" s="37" t="s">
        <v>36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39"/>
      <c r="M9" s="39"/>
      <c r="N9" s="39">
        <f t="shared" si="2"/>
        <v>4500000</v>
      </c>
      <c r="O9" s="39">
        <f t="shared" ref="O9:O12" si="6"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0"/>
      <c r="Z9" s="41"/>
      <c r="AA9" s="40">
        <f>X9+Y9-Z9</f>
        <v>3996248</v>
      </c>
    </row>
    <row r="10" spans="1:27" ht="12.75" x14ac:dyDescent="0.25">
      <c r="A10" s="120"/>
      <c r="B10" s="123">
        <v>7</v>
      </c>
      <c r="C10" s="137" t="s">
        <v>38</v>
      </c>
      <c r="D10" s="96" t="s">
        <v>32</v>
      </c>
      <c r="E10" s="39">
        <v>4800000</v>
      </c>
      <c r="F10" s="39">
        <v>30</v>
      </c>
      <c r="G10" s="39">
        <f t="shared" ref="G10:G14" si="7">+E10/30*F10</f>
        <v>4800000</v>
      </c>
      <c r="H10" s="39"/>
      <c r="I10" s="39"/>
      <c r="J10" s="39"/>
      <c r="K10" s="39"/>
      <c r="L10" s="39"/>
      <c r="M10" s="39"/>
      <c r="N10" s="39">
        <f t="shared" si="2"/>
        <v>4800000</v>
      </c>
      <c r="O10" s="39">
        <f t="shared" si="6"/>
        <v>192000</v>
      </c>
      <c r="P10" s="39">
        <f>+O10</f>
        <v>192000</v>
      </c>
      <c r="Q10" s="39"/>
      <c r="R10" s="39"/>
      <c r="S10" s="39">
        <f t="shared" si="3"/>
        <v>48000</v>
      </c>
      <c r="T10" s="39">
        <v>5939</v>
      </c>
      <c r="U10" s="39"/>
      <c r="V10" s="39"/>
      <c r="W10" s="39">
        <f t="shared" si="0"/>
        <v>437939</v>
      </c>
      <c r="X10" s="40">
        <f t="shared" si="1"/>
        <v>4362061</v>
      </c>
      <c r="Y10" s="40"/>
      <c r="Z10" s="41"/>
      <c r="AA10" s="40">
        <f t="shared" ref="AA10:AA71" si="8">X10+Y10-Z10</f>
        <v>4362061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7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6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8"/>
        <v>3685000</v>
      </c>
    </row>
    <row r="12" spans="1:27" ht="12.75" x14ac:dyDescent="0.25">
      <c r="A12" s="120"/>
      <c r="B12" s="123">
        <v>9</v>
      </c>
      <c r="C12" s="118" t="s">
        <v>119</v>
      </c>
      <c r="D12" s="45" t="s">
        <v>32</v>
      </c>
      <c r="E12" s="39">
        <v>2800000</v>
      </c>
      <c r="F12" s="39">
        <v>30</v>
      </c>
      <c r="G12" s="39">
        <f t="shared" si="7"/>
        <v>2800000</v>
      </c>
      <c r="H12" s="39"/>
      <c r="I12" s="39"/>
      <c r="J12" s="39"/>
      <c r="K12" s="39"/>
      <c r="L12" s="39"/>
      <c r="M12" s="39"/>
      <c r="N12" s="39">
        <f t="shared" si="2"/>
        <v>2800000</v>
      </c>
      <c r="O12" s="39">
        <f t="shared" si="6"/>
        <v>112000</v>
      </c>
      <c r="P12" s="39">
        <f>O12</f>
        <v>112000</v>
      </c>
      <c r="Q12" s="39"/>
      <c r="R12" s="39"/>
      <c r="S12" s="39">
        <v>28000</v>
      </c>
      <c r="T12" s="39">
        <v>0</v>
      </c>
      <c r="U12" s="39"/>
      <c r="V12" s="39"/>
      <c r="W12" s="39">
        <f t="shared" si="0"/>
        <v>252000</v>
      </c>
      <c r="X12" s="40">
        <f t="shared" si="1"/>
        <v>2548000</v>
      </c>
      <c r="Y12" s="40"/>
      <c r="Z12" s="41"/>
      <c r="AA12" s="40">
        <f t="shared" si="8"/>
        <v>2548000</v>
      </c>
    </row>
    <row r="13" spans="1:27" ht="12.75" x14ac:dyDescent="0.25">
      <c r="A13" s="120"/>
      <c r="B13" s="123">
        <v>10</v>
      </c>
      <c r="C13" s="37" t="s">
        <v>42</v>
      </c>
      <c r="D13" s="38" t="s">
        <v>32</v>
      </c>
      <c r="E13" s="39">
        <v>4410000</v>
      </c>
      <c r="F13" s="39">
        <v>30</v>
      </c>
      <c r="G13" s="39">
        <f t="shared" si="7"/>
        <v>4410000</v>
      </c>
      <c r="H13" s="39"/>
      <c r="I13" s="39"/>
      <c r="J13" s="39"/>
      <c r="K13" s="39"/>
      <c r="L13" s="39"/>
      <c r="M13" s="39"/>
      <c r="N13" s="39">
        <f t="shared" si="2"/>
        <v>4410000</v>
      </c>
      <c r="O13" s="39">
        <f>+G13*4%</f>
        <v>176400</v>
      </c>
      <c r="P13" s="39">
        <f>+O13</f>
        <v>176400</v>
      </c>
      <c r="Q13" s="39"/>
      <c r="R13" s="39"/>
      <c r="S13" s="39">
        <f t="shared" si="3"/>
        <v>44100</v>
      </c>
      <c r="T13" s="48">
        <v>29568</v>
      </c>
      <c r="U13" s="39">
        <v>400000</v>
      </c>
      <c r="V13" s="39"/>
      <c r="W13" s="39">
        <f t="shared" si="0"/>
        <v>826468</v>
      </c>
      <c r="X13" s="40">
        <f t="shared" si="1"/>
        <v>3583532</v>
      </c>
      <c r="Y13" s="40"/>
      <c r="Z13" s="41"/>
      <c r="AA13" s="40">
        <f t="shared" si="8"/>
        <v>3583532</v>
      </c>
    </row>
    <row r="14" spans="1:27" ht="12.75" x14ac:dyDescent="0.25">
      <c r="A14" s="120"/>
      <c r="B14" s="123">
        <v>11</v>
      </c>
      <c r="C14" s="37" t="s">
        <v>104</v>
      </c>
      <c r="D14" s="38" t="s">
        <v>32</v>
      </c>
      <c r="E14" s="39">
        <v>4500000</v>
      </c>
      <c r="F14" s="39">
        <v>30</v>
      </c>
      <c r="G14" s="39">
        <f t="shared" si="7"/>
        <v>4500000</v>
      </c>
      <c r="H14" s="39"/>
      <c r="I14" s="39"/>
      <c r="J14" s="39"/>
      <c r="K14" s="39"/>
      <c r="L14" s="39"/>
      <c r="M14" s="39">
        <v>300000</v>
      </c>
      <c r="N14" s="39">
        <f t="shared" si="2"/>
        <v>4800000</v>
      </c>
      <c r="O14" s="39">
        <f>+G14*4%</f>
        <v>180000</v>
      </c>
      <c r="P14" s="39">
        <f>+O14</f>
        <v>180000</v>
      </c>
      <c r="Q14" s="39"/>
      <c r="R14" s="39"/>
      <c r="S14" s="39">
        <f t="shared" si="3"/>
        <v>45000</v>
      </c>
      <c r="T14" s="48">
        <v>98752</v>
      </c>
      <c r="U14" s="39"/>
      <c r="V14" s="39"/>
      <c r="W14" s="39">
        <f t="shared" si="0"/>
        <v>503752</v>
      </c>
      <c r="X14" s="40">
        <f t="shared" si="1"/>
        <v>4296248</v>
      </c>
      <c r="Y14" s="40"/>
      <c r="Z14" s="41"/>
      <c r="AA14" s="40">
        <f t="shared" si="8"/>
        <v>4296248</v>
      </c>
    </row>
    <row r="15" spans="1:27" ht="25.5" x14ac:dyDescent="0.25">
      <c r="A15" s="120"/>
      <c r="B15" s="123">
        <v>12</v>
      </c>
      <c r="C15" s="37" t="s">
        <v>43</v>
      </c>
      <c r="D15" s="38" t="s">
        <v>32</v>
      </c>
      <c r="E15" s="39">
        <v>4500000</v>
      </c>
      <c r="F15" s="39">
        <v>30</v>
      </c>
      <c r="G15" s="39">
        <f t="shared" ref="G15:G20" si="9">E15/30*F15</f>
        <v>4500000</v>
      </c>
      <c r="H15" s="39"/>
      <c r="I15" s="39"/>
      <c r="J15" s="39"/>
      <c r="K15" s="39"/>
      <c r="L15" s="39"/>
      <c r="M15" s="39">
        <v>300000</v>
      </c>
      <c r="N15" s="39">
        <f>SUM(G15:M15)</f>
        <v>4800000</v>
      </c>
      <c r="O15" s="39">
        <f t="shared" ref="O15:O17" si="10">+G15*4%</f>
        <v>180000</v>
      </c>
      <c r="P15" s="39">
        <f>+O15</f>
        <v>180000</v>
      </c>
      <c r="Q15" s="39"/>
      <c r="R15" s="39"/>
      <c r="S15" s="39">
        <f>N15*1%</f>
        <v>48000</v>
      </c>
      <c r="T15" s="48">
        <v>98752</v>
      </c>
      <c r="U15" s="39"/>
      <c r="V15" s="39"/>
      <c r="W15" s="39">
        <f t="shared" si="0"/>
        <v>506752</v>
      </c>
      <c r="X15" s="40">
        <f>N15-W15</f>
        <v>4293248</v>
      </c>
      <c r="Y15" s="40"/>
      <c r="Z15" s="41"/>
      <c r="AA15" s="40">
        <f t="shared" si="8"/>
        <v>4293248</v>
      </c>
    </row>
    <row r="16" spans="1:27" ht="12.75" x14ac:dyDescent="0.25">
      <c r="A16" s="120"/>
      <c r="B16" s="123">
        <v>13</v>
      </c>
      <c r="C16" s="37" t="s">
        <v>44</v>
      </c>
      <c r="D16" s="38" t="s">
        <v>32</v>
      </c>
      <c r="E16" s="39">
        <v>4500000</v>
      </c>
      <c r="F16" s="39">
        <v>30</v>
      </c>
      <c r="G16" s="39">
        <f t="shared" si="9"/>
        <v>4500000</v>
      </c>
      <c r="H16" s="39"/>
      <c r="I16" s="39"/>
      <c r="J16" s="39"/>
      <c r="K16" s="39"/>
      <c r="L16" s="39"/>
      <c r="M16" s="39"/>
      <c r="N16" s="39">
        <f t="shared" si="2"/>
        <v>4500000</v>
      </c>
      <c r="O16" s="39">
        <f t="shared" si="10"/>
        <v>180000</v>
      </c>
      <c r="P16" s="39">
        <f>O16</f>
        <v>180000</v>
      </c>
      <c r="Q16" s="39"/>
      <c r="R16" s="39"/>
      <c r="S16" s="39">
        <v>45000</v>
      </c>
      <c r="T16" s="48">
        <v>98752</v>
      </c>
      <c r="U16" s="39"/>
      <c r="V16" s="39"/>
      <c r="W16" s="39">
        <f t="shared" si="0"/>
        <v>503752</v>
      </c>
      <c r="X16" s="40">
        <f>N16-W16</f>
        <v>3996248</v>
      </c>
      <c r="Y16" s="40"/>
      <c r="Z16" s="41"/>
      <c r="AA16" s="40">
        <f t="shared" si="8"/>
        <v>3996248</v>
      </c>
    </row>
    <row r="17" spans="1:27" ht="12.75" x14ac:dyDescent="0.25">
      <c r="A17" s="120"/>
      <c r="B17" s="123">
        <v>14</v>
      </c>
      <c r="C17" s="37" t="s">
        <v>131</v>
      </c>
      <c r="D17" s="38" t="s">
        <v>32</v>
      </c>
      <c r="E17" s="39">
        <v>4000000</v>
      </c>
      <c r="F17" s="39">
        <v>13</v>
      </c>
      <c r="G17" s="39">
        <f t="shared" si="9"/>
        <v>1733333.3333333335</v>
      </c>
      <c r="H17" s="39"/>
      <c r="I17" s="39"/>
      <c r="J17" s="39"/>
      <c r="K17" s="39"/>
      <c r="L17" s="39"/>
      <c r="M17" s="39"/>
      <c r="N17" s="39">
        <f t="shared" si="2"/>
        <v>1733333.3333333335</v>
      </c>
      <c r="O17" s="39">
        <f t="shared" si="10"/>
        <v>69333.333333333343</v>
      </c>
      <c r="P17" s="39">
        <f>O17</f>
        <v>69333.333333333343</v>
      </c>
      <c r="Q17" s="39"/>
      <c r="R17" s="39"/>
      <c r="S17" s="39">
        <f>+G17*1%</f>
        <v>17333.333333333336</v>
      </c>
      <c r="T17" s="48"/>
      <c r="U17" s="39"/>
      <c r="V17" s="39"/>
      <c r="W17" s="39">
        <f t="shared" si="0"/>
        <v>156000.00000000003</v>
      </c>
      <c r="X17" s="40">
        <f>N17-W17</f>
        <v>1577333.3333333335</v>
      </c>
      <c r="Y17" s="40"/>
      <c r="Z17" s="41"/>
      <c r="AA17" s="40">
        <f t="shared" si="8"/>
        <v>1577333.3333333335</v>
      </c>
    </row>
    <row r="18" spans="1:27" ht="12.75" x14ac:dyDescent="0.25">
      <c r="A18" s="120"/>
      <c r="B18" s="123">
        <v>15</v>
      </c>
      <c r="C18" s="37" t="s">
        <v>125</v>
      </c>
      <c r="D18" s="38" t="s">
        <v>32</v>
      </c>
      <c r="E18" s="39">
        <v>4500000</v>
      </c>
      <c r="F18" s="39">
        <v>30</v>
      </c>
      <c r="G18" s="39">
        <f t="shared" si="9"/>
        <v>4500000</v>
      </c>
      <c r="H18" s="39"/>
      <c r="I18" s="39"/>
      <c r="J18" s="39"/>
      <c r="K18" s="39"/>
      <c r="L18" s="39"/>
      <c r="M18" s="39"/>
      <c r="N18" s="39">
        <f t="shared" si="2"/>
        <v>4500000</v>
      </c>
      <c r="O18" s="39">
        <f>+G18*4%</f>
        <v>180000</v>
      </c>
      <c r="P18" s="39">
        <f>O18</f>
        <v>180000</v>
      </c>
      <c r="Q18" s="39"/>
      <c r="R18" s="39"/>
      <c r="S18" s="39">
        <f>+G18*1%</f>
        <v>45000</v>
      </c>
      <c r="T18" s="48">
        <v>34627</v>
      </c>
      <c r="U18" s="39"/>
      <c r="V18" s="39"/>
      <c r="W18" s="39">
        <f t="shared" si="0"/>
        <v>439627</v>
      </c>
      <c r="X18" s="40">
        <f>N18-W18</f>
        <v>4060373</v>
      </c>
      <c r="Y18" s="40"/>
      <c r="Z18" s="41"/>
      <c r="AA18" s="40">
        <f t="shared" si="8"/>
        <v>4060373</v>
      </c>
    </row>
    <row r="19" spans="1:27" ht="12.75" x14ac:dyDescent="0.25">
      <c r="A19" s="120"/>
      <c r="B19" s="123">
        <v>16</v>
      </c>
      <c r="C19" s="37" t="s">
        <v>45</v>
      </c>
      <c r="D19" s="38" t="s">
        <v>32</v>
      </c>
      <c r="E19" s="39">
        <v>4180000</v>
      </c>
      <c r="F19" s="39">
        <v>30</v>
      </c>
      <c r="G19" s="39">
        <f t="shared" si="9"/>
        <v>4180000.0000000005</v>
      </c>
      <c r="H19" s="39"/>
      <c r="I19" s="39"/>
      <c r="J19" s="39"/>
      <c r="K19" s="39"/>
      <c r="L19" s="39"/>
      <c r="M19" s="39">
        <v>1515250</v>
      </c>
      <c r="N19" s="39">
        <f t="shared" si="2"/>
        <v>5695250</v>
      </c>
      <c r="O19" s="39">
        <f>+G19*4%</f>
        <v>167200.00000000003</v>
      </c>
      <c r="P19" s="39">
        <f>+O19</f>
        <v>167200.00000000003</v>
      </c>
      <c r="Q19" s="39"/>
      <c r="R19" s="39"/>
      <c r="S19" s="39">
        <f t="shared" si="3"/>
        <v>41800.000000000007</v>
      </c>
      <c r="T19" s="48">
        <v>2545</v>
      </c>
      <c r="U19" s="39">
        <v>800000</v>
      </c>
      <c r="V19" s="39">
        <v>884747</v>
      </c>
      <c r="W19" s="39">
        <f t="shared" si="0"/>
        <v>2063492</v>
      </c>
      <c r="X19" s="40">
        <f t="shared" si="1"/>
        <v>3631758</v>
      </c>
      <c r="Y19" s="40"/>
      <c r="Z19" s="41"/>
      <c r="AA19" s="40">
        <f t="shared" si="8"/>
        <v>3631758</v>
      </c>
    </row>
    <row r="20" spans="1:27" ht="12.75" x14ac:dyDescent="0.25">
      <c r="A20" s="120"/>
      <c r="B20" s="123">
        <v>17</v>
      </c>
      <c r="C20" s="37" t="s">
        <v>46</v>
      </c>
      <c r="D20" s="38" t="s">
        <v>32</v>
      </c>
      <c r="E20" s="39">
        <v>4702500</v>
      </c>
      <c r="F20" s="39">
        <v>30</v>
      </c>
      <c r="G20" s="39">
        <f t="shared" si="9"/>
        <v>4702500</v>
      </c>
      <c r="H20" s="39"/>
      <c r="I20" s="39"/>
      <c r="J20" s="39"/>
      <c r="K20" s="39"/>
      <c r="L20" s="39"/>
      <c r="M20" s="39"/>
      <c r="N20" s="39">
        <f t="shared" si="2"/>
        <v>4702500</v>
      </c>
      <c r="O20" s="39">
        <f t="shared" ref="O20:O29" si="11">+G20*4%</f>
        <v>188100</v>
      </c>
      <c r="P20" s="39">
        <f>+O20</f>
        <v>188100</v>
      </c>
      <c r="Q20" s="39"/>
      <c r="R20" s="39"/>
      <c r="S20" s="39">
        <f>N20*1%</f>
        <v>47025</v>
      </c>
      <c r="T20" s="48">
        <v>126165</v>
      </c>
      <c r="U20" s="39"/>
      <c r="V20" s="39"/>
      <c r="W20" s="39">
        <f t="shared" si="0"/>
        <v>549390</v>
      </c>
      <c r="X20" s="40">
        <f>N20-W20</f>
        <v>4153110</v>
      </c>
      <c r="Y20" s="40"/>
      <c r="Z20" s="41"/>
      <c r="AA20" s="40">
        <f t="shared" si="8"/>
        <v>4153110</v>
      </c>
    </row>
    <row r="21" spans="1:27" ht="12.75" x14ac:dyDescent="0.25">
      <c r="A21" s="120"/>
      <c r="B21" s="123">
        <v>18</v>
      </c>
      <c r="C21" s="138" t="s">
        <v>47</v>
      </c>
      <c r="D21" s="96" t="s">
        <v>32</v>
      </c>
      <c r="E21" s="39">
        <v>4200000</v>
      </c>
      <c r="F21" s="39">
        <v>30</v>
      </c>
      <c r="G21" s="39">
        <f t="shared" ref="G21:G38" si="12">+E21/30*F21</f>
        <v>4200000</v>
      </c>
      <c r="H21" s="39"/>
      <c r="I21" s="39"/>
      <c r="J21" s="39"/>
      <c r="K21" s="39"/>
      <c r="L21" s="39"/>
      <c r="M21" s="39">
        <v>300000</v>
      </c>
      <c r="N21" s="39">
        <f t="shared" si="2"/>
        <v>4500000</v>
      </c>
      <c r="O21" s="39">
        <f t="shared" si="11"/>
        <v>168000</v>
      </c>
      <c r="P21" s="39">
        <f>O21</f>
        <v>168000</v>
      </c>
      <c r="Q21" s="39"/>
      <c r="R21" s="39"/>
      <c r="S21" s="39">
        <f>E21*1%</f>
        <v>42000</v>
      </c>
      <c r="T21" s="48">
        <v>58139</v>
      </c>
      <c r="U21" s="39"/>
      <c r="V21" s="39"/>
      <c r="W21" s="39">
        <f t="shared" si="0"/>
        <v>436139</v>
      </c>
      <c r="X21" s="40">
        <f>N21-W21</f>
        <v>4063861</v>
      </c>
      <c r="Y21" s="40"/>
      <c r="Z21" s="41"/>
      <c r="AA21" s="40">
        <f t="shared" si="8"/>
        <v>4063861</v>
      </c>
    </row>
    <row r="22" spans="1:27" ht="12.75" x14ac:dyDescent="0.25">
      <c r="A22" s="120"/>
      <c r="B22" s="123">
        <v>19</v>
      </c>
      <c r="C22" s="37" t="s">
        <v>126</v>
      </c>
      <c r="D22" s="38" t="s">
        <v>32</v>
      </c>
      <c r="E22" s="39">
        <v>3000000</v>
      </c>
      <c r="F22" s="39">
        <v>30</v>
      </c>
      <c r="G22" s="39">
        <f>E22/30*F22</f>
        <v>3000000</v>
      </c>
      <c r="H22" s="39"/>
      <c r="I22" s="39"/>
      <c r="J22" s="39"/>
      <c r="K22" s="39"/>
      <c r="L22" s="39"/>
      <c r="M22" s="39"/>
      <c r="N22" s="39">
        <f t="shared" ref="N22" si="13">SUM(G22:M22)</f>
        <v>3000000</v>
      </c>
      <c r="O22" s="39">
        <f>+G22*4%</f>
        <v>120000</v>
      </c>
      <c r="P22" s="39">
        <f>O22</f>
        <v>120000</v>
      </c>
      <c r="Q22" s="39"/>
      <c r="R22" s="39"/>
      <c r="S22" s="39">
        <f>+G22*1%</f>
        <v>30000</v>
      </c>
      <c r="T22" s="48">
        <v>0</v>
      </c>
      <c r="U22" s="39"/>
      <c r="V22" s="39"/>
      <c r="W22" s="39">
        <f t="shared" ref="W22" si="14">SUM(O22:V22)</f>
        <v>270000</v>
      </c>
      <c r="X22" s="40">
        <f>N22-W22</f>
        <v>2730000</v>
      </c>
      <c r="Y22" s="40"/>
      <c r="Z22" s="41"/>
      <c r="AA22" s="40">
        <f t="shared" si="8"/>
        <v>2730000</v>
      </c>
    </row>
    <row r="23" spans="1:27" ht="12.75" x14ac:dyDescent="0.25">
      <c r="A23" s="120"/>
      <c r="B23" s="123">
        <v>20</v>
      </c>
      <c r="C23" s="138" t="s">
        <v>120</v>
      </c>
      <c r="D23" s="96" t="s">
        <v>32</v>
      </c>
      <c r="E23" s="39">
        <v>4500000</v>
      </c>
      <c r="F23" s="39">
        <v>30</v>
      </c>
      <c r="G23" s="39">
        <f t="shared" si="12"/>
        <v>4500000</v>
      </c>
      <c r="H23" s="39"/>
      <c r="I23" s="39"/>
      <c r="J23" s="39"/>
      <c r="K23" s="39"/>
      <c r="L23" s="39"/>
      <c r="M23" s="39"/>
      <c r="N23" s="39">
        <f t="shared" si="2"/>
        <v>4500000</v>
      </c>
      <c r="O23" s="39">
        <f t="shared" si="11"/>
        <v>180000</v>
      </c>
      <c r="P23" s="39">
        <f>O23</f>
        <v>180000</v>
      </c>
      <c r="Q23" s="39"/>
      <c r="R23" s="39"/>
      <c r="S23" s="39">
        <f>N23*1%</f>
        <v>45000</v>
      </c>
      <c r="T23" s="48">
        <v>34627</v>
      </c>
      <c r="U23" s="39"/>
      <c r="V23" s="39"/>
      <c r="W23" s="39">
        <f t="shared" si="0"/>
        <v>439627</v>
      </c>
      <c r="X23" s="40">
        <f>N23-W23</f>
        <v>4060373</v>
      </c>
      <c r="Y23" s="40"/>
      <c r="Z23" s="41"/>
      <c r="AA23" s="40">
        <f t="shared" si="8"/>
        <v>4060373</v>
      </c>
    </row>
    <row r="24" spans="1:27" ht="12.75" x14ac:dyDescent="0.25">
      <c r="A24" s="120"/>
      <c r="B24" s="123">
        <v>21</v>
      </c>
      <c r="C24" s="37" t="s">
        <v>48</v>
      </c>
      <c r="D24" s="38" t="s">
        <v>32</v>
      </c>
      <c r="E24" s="39">
        <v>4800000</v>
      </c>
      <c r="F24" s="39">
        <v>30</v>
      </c>
      <c r="G24" s="39">
        <f t="shared" si="12"/>
        <v>4800000</v>
      </c>
      <c r="H24" s="39"/>
      <c r="I24" s="39"/>
      <c r="J24" s="39"/>
      <c r="K24" s="39"/>
      <c r="L24" s="39"/>
      <c r="M24" s="39"/>
      <c r="N24" s="39">
        <f t="shared" si="2"/>
        <v>4800000</v>
      </c>
      <c r="O24" s="39">
        <f t="shared" si="11"/>
        <v>192000</v>
      </c>
      <c r="P24" s="39">
        <f t="shared" ref="P24:P29" si="15">+O24</f>
        <v>192000</v>
      </c>
      <c r="Q24" s="39"/>
      <c r="R24" s="39"/>
      <c r="S24" s="39">
        <f t="shared" si="3"/>
        <v>48000</v>
      </c>
      <c r="T24" s="39">
        <v>139364</v>
      </c>
      <c r="U24" s="39"/>
      <c r="V24" s="39"/>
      <c r="W24" s="39">
        <f t="shared" si="0"/>
        <v>571364</v>
      </c>
      <c r="X24" s="40">
        <f t="shared" si="1"/>
        <v>4228636</v>
      </c>
      <c r="Y24" s="40"/>
      <c r="Z24" s="41"/>
      <c r="AA24" s="40">
        <f t="shared" si="8"/>
        <v>4228636</v>
      </c>
    </row>
    <row r="25" spans="1:27" ht="12.75" x14ac:dyDescent="0.25">
      <c r="A25" s="120"/>
      <c r="B25" s="123">
        <v>22</v>
      </c>
      <c r="C25" s="37" t="s">
        <v>49</v>
      </c>
      <c r="D25" s="38" t="s">
        <v>32</v>
      </c>
      <c r="E25" s="39">
        <v>4023250</v>
      </c>
      <c r="F25" s="39">
        <v>30</v>
      </c>
      <c r="G25" s="39">
        <f t="shared" si="12"/>
        <v>4023250.0000000005</v>
      </c>
      <c r="H25" s="39"/>
      <c r="I25" s="39"/>
      <c r="J25" s="39"/>
      <c r="K25" s="39"/>
      <c r="L25" s="39"/>
      <c r="M25" s="39"/>
      <c r="N25" s="39">
        <f t="shared" si="2"/>
        <v>4023250.0000000005</v>
      </c>
      <c r="O25" s="39">
        <f t="shared" si="11"/>
        <v>160930.00000000003</v>
      </c>
      <c r="P25" s="39">
        <f t="shared" si="15"/>
        <v>160930.00000000003</v>
      </c>
      <c r="Q25" s="39"/>
      <c r="R25" s="39"/>
      <c r="S25" s="39">
        <f t="shared" si="3"/>
        <v>40232.500000000007</v>
      </c>
      <c r="T25" s="39">
        <v>2545</v>
      </c>
      <c r="U25" s="39"/>
      <c r="V25" s="39"/>
      <c r="W25" s="39">
        <f t="shared" si="0"/>
        <v>364637.50000000006</v>
      </c>
      <c r="X25" s="40">
        <f t="shared" si="1"/>
        <v>3658612.5000000005</v>
      </c>
      <c r="Y25" s="40"/>
      <c r="Z25" s="41"/>
      <c r="AA25" s="40">
        <f t="shared" si="8"/>
        <v>3658612.5000000005</v>
      </c>
    </row>
    <row r="26" spans="1:27" ht="12.75" x14ac:dyDescent="0.25">
      <c r="A26" s="120"/>
      <c r="B26" s="123">
        <v>23</v>
      </c>
      <c r="C26" s="37" t="s">
        <v>50</v>
      </c>
      <c r="D26" s="38" t="s">
        <v>32</v>
      </c>
      <c r="E26" s="39">
        <v>6583500</v>
      </c>
      <c r="F26" s="39">
        <v>30</v>
      </c>
      <c r="G26" s="39">
        <f t="shared" si="12"/>
        <v>6583500</v>
      </c>
      <c r="H26" s="39"/>
      <c r="I26" s="39"/>
      <c r="J26" s="39"/>
      <c r="K26" s="39"/>
      <c r="L26" s="39"/>
      <c r="M26" s="39"/>
      <c r="N26" s="39">
        <f t="shared" si="2"/>
        <v>6583500</v>
      </c>
      <c r="O26" s="39">
        <f t="shared" si="11"/>
        <v>263340</v>
      </c>
      <c r="P26" s="39">
        <f t="shared" si="15"/>
        <v>263340</v>
      </c>
      <c r="Q26" s="39"/>
      <c r="R26" s="39"/>
      <c r="S26" s="39">
        <f t="shared" si="3"/>
        <v>65835</v>
      </c>
      <c r="T26" s="48">
        <v>83706</v>
      </c>
      <c r="U26" s="39">
        <v>1560000</v>
      </c>
      <c r="V26" s="39"/>
      <c r="W26" s="39">
        <f t="shared" si="0"/>
        <v>2236221</v>
      </c>
      <c r="X26" s="40">
        <f>+N26-W26</f>
        <v>4347279</v>
      </c>
      <c r="Y26" s="40"/>
      <c r="Z26" s="41"/>
      <c r="AA26" s="40">
        <f t="shared" si="8"/>
        <v>4347279</v>
      </c>
    </row>
    <row r="27" spans="1:27" ht="12.75" x14ac:dyDescent="0.25">
      <c r="A27" s="120"/>
      <c r="B27" s="123">
        <v>24</v>
      </c>
      <c r="C27" s="37" t="s">
        <v>51</v>
      </c>
      <c r="D27" s="38" t="s">
        <v>32</v>
      </c>
      <c r="E27" s="39">
        <v>3500000</v>
      </c>
      <c r="F27" s="39">
        <v>30</v>
      </c>
      <c r="G27" s="39">
        <f t="shared" si="12"/>
        <v>3500000</v>
      </c>
      <c r="H27" s="39"/>
      <c r="I27" s="39"/>
      <c r="J27" s="39"/>
      <c r="K27" s="39"/>
      <c r="L27" s="39"/>
      <c r="M27" s="39">
        <v>500000</v>
      </c>
      <c r="N27" s="39">
        <f t="shared" si="2"/>
        <v>4000000</v>
      </c>
      <c r="O27" s="39">
        <f t="shared" si="11"/>
        <v>140000</v>
      </c>
      <c r="P27" s="39">
        <f t="shared" si="15"/>
        <v>140000</v>
      </c>
      <c r="Q27" s="39"/>
      <c r="R27" s="39"/>
      <c r="S27" s="39">
        <f t="shared" si="3"/>
        <v>35000</v>
      </c>
      <c r="T27" s="39">
        <v>0</v>
      </c>
      <c r="U27" s="39"/>
      <c r="V27" s="39">
        <v>500000</v>
      </c>
      <c r="W27" s="39">
        <f t="shared" si="0"/>
        <v>815000</v>
      </c>
      <c r="X27" s="40">
        <f>+N27-W27</f>
        <v>3185000</v>
      </c>
      <c r="Y27" s="40"/>
      <c r="Z27" s="41"/>
      <c r="AA27" s="40">
        <f t="shared" si="8"/>
        <v>3185000</v>
      </c>
    </row>
    <row r="28" spans="1:27" ht="12.75" x14ac:dyDescent="0.25">
      <c r="A28" s="120"/>
      <c r="B28" s="123">
        <v>25</v>
      </c>
      <c r="C28" s="37" t="s">
        <v>127</v>
      </c>
      <c r="D28" s="38" t="s">
        <v>32</v>
      </c>
      <c r="E28" s="39">
        <v>4000000</v>
      </c>
      <c r="F28" s="39">
        <v>30</v>
      </c>
      <c r="G28" s="39">
        <f t="shared" si="12"/>
        <v>4000000.0000000005</v>
      </c>
      <c r="H28" s="39"/>
      <c r="I28" s="39"/>
      <c r="J28" s="39"/>
      <c r="K28" s="39"/>
      <c r="L28" s="39"/>
      <c r="M28" s="39"/>
      <c r="N28" s="39">
        <f>SUM(G28:M28)</f>
        <v>4000000.0000000005</v>
      </c>
      <c r="O28" s="39">
        <f>+G28*4%</f>
        <v>160000.00000000003</v>
      </c>
      <c r="P28" s="39">
        <f>+O28</f>
        <v>160000.00000000003</v>
      </c>
      <c r="Q28" s="39"/>
      <c r="R28" s="39"/>
      <c r="S28" s="39">
        <f>+G28*1%</f>
        <v>40000.000000000007</v>
      </c>
      <c r="T28" s="39">
        <v>0</v>
      </c>
      <c r="U28" s="39"/>
      <c r="V28" s="39"/>
      <c r="W28" s="39">
        <f t="shared" si="0"/>
        <v>360000.00000000006</v>
      </c>
      <c r="X28" s="40">
        <f>+N28-W28</f>
        <v>3640000.0000000005</v>
      </c>
      <c r="Y28" s="40"/>
      <c r="Z28" s="41"/>
      <c r="AA28" s="40">
        <f t="shared" si="8"/>
        <v>3640000.0000000005</v>
      </c>
    </row>
    <row r="29" spans="1:27" ht="12.75" x14ac:dyDescent="0.25">
      <c r="A29" s="120"/>
      <c r="B29" s="123">
        <v>26</v>
      </c>
      <c r="C29" s="118" t="s">
        <v>53</v>
      </c>
      <c r="D29" s="45" t="s">
        <v>32</v>
      </c>
      <c r="E29" s="39">
        <v>4500000</v>
      </c>
      <c r="F29" s="39">
        <v>30</v>
      </c>
      <c r="G29" s="39">
        <f t="shared" si="12"/>
        <v>4500000</v>
      </c>
      <c r="H29" s="39"/>
      <c r="I29" s="39"/>
      <c r="J29" s="39"/>
      <c r="K29" s="39"/>
      <c r="L29" s="39"/>
      <c r="M29" s="39"/>
      <c r="N29" s="39">
        <f t="shared" si="2"/>
        <v>4500000</v>
      </c>
      <c r="O29" s="39">
        <f t="shared" si="11"/>
        <v>180000</v>
      </c>
      <c r="P29" s="39">
        <f t="shared" si="15"/>
        <v>180000</v>
      </c>
      <c r="Q29" s="39"/>
      <c r="R29" s="39"/>
      <c r="S29" s="39">
        <f>N29*1%</f>
        <v>45000</v>
      </c>
      <c r="T29" s="39">
        <v>34627</v>
      </c>
      <c r="U29" s="39"/>
      <c r="V29" s="39"/>
      <c r="W29" s="39">
        <f t="shared" si="0"/>
        <v>439627</v>
      </c>
      <c r="X29" s="40">
        <f>N29-W29</f>
        <v>4060373</v>
      </c>
      <c r="Y29" s="40"/>
      <c r="Z29" s="41"/>
      <c r="AA29" s="40">
        <f t="shared" si="8"/>
        <v>4060373</v>
      </c>
    </row>
    <row r="30" spans="1:27" ht="12.75" x14ac:dyDescent="0.25">
      <c r="A30" s="120"/>
      <c r="B30" s="123">
        <v>27</v>
      </c>
      <c r="C30" s="139" t="s">
        <v>54</v>
      </c>
      <c r="D30" s="42" t="s">
        <v>32</v>
      </c>
      <c r="E30" s="39">
        <v>5000000</v>
      </c>
      <c r="F30" s="39">
        <v>30</v>
      </c>
      <c r="G30" s="39">
        <f t="shared" si="12"/>
        <v>5000000</v>
      </c>
      <c r="H30" s="39"/>
      <c r="I30" s="39"/>
      <c r="J30" s="39"/>
      <c r="K30" s="39"/>
      <c r="L30" s="39"/>
      <c r="M30" s="39">
        <f>400000/30*F30</f>
        <v>400000</v>
      </c>
      <c r="N30" s="39">
        <f t="shared" si="2"/>
        <v>5400000</v>
      </c>
      <c r="O30" s="39">
        <f>G30*4%</f>
        <v>200000</v>
      </c>
      <c r="P30" s="39">
        <f>O30</f>
        <v>200000</v>
      </c>
      <c r="Q30" s="39"/>
      <c r="R30" s="39"/>
      <c r="S30" s="39">
        <f>G30*1%</f>
        <v>50000</v>
      </c>
      <c r="T30" s="39">
        <v>166439</v>
      </c>
      <c r="U30" s="39"/>
      <c r="V30" s="39"/>
      <c r="W30" s="39">
        <f t="shared" si="0"/>
        <v>616439</v>
      </c>
      <c r="X30" s="40">
        <f>N30-W30</f>
        <v>4783561</v>
      </c>
      <c r="Y30" s="40"/>
      <c r="Z30" s="41"/>
      <c r="AA30" s="40">
        <f t="shared" si="8"/>
        <v>4783561</v>
      </c>
    </row>
    <row r="31" spans="1:27" ht="25.5" x14ac:dyDescent="0.25">
      <c r="A31" s="120"/>
      <c r="B31" s="123">
        <v>28</v>
      </c>
      <c r="C31" s="37" t="s">
        <v>55</v>
      </c>
      <c r="D31" s="38" t="s">
        <v>32</v>
      </c>
      <c r="E31" s="39">
        <v>4410000</v>
      </c>
      <c r="F31" s="39">
        <v>30</v>
      </c>
      <c r="G31" s="39">
        <f t="shared" si="12"/>
        <v>4410000</v>
      </c>
      <c r="H31" s="39"/>
      <c r="I31" s="39"/>
      <c r="J31" s="39"/>
      <c r="K31" s="39"/>
      <c r="L31" s="39"/>
      <c r="M31" s="39"/>
      <c r="N31" s="39">
        <f>SUM(G31:M31)</f>
        <v>4410000</v>
      </c>
      <c r="O31" s="39">
        <f>+G31*4%</f>
        <v>176400</v>
      </c>
      <c r="P31" s="39">
        <f>+O31</f>
        <v>176400</v>
      </c>
      <c r="Q31" s="39"/>
      <c r="R31" s="39"/>
      <c r="S31" s="39">
        <f t="shared" si="3"/>
        <v>44100</v>
      </c>
      <c r="T31" s="39">
        <v>2545</v>
      </c>
      <c r="U31" s="39"/>
      <c r="V31" s="39">
        <v>1300000</v>
      </c>
      <c r="W31" s="39">
        <f t="shared" si="0"/>
        <v>1699445</v>
      </c>
      <c r="X31" s="40">
        <f>+N31-W31</f>
        <v>2710555</v>
      </c>
      <c r="Y31" s="40"/>
      <c r="Z31" s="41"/>
      <c r="AA31" s="40">
        <f t="shared" si="8"/>
        <v>2710555</v>
      </c>
    </row>
    <row r="32" spans="1:27" ht="12.75" x14ac:dyDescent="0.25">
      <c r="A32" s="120"/>
      <c r="B32" s="123">
        <v>29</v>
      </c>
      <c r="C32" s="37" t="s">
        <v>109</v>
      </c>
      <c r="D32" s="38" t="s">
        <v>32</v>
      </c>
      <c r="E32" s="39">
        <v>4200000</v>
      </c>
      <c r="F32" s="39">
        <v>30</v>
      </c>
      <c r="G32" s="39">
        <f t="shared" si="12"/>
        <v>4200000</v>
      </c>
      <c r="H32" s="39"/>
      <c r="I32" s="39"/>
      <c r="J32" s="39"/>
      <c r="K32" s="39"/>
      <c r="L32" s="39"/>
      <c r="M32" s="39"/>
      <c r="N32" s="39">
        <f>SUM(G32:M32)</f>
        <v>4200000</v>
      </c>
      <c r="O32" s="39">
        <f>+G32*4%</f>
        <v>168000</v>
      </c>
      <c r="P32" s="39">
        <f>+O32</f>
        <v>168000</v>
      </c>
      <c r="Q32" s="39"/>
      <c r="R32" s="39"/>
      <c r="S32" s="39">
        <v>42000</v>
      </c>
      <c r="T32" s="39">
        <v>2545</v>
      </c>
      <c r="U32" s="39"/>
      <c r="V32" s="39"/>
      <c r="W32" s="39">
        <f t="shared" si="0"/>
        <v>380545</v>
      </c>
      <c r="X32" s="40">
        <f>+N32-W32</f>
        <v>3819455</v>
      </c>
      <c r="Y32" s="40"/>
      <c r="Z32" s="41"/>
      <c r="AA32" s="40">
        <f t="shared" si="8"/>
        <v>3819455</v>
      </c>
    </row>
    <row r="33" spans="1:27" ht="12.75" x14ac:dyDescent="0.25">
      <c r="A33" s="120"/>
      <c r="B33" s="123">
        <v>30</v>
      </c>
      <c r="C33" s="37" t="s">
        <v>128</v>
      </c>
      <c r="D33" s="38" t="s">
        <v>32</v>
      </c>
      <c r="E33" s="39">
        <v>4500000</v>
      </c>
      <c r="F33" s="39">
        <v>30</v>
      </c>
      <c r="G33" s="39">
        <f t="shared" si="12"/>
        <v>4500000</v>
      </c>
      <c r="H33" s="39"/>
      <c r="I33" s="39"/>
      <c r="J33" s="39"/>
      <c r="K33" s="39"/>
      <c r="L33" s="39"/>
      <c r="M33" s="39"/>
      <c r="N33" s="39">
        <f>SUM(G33:M33)</f>
        <v>4500000</v>
      </c>
      <c r="O33" s="39">
        <f>+G33*4%</f>
        <v>180000</v>
      </c>
      <c r="P33" s="39">
        <f>+O33</f>
        <v>180000</v>
      </c>
      <c r="Q33" s="39"/>
      <c r="R33" s="39"/>
      <c r="S33" s="39">
        <f>+G33*1%</f>
        <v>45000</v>
      </c>
      <c r="T33" s="39">
        <v>34627</v>
      </c>
      <c r="U33" s="39"/>
      <c r="V33" s="39"/>
      <c r="W33" s="39">
        <f t="shared" ref="W33" si="16">SUM(O33:V33)</f>
        <v>439627</v>
      </c>
      <c r="X33" s="40">
        <f>+N33-W33</f>
        <v>4060373</v>
      </c>
      <c r="Y33" s="40"/>
      <c r="Z33" s="41"/>
      <c r="AA33" s="40">
        <f t="shared" si="8"/>
        <v>4060373</v>
      </c>
    </row>
    <row r="34" spans="1:27" ht="12.75" x14ac:dyDescent="0.25">
      <c r="A34" s="120"/>
      <c r="B34" s="123">
        <v>31</v>
      </c>
      <c r="C34" s="138" t="s">
        <v>56</v>
      </c>
      <c r="D34" s="96" t="s">
        <v>32</v>
      </c>
      <c r="E34" s="39">
        <v>4180000</v>
      </c>
      <c r="F34" s="39">
        <v>30</v>
      </c>
      <c r="G34" s="39">
        <f t="shared" si="12"/>
        <v>4180000.0000000005</v>
      </c>
      <c r="H34" s="39"/>
      <c r="I34" s="39"/>
      <c r="J34" s="39"/>
      <c r="K34" s="39"/>
      <c r="L34" s="39"/>
      <c r="M34" s="39">
        <v>522500</v>
      </c>
      <c r="N34" s="39">
        <f>SUM(G34:M34)</f>
        <v>4702500</v>
      </c>
      <c r="O34" s="39">
        <f>+G34*4%</f>
        <v>167200.00000000003</v>
      </c>
      <c r="P34" s="39">
        <f>+O34</f>
        <v>167200.00000000003</v>
      </c>
      <c r="Q34" s="39"/>
      <c r="R34" s="39"/>
      <c r="S34" s="39">
        <f t="shared" si="3"/>
        <v>41800.000000000007</v>
      </c>
      <c r="T34" s="39">
        <v>55432</v>
      </c>
      <c r="U34" s="39"/>
      <c r="V34" s="39"/>
      <c r="W34" s="39">
        <f t="shared" si="0"/>
        <v>431632.00000000006</v>
      </c>
      <c r="X34" s="40">
        <f>+N34-W34</f>
        <v>4270868</v>
      </c>
      <c r="Y34" s="40"/>
      <c r="Z34" s="41"/>
      <c r="AA34" s="40">
        <f t="shared" si="8"/>
        <v>4270868</v>
      </c>
    </row>
    <row r="35" spans="1:27" ht="30.75" customHeight="1" x14ac:dyDescent="0.25">
      <c r="A35" s="120"/>
      <c r="B35" s="123">
        <v>32</v>
      </c>
      <c r="C35" s="37" t="s">
        <v>121</v>
      </c>
      <c r="D35" s="38" t="s">
        <v>32</v>
      </c>
      <c r="E35" s="39">
        <v>4500000</v>
      </c>
      <c r="F35" s="39">
        <v>30</v>
      </c>
      <c r="G35" s="39">
        <f t="shared" si="12"/>
        <v>4500000</v>
      </c>
      <c r="H35" s="39"/>
      <c r="I35" s="39"/>
      <c r="J35" s="39"/>
      <c r="K35" s="39"/>
      <c r="L35" s="39"/>
      <c r="M35" s="39">
        <v>300000</v>
      </c>
      <c r="N35" s="39">
        <f t="shared" ref="N35:N36" si="17">SUM(G35:M35)</f>
        <v>4800000</v>
      </c>
      <c r="O35" s="39">
        <f t="shared" ref="O35" si="18">+G35*4%</f>
        <v>180000</v>
      </c>
      <c r="P35" s="39">
        <f>O35</f>
        <v>180000</v>
      </c>
      <c r="Q35" s="39"/>
      <c r="R35" s="39"/>
      <c r="S35" s="39">
        <v>45000</v>
      </c>
      <c r="T35" s="39">
        <v>98752</v>
      </c>
      <c r="U35" s="39"/>
      <c r="V35" s="39"/>
      <c r="W35" s="39">
        <f t="shared" si="0"/>
        <v>503752</v>
      </c>
      <c r="X35" s="40">
        <f>N35-W35</f>
        <v>4296248</v>
      </c>
      <c r="Y35" s="40"/>
      <c r="Z35" s="41"/>
      <c r="AA35" s="40">
        <f t="shared" si="8"/>
        <v>4296248</v>
      </c>
    </row>
    <row r="36" spans="1:27" ht="12.75" x14ac:dyDescent="0.25">
      <c r="A36" s="120"/>
      <c r="B36" s="123">
        <v>33</v>
      </c>
      <c r="C36" s="37" t="s">
        <v>59</v>
      </c>
      <c r="D36" s="38" t="s">
        <v>32</v>
      </c>
      <c r="E36" s="39">
        <v>5747500</v>
      </c>
      <c r="F36" s="39">
        <v>30</v>
      </c>
      <c r="G36" s="39">
        <f t="shared" si="12"/>
        <v>5747500</v>
      </c>
      <c r="H36" s="39"/>
      <c r="I36" s="39"/>
      <c r="J36" s="39"/>
      <c r="K36" s="39"/>
      <c r="L36" s="39"/>
      <c r="M36" s="39">
        <v>500000</v>
      </c>
      <c r="N36" s="39">
        <f t="shared" si="17"/>
        <v>6247500</v>
      </c>
      <c r="O36" s="39">
        <v>229900</v>
      </c>
      <c r="P36" s="39">
        <f>+O36</f>
        <v>229900</v>
      </c>
      <c r="Q36" s="39"/>
      <c r="R36" s="39"/>
      <c r="S36" s="39">
        <f t="shared" si="3"/>
        <v>57475</v>
      </c>
      <c r="T36" s="39">
        <v>91627</v>
      </c>
      <c r="U36" s="39">
        <v>1000000</v>
      </c>
      <c r="V36" s="39"/>
      <c r="W36" s="39">
        <f t="shared" si="0"/>
        <v>1608902</v>
      </c>
      <c r="X36" s="40">
        <f>N36-W36</f>
        <v>4638598</v>
      </c>
      <c r="Y36" s="40"/>
      <c r="Z36" s="41"/>
      <c r="AA36" s="40">
        <f t="shared" si="8"/>
        <v>4638598</v>
      </c>
    </row>
    <row r="37" spans="1:27" ht="12.75" x14ac:dyDescent="0.25">
      <c r="A37" s="120" t="s">
        <v>60</v>
      </c>
      <c r="B37" s="123">
        <v>34</v>
      </c>
      <c r="C37" s="37" t="s">
        <v>61</v>
      </c>
      <c r="D37" s="38" t="s">
        <v>32</v>
      </c>
      <c r="E37" s="39">
        <v>1500000</v>
      </c>
      <c r="F37" s="39">
        <v>30</v>
      </c>
      <c r="G37" s="39">
        <f t="shared" si="12"/>
        <v>1500000</v>
      </c>
      <c r="H37" s="39"/>
      <c r="I37" s="39"/>
      <c r="J37" s="39"/>
      <c r="K37" s="39"/>
      <c r="L37" s="39"/>
      <c r="M37" s="39">
        <v>522500</v>
      </c>
      <c r="N37" s="39">
        <f>SUM(G37:M37)</f>
        <v>2022500</v>
      </c>
      <c r="O37" s="39">
        <f>+G37*4%</f>
        <v>60000</v>
      </c>
      <c r="P37" s="39">
        <f>+O37</f>
        <v>60000</v>
      </c>
      <c r="Q37" s="39"/>
      <c r="R37" s="39"/>
      <c r="S37" s="39"/>
      <c r="T37" s="48">
        <v>0</v>
      </c>
      <c r="U37" s="39"/>
      <c r="V37" s="39"/>
      <c r="W37" s="39">
        <f t="shared" si="0"/>
        <v>120000</v>
      </c>
      <c r="X37" s="40">
        <f>+N37-W37</f>
        <v>1902500</v>
      </c>
      <c r="Y37" s="40"/>
      <c r="Z37" s="41"/>
      <c r="AA37" s="40">
        <f t="shared" si="8"/>
        <v>1902500</v>
      </c>
    </row>
    <row r="38" spans="1:27" ht="12.75" x14ac:dyDescent="0.25">
      <c r="A38" s="120"/>
      <c r="B38" s="123">
        <v>35</v>
      </c>
      <c r="C38" s="37" t="s">
        <v>133</v>
      </c>
      <c r="D38" s="38" t="s">
        <v>32</v>
      </c>
      <c r="E38" s="39">
        <v>322250</v>
      </c>
      <c r="F38" s="39">
        <v>5</v>
      </c>
      <c r="G38" s="39">
        <f t="shared" si="12"/>
        <v>53708.333333333328</v>
      </c>
      <c r="H38" s="39"/>
      <c r="I38" s="39"/>
      <c r="J38" s="39"/>
      <c r="K38" s="39"/>
      <c r="L38" s="39"/>
      <c r="M38" s="39"/>
      <c r="N38" s="39">
        <f>SUM(G38:M38)</f>
        <v>53708.333333333328</v>
      </c>
      <c r="O38" s="39"/>
      <c r="P38" s="39"/>
      <c r="Q38" s="39"/>
      <c r="R38" s="39"/>
      <c r="S38" s="39"/>
      <c r="T38" s="48"/>
      <c r="U38" s="39"/>
      <c r="V38" s="39"/>
      <c r="W38" s="39">
        <f t="shared" si="0"/>
        <v>0</v>
      </c>
      <c r="X38" s="40">
        <f>+N38-W38</f>
        <v>53708.333333333328</v>
      </c>
      <c r="Y38" s="40"/>
      <c r="Z38" s="41"/>
      <c r="AA38" s="40">
        <f t="shared" si="8"/>
        <v>53708.333333333328</v>
      </c>
    </row>
    <row r="39" spans="1:27" ht="12.75" x14ac:dyDescent="0.25">
      <c r="A39" s="120"/>
      <c r="B39" s="123">
        <v>36</v>
      </c>
      <c r="C39" s="37" t="s">
        <v>65</v>
      </c>
      <c r="D39" s="38" t="s">
        <v>32</v>
      </c>
      <c r="E39" s="39">
        <v>644350</v>
      </c>
      <c r="F39" s="39">
        <v>30</v>
      </c>
      <c r="G39" s="39">
        <f>E39/30*F39</f>
        <v>644350</v>
      </c>
      <c r="H39" s="39"/>
      <c r="I39" s="39"/>
      <c r="J39" s="39"/>
      <c r="K39" s="39"/>
      <c r="L39" s="39"/>
      <c r="M39" s="39"/>
      <c r="N39" s="39">
        <f t="shared" ref="N39:N59" si="19">SUM(G39:M39)</f>
        <v>644350</v>
      </c>
      <c r="O39" s="39"/>
      <c r="P39" s="39"/>
      <c r="Q39" s="39"/>
      <c r="R39" s="39"/>
      <c r="S39" s="39"/>
      <c r="T39" s="39">
        <v>0</v>
      </c>
      <c r="U39" s="39"/>
      <c r="V39" s="39"/>
      <c r="W39" s="39">
        <f t="shared" si="0"/>
        <v>0</v>
      </c>
      <c r="X39" s="40">
        <f>N39</f>
        <v>644350</v>
      </c>
      <c r="Y39" s="40"/>
      <c r="Z39" s="41"/>
      <c r="AA39" s="40">
        <f t="shared" si="8"/>
        <v>644350</v>
      </c>
    </row>
    <row r="40" spans="1:27" ht="12.75" x14ac:dyDescent="0.25">
      <c r="A40" s="120"/>
      <c r="B40" s="123">
        <v>37</v>
      </c>
      <c r="C40" s="37" t="s">
        <v>66</v>
      </c>
      <c r="D40" s="38" t="s">
        <v>32</v>
      </c>
      <c r="E40" s="39">
        <v>644350</v>
      </c>
      <c r="F40" s="39">
        <v>30</v>
      </c>
      <c r="G40" s="39">
        <f>E40/30*F40</f>
        <v>644350</v>
      </c>
      <c r="H40" s="39"/>
      <c r="I40" s="39"/>
      <c r="J40" s="39"/>
      <c r="K40" s="39"/>
      <c r="L40" s="39"/>
      <c r="M40" s="39"/>
      <c r="N40" s="39">
        <f t="shared" si="19"/>
        <v>644350</v>
      </c>
      <c r="O40" s="39"/>
      <c r="P40" s="39"/>
      <c r="Q40" s="39"/>
      <c r="R40" s="39"/>
      <c r="S40" s="39"/>
      <c r="T40" s="39">
        <v>0</v>
      </c>
      <c r="U40" s="39"/>
      <c r="V40" s="39"/>
      <c r="W40" s="39">
        <f t="shared" si="0"/>
        <v>0</v>
      </c>
      <c r="X40" s="40">
        <f>N40</f>
        <v>644350</v>
      </c>
      <c r="Y40" s="40"/>
      <c r="Z40" s="41"/>
      <c r="AA40" s="40">
        <f t="shared" si="8"/>
        <v>644350</v>
      </c>
    </row>
    <row r="41" spans="1:27" ht="12.75" x14ac:dyDescent="0.25">
      <c r="A41" s="120"/>
      <c r="B41" s="123">
        <v>38</v>
      </c>
      <c r="C41" s="118" t="s">
        <v>67</v>
      </c>
      <c r="D41" s="45" t="s">
        <v>32</v>
      </c>
      <c r="E41" s="39">
        <v>1300000</v>
      </c>
      <c r="F41" s="39">
        <v>30</v>
      </c>
      <c r="G41" s="39">
        <f>+E41/30*F41</f>
        <v>1300000</v>
      </c>
      <c r="H41" s="39"/>
      <c r="I41" s="39"/>
      <c r="J41" s="39"/>
      <c r="K41" s="39"/>
      <c r="L41" s="39"/>
      <c r="M41" s="39"/>
      <c r="N41" s="39">
        <f t="shared" si="19"/>
        <v>1300000</v>
      </c>
      <c r="O41" s="39">
        <f>G41*4%</f>
        <v>52000</v>
      </c>
      <c r="P41" s="39">
        <f>+O41</f>
        <v>52000</v>
      </c>
      <c r="Q41" s="39"/>
      <c r="R41" s="39"/>
      <c r="S41" s="39"/>
      <c r="T41" s="39">
        <v>0</v>
      </c>
      <c r="U41" s="39"/>
      <c r="V41" s="39"/>
      <c r="W41" s="39">
        <f t="shared" si="0"/>
        <v>104000</v>
      </c>
      <c r="X41" s="40">
        <f>N41-W41</f>
        <v>1196000</v>
      </c>
      <c r="Y41" s="40"/>
      <c r="Z41" s="41"/>
      <c r="AA41" s="40">
        <f t="shared" si="8"/>
        <v>1196000</v>
      </c>
    </row>
    <row r="42" spans="1:27" ht="12.75" x14ac:dyDescent="0.25">
      <c r="A42" s="120"/>
      <c r="B42" s="123">
        <v>39</v>
      </c>
      <c r="C42" s="37" t="s">
        <v>68</v>
      </c>
      <c r="D42" s="38" t="s">
        <v>32</v>
      </c>
      <c r="E42" s="39">
        <v>2500000</v>
      </c>
      <c r="F42" s="39">
        <v>30</v>
      </c>
      <c r="G42" s="39">
        <f t="shared" ref="G42:G43" si="20">+E42/30*F42</f>
        <v>2500000</v>
      </c>
      <c r="H42" s="39"/>
      <c r="I42" s="39"/>
      <c r="J42" s="39"/>
      <c r="K42" s="39"/>
      <c r="L42" s="39"/>
      <c r="M42" s="39">
        <v>500000</v>
      </c>
      <c r="N42" s="39">
        <f t="shared" si="19"/>
        <v>3000000</v>
      </c>
      <c r="O42" s="39">
        <f>G42*4%</f>
        <v>100000</v>
      </c>
      <c r="P42" s="39">
        <f>O42</f>
        <v>100000</v>
      </c>
      <c r="Q42" s="39"/>
      <c r="R42" s="39"/>
      <c r="S42" s="39"/>
      <c r="T42" s="39">
        <v>0</v>
      </c>
      <c r="U42" s="39"/>
      <c r="V42" s="39">
        <v>766228</v>
      </c>
      <c r="W42" s="39">
        <f t="shared" si="0"/>
        <v>966228</v>
      </c>
      <c r="X42" s="40">
        <f t="shared" ref="X42:X46" si="21">N42-W42</f>
        <v>2033772</v>
      </c>
      <c r="Y42" s="40"/>
      <c r="Z42" s="41"/>
      <c r="AA42" s="40">
        <f t="shared" si="8"/>
        <v>2033772</v>
      </c>
    </row>
    <row r="43" spans="1:27" ht="12.75" x14ac:dyDescent="0.25">
      <c r="A43" s="120"/>
      <c r="B43" s="123">
        <v>40</v>
      </c>
      <c r="C43" s="37" t="s">
        <v>134</v>
      </c>
      <c r="D43" s="38" t="s">
        <v>32</v>
      </c>
      <c r="E43" s="39">
        <v>322250</v>
      </c>
      <c r="F43" s="39">
        <v>5</v>
      </c>
      <c r="G43" s="39">
        <f t="shared" si="20"/>
        <v>53708.333333333328</v>
      </c>
      <c r="H43" s="39"/>
      <c r="I43" s="39"/>
      <c r="J43" s="39"/>
      <c r="K43" s="39"/>
      <c r="L43" s="39"/>
      <c r="M43" s="39"/>
      <c r="N43" s="39">
        <f t="shared" si="19"/>
        <v>53708.333333333328</v>
      </c>
      <c r="O43" s="39"/>
      <c r="P43" s="39"/>
      <c r="Q43" s="39"/>
      <c r="R43" s="39"/>
      <c r="S43" s="39"/>
      <c r="T43" s="39"/>
      <c r="U43" s="39"/>
      <c r="V43" s="39"/>
      <c r="W43" s="39">
        <f t="shared" si="0"/>
        <v>0</v>
      </c>
      <c r="X43" s="40">
        <f t="shared" si="21"/>
        <v>53708.333333333328</v>
      </c>
      <c r="Y43" s="40"/>
      <c r="Z43" s="41"/>
      <c r="AA43" s="40">
        <f t="shared" si="8"/>
        <v>53708.333333333328</v>
      </c>
    </row>
    <row r="44" spans="1:27" ht="12.75" x14ac:dyDescent="0.25">
      <c r="A44" s="120"/>
      <c r="B44" s="123">
        <v>41</v>
      </c>
      <c r="C44" s="37" t="s">
        <v>70</v>
      </c>
      <c r="D44" s="38" t="s">
        <v>32</v>
      </c>
      <c r="E44" s="39">
        <v>1700000</v>
      </c>
      <c r="F44" s="39">
        <v>30</v>
      </c>
      <c r="G44" s="39">
        <f>E44/30*F44</f>
        <v>1700000</v>
      </c>
      <c r="H44" s="39"/>
      <c r="I44" s="39"/>
      <c r="J44" s="39"/>
      <c r="K44" s="39"/>
      <c r="L44" s="39"/>
      <c r="M44" s="39"/>
      <c r="N44" s="39">
        <f t="shared" si="19"/>
        <v>1700000</v>
      </c>
      <c r="O44" s="39">
        <f t="shared" ref="O44" si="22">G44*4%</f>
        <v>68000</v>
      </c>
      <c r="P44" s="39">
        <f>O44</f>
        <v>68000</v>
      </c>
      <c r="Q44" s="39"/>
      <c r="R44" s="39"/>
      <c r="S44" s="39"/>
      <c r="T44" s="39">
        <v>0</v>
      </c>
      <c r="U44" s="39"/>
      <c r="V44" s="39"/>
      <c r="W44" s="39">
        <f t="shared" si="0"/>
        <v>136000</v>
      </c>
      <c r="X44" s="40">
        <f t="shared" si="21"/>
        <v>1564000</v>
      </c>
      <c r="Y44" s="40"/>
      <c r="Z44" s="41"/>
      <c r="AA44" s="40">
        <f t="shared" si="8"/>
        <v>1564000</v>
      </c>
    </row>
    <row r="45" spans="1:27" ht="12.75" x14ac:dyDescent="0.25">
      <c r="A45" s="120"/>
      <c r="B45" s="123">
        <v>42</v>
      </c>
      <c r="C45" s="37" t="s">
        <v>71</v>
      </c>
      <c r="D45" s="38" t="s">
        <v>32</v>
      </c>
      <c r="E45" s="39">
        <v>1300000</v>
      </c>
      <c r="F45" s="39">
        <v>30</v>
      </c>
      <c r="G45" s="39">
        <f>E45/30*F45</f>
        <v>1300000</v>
      </c>
      <c r="H45" s="39"/>
      <c r="I45" s="39"/>
      <c r="J45" s="39"/>
      <c r="K45" s="39"/>
      <c r="L45" s="39"/>
      <c r="M45" s="39"/>
      <c r="N45" s="39">
        <f t="shared" si="19"/>
        <v>1300000</v>
      </c>
      <c r="O45" s="39">
        <f>G45*4%</f>
        <v>52000</v>
      </c>
      <c r="P45" s="39">
        <f>O45</f>
        <v>52000</v>
      </c>
      <c r="Q45" s="39"/>
      <c r="R45" s="39"/>
      <c r="S45" s="39"/>
      <c r="T45" s="39">
        <v>0</v>
      </c>
      <c r="U45" s="39"/>
      <c r="V45" s="39"/>
      <c r="W45" s="39">
        <f t="shared" si="0"/>
        <v>104000</v>
      </c>
      <c r="X45" s="40">
        <f t="shared" si="21"/>
        <v>1196000</v>
      </c>
      <c r="Y45" s="40"/>
      <c r="Z45" s="41"/>
      <c r="AA45" s="40">
        <f t="shared" si="8"/>
        <v>1196000</v>
      </c>
    </row>
    <row r="46" spans="1:27" ht="12.75" x14ac:dyDescent="0.25">
      <c r="A46" s="120"/>
      <c r="B46" s="123">
        <v>43</v>
      </c>
      <c r="C46" s="118" t="s">
        <v>111</v>
      </c>
      <c r="D46" s="45" t="s">
        <v>32</v>
      </c>
      <c r="E46" s="39">
        <v>644350</v>
      </c>
      <c r="F46" s="39">
        <v>30</v>
      </c>
      <c r="G46" s="39">
        <f>+E46/30*F46</f>
        <v>644350</v>
      </c>
      <c r="H46" s="39">
        <v>74000</v>
      </c>
      <c r="I46" s="39"/>
      <c r="J46" s="39"/>
      <c r="K46" s="39"/>
      <c r="L46" s="39"/>
      <c r="M46" s="39"/>
      <c r="N46" s="39">
        <f t="shared" si="19"/>
        <v>718350</v>
      </c>
      <c r="O46" s="39">
        <f t="shared" ref="O46:O52" si="23">+G46*4%</f>
        <v>25774</v>
      </c>
      <c r="P46" s="39">
        <f>+O46</f>
        <v>25774</v>
      </c>
      <c r="Q46" s="39"/>
      <c r="R46" s="39"/>
      <c r="S46" s="39"/>
      <c r="T46" s="39">
        <v>0</v>
      </c>
      <c r="U46" s="39"/>
      <c r="V46" s="39">
        <v>250000</v>
      </c>
      <c r="W46" s="39">
        <f t="shared" si="0"/>
        <v>301548</v>
      </c>
      <c r="X46" s="40">
        <f t="shared" si="21"/>
        <v>416802</v>
      </c>
      <c r="Y46" s="40"/>
      <c r="Z46" s="41"/>
      <c r="AA46" s="40">
        <f t="shared" si="8"/>
        <v>416802</v>
      </c>
    </row>
    <row r="47" spans="1:27" ht="12.75" x14ac:dyDescent="0.25">
      <c r="A47" s="120"/>
      <c r="B47" s="123">
        <v>44</v>
      </c>
      <c r="C47" s="118" t="s">
        <v>135</v>
      </c>
      <c r="D47" s="45" t="s">
        <v>32</v>
      </c>
      <c r="E47" s="39">
        <v>322250</v>
      </c>
      <c r="F47" s="39">
        <v>5</v>
      </c>
      <c r="G47" s="39">
        <f>+E47/30*F47</f>
        <v>53708.333333333328</v>
      </c>
      <c r="H47" s="39"/>
      <c r="I47" s="39"/>
      <c r="J47" s="39"/>
      <c r="K47" s="39"/>
      <c r="L47" s="39"/>
      <c r="M47" s="39"/>
      <c r="N47" s="39">
        <f t="shared" si="19"/>
        <v>53708.333333333328</v>
      </c>
      <c r="O47" s="39"/>
      <c r="P47" s="39"/>
      <c r="Q47" s="39"/>
      <c r="R47" s="39"/>
      <c r="S47" s="39"/>
      <c r="T47" s="39"/>
      <c r="U47" s="39"/>
      <c r="V47" s="39"/>
      <c r="W47" s="39">
        <f t="shared" si="0"/>
        <v>0</v>
      </c>
      <c r="X47" s="40">
        <f>N47-W47</f>
        <v>53708.333333333328</v>
      </c>
      <c r="Y47" s="40"/>
      <c r="Z47" s="41"/>
      <c r="AA47" s="40">
        <f t="shared" si="8"/>
        <v>53708.333333333328</v>
      </c>
    </row>
    <row r="48" spans="1:27" ht="12.75" x14ac:dyDescent="0.25">
      <c r="A48" s="120"/>
      <c r="B48" s="123">
        <v>45</v>
      </c>
      <c r="C48" s="118" t="s">
        <v>112</v>
      </c>
      <c r="D48" s="45" t="s">
        <v>32</v>
      </c>
      <c r="E48" s="39">
        <v>1500000</v>
      </c>
      <c r="F48" s="39">
        <v>30</v>
      </c>
      <c r="G48" s="39">
        <f>+E48/30*F48</f>
        <v>1500000</v>
      </c>
      <c r="H48" s="39"/>
      <c r="I48" s="39"/>
      <c r="J48" s="39"/>
      <c r="K48" s="39"/>
      <c r="L48" s="39"/>
      <c r="M48" s="39"/>
      <c r="N48" s="39">
        <f t="shared" si="19"/>
        <v>1500000</v>
      </c>
      <c r="O48" s="39">
        <f t="shared" si="23"/>
        <v>60000</v>
      </c>
      <c r="P48" s="39">
        <f>+O48</f>
        <v>60000</v>
      </c>
      <c r="Q48" s="39"/>
      <c r="R48" s="39"/>
      <c r="S48" s="39"/>
      <c r="T48" s="39">
        <v>0</v>
      </c>
      <c r="U48" s="39"/>
      <c r="V48" s="39"/>
      <c r="W48" s="39">
        <f t="shared" si="0"/>
        <v>120000</v>
      </c>
      <c r="X48" s="40">
        <f>N48-W48</f>
        <v>1380000</v>
      </c>
      <c r="Y48" s="40"/>
      <c r="Z48" s="41"/>
      <c r="AA48" s="40">
        <f>X48+Y48-Z48</f>
        <v>1380000</v>
      </c>
    </row>
    <row r="49" spans="1:28" ht="12.75" x14ac:dyDescent="0.25">
      <c r="A49" s="120"/>
      <c r="B49" s="123">
        <v>46</v>
      </c>
      <c r="C49" s="37" t="s">
        <v>74</v>
      </c>
      <c r="D49" s="38" t="s">
        <v>32</v>
      </c>
      <c r="E49" s="39">
        <v>1000000</v>
      </c>
      <c r="F49" s="39">
        <v>30</v>
      </c>
      <c r="G49" s="39">
        <f>+E49/30*F49</f>
        <v>1000000.0000000001</v>
      </c>
      <c r="H49" s="39">
        <v>74000</v>
      </c>
      <c r="I49" s="39"/>
      <c r="J49" s="39"/>
      <c r="K49" s="39"/>
      <c r="L49" s="39"/>
      <c r="M49" s="39"/>
      <c r="N49" s="39">
        <f t="shared" si="19"/>
        <v>1074000</v>
      </c>
      <c r="O49" s="39">
        <f t="shared" si="23"/>
        <v>40000.000000000007</v>
      </c>
      <c r="P49" s="39">
        <f t="shared" ref="P49:P59" si="24">+O49</f>
        <v>40000.000000000007</v>
      </c>
      <c r="Q49" s="39"/>
      <c r="R49" s="39"/>
      <c r="S49" s="39"/>
      <c r="T49" s="39">
        <v>0</v>
      </c>
      <c r="U49" s="39"/>
      <c r="V49" s="39"/>
      <c r="W49" s="39">
        <f t="shared" si="0"/>
        <v>80000.000000000015</v>
      </c>
      <c r="X49" s="40">
        <f t="shared" ref="X49:X56" si="25">+N49-W49</f>
        <v>994000</v>
      </c>
      <c r="Y49" s="40"/>
      <c r="Z49" s="41"/>
      <c r="AA49" s="40">
        <f t="shared" si="8"/>
        <v>994000</v>
      </c>
    </row>
    <row r="50" spans="1:28" ht="12.75" x14ac:dyDescent="0.25">
      <c r="A50" s="120"/>
      <c r="B50" s="123">
        <v>47</v>
      </c>
      <c r="C50" s="37" t="s">
        <v>75</v>
      </c>
      <c r="D50" s="38" t="s">
        <v>32</v>
      </c>
      <c r="E50" s="39">
        <v>3000000</v>
      </c>
      <c r="F50" s="39">
        <v>30</v>
      </c>
      <c r="G50" s="39">
        <f t="shared" ref="G50:G59" si="26">+E50/30*F50</f>
        <v>3000000</v>
      </c>
      <c r="H50" s="39"/>
      <c r="I50" s="39"/>
      <c r="J50" s="39"/>
      <c r="K50" s="39"/>
      <c r="L50" s="39"/>
      <c r="M50" s="39"/>
      <c r="N50" s="39">
        <f t="shared" si="19"/>
        <v>3000000</v>
      </c>
      <c r="O50" s="39">
        <f t="shared" si="23"/>
        <v>120000</v>
      </c>
      <c r="P50" s="39">
        <f t="shared" si="24"/>
        <v>120000</v>
      </c>
      <c r="Q50" s="39"/>
      <c r="R50" s="39"/>
      <c r="S50" s="39">
        <f>N50*1%</f>
        <v>30000</v>
      </c>
      <c r="T50" s="39">
        <v>0</v>
      </c>
      <c r="U50" s="39"/>
      <c r="V50" s="39">
        <v>802634</v>
      </c>
      <c r="W50" s="39">
        <f t="shared" si="0"/>
        <v>1072634</v>
      </c>
      <c r="X50" s="40">
        <f t="shared" si="25"/>
        <v>1927366</v>
      </c>
      <c r="Y50" s="40"/>
      <c r="Z50" s="41"/>
      <c r="AA50" s="40">
        <f t="shared" si="8"/>
        <v>1927366</v>
      </c>
    </row>
    <row r="51" spans="1:28" ht="12.75" x14ac:dyDescent="0.25">
      <c r="A51" s="120"/>
      <c r="B51" s="123">
        <v>48</v>
      </c>
      <c r="C51" s="37" t="s">
        <v>76</v>
      </c>
      <c r="D51" s="38" t="s">
        <v>32</v>
      </c>
      <c r="E51" s="39">
        <v>2500000</v>
      </c>
      <c r="F51" s="39">
        <v>30</v>
      </c>
      <c r="G51" s="39">
        <f t="shared" si="26"/>
        <v>2500000</v>
      </c>
      <c r="H51" s="39"/>
      <c r="I51" s="39"/>
      <c r="J51" s="39"/>
      <c r="K51" s="39"/>
      <c r="L51" s="39">
        <v>90000</v>
      </c>
      <c r="M51" s="39">
        <v>500000</v>
      </c>
      <c r="N51" s="39">
        <f t="shared" si="19"/>
        <v>3090000</v>
      </c>
      <c r="O51" s="39">
        <f t="shared" si="23"/>
        <v>100000</v>
      </c>
      <c r="P51" s="39">
        <f t="shared" si="24"/>
        <v>100000</v>
      </c>
      <c r="Q51" s="39"/>
      <c r="R51" s="39"/>
      <c r="S51" s="39">
        <v>0</v>
      </c>
      <c r="T51" s="39">
        <v>0</v>
      </c>
      <c r="U51" s="39"/>
      <c r="V51" s="39"/>
      <c r="W51" s="39">
        <f t="shared" si="0"/>
        <v>200000</v>
      </c>
      <c r="X51" s="40">
        <f t="shared" si="25"/>
        <v>2890000</v>
      </c>
      <c r="Y51" s="40"/>
      <c r="Z51" s="41"/>
      <c r="AA51" s="40">
        <f t="shared" si="8"/>
        <v>2890000</v>
      </c>
      <c r="AB51" s="43" t="s">
        <v>99</v>
      </c>
    </row>
    <row r="52" spans="1:28" ht="12.75" x14ac:dyDescent="0.25">
      <c r="A52" s="120"/>
      <c r="B52" s="123">
        <v>49</v>
      </c>
      <c r="C52" s="37" t="s">
        <v>77</v>
      </c>
      <c r="D52" s="38" t="s">
        <v>32</v>
      </c>
      <c r="E52" s="39">
        <v>2000000</v>
      </c>
      <c r="F52" s="39">
        <v>30</v>
      </c>
      <c r="G52" s="39">
        <f t="shared" si="26"/>
        <v>2000000.0000000002</v>
      </c>
      <c r="H52" s="39"/>
      <c r="I52" s="39"/>
      <c r="J52" s="39"/>
      <c r="K52" s="39"/>
      <c r="L52" s="39"/>
      <c r="M52" s="39"/>
      <c r="N52" s="39">
        <f t="shared" si="19"/>
        <v>2000000.0000000002</v>
      </c>
      <c r="O52" s="39">
        <f t="shared" si="23"/>
        <v>80000.000000000015</v>
      </c>
      <c r="P52" s="39">
        <f t="shared" si="24"/>
        <v>80000.000000000015</v>
      </c>
      <c r="Q52" s="39"/>
      <c r="R52" s="39"/>
      <c r="S52" s="39"/>
      <c r="T52" s="48">
        <v>0</v>
      </c>
      <c r="U52" s="39"/>
      <c r="V52" s="39"/>
      <c r="W52" s="39">
        <f t="shared" si="0"/>
        <v>160000.00000000003</v>
      </c>
      <c r="X52" s="40">
        <f>N52-W52</f>
        <v>1840000.0000000002</v>
      </c>
      <c r="Y52" s="40"/>
      <c r="Z52" s="41"/>
      <c r="AA52" s="40">
        <f t="shared" si="8"/>
        <v>1840000.0000000002</v>
      </c>
    </row>
    <row r="53" spans="1:28" ht="12.75" x14ac:dyDescent="0.25">
      <c r="A53" s="120"/>
      <c r="B53" s="123">
        <v>50</v>
      </c>
      <c r="C53" s="37" t="s">
        <v>78</v>
      </c>
      <c r="D53" s="38" t="s">
        <v>32</v>
      </c>
      <c r="E53" s="39">
        <v>1500000</v>
      </c>
      <c r="F53" s="39">
        <v>30</v>
      </c>
      <c r="G53" s="39">
        <f t="shared" si="26"/>
        <v>1500000</v>
      </c>
      <c r="H53" s="39"/>
      <c r="I53" s="39"/>
      <c r="J53" s="39"/>
      <c r="K53" s="39"/>
      <c r="L53" s="39"/>
      <c r="M53" s="39"/>
      <c r="N53" s="39">
        <f t="shared" si="19"/>
        <v>1500000</v>
      </c>
      <c r="O53" s="39">
        <f>G53*4%</f>
        <v>60000</v>
      </c>
      <c r="P53" s="39">
        <f t="shared" si="24"/>
        <v>60000</v>
      </c>
      <c r="Q53" s="39"/>
      <c r="R53" s="39"/>
      <c r="S53" s="39"/>
      <c r="T53" s="48">
        <v>0</v>
      </c>
      <c r="U53" s="39"/>
      <c r="V53" s="39"/>
      <c r="W53" s="39">
        <f t="shared" si="0"/>
        <v>120000</v>
      </c>
      <c r="X53" s="40">
        <f t="shared" si="25"/>
        <v>1380000</v>
      </c>
      <c r="Y53" s="40"/>
      <c r="Z53" s="41"/>
      <c r="AA53" s="40">
        <f t="shared" si="8"/>
        <v>1380000</v>
      </c>
    </row>
    <row r="54" spans="1:28" ht="12.75" x14ac:dyDescent="0.25">
      <c r="A54" s="120"/>
      <c r="B54" s="123">
        <v>51</v>
      </c>
      <c r="C54" s="37" t="s">
        <v>122</v>
      </c>
      <c r="D54" s="38" t="s">
        <v>32</v>
      </c>
      <c r="E54" s="39">
        <v>900000</v>
      </c>
      <c r="F54" s="39">
        <v>30</v>
      </c>
      <c r="G54" s="39">
        <f t="shared" si="26"/>
        <v>900000</v>
      </c>
      <c r="H54" s="39">
        <v>74000</v>
      </c>
      <c r="I54" s="39"/>
      <c r="J54" s="39"/>
      <c r="K54" s="39"/>
      <c r="L54" s="39"/>
      <c r="M54" s="39"/>
      <c r="N54" s="39">
        <f t="shared" si="19"/>
        <v>974000</v>
      </c>
      <c r="O54" s="39">
        <f>G54*4%</f>
        <v>36000</v>
      </c>
      <c r="P54" s="39">
        <f t="shared" si="24"/>
        <v>36000</v>
      </c>
      <c r="Q54" s="39"/>
      <c r="R54" s="39"/>
      <c r="S54" s="39"/>
      <c r="T54" s="48">
        <v>0</v>
      </c>
      <c r="U54" s="39"/>
      <c r="V54" s="39"/>
      <c r="W54" s="39">
        <f t="shared" si="0"/>
        <v>72000</v>
      </c>
      <c r="X54" s="40">
        <f t="shared" si="25"/>
        <v>902000</v>
      </c>
      <c r="Y54" s="40"/>
      <c r="Z54" s="41"/>
      <c r="AA54" s="40">
        <f t="shared" si="8"/>
        <v>902000</v>
      </c>
    </row>
    <row r="55" spans="1:28" ht="12.75" x14ac:dyDescent="0.25">
      <c r="A55" s="120"/>
      <c r="B55" s="123">
        <v>52</v>
      </c>
      <c r="C55" s="37" t="s">
        <v>79</v>
      </c>
      <c r="D55" s="38" t="s">
        <v>32</v>
      </c>
      <c r="E55" s="39">
        <v>1300000</v>
      </c>
      <c r="F55" s="39">
        <v>30</v>
      </c>
      <c r="G55" s="39">
        <f t="shared" si="26"/>
        <v>1300000</v>
      </c>
      <c r="H55" s="39"/>
      <c r="I55" s="39"/>
      <c r="J55" s="39"/>
      <c r="K55" s="39"/>
      <c r="L55" s="39"/>
      <c r="M55" s="39">
        <v>300000</v>
      </c>
      <c r="N55" s="39">
        <f t="shared" si="19"/>
        <v>1600000</v>
      </c>
      <c r="O55" s="39">
        <f>+G55*4%</f>
        <v>52000</v>
      </c>
      <c r="P55" s="39">
        <f t="shared" si="24"/>
        <v>52000</v>
      </c>
      <c r="Q55" s="39"/>
      <c r="R55" s="39"/>
      <c r="S55" s="39"/>
      <c r="T55" s="39">
        <v>0</v>
      </c>
      <c r="U55" s="39"/>
      <c r="V55" s="39"/>
      <c r="W55" s="39">
        <f t="shared" si="0"/>
        <v>104000</v>
      </c>
      <c r="X55" s="40">
        <f t="shared" si="25"/>
        <v>1496000</v>
      </c>
      <c r="Y55" s="40"/>
      <c r="Z55" s="41"/>
      <c r="AA55" s="40">
        <f t="shared" si="8"/>
        <v>1496000</v>
      </c>
    </row>
    <row r="56" spans="1:28" ht="12.75" x14ac:dyDescent="0.25">
      <c r="A56" s="120"/>
      <c r="B56" s="123">
        <v>53</v>
      </c>
      <c r="C56" s="37" t="s">
        <v>136</v>
      </c>
      <c r="D56" s="38" t="s">
        <v>32</v>
      </c>
      <c r="E56" s="39">
        <v>1300000</v>
      </c>
      <c r="F56" s="39">
        <v>30</v>
      </c>
      <c r="G56" s="39">
        <f t="shared" si="26"/>
        <v>1300000</v>
      </c>
      <c r="H56" s="39"/>
      <c r="I56" s="39"/>
      <c r="J56" s="39"/>
      <c r="K56" s="39"/>
      <c r="L56" s="39"/>
      <c r="M56" s="39"/>
      <c r="N56" s="39">
        <f t="shared" si="19"/>
        <v>1300000</v>
      </c>
      <c r="O56" s="39">
        <f>+G56*4%</f>
        <v>52000</v>
      </c>
      <c r="P56" s="39">
        <f t="shared" si="24"/>
        <v>52000</v>
      </c>
      <c r="Q56" s="39"/>
      <c r="R56" s="39"/>
      <c r="S56" s="39"/>
      <c r="T56" s="39"/>
      <c r="U56" s="39"/>
      <c r="V56" s="39"/>
      <c r="W56" s="39">
        <f t="shared" si="0"/>
        <v>104000</v>
      </c>
      <c r="X56" s="40">
        <f t="shared" si="25"/>
        <v>1196000</v>
      </c>
      <c r="Y56" s="40"/>
      <c r="Z56" s="41"/>
      <c r="AA56" s="40">
        <f t="shared" si="8"/>
        <v>1196000</v>
      </c>
    </row>
    <row r="57" spans="1:28" ht="12.75" x14ac:dyDescent="0.25">
      <c r="A57" s="120"/>
      <c r="B57" s="123">
        <v>54</v>
      </c>
      <c r="C57" s="37" t="s">
        <v>80</v>
      </c>
      <c r="D57" s="38" t="s">
        <v>32</v>
      </c>
      <c r="E57" s="39">
        <v>4500000</v>
      </c>
      <c r="F57" s="39">
        <v>30</v>
      </c>
      <c r="G57" s="39">
        <f t="shared" si="26"/>
        <v>4500000</v>
      </c>
      <c r="H57" s="39"/>
      <c r="I57" s="39"/>
      <c r="J57" s="39"/>
      <c r="K57" s="39"/>
      <c r="L57" s="39"/>
      <c r="M57" s="39"/>
      <c r="N57" s="39">
        <f t="shared" si="19"/>
        <v>4500000</v>
      </c>
      <c r="O57" s="39">
        <f>+G57*4%</f>
        <v>180000</v>
      </c>
      <c r="P57" s="39">
        <f t="shared" si="24"/>
        <v>180000</v>
      </c>
      <c r="Q57" s="39"/>
      <c r="R57" s="39"/>
      <c r="S57" s="39">
        <v>45000</v>
      </c>
      <c r="T57" s="39">
        <v>73073</v>
      </c>
      <c r="U57" s="39"/>
      <c r="V57" s="39"/>
      <c r="W57" s="39">
        <f t="shared" si="0"/>
        <v>478073</v>
      </c>
      <c r="X57" s="40">
        <f>N57-W57</f>
        <v>4021927</v>
      </c>
      <c r="Y57" s="40"/>
      <c r="Z57" s="41"/>
      <c r="AA57" s="40">
        <f t="shared" si="8"/>
        <v>4021927</v>
      </c>
    </row>
    <row r="58" spans="1:28" ht="12.75" x14ac:dyDescent="0.25">
      <c r="A58" s="120"/>
      <c r="B58" s="123">
        <v>55</v>
      </c>
      <c r="C58" s="37" t="s">
        <v>81</v>
      </c>
      <c r="D58" s="38" t="s">
        <v>32</v>
      </c>
      <c r="E58" s="39">
        <v>1500000</v>
      </c>
      <c r="F58" s="39">
        <v>30</v>
      </c>
      <c r="G58" s="39">
        <f t="shared" si="26"/>
        <v>1500000</v>
      </c>
      <c r="H58" s="39"/>
      <c r="I58" s="39"/>
      <c r="J58" s="39"/>
      <c r="K58" s="39"/>
      <c r="L58" s="39"/>
      <c r="M58" s="39"/>
      <c r="N58" s="39">
        <f t="shared" si="19"/>
        <v>1500000</v>
      </c>
      <c r="O58" s="39">
        <f>G58*4%</f>
        <v>60000</v>
      </c>
      <c r="P58" s="39">
        <f t="shared" si="24"/>
        <v>60000</v>
      </c>
      <c r="Q58" s="39"/>
      <c r="R58" s="39"/>
      <c r="S58" s="39"/>
      <c r="T58" s="39">
        <v>0</v>
      </c>
      <c r="U58" s="39"/>
      <c r="V58" s="39"/>
      <c r="W58" s="39">
        <f t="shared" si="0"/>
        <v>120000</v>
      </c>
      <c r="X58" s="40">
        <f>N58-W58</f>
        <v>1380000</v>
      </c>
      <c r="Y58" s="40"/>
      <c r="Z58" s="41"/>
      <c r="AA58" s="40">
        <f t="shared" si="8"/>
        <v>1380000</v>
      </c>
    </row>
    <row r="59" spans="1:28" ht="12.75" x14ac:dyDescent="0.25">
      <c r="A59" s="120"/>
      <c r="B59" s="123">
        <v>56</v>
      </c>
      <c r="C59" s="37" t="s">
        <v>82</v>
      </c>
      <c r="D59" s="38" t="s">
        <v>32</v>
      </c>
      <c r="E59" s="39">
        <v>2000000</v>
      </c>
      <c r="F59" s="39">
        <v>30</v>
      </c>
      <c r="G59" s="39">
        <f t="shared" si="26"/>
        <v>2000000.0000000002</v>
      </c>
      <c r="H59" s="39"/>
      <c r="I59" s="39"/>
      <c r="J59" s="39"/>
      <c r="K59" s="39"/>
      <c r="L59" s="39"/>
      <c r="M59" s="39">
        <v>500000</v>
      </c>
      <c r="N59" s="39">
        <f t="shared" si="19"/>
        <v>2500000</v>
      </c>
      <c r="O59" s="39">
        <f>G59*4%</f>
        <v>80000.000000000015</v>
      </c>
      <c r="P59" s="39">
        <f t="shared" si="24"/>
        <v>80000.000000000015</v>
      </c>
      <c r="Q59" s="39"/>
      <c r="R59" s="39"/>
      <c r="S59" s="39"/>
      <c r="T59" s="39">
        <v>0</v>
      </c>
      <c r="U59" s="39"/>
      <c r="V59" s="39"/>
      <c r="W59" s="39">
        <f t="shared" si="0"/>
        <v>160000.00000000003</v>
      </c>
      <c r="X59" s="40">
        <f>N59-W59</f>
        <v>2340000</v>
      </c>
      <c r="Y59" s="40"/>
      <c r="Z59" s="41"/>
      <c r="AA59" s="40">
        <f t="shared" si="8"/>
        <v>2340000</v>
      </c>
    </row>
    <row r="60" spans="1:28" ht="12.75" x14ac:dyDescent="0.25">
      <c r="A60" s="120"/>
      <c r="B60" s="123">
        <v>57</v>
      </c>
      <c r="C60" s="118" t="s">
        <v>84</v>
      </c>
      <c r="D60" s="45" t="s">
        <v>32</v>
      </c>
      <c r="E60" s="39">
        <v>644350</v>
      </c>
      <c r="F60" s="39">
        <v>30</v>
      </c>
      <c r="G60" s="39">
        <f>+E60/30*F60</f>
        <v>644350</v>
      </c>
      <c r="H60" s="39">
        <v>74000</v>
      </c>
      <c r="I60" s="39"/>
      <c r="J60" s="39"/>
      <c r="K60" s="39"/>
      <c r="L60" s="39"/>
      <c r="M60" s="39">
        <v>100000</v>
      </c>
      <c r="N60" s="39">
        <f t="shared" ref="N60:N71" si="27">SUM(G60:M60)</f>
        <v>818350</v>
      </c>
      <c r="O60" s="39">
        <f>+G60*4%</f>
        <v>25774</v>
      </c>
      <c r="P60" s="39">
        <f>+O60</f>
        <v>25774</v>
      </c>
      <c r="Q60" s="39"/>
      <c r="R60" s="39"/>
      <c r="S60" s="39"/>
      <c r="T60" s="39">
        <v>0</v>
      </c>
      <c r="U60" s="39"/>
      <c r="V60" s="39"/>
      <c r="W60" s="39">
        <f t="shared" si="0"/>
        <v>51548</v>
      </c>
      <c r="X60" s="40">
        <f>N60-W60</f>
        <v>766802</v>
      </c>
      <c r="Y60" s="40"/>
      <c r="Z60" s="41"/>
      <c r="AA60" s="40">
        <f t="shared" si="8"/>
        <v>766802</v>
      </c>
    </row>
    <row r="61" spans="1:28" ht="12.75" x14ac:dyDescent="0.25">
      <c r="A61" s="120"/>
      <c r="B61" s="123">
        <v>58</v>
      </c>
      <c r="C61" s="37" t="s">
        <v>85</v>
      </c>
      <c r="D61" s="38" t="s">
        <v>32</v>
      </c>
      <c r="E61" s="39">
        <v>15400000</v>
      </c>
      <c r="F61" s="39">
        <v>30</v>
      </c>
      <c r="G61" s="39">
        <f t="shared" ref="G61:G66" si="28">+E61/30*F61</f>
        <v>15400000</v>
      </c>
      <c r="H61" s="39"/>
      <c r="I61" s="39"/>
      <c r="J61" s="39"/>
      <c r="K61" s="39"/>
      <c r="L61" s="39"/>
      <c r="M61" s="39">
        <v>600000</v>
      </c>
      <c r="N61" s="39">
        <f t="shared" si="27"/>
        <v>16000000</v>
      </c>
      <c r="O61" s="39">
        <f>G61*4%</f>
        <v>616000</v>
      </c>
      <c r="P61" s="39">
        <f>O61</f>
        <v>616000</v>
      </c>
      <c r="Q61" s="39">
        <v>95900</v>
      </c>
      <c r="R61" s="39"/>
      <c r="S61" s="39">
        <f>G61*2%</f>
        <v>308000</v>
      </c>
      <c r="T61" s="39">
        <v>1014000</v>
      </c>
      <c r="U61" s="39">
        <v>5000000</v>
      </c>
      <c r="V61" s="39"/>
      <c r="W61" s="39">
        <f t="shared" si="0"/>
        <v>7649900</v>
      </c>
      <c r="X61" s="40">
        <f>+N61-W61</f>
        <v>8350100</v>
      </c>
      <c r="Y61" s="40"/>
      <c r="Z61" s="41"/>
      <c r="AA61" s="40">
        <f t="shared" si="8"/>
        <v>8350100</v>
      </c>
    </row>
    <row r="62" spans="1:28" ht="12.75" x14ac:dyDescent="0.25">
      <c r="A62" s="120"/>
      <c r="B62" s="123">
        <v>59</v>
      </c>
      <c r="C62" s="37" t="s">
        <v>86</v>
      </c>
      <c r="D62" s="38" t="s">
        <v>32</v>
      </c>
      <c r="E62" s="39">
        <v>2800000</v>
      </c>
      <c r="F62" s="39">
        <v>30</v>
      </c>
      <c r="G62" s="39">
        <f t="shared" si="28"/>
        <v>2800000</v>
      </c>
      <c r="H62" s="39"/>
      <c r="I62" s="39"/>
      <c r="J62" s="39"/>
      <c r="K62" s="39"/>
      <c r="L62" s="39"/>
      <c r="M62" s="39">
        <v>700000</v>
      </c>
      <c r="N62" s="39">
        <f t="shared" si="27"/>
        <v>3500000</v>
      </c>
      <c r="O62" s="39">
        <f>+G62*4%</f>
        <v>112000</v>
      </c>
      <c r="P62" s="39">
        <f>+O62</f>
        <v>112000</v>
      </c>
      <c r="Q62" s="39"/>
      <c r="R62" s="39"/>
      <c r="S62" s="39">
        <v>28000</v>
      </c>
      <c r="T62" s="39">
        <v>0</v>
      </c>
      <c r="U62" s="39"/>
      <c r="V62" s="39">
        <f>887544+522124</f>
        <v>1409668</v>
      </c>
      <c r="W62" s="39">
        <f t="shared" si="0"/>
        <v>1661668</v>
      </c>
      <c r="X62" s="40">
        <f>+N62-W62</f>
        <v>1838332</v>
      </c>
      <c r="Y62" s="40"/>
      <c r="Z62" s="41"/>
      <c r="AA62" s="40">
        <f t="shared" si="8"/>
        <v>1838332</v>
      </c>
    </row>
    <row r="63" spans="1:28" ht="12.75" x14ac:dyDescent="0.25">
      <c r="A63" s="120"/>
      <c r="B63" s="123">
        <v>60</v>
      </c>
      <c r="C63" s="37" t="s">
        <v>87</v>
      </c>
      <c r="D63" s="38" t="s">
        <v>32</v>
      </c>
      <c r="E63" s="39">
        <v>644350</v>
      </c>
      <c r="F63" s="39">
        <v>30</v>
      </c>
      <c r="G63" s="39">
        <f t="shared" si="28"/>
        <v>644350</v>
      </c>
      <c r="H63" s="39"/>
      <c r="I63" s="39"/>
      <c r="J63" s="39"/>
      <c r="K63" s="39"/>
      <c r="L63" s="39"/>
      <c r="M63" s="39"/>
      <c r="N63" s="39">
        <f t="shared" si="27"/>
        <v>644350</v>
      </c>
      <c r="O63" s="39"/>
      <c r="P63" s="39"/>
      <c r="Q63" s="39"/>
      <c r="R63" s="39"/>
      <c r="S63" s="39"/>
      <c r="T63" s="39">
        <v>0</v>
      </c>
      <c r="U63" s="39"/>
      <c r="V63" s="39"/>
      <c r="W63" s="39">
        <f t="shared" si="0"/>
        <v>0</v>
      </c>
      <c r="X63" s="40">
        <f>+N63-W63</f>
        <v>644350</v>
      </c>
      <c r="Y63" s="40"/>
      <c r="Z63" s="41"/>
      <c r="AA63" s="40">
        <f t="shared" si="8"/>
        <v>644350</v>
      </c>
    </row>
    <row r="64" spans="1:28" ht="12.75" x14ac:dyDescent="0.25">
      <c r="A64" s="120"/>
      <c r="B64" s="123">
        <v>61</v>
      </c>
      <c r="C64" s="118" t="s">
        <v>88</v>
      </c>
      <c r="D64" s="45" t="s">
        <v>32</v>
      </c>
      <c r="E64" s="39">
        <v>757819</v>
      </c>
      <c r="F64" s="39">
        <v>30</v>
      </c>
      <c r="G64" s="39">
        <f t="shared" si="28"/>
        <v>757819</v>
      </c>
      <c r="H64" s="39">
        <v>74000</v>
      </c>
      <c r="I64" s="39"/>
      <c r="J64" s="39"/>
      <c r="K64" s="39"/>
      <c r="L64" s="39"/>
      <c r="M64" s="39"/>
      <c r="N64" s="39">
        <f t="shared" si="27"/>
        <v>831819</v>
      </c>
      <c r="O64" s="39">
        <f>G64*4%</f>
        <v>30312.760000000002</v>
      </c>
      <c r="P64" s="39">
        <f>G64*4%</f>
        <v>30312.760000000002</v>
      </c>
      <c r="Q64" s="39"/>
      <c r="R64" s="39"/>
      <c r="S64" s="39"/>
      <c r="T64" s="39">
        <v>0</v>
      </c>
      <c r="U64" s="39"/>
      <c r="V64" s="39"/>
      <c r="W64" s="39">
        <f t="shared" si="0"/>
        <v>60625.520000000004</v>
      </c>
      <c r="X64" s="40">
        <f>N64-W64</f>
        <v>771193.48</v>
      </c>
      <c r="Y64" s="40"/>
      <c r="Z64" s="41"/>
      <c r="AA64" s="40">
        <f t="shared" si="8"/>
        <v>771193.48</v>
      </c>
    </row>
    <row r="65" spans="1:31" ht="12.75" x14ac:dyDescent="0.25">
      <c r="A65" s="120"/>
      <c r="B65" s="123">
        <v>62</v>
      </c>
      <c r="C65" s="37" t="s">
        <v>89</v>
      </c>
      <c r="D65" s="38" t="s">
        <v>32</v>
      </c>
      <c r="E65" s="39">
        <v>1300000</v>
      </c>
      <c r="F65" s="39">
        <v>30</v>
      </c>
      <c r="G65" s="39">
        <f t="shared" si="28"/>
        <v>1300000</v>
      </c>
      <c r="H65" s="39"/>
      <c r="I65" s="39"/>
      <c r="J65" s="39"/>
      <c r="K65" s="39"/>
      <c r="L65" s="39"/>
      <c r="M65" s="39"/>
      <c r="N65" s="39">
        <f t="shared" si="27"/>
        <v>1300000</v>
      </c>
      <c r="O65" s="39">
        <f>G65*4%</f>
        <v>52000</v>
      </c>
      <c r="P65" s="39">
        <f>O65</f>
        <v>52000</v>
      </c>
      <c r="Q65" s="39"/>
      <c r="R65" s="39"/>
      <c r="S65" s="39"/>
      <c r="T65" s="39">
        <v>0</v>
      </c>
      <c r="U65" s="39"/>
      <c r="V65" s="39"/>
      <c r="W65" s="39">
        <f t="shared" si="0"/>
        <v>104000</v>
      </c>
      <c r="X65" s="40">
        <f>+N65-W65</f>
        <v>1196000</v>
      </c>
      <c r="Y65" s="40"/>
      <c r="Z65" s="41"/>
      <c r="AA65" s="40">
        <f t="shared" si="8"/>
        <v>1196000</v>
      </c>
    </row>
    <row r="66" spans="1:31" ht="12.75" x14ac:dyDescent="0.25">
      <c r="A66" s="120"/>
      <c r="B66" s="123">
        <v>63</v>
      </c>
      <c r="C66" s="37" t="s">
        <v>90</v>
      </c>
      <c r="D66" s="38" t="s">
        <v>32</v>
      </c>
      <c r="E66" s="39">
        <v>4000000</v>
      </c>
      <c r="F66" s="39">
        <v>30</v>
      </c>
      <c r="G66" s="39">
        <f t="shared" si="28"/>
        <v>4000000.0000000005</v>
      </c>
      <c r="H66" s="39"/>
      <c r="I66" s="39"/>
      <c r="J66" s="39"/>
      <c r="K66" s="39"/>
      <c r="L66" s="39"/>
      <c r="M66" s="39"/>
      <c r="N66" s="39">
        <f t="shared" si="27"/>
        <v>4000000.0000000005</v>
      </c>
      <c r="O66" s="39">
        <v>160000</v>
      </c>
      <c r="P66" s="39">
        <f>O66</f>
        <v>160000</v>
      </c>
      <c r="Q66" s="39"/>
      <c r="R66" s="39"/>
      <c r="S66" s="39">
        <v>40000</v>
      </c>
      <c r="T66" s="39">
        <v>31064</v>
      </c>
      <c r="U66" s="39"/>
      <c r="V66" s="39"/>
      <c r="W66" s="39">
        <f t="shared" si="0"/>
        <v>391064</v>
      </c>
      <c r="X66" s="40">
        <f>+N66-W66</f>
        <v>3608936.0000000005</v>
      </c>
      <c r="Y66" s="40"/>
      <c r="Z66" s="41"/>
      <c r="AA66" s="40">
        <f t="shared" si="8"/>
        <v>3608936.0000000005</v>
      </c>
    </row>
    <row r="67" spans="1:31" ht="12.75" x14ac:dyDescent="0.25">
      <c r="A67" s="120"/>
      <c r="B67" s="123">
        <v>64</v>
      </c>
      <c r="C67" s="118" t="s">
        <v>93</v>
      </c>
      <c r="D67" s="45" t="s">
        <v>32</v>
      </c>
      <c r="E67" s="39">
        <v>1300000</v>
      </c>
      <c r="F67" s="39">
        <v>30</v>
      </c>
      <c r="G67" s="39">
        <f>+E67/30*F67</f>
        <v>1300000</v>
      </c>
      <c r="H67" s="39"/>
      <c r="I67" s="39"/>
      <c r="J67" s="39"/>
      <c r="K67" s="39"/>
      <c r="L67" s="39"/>
      <c r="M67" s="39"/>
      <c r="N67" s="39">
        <f t="shared" si="27"/>
        <v>1300000</v>
      </c>
      <c r="O67" s="39">
        <f>G67*4%</f>
        <v>52000</v>
      </c>
      <c r="P67" s="39">
        <f>O67</f>
        <v>52000</v>
      </c>
      <c r="Q67" s="39"/>
      <c r="R67" s="39"/>
      <c r="S67" s="39"/>
      <c r="T67" s="39">
        <v>0</v>
      </c>
      <c r="U67" s="39"/>
      <c r="V67" s="39"/>
      <c r="W67" s="39">
        <f t="shared" si="0"/>
        <v>104000</v>
      </c>
      <c r="X67" s="40">
        <f>N67-W67</f>
        <v>1196000</v>
      </c>
      <c r="Y67" s="40"/>
      <c r="Z67" s="41"/>
      <c r="AA67" s="40">
        <f t="shared" si="8"/>
        <v>1196000</v>
      </c>
    </row>
    <row r="68" spans="1:31" ht="12.75" x14ac:dyDescent="0.25">
      <c r="A68" s="120"/>
      <c r="B68" s="123">
        <v>65</v>
      </c>
      <c r="C68" s="37" t="s">
        <v>94</v>
      </c>
      <c r="D68" s="38" t="s">
        <v>32</v>
      </c>
      <c r="E68" s="39">
        <v>644350</v>
      </c>
      <c r="F68" s="39">
        <v>30</v>
      </c>
      <c r="G68" s="39">
        <f>+E68/30*F68</f>
        <v>644350</v>
      </c>
      <c r="H68" s="39">
        <v>74000</v>
      </c>
      <c r="I68" s="39"/>
      <c r="J68" s="39"/>
      <c r="K68" s="39"/>
      <c r="L68" s="39"/>
      <c r="M68" s="39"/>
      <c r="N68" s="39">
        <f t="shared" si="27"/>
        <v>718350</v>
      </c>
      <c r="O68" s="39">
        <f>G68*4%</f>
        <v>25774</v>
      </c>
      <c r="P68" s="39">
        <f>O68</f>
        <v>25774</v>
      </c>
      <c r="Q68" s="39"/>
      <c r="R68" s="39"/>
      <c r="S68" s="39"/>
      <c r="T68" s="39">
        <v>0</v>
      </c>
      <c r="U68" s="39"/>
      <c r="V68" s="39"/>
      <c r="W68" s="39">
        <f>SUM(O68:V68)</f>
        <v>51548</v>
      </c>
      <c r="X68" s="40">
        <f>+N68-W68</f>
        <v>666802</v>
      </c>
      <c r="Y68" s="40"/>
      <c r="Z68" s="41"/>
      <c r="AA68" s="40">
        <f t="shared" si="8"/>
        <v>666802</v>
      </c>
    </row>
    <row r="69" spans="1:31" ht="12.75" x14ac:dyDescent="0.25">
      <c r="A69" s="120"/>
      <c r="B69" s="123">
        <v>66</v>
      </c>
      <c r="C69" s="138" t="s">
        <v>95</v>
      </c>
      <c r="D69" s="96" t="s">
        <v>92</v>
      </c>
      <c r="E69" s="39">
        <v>644350</v>
      </c>
      <c r="F69" s="39">
        <v>30</v>
      </c>
      <c r="G69" s="39">
        <f>E69</f>
        <v>644350</v>
      </c>
      <c r="H69" s="39"/>
      <c r="I69" s="39"/>
      <c r="J69" s="39"/>
      <c r="K69" s="39"/>
      <c r="L69" s="39"/>
      <c r="M69" s="39"/>
      <c r="N69" s="39">
        <f t="shared" si="27"/>
        <v>644350</v>
      </c>
      <c r="O69" s="39"/>
      <c r="P69" s="39"/>
      <c r="Q69" s="39"/>
      <c r="R69" s="39"/>
      <c r="S69" s="39"/>
      <c r="T69" s="39">
        <v>0</v>
      </c>
      <c r="U69" s="39"/>
      <c r="V69" s="39"/>
      <c r="W69" s="39">
        <f>SUM(O69:V69)</f>
        <v>0</v>
      </c>
      <c r="X69" s="40">
        <f>+N69</f>
        <v>644350</v>
      </c>
      <c r="Y69" s="40"/>
      <c r="Z69" s="41"/>
      <c r="AA69" s="40">
        <f t="shared" si="8"/>
        <v>644350</v>
      </c>
    </row>
    <row r="70" spans="1:31" ht="12.75" x14ac:dyDescent="0.25">
      <c r="A70" s="140"/>
      <c r="B70" s="123">
        <v>67</v>
      </c>
      <c r="C70" s="37" t="s">
        <v>137</v>
      </c>
      <c r="D70" s="38" t="s">
        <v>32</v>
      </c>
      <c r="E70" s="39">
        <v>1300000</v>
      </c>
      <c r="F70" s="39">
        <v>30</v>
      </c>
      <c r="G70" s="39">
        <f t="shared" ref="G70" si="29">+E70/30*F70</f>
        <v>1300000</v>
      </c>
      <c r="H70" s="39"/>
      <c r="I70" s="39"/>
      <c r="J70" s="39"/>
      <c r="K70" s="39"/>
      <c r="L70" s="39"/>
      <c r="M70" s="39"/>
      <c r="N70" s="39">
        <f t="shared" ref="N70" si="30">SUM(G70:M70)</f>
        <v>1300000</v>
      </c>
      <c r="O70" s="39">
        <f>+G70*4%</f>
        <v>52000</v>
      </c>
      <c r="P70" s="39">
        <f t="shared" ref="P70" si="31">+O70</f>
        <v>52000</v>
      </c>
      <c r="Q70" s="39"/>
      <c r="R70" s="39"/>
      <c r="S70" s="39"/>
      <c r="T70" s="39"/>
      <c r="U70" s="39"/>
      <c r="V70" s="39"/>
      <c r="W70" s="39">
        <f t="shared" ref="W70" si="32">SUM(O70:V70)</f>
        <v>104000</v>
      </c>
      <c r="X70" s="40">
        <f t="shared" ref="X70" si="33">+N70-W70</f>
        <v>1196000</v>
      </c>
      <c r="Y70" s="40"/>
      <c r="Z70" s="41"/>
      <c r="AA70" s="40">
        <f t="shared" si="8"/>
        <v>1196000</v>
      </c>
    </row>
    <row r="71" spans="1:31" ht="12.75" x14ac:dyDescent="0.25">
      <c r="A71" s="140"/>
      <c r="B71" s="123">
        <v>68</v>
      </c>
      <c r="C71" s="138" t="s">
        <v>116</v>
      </c>
      <c r="D71" s="96" t="s">
        <v>32</v>
      </c>
      <c r="E71" s="39">
        <v>2000000</v>
      </c>
      <c r="F71" s="39">
        <v>30</v>
      </c>
      <c r="G71" s="39">
        <f>E71</f>
        <v>2000000</v>
      </c>
      <c r="H71" s="39"/>
      <c r="I71" s="39"/>
      <c r="J71" s="39"/>
      <c r="K71" s="39"/>
      <c r="L71" s="39"/>
      <c r="M71" s="39"/>
      <c r="N71" s="39">
        <f t="shared" si="27"/>
        <v>2000000</v>
      </c>
      <c r="O71" s="39">
        <f>G71*4%</f>
        <v>80000</v>
      </c>
      <c r="P71" s="39">
        <f>G71*4%</f>
        <v>80000</v>
      </c>
      <c r="Q71" s="39"/>
      <c r="R71" s="39"/>
      <c r="S71" s="39"/>
      <c r="T71" s="39">
        <v>0</v>
      </c>
      <c r="U71" s="39"/>
      <c r="V71" s="39"/>
      <c r="W71" s="39">
        <f t="shared" ref="W71" si="34">SUM(O71:V71)</f>
        <v>160000</v>
      </c>
      <c r="X71" s="40">
        <f>N71-W71</f>
        <v>1840000</v>
      </c>
      <c r="Y71" s="40"/>
      <c r="Z71" s="41"/>
      <c r="AA71" s="40">
        <f t="shared" si="8"/>
        <v>1840000</v>
      </c>
    </row>
    <row r="72" spans="1:31" ht="12.75" x14ac:dyDescent="0.25">
      <c r="A72" s="45"/>
      <c r="B72" s="123"/>
      <c r="C72" s="37" t="s">
        <v>96</v>
      </c>
      <c r="D72" s="45"/>
      <c r="E72" s="39">
        <f>SUM(E5:E69)</f>
        <v>202134769</v>
      </c>
      <c r="F72" s="39" t="s">
        <v>1</v>
      </c>
      <c r="G72" s="39">
        <f>SUM(G5:G69)</f>
        <v>196682477.33333337</v>
      </c>
      <c r="H72" s="39">
        <f>SUM(H5:H69)</f>
        <v>444000</v>
      </c>
      <c r="I72" s="39">
        <f>SUM(I5:I69)</f>
        <v>0</v>
      </c>
      <c r="J72" s="39">
        <f>SUM(J5:J69)</f>
        <v>0</v>
      </c>
      <c r="K72" s="39"/>
      <c r="L72" s="39">
        <f t="shared" ref="L72:Q72" si="35">SUM(L5:L69)</f>
        <v>90000</v>
      </c>
      <c r="M72" s="39">
        <f t="shared" si="35"/>
        <v>10741250</v>
      </c>
      <c r="N72" s="39">
        <f t="shared" si="35"/>
        <v>207957727.33333337</v>
      </c>
      <c r="O72" s="39">
        <f t="shared" si="35"/>
        <v>7757758.0933333328</v>
      </c>
      <c r="P72" s="39">
        <f t="shared" si="35"/>
        <v>7757758.0933333328</v>
      </c>
      <c r="Q72" s="39">
        <f t="shared" si="35"/>
        <v>95900</v>
      </c>
      <c r="R72" s="39">
        <f>SUM(R6:R69)</f>
        <v>0</v>
      </c>
      <c r="S72" s="39">
        <f t="shared" ref="S72:AA72" si="36">SUM(S5:S69)</f>
        <v>1805530.8333333333</v>
      </c>
      <c r="T72" s="39">
        <f t="shared" si="36"/>
        <v>2659327</v>
      </c>
      <c r="U72" s="39">
        <f t="shared" si="36"/>
        <v>8760000</v>
      </c>
      <c r="V72" s="39">
        <f t="shared" si="36"/>
        <v>5913277</v>
      </c>
      <c r="W72" s="39">
        <f t="shared" si="36"/>
        <v>34749551.020000003</v>
      </c>
      <c r="X72" s="40">
        <f t="shared" si="36"/>
        <v>173208176.3133333</v>
      </c>
      <c r="Y72" s="40">
        <f t="shared" si="36"/>
        <v>0</v>
      </c>
      <c r="Z72" s="41">
        <f t="shared" si="36"/>
        <v>0</v>
      </c>
      <c r="AA72" s="40">
        <f t="shared" si="36"/>
        <v>173208176.3133333</v>
      </c>
    </row>
    <row r="73" spans="1:31" x14ac:dyDescent="0.25">
      <c r="A73" s="99"/>
      <c r="B73" s="99"/>
      <c r="X73" s="99"/>
      <c r="Y73" s="99"/>
      <c r="Z73" s="102"/>
      <c r="AA73" s="99"/>
    </row>
    <row r="74" spans="1:31" x14ac:dyDescent="0.25">
      <c r="E74" s="107"/>
      <c r="F74" s="107"/>
      <c r="G74" s="107"/>
      <c r="X74" s="124"/>
      <c r="Y74" s="124"/>
      <c r="AA74" s="124"/>
    </row>
    <row r="75" spans="1:31" x14ac:dyDescent="0.25"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</row>
    <row r="76" spans="1:31" x14ac:dyDescent="0.25"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</row>
    <row r="77" spans="1:31" x14ac:dyDescent="0.25">
      <c r="C77" s="109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99"/>
      <c r="Y77" s="99"/>
      <c r="Z77" s="102"/>
      <c r="AA77" s="99"/>
    </row>
    <row r="78" spans="1:31" x14ac:dyDescent="0.25">
      <c r="C78" s="109"/>
      <c r="D78" s="99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99"/>
      <c r="Y78" s="99"/>
      <c r="Z78" s="102"/>
      <c r="AA78" s="99"/>
      <c r="AB78" s="99"/>
      <c r="AC78" s="99"/>
      <c r="AD78" s="99"/>
      <c r="AE78" s="99"/>
    </row>
    <row r="79" spans="1:31" x14ac:dyDescent="0.25">
      <c r="B79" s="99"/>
      <c r="C79" s="10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99"/>
      <c r="AC79" s="99"/>
      <c r="AD79" s="99"/>
      <c r="AE79" s="99"/>
    </row>
    <row r="80" spans="1:31" x14ac:dyDescent="0.25">
      <c r="B80" s="99"/>
      <c r="C80" s="109"/>
      <c r="D80" s="9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99"/>
      <c r="Y80" s="99"/>
      <c r="Z80" s="102"/>
      <c r="AA80" s="99"/>
      <c r="AB80" s="99"/>
      <c r="AC80" s="99"/>
      <c r="AD80" s="99"/>
      <c r="AE80" s="99"/>
    </row>
    <row r="81" spans="2:31" x14ac:dyDescent="0.25">
      <c r="B81" s="99"/>
      <c r="C81" s="109"/>
      <c r="D81" s="9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99"/>
      <c r="Y81" s="99"/>
      <c r="Z81" s="102"/>
      <c r="AA81" s="99"/>
      <c r="AB81" s="99"/>
      <c r="AC81" s="99"/>
      <c r="AD81" s="99"/>
      <c r="AE81" s="99"/>
    </row>
    <row r="82" spans="2:31" x14ac:dyDescent="0.25">
      <c r="B82" s="99"/>
      <c r="C82" s="109"/>
      <c r="D82" s="99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99"/>
      <c r="Y82" s="99"/>
      <c r="Z82" s="102"/>
      <c r="AA82" s="99"/>
      <c r="AB82" s="99"/>
      <c r="AC82" s="99"/>
      <c r="AD82" s="99"/>
      <c r="AE82" s="99"/>
    </row>
    <row r="83" spans="2:31" x14ac:dyDescent="0.25">
      <c r="B83" s="99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05"/>
      <c r="Z83" s="112"/>
      <c r="AA83" s="105"/>
      <c r="AB83" s="99"/>
      <c r="AC83" s="99"/>
      <c r="AD83" s="99"/>
      <c r="AE83" s="99"/>
    </row>
    <row r="84" spans="2:31" x14ac:dyDescent="0.25">
      <c r="B84" s="125"/>
      <c r="C84" s="109"/>
      <c r="D84" s="105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5"/>
      <c r="Y84" s="105"/>
      <c r="Z84" s="112"/>
      <c r="AA84" s="105"/>
      <c r="AB84" s="99"/>
      <c r="AC84" s="99"/>
      <c r="AD84" s="99"/>
      <c r="AE84" s="99"/>
    </row>
    <row r="85" spans="2:31" x14ac:dyDescent="0.25">
      <c r="B85" s="99"/>
      <c r="C85" s="109"/>
      <c r="D85" s="99"/>
      <c r="E85" s="107"/>
      <c r="F85" s="107"/>
      <c r="G85" s="126"/>
      <c r="H85" s="107"/>
      <c r="I85" s="107"/>
      <c r="J85" s="107"/>
      <c r="K85" s="107"/>
      <c r="L85" s="107"/>
      <c r="M85" s="107"/>
      <c r="N85" s="107"/>
      <c r="O85" s="107"/>
      <c r="P85" s="107"/>
      <c r="Q85" s="127"/>
      <c r="R85" s="127"/>
      <c r="S85" s="127"/>
      <c r="T85" s="127"/>
      <c r="U85" s="127"/>
      <c r="V85" s="107"/>
      <c r="W85" s="107"/>
      <c r="X85" s="99"/>
      <c r="Y85" s="99"/>
      <c r="Z85" s="102"/>
      <c r="AA85" s="99"/>
      <c r="AB85" s="99"/>
      <c r="AC85" s="99"/>
      <c r="AD85" s="99"/>
      <c r="AE85" s="99"/>
    </row>
    <row r="86" spans="2:31" x14ac:dyDescent="0.25">
      <c r="B86" s="99"/>
      <c r="C86" s="10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5"/>
      <c r="Y86" s="105"/>
      <c r="Z86" s="112"/>
      <c r="AA86" s="105"/>
      <c r="AB86" s="99"/>
      <c r="AC86" s="99"/>
      <c r="AD86" s="99"/>
      <c r="AE86" s="99"/>
    </row>
    <row r="87" spans="2:31" x14ac:dyDescent="0.25">
      <c r="B87" s="105"/>
      <c r="C87" s="104"/>
      <c r="D87" s="105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5"/>
      <c r="Y87" s="105"/>
      <c r="Z87" s="112"/>
      <c r="AA87" s="105"/>
      <c r="AB87" s="99"/>
      <c r="AC87" s="99"/>
      <c r="AD87" s="99"/>
      <c r="AE87" s="99"/>
    </row>
    <row r="88" spans="2:31" x14ac:dyDescent="0.25">
      <c r="B88" s="99"/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105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105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105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105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4"/>
      <c r="D93" s="105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9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4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2:31" x14ac:dyDescent="0.25">
      <c r="C101" s="104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  <c r="AB101" s="99"/>
      <c r="AC101" s="99"/>
      <c r="AD101" s="99"/>
      <c r="AE101" s="99"/>
    </row>
    <row r="102" spans="2:31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2:31" x14ac:dyDescent="0.25">
      <c r="C103" s="104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2:31" x14ac:dyDescent="0.25">
      <c r="C104" s="104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2:31" x14ac:dyDescent="0.25">
      <c r="C105" s="104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/>
      <c r="Y105" s="108"/>
      <c r="Z105" s="102"/>
      <c r="AA105" s="108"/>
      <c r="AB105" s="99"/>
      <c r="AC105" s="99"/>
      <c r="AD105" s="99"/>
      <c r="AE105" s="99"/>
    </row>
    <row r="106" spans="2:31" x14ac:dyDescent="0.25">
      <c r="C106" s="109"/>
      <c r="D106" s="99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99"/>
      <c r="Y106" s="99"/>
      <c r="Z106" s="102"/>
      <c r="AA106" s="99"/>
      <c r="AB106" s="99"/>
      <c r="AC106" s="99"/>
      <c r="AD106" s="99"/>
      <c r="AE106" s="99"/>
    </row>
    <row r="107" spans="2:31" x14ac:dyDescent="0.25">
      <c r="C107" s="109"/>
      <c r="D107" s="99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07"/>
      <c r="W107" s="107"/>
      <c r="X107" s="99"/>
      <c r="Y107" s="99"/>
      <c r="Z107" s="102"/>
      <c r="AA107" s="99"/>
      <c r="AB107" s="99"/>
      <c r="AC107" s="99"/>
      <c r="AD107" s="99"/>
      <c r="AE107" s="99"/>
    </row>
    <row r="108" spans="2:31" x14ac:dyDescent="0.25">
      <c r="B108" s="99"/>
      <c r="C108" s="109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99"/>
      <c r="AC108" s="99"/>
      <c r="AD108" s="99"/>
      <c r="AE108" s="99"/>
    </row>
    <row r="109" spans="2:31" x14ac:dyDescent="0.25">
      <c r="B109" s="99"/>
      <c r="C109" s="109"/>
      <c r="D109" s="99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5"/>
      <c r="Y109" s="105"/>
      <c r="Z109" s="112"/>
      <c r="AA109" s="105"/>
      <c r="AB109" s="99"/>
      <c r="AC109" s="99"/>
      <c r="AD109" s="99"/>
      <c r="AE109" s="99"/>
    </row>
    <row r="110" spans="2:31" x14ac:dyDescent="0.25">
      <c r="B110" s="99"/>
      <c r="C110" s="104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5"/>
      <c r="Y110" s="105"/>
      <c r="Z110" s="112"/>
      <c r="AA110" s="105"/>
    </row>
    <row r="111" spans="2:31" x14ac:dyDescent="0.25">
      <c r="B111" s="113"/>
      <c r="C111" s="104"/>
      <c r="D111" s="105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5"/>
      <c r="Y111" s="105"/>
      <c r="Z111" s="112"/>
      <c r="AA111" s="105"/>
    </row>
    <row r="112" spans="2:31" x14ac:dyDescent="0.25">
      <c r="C112" s="104"/>
      <c r="D112" s="105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</row>
    <row r="113" spans="2:27" x14ac:dyDescent="0.25">
      <c r="C113" s="104"/>
      <c r="D113" s="105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</row>
    <row r="114" spans="2:27" x14ac:dyDescent="0.25">
      <c r="C114" s="104"/>
      <c r="D114" s="105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8"/>
      <c r="Y114" s="108"/>
      <c r="Z114" s="102"/>
      <c r="AA114" s="108"/>
    </row>
    <row r="115" spans="2:27" x14ac:dyDescent="0.25">
      <c r="C115" s="109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8"/>
      <c r="Y115" s="108"/>
      <c r="Z115" s="102"/>
      <c r="AA115" s="108"/>
    </row>
    <row r="116" spans="2:27" x14ac:dyDescent="0.25">
      <c r="C116" s="104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8"/>
      <c r="Y116" s="108"/>
      <c r="Z116" s="102"/>
      <c r="AA116" s="108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99"/>
      <c r="Y117" s="99"/>
      <c r="Z117" s="102"/>
      <c r="AA117" s="99"/>
    </row>
    <row r="118" spans="2:27" x14ac:dyDescent="0.25"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8"/>
      <c r="Y118" s="108"/>
      <c r="Z118" s="102"/>
      <c r="AA118" s="108"/>
    </row>
    <row r="119" spans="2:27" x14ac:dyDescent="0.25">
      <c r="B119" s="99"/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B120" s="99"/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99"/>
      <c r="Y120" s="99"/>
      <c r="Z120" s="102"/>
      <c r="AA120" s="99"/>
    </row>
    <row r="121" spans="2:27" x14ac:dyDescent="0.25">
      <c r="B121" s="99"/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14"/>
      <c r="Y121" s="114"/>
      <c r="Z121" s="102"/>
      <c r="AA121" s="114"/>
    </row>
    <row r="122" spans="2:27" x14ac:dyDescent="0.25">
      <c r="B122" s="99"/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15"/>
      <c r="Y122" s="115"/>
      <c r="Z122" s="102"/>
      <c r="AA122" s="115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9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9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9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9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>
        <v>3003000</v>
      </c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4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4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4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4"/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99"/>
      <c r="Y134" s="99"/>
      <c r="Z134" s="102"/>
      <c r="AA134" s="99"/>
    </row>
    <row r="135" spans="3:27" x14ac:dyDescent="0.25">
      <c r="C135" s="109">
        <v>42614840</v>
      </c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>
        <v>412608</v>
      </c>
      <c r="X135" s="99"/>
      <c r="Y135" s="99"/>
      <c r="Z135" s="102"/>
      <c r="AA135" s="99"/>
    </row>
    <row r="136" spans="3:27" x14ac:dyDescent="0.25">
      <c r="C136" s="109">
        <v>9675182</v>
      </c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>
        <v>1880000</v>
      </c>
      <c r="X136" s="99"/>
      <c r="Y136" s="99"/>
      <c r="Z136" s="102"/>
      <c r="AA136" s="99"/>
    </row>
    <row r="137" spans="3:27" x14ac:dyDescent="0.25">
      <c r="C137" s="109">
        <v>17903600</v>
      </c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3:27" x14ac:dyDescent="0.25">
      <c r="C138" s="109">
        <f>SUM(C135:C137)</f>
        <v>70193622</v>
      </c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3:27" x14ac:dyDescent="0.25">
      <c r="C139" s="109">
        <v>400000</v>
      </c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0" spans="3:27" x14ac:dyDescent="0.25">
      <c r="C140" s="109">
        <f>+C138+C139</f>
        <v>70593622</v>
      </c>
      <c r="D140" s="99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99"/>
      <c r="Y140" s="99"/>
      <c r="Z140" s="102"/>
      <c r="AA140" s="99"/>
    </row>
    <row r="143" spans="3:27" x14ac:dyDescent="0.25">
      <c r="C143" s="100">
        <v>64000000</v>
      </c>
    </row>
    <row r="144" spans="3:27" x14ac:dyDescent="0.25">
      <c r="C144" s="100">
        <v>11000000</v>
      </c>
    </row>
    <row r="145" spans="3:3" x14ac:dyDescent="0.25">
      <c r="C145" s="100">
        <f>+C143+C144</f>
        <v>75000000</v>
      </c>
    </row>
    <row r="149" spans="3:3" x14ac:dyDescent="0.25">
      <c r="C149" s="100">
        <v>2745000</v>
      </c>
    </row>
    <row r="150" spans="3:3" x14ac:dyDescent="0.25">
      <c r="C150" s="100">
        <v>3185000</v>
      </c>
    </row>
    <row r="151" spans="3:3" x14ac:dyDescent="0.25">
      <c r="C151" s="100">
        <v>1080000</v>
      </c>
    </row>
    <row r="152" spans="3:3" x14ac:dyDescent="0.25">
      <c r="C152" s="100">
        <v>4850100</v>
      </c>
    </row>
    <row r="153" spans="3:3" x14ac:dyDescent="0.25">
      <c r="C153" s="100">
        <v>5027500</v>
      </c>
    </row>
    <row r="154" spans="3:3" x14ac:dyDescent="0.25">
      <c r="C154" s="100">
        <v>4566000</v>
      </c>
    </row>
    <row r="155" spans="3:3" x14ac:dyDescent="0.25">
      <c r="C155" s="100">
        <v>1050000</v>
      </c>
    </row>
    <row r="156" spans="3:3" x14ac:dyDescent="0.25">
      <c r="C156" s="100">
        <v>3877333</v>
      </c>
    </row>
    <row r="157" spans="3:3" x14ac:dyDescent="0.25">
      <c r="C157" s="100">
        <v>6732440</v>
      </c>
    </row>
    <row r="158" spans="3:3" x14ac:dyDescent="0.25">
      <c r="C158" s="100">
        <v>3460000</v>
      </c>
    </row>
    <row r="159" spans="3:3" x14ac:dyDescent="0.25">
      <c r="C159" s="100">
        <v>588800</v>
      </c>
    </row>
    <row r="160" spans="3:3" x14ac:dyDescent="0.25">
      <c r="C160" s="100">
        <v>1868000</v>
      </c>
    </row>
    <row r="161" spans="3:3" x14ac:dyDescent="0.25">
      <c r="C161" s="100">
        <v>10313000</v>
      </c>
    </row>
    <row r="162" spans="3:3" x14ac:dyDescent="0.25">
      <c r="C162" s="100">
        <v>3443800</v>
      </c>
    </row>
    <row r="163" spans="3:3" x14ac:dyDescent="0.25">
      <c r="C163" s="100">
        <v>8136400</v>
      </c>
    </row>
    <row r="164" spans="3:3" x14ac:dyDescent="0.25">
      <c r="C164" s="100">
        <v>9675183</v>
      </c>
    </row>
    <row r="165" spans="3:3" x14ac:dyDescent="0.25">
      <c r="C165" s="100">
        <f>SUM(C149:C164)</f>
        <v>70598556</v>
      </c>
    </row>
  </sheetData>
  <mergeCells count="7">
    <mergeCell ref="D108:AA108"/>
    <mergeCell ref="C1:X1"/>
    <mergeCell ref="E2:N2"/>
    <mergeCell ref="O2:W2"/>
    <mergeCell ref="A3:A36"/>
    <mergeCell ref="A37:A69"/>
    <mergeCell ref="E107:U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BC86-D720-4E42-A6C6-3096DF4BA01E}">
  <dimension ref="A1:AE164"/>
  <sheetViews>
    <sheetView topLeftCell="E1" workbookViewId="0">
      <selection activeCell="AC18" sqref="AC18"/>
    </sheetView>
  </sheetViews>
  <sheetFormatPr baseColWidth="10" defaultRowHeight="9" x14ac:dyDescent="0.25"/>
  <cols>
    <col min="1" max="1" width="10.42578125" style="43" customWidth="1"/>
    <col min="2" max="2" width="4.85546875" style="43" customWidth="1"/>
    <col min="3" max="3" width="28.42578125" style="100" customWidth="1"/>
    <col min="4" max="4" width="11" style="43" customWidth="1"/>
    <col min="5" max="5" width="9.85546875" style="101" customWidth="1"/>
    <col min="6" max="6" width="6.140625" style="101" customWidth="1"/>
    <col min="7" max="7" width="9.140625" style="101" customWidth="1"/>
    <col min="8" max="8" width="7.7109375" style="101" customWidth="1"/>
    <col min="9" max="9" width="7" style="101" customWidth="1"/>
    <col min="10" max="10" width="5.42578125" style="101" customWidth="1"/>
    <col min="11" max="11" width="8" style="101" customWidth="1"/>
    <col min="12" max="12" width="5.5703125" style="101" customWidth="1"/>
    <col min="13" max="13" width="7.5703125" style="101" customWidth="1"/>
    <col min="14" max="14" width="9.5703125" style="101" customWidth="1"/>
    <col min="15" max="15" width="7.7109375" style="101" customWidth="1"/>
    <col min="16" max="16" width="7.85546875" style="101" customWidth="1"/>
    <col min="17" max="17" width="5.85546875" style="101" customWidth="1"/>
    <col min="18" max="18" width="17.7109375" style="101" customWidth="1"/>
    <col min="19" max="19" width="7.28515625" style="101" customWidth="1"/>
    <col min="20" max="20" width="7.42578125" style="101" customWidth="1"/>
    <col min="21" max="21" width="7.85546875" style="101" customWidth="1"/>
    <col min="22" max="23" width="8" style="101" customWidth="1"/>
    <col min="24" max="24" width="12.85546875" style="43" customWidth="1"/>
    <col min="25" max="25" width="4.42578125" style="43" customWidth="1"/>
    <col min="26" max="26" width="7.28515625" style="116" customWidth="1"/>
    <col min="27" max="27" width="10.28515625" style="43" customWidth="1"/>
    <col min="28" max="249" width="11.42578125" style="43"/>
    <col min="250" max="250" width="10.5703125" style="43" customWidth="1"/>
    <col min="251" max="251" width="4.85546875" style="43" customWidth="1"/>
    <col min="252" max="252" width="32.42578125" style="43" customWidth="1"/>
    <col min="253" max="253" width="9.85546875" style="43" customWidth="1"/>
    <col min="254" max="254" width="10.140625" style="43" customWidth="1"/>
    <col min="255" max="255" width="12.28515625" style="43" customWidth="1"/>
    <col min="256" max="256" width="15.42578125" style="43" customWidth="1"/>
    <col min="257" max="257" width="11.85546875" style="43" customWidth="1"/>
    <col min="258" max="258" width="13.28515625" style="43" customWidth="1"/>
    <col min="259" max="259" width="15.28515625" style="43" customWidth="1"/>
    <col min="260" max="260" width="11.85546875" style="43" customWidth="1"/>
    <col min="261" max="261" width="6.140625" style="43" customWidth="1"/>
    <col min="262" max="262" width="11.85546875" style="43" customWidth="1"/>
    <col min="263" max="263" width="9.42578125" style="43" customWidth="1"/>
    <col min="264" max="264" width="14.7109375" style="43" customWidth="1"/>
    <col min="265" max="265" width="11.5703125" style="43" customWidth="1"/>
    <col min="266" max="266" width="0.42578125" style="43" customWidth="1"/>
    <col min="267" max="267" width="10.5703125" style="43" bestFit="1" customWidth="1"/>
    <col min="268" max="268" width="12.28515625" style="43" customWidth="1"/>
    <col min="269" max="269" width="12.5703125" style="43" customWidth="1"/>
    <col min="270" max="270" width="10.5703125" style="43" customWidth="1"/>
    <col min="271" max="271" width="10.140625" style="43" customWidth="1"/>
    <col min="272" max="272" width="8.42578125" style="43" customWidth="1"/>
    <col min="273" max="273" width="18.85546875" style="43" customWidth="1"/>
    <col min="274" max="274" width="10.28515625" style="43" customWidth="1"/>
    <col min="275" max="275" width="11.42578125" style="43"/>
    <col min="276" max="276" width="12.140625" style="43" customWidth="1"/>
    <col min="277" max="277" width="10.5703125" style="43" customWidth="1"/>
    <col min="278" max="278" width="12.42578125" style="43" customWidth="1"/>
    <col min="279" max="279" width="15.140625" style="43" customWidth="1"/>
    <col min="280" max="280" width="13.5703125" style="43" customWidth="1"/>
    <col min="281" max="281" width="13.140625" style="43" customWidth="1"/>
    <col min="282" max="282" width="15.7109375" style="43" customWidth="1"/>
    <col min="283" max="283" width="37.5703125" style="43" customWidth="1"/>
    <col min="284" max="505" width="11.42578125" style="43"/>
    <col min="506" max="506" width="10.5703125" style="43" customWidth="1"/>
    <col min="507" max="507" width="4.85546875" style="43" customWidth="1"/>
    <col min="508" max="508" width="32.42578125" style="43" customWidth="1"/>
    <col min="509" max="509" width="9.85546875" style="43" customWidth="1"/>
    <col min="510" max="510" width="10.140625" style="43" customWidth="1"/>
    <col min="511" max="511" width="12.28515625" style="43" customWidth="1"/>
    <col min="512" max="512" width="15.42578125" style="43" customWidth="1"/>
    <col min="513" max="513" width="11.85546875" style="43" customWidth="1"/>
    <col min="514" max="514" width="13.28515625" style="43" customWidth="1"/>
    <col min="515" max="515" width="15.28515625" style="43" customWidth="1"/>
    <col min="516" max="516" width="11.85546875" style="43" customWidth="1"/>
    <col min="517" max="517" width="6.140625" style="43" customWidth="1"/>
    <col min="518" max="518" width="11.85546875" style="43" customWidth="1"/>
    <col min="519" max="519" width="9.42578125" style="43" customWidth="1"/>
    <col min="520" max="520" width="14.7109375" style="43" customWidth="1"/>
    <col min="521" max="521" width="11.5703125" style="43" customWidth="1"/>
    <col min="522" max="522" width="0.42578125" style="43" customWidth="1"/>
    <col min="523" max="523" width="10.5703125" style="43" bestFit="1" customWidth="1"/>
    <col min="524" max="524" width="12.28515625" style="43" customWidth="1"/>
    <col min="525" max="525" width="12.5703125" style="43" customWidth="1"/>
    <col min="526" max="526" width="10.5703125" style="43" customWidth="1"/>
    <col min="527" max="527" width="10.140625" style="43" customWidth="1"/>
    <col min="528" max="528" width="8.42578125" style="43" customWidth="1"/>
    <col min="529" max="529" width="18.85546875" style="43" customWidth="1"/>
    <col min="530" max="530" width="10.28515625" style="43" customWidth="1"/>
    <col min="531" max="531" width="11.42578125" style="43"/>
    <col min="532" max="532" width="12.140625" style="43" customWidth="1"/>
    <col min="533" max="533" width="10.5703125" style="43" customWidth="1"/>
    <col min="534" max="534" width="12.42578125" style="43" customWidth="1"/>
    <col min="535" max="535" width="15.140625" style="43" customWidth="1"/>
    <col min="536" max="536" width="13.5703125" style="43" customWidth="1"/>
    <col min="537" max="537" width="13.140625" style="43" customWidth="1"/>
    <col min="538" max="538" width="15.7109375" style="43" customWidth="1"/>
    <col min="539" max="539" width="37.5703125" style="43" customWidth="1"/>
    <col min="540" max="761" width="11.42578125" style="43"/>
    <col min="762" max="762" width="10.5703125" style="43" customWidth="1"/>
    <col min="763" max="763" width="4.85546875" style="43" customWidth="1"/>
    <col min="764" max="764" width="32.42578125" style="43" customWidth="1"/>
    <col min="765" max="765" width="9.85546875" style="43" customWidth="1"/>
    <col min="766" max="766" width="10.140625" style="43" customWidth="1"/>
    <col min="767" max="767" width="12.28515625" style="43" customWidth="1"/>
    <col min="768" max="768" width="15.42578125" style="43" customWidth="1"/>
    <col min="769" max="769" width="11.85546875" style="43" customWidth="1"/>
    <col min="770" max="770" width="13.28515625" style="43" customWidth="1"/>
    <col min="771" max="771" width="15.28515625" style="43" customWidth="1"/>
    <col min="772" max="772" width="11.85546875" style="43" customWidth="1"/>
    <col min="773" max="773" width="6.140625" style="43" customWidth="1"/>
    <col min="774" max="774" width="11.85546875" style="43" customWidth="1"/>
    <col min="775" max="775" width="9.42578125" style="43" customWidth="1"/>
    <col min="776" max="776" width="14.7109375" style="43" customWidth="1"/>
    <col min="777" max="777" width="11.5703125" style="43" customWidth="1"/>
    <col min="778" max="778" width="0.42578125" style="43" customWidth="1"/>
    <col min="779" max="779" width="10.5703125" style="43" bestFit="1" customWidth="1"/>
    <col min="780" max="780" width="12.28515625" style="43" customWidth="1"/>
    <col min="781" max="781" width="12.5703125" style="43" customWidth="1"/>
    <col min="782" max="782" width="10.5703125" style="43" customWidth="1"/>
    <col min="783" max="783" width="10.140625" style="43" customWidth="1"/>
    <col min="784" max="784" width="8.42578125" style="43" customWidth="1"/>
    <col min="785" max="785" width="18.85546875" style="43" customWidth="1"/>
    <col min="786" max="786" width="10.28515625" style="43" customWidth="1"/>
    <col min="787" max="787" width="11.42578125" style="43"/>
    <col min="788" max="788" width="12.140625" style="43" customWidth="1"/>
    <col min="789" max="789" width="10.5703125" style="43" customWidth="1"/>
    <col min="790" max="790" width="12.42578125" style="43" customWidth="1"/>
    <col min="791" max="791" width="15.140625" style="43" customWidth="1"/>
    <col min="792" max="792" width="13.5703125" style="43" customWidth="1"/>
    <col min="793" max="793" width="13.140625" style="43" customWidth="1"/>
    <col min="794" max="794" width="15.7109375" style="43" customWidth="1"/>
    <col min="795" max="795" width="37.5703125" style="43" customWidth="1"/>
    <col min="796" max="1017" width="11.42578125" style="43"/>
    <col min="1018" max="1018" width="10.5703125" style="43" customWidth="1"/>
    <col min="1019" max="1019" width="4.85546875" style="43" customWidth="1"/>
    <col min="1020" max="1020" width="32.42578125" style="43" customWidth="1"/>
    <col min="1021" max="1021" width="9.85546875" style="43" customWidth="1"/>
    <col min="1022" max="1022" width="10.140625" style="43" customWidth="1"/>
    <col min="1023" max="1023" width="12.28515625" style="43" customWidth="1"/>
    <col min="1024" max="1024" width="15.42578125" style="43" customWidth="1"/>
    <col min="1025" max="1025" width="11.85546875" style="43" customWidth="1"/>
    <col min="1026" max="1026" width="13.28515625" style="43" customWidth="1"/>
    <col min="1027" max="1027" width="15.28515625" style="43" customWidth="1"/>
    <col min="1028" max="1028" width="11.85546875" style="43" customWidth="1"/>
    <col min="1029" max="1029" width="6.140625" style="43" customWidth="1"/>
    <col min="1030" max="1030" width="11.85546875" style="43" customWidth="1"/>
    <col min="1031" max="1031" width="9.42578125" style="43" customWidth="1"/>
    <col min="1032" max="1032" width="14.7109375" style="43" customWidth="1"/>
    <col min="1033" max="1033" width="11.5703125" style="43" customWidth="1"/>
    <col min="1034" max="1034" width="0.42578125" style="43" customWidth="1"/>
    <col min="1035" max="1035" width="10.5703125" style="43" bestFit="1" customWidth="1"/>
    <col min="1036" max="1036" width="12.28515625" style="43" customWidth="1"/>
    <col min="1037" max="1037" width="12.5703125" style="43" customWidth="1"/>
    <col min="1038" max="1038" width="10.5703125" style="43" customWidth="1"/>
    <col min="1039" max="1039" width="10.140625" style="43" customWidth="1"/>
    <col min="1040" max="1040" width="8.42578125" style="43" customWidth="1"/>
    <col min="1041" max="1041" width="18.85546875" style="43" customWidth="1"/>
    <col min="1042" max="1042" width="10.28515625" style="43" customWidth="1"/>
    <col min="1043" max="1043" width="11.42578125" style="43"/>
    <col min="1044" max="1044" width="12.140625" style="43" customWidth="1"/>
    <col min="1045" max="1045" width="10.5703125" style="43" customWidth="1"/>
    <col min="1046" max="1046" width="12.42578125" style="43" customWidth="1"/>
    <col min="1047" max="1047" width="15.140625" style="43" customWidth="1"/>
    <col min="1048" max="1048" width="13.5703125" style="43" customWidth="1"/>
    <col min="1049" max="1049" width="13.140625" style="43" customWidth="1"/>
    <col min="1050" max="1050" width="15.7109375" style="43" customWidth="1"/>
    <col min="1051" max="1051" width="37.5703125" style="43" customWidth="1"/>
    <col min="1052" max="1273" width="11.42578125" style="43"/>
    <col min="1274" max="1274" width="10.5703125" style="43" customWidth="1"/>
    <col min="1275" max="1275" width="4.85546875" style="43" customWidth="1"/>
    <col min="1276" max="1276" width="32.42578125" style="43" customWidth="1"/>
    <col min="1277" max="1277" width="9.85546875" style="43" customWidth="1"/>
    <col min="1278" max="1278" width="10.140625" style="43" customWidth="1"/>
    <col min="1279" max="1279" width="12.28515625" style="43" customWidth="1"/>
    <col min="1280" max="1280" width="15.42578125" style="43" customWidth="1"/>
    <col min="1281" max="1281" width="11.85546875" style="43" customWidth="1"/>
    <col min="1282" max="1282" width="13.28515625" style="43" customWidth="1"/>
    <col min="1283" max="1283" width="15.28515625" style="43" customWidth="1"/>
    <col min="1284" max="1284" width="11.85546875" style="43" customWidth="1"/>
    <col min="1285" max="1285" width="6.140625" style="43" customWidth="1"/>
    <col min="1286" max="1286" width="11.85546875" style="43" customWidth="1"/>
    <col min="1287" max="1287" width="9.42578125" style="43" customWidth="1"/>
    <col min="1288" max="1288" width="14.7109375" style="43" customWidth="1"/>
    <col min="1289" max="1289" width="11.5703125" style="43" customWidth="1"/>
    <col min="1290" max="1290" width="0.42578125" style="43" customWidth="1"/>
    <col min="1291" max="1291" width="10.5703125" style="43" bestFit="1" customWidth="1"/>
    <col min="1292" max="1292" width="12.28515625" style="43" customWidth="1"/>
    <col min="1293" max="1293" width="12.5703125" style="43" customWidth="1"/>
    <col min="1294" max="1294" width="10.5703125" style="43" customWidth="1"/>
    <col min="1295" max="1295" width="10.140625" style="43" customWidth="1"/>
    <col min="1296" max="1296" width="8.42578125" style="43" customWidth="1"/>
    <col min="1297" max="1297" width="18.85546875" style="43" customWidth="1"/>
    <col min="1298" max="1298" width="10.28515625" style="43" customWidth="1"/>
    <col min="1299" max="1299" width="11.42578125" style="43"/>
    <col min="1300" max="1300" width="12.140625" style="43" customWidth="1"/>
    <col min="1301" max="1301" width="10.5703125" style="43" customWidth="1"/>
    <col min="1302" max="1302" width="12.42578125" style="43" customWidth="1"/>
    <col min="1303" max="1303" width="15.140625" style="43" customWidth="1"/>
    <col min="1304" max="1304" width="13.5703125" style="43" customWidth="1"/>
    <col min="1305" max="1305" width="13.140625" style="43" customWidth="1"/>
    <col min="1306" max="1306" width="15.7109375" style="43" customWidth="1"/>
    <col min="1307" max="1307" width="37.5703125" style="43" customWidth="1"/>
    <col min="1308" max="1529" width="11.42578125" style="43"/>
    <col min="1530" max="1530" width="10.5703125" style="43" customWidth="1"/>
    <col min="1531" max="1531" width="4.85546875" style="43" customWidth="1"/>
    <col min="1532" max="1532" width="32.42578125" style="43" customWidth="1"/>
    <col min="1533" max="1533" width="9.85546875" style="43" customWidth="1"/>
    <col min="1534" max="1534" width="10.140625" style="43" customWidth="1"/>
    <col min="1535" max="1535" width="12.28515625" style="43" customWidth="1"/>
    <col min="1536" max="1536" width="15.42578125" style="43" customWidth="1"/>
    <col min="1537" max="1537" width="11.85546875" style="43" customWidth="1"/>
    <col min="1538" max="1538" width="13.28515625" style="43" customWidth="1"/>
    <col min="1539" max="1539" width="15.28515625" style="43" customWidth="1"/>
    <col min="1540" max="1540" width="11.85546875" style="43" customWidth="1"/>
    <col min="1541" max="1541" width="6.140625" style="43" customWidth="1"/>
    <col min="1542" max="1542" width="11.85546875" style="43" customWidth="1"/>
    <col min="1543" max="1543" width="9.42578125" style="43" customWidth="1"/>
    <col min="1544" max="1544" width="14.7109375" style="43" customWidth="1"/>
    <col min="1545" max="1545" width="11.5703125" style="43" customWidth="1"/>
    <col min="1546" max="1546" width="0.42578125" style="43" customWidth="1"/>
    <col min="1547" max="1547" width="10.5703125" style="43" bestFit="1" customWidth="1"/>
    <col min="1548" max="1548" width="12.28515625" style="43" customWidth="1"/>
    <col min="1549" max="1549" width="12.5703125" style="43" customWidth="1"/>
    <col min="1550" max="1550" width="10.5703125" style="43" customWidth="1"/>
    <col min="1551" max="1551" width="10.140625" style="43" customWidth="1"/>
    <col min="1552" max="1552" width="8.42578125" style="43" customWidth="1"/>
    <col min="1553" max="1553" width="18.85546875" style="43" customWidth="1"/>
    <col min="1554" max="1554" width="10.28515625" style="43" customWidth="1"/>
    <col min="1555" max="1555" width="11.42578125" style="43"/>
    <col min="1556" max="1556" width="12.140625" style="43" customWidth="1"/>
    <col min="1557" max="1557" width="10.5703125" style="43" customWidth="1"/>
    <col min="1558" max="1558" width="12.42578125" style="43" customWidth="1"/>
    <col min="1559" max="1559" width="15.140625" style="43" customWidth="1"/>
    <col min="1560" max="1560" width="13.5703125" style="43" customWidth="1"/>
    <col min="1561" max="1561" width="13.140625" style="43" customWidth="1"/>
    <col min="1562" max="1562" width="15.7109375" style="43" customWidth="1"/>
    <col min="1563" max="1563" width="37.5703125" style="43" customWidth="1"/>
    <col min="1564" max="1785" width="11.42578125" style="43"/>
    <col min="1786" max="1786" width="10.5703125" style="43" customWidth="1"/>
    <col min="1787" max="1787" width="4.85546875" style="43" customWidth="1"/>
    <col min="1788" max="1788" width="32.42578125" style="43" customWidth="1"/>
    <col min="1789" max="1789" width="9.85546875" style="43" customWidth="1"/>
    <col min="1790" max="1790" width="10.140625" style="43" customWidth="1"/>
    <col min="1791" max="1791" width="12.28515625" style="43" customWidth="1"/>
    <col min="1792" max="1792" width="15.42578125" style="43" customWidth="1"/>
    <col min="1793" max="1793" width="11.85546875" style="43" customWidth="1"/>
    <col min="1794" max="1794" width="13.28515625" style="43" customWidth="1"/>
    <col min="1795" max="1795" width="15.28515625" style="43" customWidth="1"/>
    <col min="1796" max="1796" width="11.85546875" style="43" customWidth="1"/>
    <col min="1797" max="1797" width="6.140625" style="43" customWidth="1"/>
    <col min="1798" max="1798" width="11.85546875" style="43" customWidth="1"/>
    <col min="1799" max="1799" width="9.42578125" style="43" customWidth="1"/>
    <col min="1800" max="1800" width="14.7109375" style="43" customWidth="1"/>
    <col min="1801" max="1801" width="11.5703125" style="43" customWidth="1"/>
    <col min="1802" max="1802" width="0.42578125" style="43" customWidth="1"/>
    <col min="1803" max="1803" width="10.5703125" style="43" bestFit="1" customWidth="1"/>
    <col min="1804" max="1804" width="12.28515625" style="43" customWidth="1"/>
    <col min="1805" max="1805" width="12.5703125" style="43" customWidth="1"/>
    <col min="1806" max="1806" width="10.5703125" style="43" customWidth="1"/>
    <col min="1807" max="1807" width="10.140625" style="43" customWidth="1"/>
    <col min="1808" max="1808" width="8.42578125" style="43" customWidth="1"/>
    <col min="1809" max="1809" width="18.85546875" style="43" customWidth="1"/>
    <col min="1810" max="1810" width="10.28515625" style="43" customWidth="1"/>
    <col min="1811" max="1811" width="11.42578125" style="43"/>
    <col min="1812" max="1812" width="12.140625" style="43" customWidth="1"/>
    <col min="1813" max="1813" width="10.5703125" style="43" customWidth="1"/>
    <col min="1814" max="1814" width="12.42578125" style="43" customWidth="1"/>
    <col min="1815" max="1815" width="15.140625" style="43" customWidth="1"/>
    <col min="1816" max="1816" width="13.5703125" style="43" customWidth="1"/>
    <col min="1817" max="1817" width="13.140625" style="43" customWidth="1"/>
    <col min="1818" max="1818" width="15.7109375" style="43" customWidth="1"/>
    <col min="1819" max="1819" width="37.5703125" style="43" customWidth="1"/>
    <col min="1820" max="2041" width="11.42578125" style="43"/>
    <col min="2042" max="2042" width="10.5703125" style="43" customWidth="1"/>
    <col min="2043" max="2043" width="4.85546875" style="43" customWidth="1"/>
    <col min="2044" max="2044" width="32.42578125" style="43" customWidth="1"/>
    <col min="2045" max="2045" width="9.85546875" style="43" customWidth="1"/>
    <col min="2046" max="2046" width="10.140625" style="43" customWidth="1"/>
    <col min="2047" max="2047" width="12.28515625" style="43" customWidth="1"/>
    <col min="2048" max="2048" width="15.42578125" style="43" customWidth="1"/>
    <col min="2049" max="2049" width="11.85546875" style="43" customWidth="1"/>
    <col min="2050" max="2050" width="13.28515625" style="43" customWidth="1"/>
    <col min="2051" max="2051" width="15.28515625" style="43" customWidth="1"/>
    <col min="2052" max="2052" width="11.85546875" style="43" customWidth="1"/>
    <col min="2053" max="2053" width="6.140625" style="43" customWidth="1"/>
    <col min="2054" max="2054" width="11.85546875" style="43" customWidth="1"/>
    <col min="2055" max="2055" width="9.42578125" style="43" customWidth="1"/>
    <col min="2056" max="2056" width="14.7109375" style="43" customWidth="1"/>
    <col min="2057" max="2057" width="11.5703125" style="43" customWidth="1"/>
    <col min="2058" max="2058" width="0.42578125" style="43" customWidth="1"/>
    <col min="2059" max="2059" width="10.5703125" style="43" bestFit="1" customWidth="1"/>
    <col min="2060" max="2060" width="12.28515625" style="43" customWidth="1"/>
    <col min="2061" max="2061" width="12.5703125" style="43" customWidth="1"/>
    <col min="2062" max="2062" width="10.5703125" style="43" customWidth="1"/>
    <col min="2063" max="2063" width="10.140625" style="43" customWidth="1"/>
    <col min="2064" max="2064" width="8.42578125" style="43" customWidth="1"/>
    <col min="2065" max="2065" width="18.85546875" style="43" customWidth="1"/>
    <col min="2066" max="2066" width="10.28515625" style="43" customWidth="1"/>
    <col min="2067" max="2067" width="11.42578125" style="43"/>
    <col min="2068" max="2068" width="12.140625" style="43" customWidth="1"/>
    <col min="2069" max="2069" width="10.5703125" style="43" customWidth="1"/>
    <col min="2070" max="2070" width="12.42578125" style="43" customWidth="1"/>
    <col min="2071" max="2071" width="15.140625" style="43" customWidth="1"/>
    <col min="2072" max="2072" width="13.5703125" style="43" customWidth="1"/>
    <col min="2073" max="2073" width="13.140625" style="43" customWidth="1"/>
    <col min="2074" max="2074" width="15.7109375" style="43" customWidth="1"/>
    <col min="2075" max="2075" width="37.5703125" style="43" customWidth="1"/>
    <col min="2076" max="2297" width="11.42578125" style="43"/>
    <col min="2298" max="2298" width="10.5703125" style="43" customWidth="1"/>
    <col min="2299" max="2299" width="4.85546875" style="43" customWidth="1"/>
    <col min="2300" max="2300" width="32.42578125" style="43" customWidth="1"/>
    <col min="2301" max="2301" width="9.85546875" style="43" customWidth="1"/>
    <col min="2302" max="2302" width="10.140625" style="43" customWidth="1"/>
    <col min="2303" max="2303" width="12.28515625" style="43" customWidth="1"/>
    <col min="2304" max="2304" width="15.42578125" style="43" customWidth="1"/>
    <col min="2305" max="2305" width="11.85546875" style="43" customWidth="1"/>
    <col min="2306" max="2306" width="13.28515625" style="43" customWidth="1"/>
    <col min="2307" max="2307" width="15.28515625" style="43" customWidth="1"/>
    <col min="2308" max="2308" width="11.85546875" style="43" customWidth="1"/>
    <col min="2309" max="2309" width="6.140625" style="43" customWidth="1"/>
    <col min="2310" max="2310" width="11.85546875" style="43" customWidth="1"/>
    <col min="2311" max="2311" width="9.42578125" style="43" customWidth="1"/>
    <col min="2312" max="2312" width="14.7109375" style="43" customWidth="1"/>
    <col min="2313" max="2313" width="11.5703125" style="43" customWidth="1"/>
    <col min="2314" max="2314" width="0.42578125" style="43" customWidth="1"/>
    <col min="2315" max="2315" width="10.5703125" style="43" bestFit="1" customWidth="1"/>
    <col min="2316" max="2316" width="12.28515625" style="43" customWidth="1"/>
    <col min="2317" max="2317" width="12.5703125" style="43" customWidth="1"/>
    <col min="2318" max="2318" width="10.5703125" style="43" customWidth="1"/>
    <col min="2319" max="2319" width="10.140625" style="43" customWidth="1"/>
    <col min="2320" max="2320" width="8.42578125" style="43" customWidth="1"/>
    <col min="2321" max="2321" width="18.85546875" style="43" customWidth="1"/>
    <col min="2322" max="2322" width="10.28515625" style="43" customWidth="1"/>
    <col min="2323" max="2323" width="11.42578125" style="43"/>
    <col min="2324" max="2324" width="12.140625" style="43" customWidth="1"/>
    <col min="2325" max="2325" width="10.5703125" style="43" customWidth="1"/>
    <col min="2326" max="2326" width="12.42578125" style="43" customWidth="1"/>
    <col min="2327" max="2327" width="15.140625" style="43" customWidth="1"/>
    <col min="2328" max="2328" width="13.5703125" style="43" customWidth="1"/>
    <col min="2329" max="2329" width="13.140625" style="43" customWidth="1"/>
    <col min="2330" max="2330" width="15.7109375" style="43" customWidth="1"/>
    <col min="2331" max="2331" width="37.5703125" style="43" customWidth="1"/>
    <col min="2332" max="2553" width="11.42578125" style="43"/>
    <col min="2554" max="2554" width="10.5703125" style="43" customWidth="1"/>
    <col min="2555" max="2555" width="4.85546875" style="43" customWidth="1"/>
    <col min="2556" max="2556" width="32.42578125" style="43" customWidth="1"/>
    <col min="2557" max="2557" width="9.85546875" style="43" customWidth="1"/>
    <col min="2558" max="2558" width="10.140625" style="43" customWidth="1"/>
    <col min="2559" max="2559" width="12.28515625" style="43" customWidth="1"/>
    <col min="2560" max="2560" width="15.42578125" style="43" customWidth="1"/>
    <col min="2561" max="2561" width="11.85546875" style="43" customWidth="1"/>
    <col min="2562" max="2562" width="13.28515625" style="43" customWidth="1"/>
    <col min="2563" max="2563" width="15.28515625" style="43" customWidth="1"/>
    <col min="2564" max="2564" width="11.85546875" style="43" customWidth="1"/>
    <col min="2565" max="2565" width="6.140625" style="43" customWidth="1"/>
    <col min="2566" max="2566" width="11.85546875" style="43" customWidth="1"/>
    <col min="2567" max="2567" width="9.42578125" style="43" customWidth="1"/>
    <col min="2568" max="2568" width="14.7109375" style="43" customWidth="1"/>
    <col min="2569" max="2569" width="11.5703125" style="43" customWidth="1"/>
    <col min="2570" max="2570" width="0.42578125" style="43" customWidth="1"/>
    <col min="2571" max="2571" width="10.5703125" style="43" bestFit="1" customWidth="1"/>
    <col min="2572" max="2572" width="12.28515625" style="43" customWidth="1"/>
    <col min="2573" max="2573" width="12.5703125" style="43" customWidth="1"/>
    <col min="2574" max="2574" width="10.5703125" style="43" customWidth="1"/>
    <col min="2575" max="2575" width="10.140625" style="43" customWidth="1"/>
    <col min="2576" max="2576" width="8.42578125" style="43" customWidth="1"/>
    <col min="2577" max="2577" width="18.85546875" style="43" customWidth="1"/>
    <col min="2578" max="2578" width="10.28515625" style="43" customWidth="1"/>
    <col min="2579" max="2579" width="11.42578125" style="43"/>
    <col min="2580" max="2580" width="12.140625" style="43" customWidth="1"/>
    <col min="2581" max="2581" width="10.5703125" style="43" customWidth="1"/>
    <col min="2582" max="2582" width="12.42578125" style="43" customWidth="1"/>
    <col min="2583" max="2583" width="15.140625" style="43" customWidth="1"/>
    <col min="2584" max="2584" width="13.5703125" style="43" customWidth="1"/>
    <col min="2585" max="2585" width="13.140625" style="43" customWidth="1"/>
    <col min="2586" max="2586" width="15.7109375" style="43" customWidth="1"/>
    <col min="2587" max="2587" width="37.5703125" style="43" customWidth="1"/>
    <col min="2588" max="2809" width="11.42578125" style="43"/>
    <col min="2810" max="2810" width="10.5703125" style="43" customWidth="1"/>
    <col min="2811" max="2811" width="4.85546875" style="43" customWidth="1"/>
    <col min="2812" max="2812" width="32.42578125" style="43" customWidth="1"/>
    <col min="2813" max="2813" width="9.85546875" style="43" customWidth="1"/>
    <col min="2814" max="2814" width="10.140625" style="43" customWidth="1"/>
    <col min="2815" max="2815" width="12.28515625" style="43" customWidth="1"/>
    <col min="2816" max="2816" width="15.42578125" style="43" customWidth="1"/>
    <col min="2817" max="2817" width="11.85546875" style="43" customWidth="1"/>
    <col min="2818" max="2818" width="13.28515625" style="43" customWidth="1"/>
    <col min="2819" max="2819" width="15.28515625" style="43" customWidth="1"/>
    <col min="2820" max="2820" width="11.85546875" style="43" customWidth="1"/>
    <col min="2821" max="2821" width="6.140625" style="43" customWidth="1"/>
    <col min="2822" max="2822" width="11.85546875" style="43" customWidth="1"/>
    <col min="2823" max="2823" width="9.42578125" style="43" customWidth="1"/>
    <col min="2824" max="2824" width="14.7109375" style="43" customWidth="1"/>
    <col min="2825" max="2825" width="11.5703125" style="43" customWidth="1"/>
    <col min="2826" max="2826" width="0.42578125" style="43" customWidth="1"/>
    <col min="2827" max="2827" width="10.5703125" style="43" bestFit="1" customWidth="1"/>
    <col min="2828" max="2828" width="12.28515625" style="43" customWidth="1"/>
    <col min="2829" max="2829" width="12.5703125" style="43" customWidth="1"/>
    <col min="2830" max="2830" width="10.5703125" style="43" customWidth="1"/>
    <col min="2831" max="2831" width="10.140625" style="43" customWidth="1"/>
    <col min="2832" max="2832" width="8.42578125" style="43" customWidth="1"/>
    <col min="2833" max="2833" width="18.85546875" style="43" customWidth="1"/>
    <col min="2834" max="2834" width="10.28515625" style="43" customWidth="1"/>
    <col min="2835" max="2835" width="11.42578125" style="43"/>
    <col min="2836" max="2836" width="12.140625" style="43" customWidth="1"/>
    <col min="2837" max="2837" width="10.5703125" style="43" customWidth="1"/>
    <col min="2838" max="2838" width="12.42578125" style="43" customWidth="1"/>
    <col min="2839" max="2839" width="15.140625" style="43" customWidth="1"/>
    <col min="2840" max="2840" width="13.5703125" style="43" customWidth="1"/>
    <col min="2841" max="2841" width="13.140625" style="43" customWidth="1"/>
    <col min="2842" max="2842" width="15.7109375" style="43" customWidth="1"/>
    <col min="2843" max="2843" width="37.5703125" style="43" customWidth="1"/>
    <col min="2844" max="3065" width="11.42578125" style="43"/>
    <col min="3066" max="3066" width="10.5703125" style="43" customWidth="1"/>
    <col min="3067" max="3067" width="4.85546875" style="43" customWidth="1"/>
    <col min="3068" max="3068" width="32.42578125" style="43" customWidth="1"/>
    <col min="3069" max="3069" width="9.85546875" style="43" customWidth="1"/>
    <col min="3070" max="3070" width="10.140625" style="43" customWidth="1"/>
    <col min="3071" max="3071" width="12.28515625" style="43" customWidth="1"/>
    <col min="3072" max="3072" width="15.42578125" style="43" customWidth="1"/>
    <col min="3073" max="3073" width="11.85546875" style="43" customWidth="1"/>
    <col min="3074" max="3074" width="13.28515625" style="43" customWidth="1"/>
    <col min="3075" max="3075" width="15.28515625" style="43" customWidth="1"/>
    <col min="3076" max="3076" width="11.85546875" style="43" customWidth="1"/>
    <col min="3077" max="3077" width="6.140625" style="43" customWidth="1"/>
    <col min="3078" max="3078" width="11.85546875" style="43" customWidth="1"/>
    <col min="3079" max="3079" width="9.42578125" style="43" customWidth="1"/>
    <col min="3080" max="3080" width="14.7109375" style="43" customWidth="1"/>
    <col min="3081" max="3081" width="11.5703125" style="43" customWidth="1"/>
    <col min="3082" max="3082" width="0.42578125" style="43" customWidth="1"/>
    <col min="3083" max="3083" width="10.5703125" style="43" bestFit="1" customWidth="1"/>
    <col min="3084" max="3084" width="12.28515625" style="43" customWidth="1"/>
    <col min="3085" max="3085" width="12.5703125" style="43" customWidth="1"/>
    <col min="3086" max="3086" width="10.5703125" style="43" customWidth="1"/>
    <col min="3087" max="3087" width="10.140625" style="43" customWidth="1"/>
    <col min="3088" max="3088" width="8.42578125" style="43" customWidth="1"/>
    <col min="3089" max="3089" width="18.85546875" style="43" customWidth="1"/>
    <col min="3090" max="3090" width="10.28515625" style="43" customWidth="1"/>
    <col min="3091" max="3091" width="11.42578125" style="43"/>
    <col min="3092" max="3092" width="12.140625" style="43" customWidth="1"/>
    <col min="3093" max="3093" width="10.5703125" style="43" customWidth="1"/>
    <col min="3094" max="3094" width="12.42578125" style="43" customWidth="1"/>
    <col min="3095" max="3095" width="15.140625" style="43" customWidth="1"/>
    <col min="3096" max="3096" width="13.5703125" style="43" customWidth="1"/>
    <col min="3097" max="3097" width="13.140625" style="43" customWidth="1"/>
    <col min="3098" max="3098" width="15.7109375" style="43" customWidth="1"/>
    <col min="3099" max="3099" width="37.5703125" style="43" customWidth="1"/>
    <col min="3100" max="3321" width="11.42578125" style="43"/>
    <col min="3322" max="3322" width="10.5703125" style="43" customWidth="1"/>
    <col min="3323" max="3323" width="4.85546875" style="43" customWidth="1"/>
    <col min="3324" max="3324" width="32.42578125" style="43" customWidth="1"/>
    <col min="3325" max="3325" width="9.85546875" style="43" customWidth="1"/>
    <col min="3326" max="3326" width="10.140625" style="43" customWidth="1"/>
    <col min="3327" max="3327" width="12.28515625" style="43" customWidth="1"/>
    <col min="3328" max="3328" width="15.42578125" style="43" customWidth="1"/>
    <col min="3329" max="3329" width="11.85546875" style="43" customWidth="1"/>
    <col min="3330" max="3330" width="13.28515625" style="43" customWidth="1"/>
    <col min="3331" max="3331" width="15.28515625" style="43" customWidth="1"/>
    <col min="3332" max="3332" width="11.85546875" style="43" customWidth="1"/>
    <col min="3333" max="3333" width="6.140625" style="43" customWidth="1"/>
    <col min="3334" max="3334" width="11.85546875" style="43" customWidth="1"/>
    <col min="3335" max="3335" width="9.42578125" style="43" customWidth="1"/>
    <col min="3336" max="3336" width="14.7109375" style="43" customWidth="1"/>
    <col min="3337" max="3337" width="11.5703125" style="43" customWidth="1"/>
    <col min="3338" max="3338" width="0.42578125" style="43" customWidth="1"/>
    <col min="3339" max="3339" width="10.5703125" style="43" bestFit="1" customWidth="1"/>
    <col min="3340" max="3340" width="12.28515625" style="43" customWidth="1"/>
    <col min="3341" max="3341" width="12.5703125" style="43" customWidth="1"/>
    <col min="3342" max="3342" width="10.5703125" style="43" customWidth="1"/>
    <col min="3343" max="3343" width="10.140625" style="43" customWidth="1"/>
    <col min="3344" max="3344" width="8.42578125" style="43" customWidth="1"/>
    <col min="3345" max="3345" width="18.85546875" style="43" customWidth="1"/>
    <col min="3346" max="3346" width="10.28515625" style="43" customWidth="1"/>
    <col min="3347" max="3347" width="11.42578125" style="43"/>
    <col min="3348" max="3348" width="12.140625" style="43" customWidth="1"/>
    <col min="3349" max="3349" width="10.5703125" style="43" customWidth="1"/>
    <col min="3350" max="3350" width="12.42578125" style="43" customWidth="1"/>
    <col min="3351" max="3351" width="15.140625" style="43" customWidth="1"/>
    <col min="3352" max="3352" width="13.5703125" style="43" customWidth="1"/>
    <col min="3353" max="3353" width="13.140625" style="43" customWidth="1"/>
    <col min="3354" max="3354" width="15.7109375" style="43" customWidth="1"/>
    <col min="3355" max="3355" width="37.5703125" style="43" customWidth="1"/>
    <col min="3356" max="3577" width="11.42578125" style="43"/>
    <col min="3578" max="3578" width="10.5703125" style="43" customWidth="1"/>
    <col min="3579" max="3579" width="4.85546875" style="43" customWidth="1"/>
    <col min="3580" max="3580" width="32.42578125" style="43" customWidth="1"/>
    <col min="3581" max="3581" width="9.85546875" style="43" customWidth="1"/>
    <col min="3582" max="3582" width="10.140625" style="43" customWidth="1"/>
    <col min="3583" max="3583" width="12.28515625" style="43" customWidth="1"/>
    <col min="3584" max="3584" width="15.42578125" style="43" customWidth="1"/>
    <col min="3585" max="3585" width="11.85546875" style="43" customWidth="1"/>
    <col min="3586" max="3586" width="13.28515625" style="43" customWidth="1"/>
    <col min="3587" max="3587" width="15.28515625" style="43" customWidth="1"/>
    <col min="3588" max="3588" width="11.85546875" style="43" customWidth="1"/>
    <col min="3589" max="3589" width="6.140625" style="43" customWidth="1"/>
    <col min="3590" max="3590" width="11.85546875" style="43" customWidth="1"/>
    <col min="3591" max="3591" width="9.42578125" style="43" customWidth="1"/>
    <col min="3592" max="3592" width="14.7109375" style="43" customWidth="1"/>
    <col min="3593" max="3593" width="11.5703125" style="43" customWidth="1"/>
    <col min="3594" max="3594" width="0.42578125" style="43" customWidth="1"/>
    <col min="3595" max="3595" width="10.5703125" style="43" bestFit="1" customWidth="1"/>
    <col min="3596" max="3596" width="12.28515625" style="43" customWidth="1"/>
    <col min="3597" max="3597" width="12.5703125" style="43" customWidth="1"/>
    <col min="3598" max="3598" width="10.5703125" style="43" customWidth="1"/>
    <col min="3599" max="3599" width="10.140625" style="43" customWidth="1"/>
    <col min="3600" max="3600" width="8.42578125" style="43" customWidth="1"/>
    <col min="3601" max="3601" width="18.85546875" style="43" customWidth="1"/>
    <col min="3602" max="3602" width="10.28515625" style="43" customWidth="1"/>
    <col min="3603" max="3603" width="11.42578125" style="43"/>
    <col min="3604" max="3604" width="12.140625" style="43" customWidth="1"/>
    <col min="3605" max="3605" width="10.5703125" style="43" customWidth="1"/>
    <col min="3606" max="3606" width="12.42578125" style="43" customWidth="1"/>
    <col min="3607" max="3607" width="15.140625" style="43" customWidth="1"/>
    <col min="3608" max="3608" width="13.5703125" style="43" customWidth="1"/>
    <col min="3609" max="3609" width="13.140625" style="43" customWidth="1"/>
    <col min="3610" max="3610" width="15.7109375" style="43" customWidth="1"/>
    <col min="3611" max="3611" width="37.5703125" style="43" customWidth="1"/>
    <col min="3612" max="3833" width="11.42578125" style="43"/>
    <col min="3834" max="3834" width="10.5703125" style="43" customWidth="1"/>
    <col min="3835" max="3835" width="4.85546875" style="43" customWidth="1"/>
    <col min="3836" max="3836" width="32.42578125" style="43" customWidth="1"/>
    <col min="3837" max="3837" width="9.85546875" style="43" customWidth="1"/>
    <col min="3838" max="3838" width="10.140625" style="43" customWidth="1"/>
    <col min="3839" max="3839" width="12.28515625" style="43" customWidth="1"/>
    <col min="3840" max="3840" width="15.42578125" style="43" customWidth="1"/>
    <col min="3841" max="3841" width="11.85546875" style="43" customWidth="1"/>
    <col min="3842" max="3842" width="13.28515625" style="43" customWidth="1"/>
    <col min="3843" max="3843" width="15.28515625" style="43" customWidth="1"/>
    <col min="3844" max="3844" width="11.85546875" style="43" customWidth="1"/>
    <col min="3845" max="3845" width="6.140625" style="43" customWidth="1"/>
    <col min="3846" max="3846" width="11.85546875" style="43" customWidth="1"/>
    <col min="3847" max="3847" width="9.42578125" style="43" customWidth="1"/>
    <col min="3848" max="3848" width="14.7109375" style="43" customWidth="1"/>
    <col min="3849" max="3849" width="11.5703125" style="43" customWidth="1"/>
    <col min="3850" max="3850" width="0.42578125" style="43" customWidth="1"/>
    <col min="3851" max="3851" width="10.5703125" style="43" bestFit="1" customWidth="1"/>
    <col min="3852" max="3852" width="12.28515625" style="43" customWidth="1"/>
    <col min="3853" max="3853" width="12.5703125" style="43" customWidth="1"/>
    <col min="3854" max="3854" width="10.5703125" style="43" customWidth="1"/>
    <col min="3855" max="3855" width="10.140625" style="43" customWidth="1"/>
    <col min="3856" max="3856" width="8.42578125" style="43" customWidth="1"/>
    <col min="3857" max="3857" width="18.85546875" style="43" customWidth="1"/>
    <col min="3858" max="3858" width="10.28515625" style="43" customWidth="1"/>
    <col min="3859" max="3859" width="11.42578125" style="43"/>
    <col min="3860" max="3860" width="12.140625" style="43" customWidth="1"/>
    <col min="3861" max="3861" width="10.5703125" style="43" customWidth="1"/>
    <col min="3862" max="3862" width="12.42578125" style="43" customWidth="1"/>
    <col min="3863" max="3863" width="15.140625" style="43" customWidth="1"/>
    <col min="3864" max="3864" width="13.5703125" style="43" customWidth="1"/>
    <col min="3865" max="3865" width="13.140625" style="43" customWidth="1"/>
    <col min="3866" max="3866" width="15.7109375" style="43" customWidth="1"/>
    <col min="3867" max="3867" width="37.5703125" style="43" customWidth="1"/>
    <col min="3868" max="4089" width="11.42578125" style="43"/>
    <col min="4090" max="4090" width="10.5703125" style="43" customWidth="1"/>
    <col min="4091" max="4091" width="4.85546875" style="43" customWidth="1"/>
    <col min="4092" max="4092" width="32.42578125" style="43" customWidth="1"/>
    <col min="4093" max="4093" width="9.85546875" style="43" customWidth="1"/>
    <col min="4094" max="4094" width="10.140625" style="43" customWidth="1"/>
    <col min="4095" max="4095" width="12.28515625" style="43" customWidth="1"/>
    <col min="4096" max="4096" width="15.42578125" style="43" customWidth="1"/>
    <col min="4097" max="4097" width="11.85546875" style="43" customWidth="1"/>
    <col min="4098" max="4098" width="13.28515625" style="43" customWidth="1"/>
    <col min="4099" max="4099" width="15.28515625" style="43" customWidth="1"/>
    <col min="4100" max="4100" width="11.85546875" style="43" customWidth="1"/>
    <col min="4101" max="4101" width="6.140625" style="43" customWidth="1"/>
    <col min="4102" max="4102" width="11.85546875" style="43" customWidth="1"/>
    <col min="4103" max="4103" width="9.42578125" style="43" customWidth="1"/>
    <col min="4104" max="4104" width="14.7109375" style="43" customWidth="1"/>
    <col min="4105" max="4105" width="11.5703125" style="43" customWidth="1"/>
    <col min="4106" max="4106" width="0.42578125" style="43" customWidth="1"/>
    <col min="4107" max="4107" width="10.5703125" style="43" bestFit="1" customWidth="1"/>
    <col min="4108" max="4108" width="12.28515625" style="43" customWidth="1"/>
    <col min="4109" max="4109" width="12.5703125" style="43" customWidth="1"/>
    <col min="4110" max="4110" width="10.5703125" style="43" customWidth="1"/>
    <col min="4111" max="4111" width="10.140625" style="43" customWidth="1"/>
    <col min="4112" max="4112" width="8.42578125" style="43" customWidth="1"/>
    <col min="4113" max="4113" width="18.85546875" style="43" customWidth="1"/>
    <col min="4114" max="4114" width="10.28515625" style="43" customWidth="1"/>
    <col min="4115" max="4115" width="11.42578125" style="43"/>
    <col min="4116" max="4116" width="12.140625" style="43" customWidth="1"/>
    <col min="4117" max="4117" width="10.5703125" style="43" customWidth="1"/>
    <col min="4118" max="4118" width="12.42578125" style="43" customWidth="1"/>
    <col min="4119" max="4119" width="15.140625" style="43" customWidth="1"/>
    <col min="4120" max="4120" width="13.5703125" style="43" customWidth="1"/>
    <col min="4121" max="4121" width="13.140625" style="43" customWidth="1"/>
    <col min="4122" max="4122" width="15.7109375" style="43" customWidth="1"/>
    <col min="4123" max="4123" width="37.5703125" style="43" customWidth="1"/>
    <col min="4124" max="4345" width="11.42578125" style="43"/>
    <col min="4346" max="4346" width="10.5703125" style="43" customWidth="1"/>
    <col min="4347" max="4347" width="4.85546875" style="43" customWidth="1"/>
    <col min="4348" max="4348" width="32.42578125" style="43" customWidth="1"/>
    <col min="4349" max="4349" width="9.85546875" style="43" customWidth="1"/>
    <col min="4350" max="4350" width="10.140625" style="43" customWidth="1"/>
    <col min="4351" max="4351" width="12.28515625" style="43" customWidth="1"/>
    <col min="4352" max="4352" width="15.42578125" style="43" customWidth="1"/>
    <col min="4353" max="4353" width="11.85546875" style="43" customWidth="1"/>
    <col min="4354" max="4354" width="13.28515625" style="43" customWidth="1"/>
    <col min="4355" max="4355" width="15.28515625" style="43" customWidth="1"/>
    <col min="4356" max="4356" width="11.85546875" style="43" customWidth="1"/>
    <col min="4357" max="4357" width="6.140625" style="43" customWidth="1"/>
    <col min="4358" max="4358" width="11.85546875" style="43" customWidth="1"/>
    <col min="4359" max="4359" width="9.42578125" style="43" customWidth="1"/>
    <col min="4360" max="4360" width="14.7109375" style="43" customWidth="1"/>
    <col min="4361" max="4361" width="11.5703125" style="43" customWidth="1"/>
    <col min="4362" max="4362" width="0.42578125" style="43" customWidth="1"/>
    <col min="4363" max="4363" width="10.5703125" style="43" bestFit="1" customWidth="1"/>
    <col min="4364" max="4364" width="12.28515625" style="43" customWidth="1"/>
    <col min="4365" max="4365" width="12.5703125" style="43" customWidth="1"/>
    <col min="4366" max="4366" width="10.5703125" style="43" customWidth="1"/>
    <col min="4367" max="4367" width="10.140625" style="43" customWidth="1"/>
    <col min="4368" max="4368" width="8.42578125" style="43" customWidth="1"/>
    <col min="4369" max="4369" width="18.85546875" style="43" customWidth="1"/>
    <col min="4370" max="4370" width="10.28515625" style="43" customWidth="1"/>
    <col min="4371" max="4371" width="11.42578125" style="43"/>
    <col min="4372" max="4372" width="12.140625" style="43" customWidth="1"/>
    <col min="4373" max="4373" width="10.5703125" style="43" customWidth="1"/>
    <col min="4374" max="4374" width="12.42578125" style="43" customWidth="1"/>
    <col min="4375" max="4375" width="15.140625" style="43" customWidth="1"/>
    <col min="4376" max="4376" width="13.5703125" style="43" customWidth="1"/>
    <col min="4377" max="4377" width="13.140625" style="43" customWidth="1"/>
    <col min="4378" max="4378" width="15.7109375" style="43" customWidth="1"/>
    <col min="4379" max="4379" width="37.5703125" style="43" customWidth="1"/>
    <col min="4380" max="4601" width="11.42578125" style="43"/>
    <col min="4602" max="4602" width="10.5703125" style="43" customWidth="1"/>
    <col min="4603" max="4603" width="4.85546875" style="43" customWidth="1"/>
    <col min="4604" max="4604" width="32.42578125" style="43" customWidth="1"/>
    <col min="4605" max="4605" width="9.85546875" style="43" customWidth="1"/>
    <col min="4606" max="4606" width="10.140625" style="43" customWidth="1"/>
    <col min="4607" max="4607" width="12.28515625" style="43" customWidth="1"/>
    <col min="4608" max="4608" width="15.42578125" style="43" customWidth="1"/>
    <col min="4609" max="4609" width="11.85546875" style="43" customWidth="1"/>
    <col min="4610" max="4610" width="13.28515625" style="43" customWidth="1"/>
    <col min="4611" max="4611" width="15.28515625" style="43" customWidth="1"/>
    <col min="4612" max="4612" width="11.85546875" style="43" customWidth="1"/>
    <col min="4613" max="4613" width="6.140625" style="43" customWidth="1"/>
    <col min="4614" max="4614" width="11.85546875" style="43" customWidth="1"/>
    <col min="4615" max="4615" width="9.42578125" style="43" customWidth="1"/>
    <col min="4616" max="4616" width="14.7109375" style="43" customWidth="1"/>
    <col min="4617" max="4617" width="11.5703125" style="43" customWidth="1"/>
    <col min="4618" max="4618" width="0.42578125" style="43" customWidth="1"/>
    <col min="4619" max="4619" width="10.5703125" style="43" bestFit="1" customWidth="1"/>
    <col min="4620" max="4620" width="12.28515625" style="43" customWidth="1"/>
    <col min="4621" max="4621" width="12.5703125" style="43" customWidth="1"/>
    <col min="4622" max="4622" width="10.5703125" style="43" customWidth="1"/>
    <col min="4623" max="4623" width="10.140625" style="43" customWidth="1"/>
    <col min="4624" max="4624" width="8.42578125" style="43" customWidth="1"/>
    <col min="4625" max="4625" width="18.85546875" style="43" customWidth="1"/>
    <col min="4626" max="4626" width="10.28515625" style="43" customWidth="1"/>
    <col min="4627" max="4627" width="11.42578125" style="43"/>
    <col min="4628" max="4628" width="12.140625" style="43" customWidth="1"/>
    <col min="4629" max="4629" width="10.5703125" style="43" customWidth="1"/>
    <col min="4630" max="4630" width="12.42578125" style="43" customWidth="1"/>
    <col min="4631" max="4631" width="15.140625" style="43" customWidth="1"/>
    <col min="4632" max="4632" width="13.5703125" style="43" customWidth="1"/>
    <col min="4633" max="4633" width="13.140625" style="43" customWidth="1"/>
    <col min="4634" max="4634" width="15.7109375" style="43" customWidth="1"/>
    <col min="4635" max="4635" width="37.5703125" style="43" customWidth="1"/>
    <col min="4636" max="4857" width="11.42578125" style="43"/>
    <col min="4858" max="4858" width="10.5703125" style="43" customWidth="1"/>
    <col min="4859" max="4859" width="4.85546875" style="43" customWidth="1"/>
    <col min="4860" max="4860" width="32.42578125" style="43" customWidth="1"/>
    <col min="4861" max="4861" width="9.85546875" style="43" customWidth="1"/>
    <col min="4862" max="4862" width="10.140625" style="43" customWidth="1"/>
    <col min="4863" max="4863" width="12.28515625" style="43" customWidth="1"/>
    <col min="4864" max="4864" width="15.42578125" style="43" customWidth="1"/>
    <col min="4865" max="4865" width="11.85546875" style="43" customWidth="1"/>
    <col min="4866" max="4866" width="13.28515625" style="43" customWidth="1"/>
    <col min="4867" max="4867" width="15.28515625" style="43" customWidth="1"/>
    <col min="4868" max="4868" width="11.85546875" style="43" customWidth="1"/>
    <col min="4869" max="4869" width="6.140625" style="43" customWidth="1"/>
    <col min="4870" max="4870" width="11.85546875" style="43" customWidth="1"/>
    <col min="4871" max="4871" width="9.42578125" style="43" customWidth="1"/>
    <col min="4872" max="4872" width="14.7109375" style="43" customWidth="1"/>
    <col min="4873" max="4873" width="11.5703125" style="43" customWidth="1"/>
    <col min="4874" max="4874" width="0.42578125" style="43" customWidth="1"/>
    <col min="4875" max="4875" width="10.5703125" style="43" bestFit="1" customWidth="1"/>
    <col min="4876" max="4876" width="12.28515625" style="43" customWidth="1"/>
    <col min="4877" max="4877" width="12.5703125" style="43" customWidth="1"/>
    <col min="4878" max="4878" width="10.5703125" style="43" customWidth="1"/>
    <col min="4879" max="4879" width="10.140625" style="43" customWidth="1"/>
    <col min="4880" max="4880" width="8.42578125" style="43" customWidth="1"/>
    <col min="4881" max="4881" width="18.85546875" style="43" customWidth="1"/>
    <col min="4882" max="4882" width="10.28515625" style="43" customWidth="1"/>
    <col min="4883" max="4883" width="11.42578125" style="43"/>
    <col min="4884" max="4884" width="12.140625" style="43" customWidth="1"/>
    <col min="4885" max="4885" width="10.5703125" style="43" customWidth="1"/>
    <col min="4886" max="4886" width="12.42578125" style="43" customWidth="1"/>
    <col min="4887" max="4887" width="15.140625" style="43" customWidth="1"/>
    <col min="4888" max="4888" width="13.5703125" style="43" customWidth="1"/>
    <col min="4889" max="4889" width="13.140625" style="43" customWidth="1"/>
    <col min="4890" max="4890" width="15.7109375" style="43" customWidth="1"/>
    <col min="4891" max="4891" width="37.5703125" style="43" customWidth="1"/>
    <col min="4892" max="5113" width="11.42578125" style="43"/>
    <col min="5114" max="5114" width="10.5703125" style="43" customWidth="1"/>
    <col min="5115" max="5115" width="4.85546875" style="43" customWidth="1"/>
    <col min="5116" max="5116" width="32.42578125" style="43" customWidth="1"/>
    <col min="5117" max="5117" width="9.85546875" style="43" customWidth="1"/>
    <col min="5118" max="5118" width="10.140625" style="43" customWidth="1"/>
    <col min="5119" max="5119" width="12.28515625" style="43" customWidth="1"/>
    <col min="5120" max="5120" width="15.42578125" style="43" customWidth="1"/>
    <col min="5121" max="5121" width="11.85546875" style="43" customWidth="1"/>
    <col min="5122" max="5122" width="13.28515625" style="43" customWidth="1"/>
    <col min="5123" max="5123" width="15.28515625" style="43" customWidth="1"/>
    <col min="5124" max="5124" width="11.85546875" style="43" customWidth="1"/>
    <col min="5125" max="5125" width="6.140625" style="43" customWidth="1"/>
    <col min="5126" max="5126" width="11.85546875" style="43" customWidth="1"/>
    <col min="5127" max="5127" width="9.42578125" style="43" customWidth="1"/>
    <col min="5128" max="5128" width="14.7109375" style="43" customWidth="1"/>
    <col min="5129" max="5129" width="11.5703125" style="43" customWidth="1"/>
    <col min="5130" max="5130" width="0.42578125" style="43" customWidth="1"/>
    <col min="5131" max="5131" width="10.5703125" style="43" bestFit="1" customWidth="1"/>
    <col min="5132" max="5132" width="12.28515625" style="43" customWidth="1"/>
    <col min="5133" max="5133" width="12.5703125" style="43" customWidth="1"/>
    <col min="5134" max="5134" width="10.5703125" style="43" customWidth="1"/>
    <col min="5135" max="5135" width="10.140625" style="43" customWidth="1"/>
    <col min="5136" max="5136" width="8.42578125" style="43" customWidth="1"/>
    <col min="5137" max="5137" width="18.85546875" style="43" customWidth="1"/>
    <col min="5138" max="5138" width="10.28515625" style="43" customWidth="1"/>
    <col min="5139" max="5139" width="11.42578125" style="43"/>
    <col min="5140" max="5140" width="12.140625" style="43" customWidth="1"/>
    <col min="5141" max="5141" width="10.5703125" style="43" customWidth="1"/>
    <col min="5142" max="5142" width="12.42578125" style="43" customWidth="1"/>
    <col min="5143" max="5143" width="15.140625" style="43" customWidth="1"/>
    <col min="5144" max="5144" width="13.5703125" style="43" customWidth="1"/>
    <col min="5145" max="5145" width="13.140625" style="43" customWidth="1"/>
    <col min="5146" max="5146" width="15.7109375" style="43" customWidth="1"/>
    <col min="5147" max="5147" width="37.5703125" style="43" customWidth="1"/>
    <col min="5148" max="5369" width="11.42578125" style="43"/>
    <col min="5370" max="5370" width="10.5703125" style="43" customWidth="1"/>
    <col min="5371" max="5371" width="4.85546875" style="43" customWidth="1"/>
    <col min="5372" max="5372" width="32.42578125" style="43" customWidth="1"/>
    <col min="5373" max="5373" width="9.85546875" style="43" customWidth="1"/>
    <col min="5374" max="5374" width="10.140625" style="43" customWidth="1"/>
    <col min="5375" max="5375" width="12.28515625" style="43" customWidth="1"/>
    <col min="5376" max="5376" width="15.42578125" style="43" customWidth="1"/>
    <col min="5377" max="5377" width="11.85546875" style="43" customWidth="1"/>
    <col min="5378" max="5378" width="13.28515625" style="43" customWidth="1"/>
    <col min="5379" max="5379" width="15.28515625" style="43" customWidth="1"/>
    <col min="5380" max="5380" width="11.85546875" style="43" customWidth="1"/>
    <col min="5381" max="5381" width="6.140625" style="43" customWidth="1"/>
    <col min="5382" max="5382" width="11.85546875" style="43" customWidth="1"/>
    <col min="5383" max="5383" width="9.42578125" style="43" customWidth="1"/>
    <col min="5384" max="5384" width="14.7109375" style="43" customWidth="1"/>
    <col min="5385" max="5385" width="11.5703125" style="43" customWidth="1"/>
    <col min="5386" max="5386" width="0.42578125" style="43" customWidth="1"/>
    <col min="5387" max="5387" width="10.5703125" style="43" bestFit="1" customWidth="1"/>
    <col min="5388" max="5388" width="12.28515625" style="43" customWidth="1"/>
    <col min="5389" max="5389" width="12.5703125" style="43" customWidth="1"/>
    <col min="5390" max="5390" width="10.5703125" style="43" customWidth="1"/>
    <col min="5391" max="5391" width="10.140625" style="43" customWidth="1"/>
    <col min="5392" max="5392" width="8.42578125" style="43" customWidth="1"/>
    <col min="5393" max="5393" width="18.85546875" style="43" customWidth="1"/>
    <col min="5394" max="5394" width="10.28515625" style="43" customWidth="1"/>
    <col min="5395" max="5395" width="11.42578125" style="43"/>
    <col min="5396" max="5396" width="12.140625" style="43" customWidth="1"/>
    <col min="5397" max="5397" width="10.5703125" style="43" customWidth="1"/>
    <col min="5398" max="5398" width="12.42578125" style="43" customWidth="1"/>
    <col min="5399" max="5399" width="15.140625" style="43" customWidth="1"/>
    <col min="5400" max="5400" width="13.5703125" style="43" customWidth="1"/>
    <col min="5401" max="5401" width="13.140625" style="43" customWidth="1"/>
    <col min="5402" max="5402" width="15.7109375" style="43" customWidth="1"/>
    <col min="5403" max="5403" width="37.5703125" style="43" customWidth="1"/>
    <col min="5404" max="5625" width="11.42578125" style="43"/>
    <col min="5626" max="5626" width="10.5703125" style="43" customWidth="1"/>
    <col min="5627" max="5627" width="4.85546875" style="43" customWidth="1"/>
    <col min="5628" max="5628" width="32.42578125" style="43" customWidth="1"/>
    <col min="5629" max="5629" width="9.85546875" style="43" customWidth="1"/>
    <col min="5630" max="5630" width="10.140625" style="43" customWidth="1"/>
    <col min="5631" max="5631" width="12.28515625" style="43" customWidth="1"/>
    <col min="5632" max="5632" width="15.42578125" style="43" customWidth="1"/>
    <col min="5633" max="5633" width="11.85546875" style="43" customWidth="1"/>
    <col min="5634" max="5634" width="13.28515625" style="43" customWidth="1"/>
    <col min="5635" max="5635" width="15.28515625" style="43" customWidth="1"/>
    <col min="5636" max="5636" width="11.85546875" style="43" customWidth="1"/>
    <col min="5637" max="5637" width="6.140625" style="43" customWidth="1"/>
    <col min="5638" max="5638" width="11.85546875" style="43" customWidth="1"/>
    <col min="5639" max="5639" width="9.42578125" style="43" customWidth="1"/>
    <col min="5640" max="5640" width="14.7109375" style="43" customWidth="1"/>
    <col min="5641" max="5641" width="11.5703125" style="43" customWidth="1"/>
    <col min="5642" max="5642" width="0.42578125" style="43" customWidth="1"/>
    <col min="5643" max="5643" width="10.5703125" style="43" bestFit="1" customWidth="1"/>
    <col min="5644" max="5644" width="12.28515625" style="43" customWidth="1"/>
    <col min="5645" max="5645" width="12.5703125" style="43" customWidth="1"/>
    <col min="5646" max="5646" width="10.5703125" style="43" customWidth="1"/>
    <col min="5647" max="5647" width="10.140625" style="43" customWidth="1"/>
    <col min="5648" max="5648" width="8.42578125" style="43" customWidth="1"/>
    <col min="5649" max="5649" width="18.85546875" style="43" customWidth="1"/>
    <col min="5650" max="5650" width="10.28515625" style="43" customWidth="1"/>
    <col min="5651" max="5651" width="11.42578125" style="43"/>
    <col min="5652" max="5652" width="12.140625" style="43" customWidth="1"/>
    <col min="5653" max="5653" width="10.5703125" style="43" customWidth="1"/>
    <col min="5654" max="5654" width="12.42578125" style="43" customWidth="1"/>
    <col min="5655" max="5655" width="15.140625" style="43" customWidth="1"/>
    <col min="5656" max="5656" width="13.5703125" style="43" customWidth="1"/>
    <col min="5657" max="5657" width="13.140625" style="43" customWidth="1"/>
    <col min="5658" max="5658" width="15.7109375" style="43" customWidth="1"/>
    <col min="5659" max="5659" width="37.5703125" style="43" customWidth="1"/>
    <col min="5660" max="5881" width="11.42578125" style="43"/>
    <col min="5882" max="5882" width="10.5703125" style="43" customWidth="1"/>
    <col min="5883" max="5883" width="4.85546875" style="43" customWidth="1"/>
    <col min="5884" max="5884" width="32.42578125" style="43" customWidth="1"/>
    <col min="5885" max="5885" width="9.85546875" style="43" customWidth="1"/>
    <col min="5886" max="5886" width="10.140625" style="43" customWidth="1"/>
    <col min="5887" max="5887" width="12.28515625" style="43" customWidth="1"/>
    <col min="5888" max="5888" width="15.42578125" style="43" customWidth="1"/>
    <col min="5889" max="5889" width="11.85546875" style="43" customWidth="1"/>
    <col min="5890" max="5890" width="13.28515625" style="43" customWidth="1"/>
    <col min="5891" max="5891" width="15.28515625" style="43" customWidth="1"/>
    <col min="5892" max="5892" width="11.85546875" style="43" customWidth="1"/>
    <col min="5893" max="5893" width="6.140625" style="43" customWidth="1"/>
    <col min="5894" max="5894" width="11.85546875" style="43" customWidth="1"/>
    <col min="5895" max="5895" width="9.42578125" style="43" customWidth="1"/>
    <col min="5896" max="5896" width="14.7109375" style="43" customWidth="1"/>
    <col min="5897" max="5897" width="11.5703125" style="43" customWidth="1"/>
    <col min="5898" max="5898" width="0.42578125" style="43" customWidth="1"/>
    <col min="5899" max="5899" width="10.5703125" style="43" bestFit="1" customWidth="1"/>
    <col min="5900" max="5900" width="12.28515625" style="43" customWidth="1"/>
    <col min="5901" max="5901" width="12.5703125" style="43" customWidth="1"/>
    <col min="5902" max="5902" width="10.5703125" style="43" customWidth="1"/>
    <col min="5903" max="5903" width="10.140625" style="43" customWidth="1"/>
    <col min="5904" max="5904" width="8.42578125" style="43" customWidth="1"/>
    <col min="5905" max="5905" width="18.85546875" style="43" customWidth="1"/>
    <col min="5906" max="5906" width="10.28515625" style="43" customWidth="1"/>
    <col min="5907" max="5907" width="11.42578125" style="43"/>
    <col min="5908" max="5908" width="12.140625" style="43" customWidth="1"/>
    <col min="5909" max="5909" width="10.5703125" style="43" customWidth="1"/>
    <col min="5910" max="5910" width="12.42578125" style="43" customWidth="1"/>
    <col min="5911" max="5911" width="15.140625" style="43" customWidth="1"/>
    <col min="5912" max="5912" width="13.5703125" style="43" customWidth="1"/>
    <col min="5913" max="5913" width="13.140625" style="43" customWidth="1"/>
    <col min="5914" max="5914" width="15.7109375" style="43" customWidth="1"/>
    <col min="5915" max="5915" width="37.5703125" style="43" customWidth="1"/>
    <col min="5916" max="6137" width="11.42578125" style="43"/>
    <col min="6138" max="6138" width="10.5703125" style="43" customWidth="1"/>
    <col min="6139" max="6139" width="4.85546875" style="43" customWidth="1"/>
    <col min="6140" max="6140" width="32.42578125" style="43" customWidth="1"/>
    <col min="6141" max="6141" width="9.85546875" style="43" customWidth="1"/>
    <col min="6142" max="6142" width="10.140625" style="43" customWidth="1"/>
    <col min="6143" max="6143" width="12.28515625" style="43" customWidth="1"/>
    <col min="6144" max="6144" width="15.42578125" style="43" customWidth="1"/>
    <col min="6145" max="6145" width="11.85546875" style="43" customWidth="1"/>
    <col min="6146" max="6146" width="13.28515625" style="43" customWidth="1"/>
    <col min="6147" max="6147" width="15.28515625" style="43" customWidth="1"/>
    <col min="6148" max="6148" width="11.85546875" style="43" customWidth="1"/>
    <col min="6149" max="6149" width="6.140625" style="43" customWidth="1"/>
    <col min="6150" max="6150" width="11.85546875" style="43" customWidth="1"/>
    <col min="6151" max="6151" width="9.42578125" style="43" customWidth="1"/>
    <col min="6152" max="6152" width="14.7109375" style="43" customWidth="1"/>
    <col min="6153" max="6153" width="11.5703125" style="43" customWidth="1"/>
    <col min="6154" max="6154" width="0.42578125" style="43" customWidth="1"/>
    <col min="6155" max="6155" width="10.5703125" style="43" bestFit="1" customWidth="1"/>
    <col min="6156" max="6156" width="12.28515625" style="43" customWidth="1"/>
    <col min="6157" max="6157" width="12.5703125" style="43" customWidth="1"/>
    <col min="6158" max="6158" width="10.5703125" style="43" customWidth="1"/>
    <col min="6159" max="6159" width="10.140625" style="43" customWidth="1"/>
    <col min="6160" max="6160" width="8.42578125" style="43" customWidth="1"/>
    <col min="6161" max="6161" width="18.85546875" style="43" customWidth="1"/>
    <col min="6162" max="6162" width="10.28515625" style="43" customWidth="1"/>
    <col min="6163" max="6163" width="11.42578125" style="43"/>
    <col min="6164" max="6164" width="12.140625" style="43" customWidth="1"/>
    <col min="6165" max="6165" width="10.5703125" style="43" customWidth="1"/>
    <col min="6166" max="6166" width="12.42578125" style="43" customWidth="1"/>
    <col min="6167" max="6167" width="15.140625" style="43" customWidth="1"/>
    <col min="6168" max="6168" width="13.5703125" style="43" customWidth="1"/>
    <col min="6169" max="6169" width="13.140625" style="43" customWidth="1"/>
    <col min="6170" max="6170" width="15.7109375" style="43" customWidth="1"/>
    <col min="6171" max="6171" width="37.5703125" style="43" customWidth="1"/>
    <col min="6172" max="6393" width="11.42578125" style="43"/>
    <col min="6394" max="6394" width="10.5703125" style="43" customWidth="1"/>
    <col min="6395" max="6395" width="4.85546875" style="43" customWidth="1"/>
    <col min="6396" max="6396" width="32.42578125" style="43" customWidth="1"/>
    <col min="6397" max="6397" width="9.85546875" style="43" customWidth="1"/>
    <col min="6398" max="6398" width="10.140625" style="43" customWidth="1"/>
    <col min="6399" max="6399" width="12.28515625" style="43" customWidth="1"/>
    <col min="6400" max="6400" width="15.42578125" style="43" customWidth="1"/>
    <col min="6401" max="6401" width="11.85546875" style="43" customWidth="1"/>
    <col min="6402" max="6402" width="13.28515625" style="43" customWidth="1"/>
    <col min="6403" max="6403" width="15.28515625" style="43" customWidth="1"/>
    <col min="6404" max="6404" width="11.85546875" style="43" customWidth="1"/>
    <col min="6405" max="6405" width="6.140625" style="43" customWidth="1"/>
    <col min="6406" max="6406" width="11.85546875" style="43" customWidth="1"/>
    <col min="6407" max="6407" width="9.42578125" style="43" customWidth="1"/>
    <col min="6408" max="6408" width="14.7109375" style="43" customWidth="1"/>
    <col min="6409" max="6409" width="11.5703125" style="43" customWidth="1"/>
    <col min="6410" max="6410" width="0.42578125" style="43" customWidth="1"/>
    <col min="6411" max="6411" width="10.5703125" style="43" bestFit="1" customWidth="1"/>
    <col min="6412" max="6412" width="12.28515625" style="43" customWidth="1"/>
    <col min="6413" max="6413" width="12.5703125" style="43" customWidth="1"/>
    <col min="6414" max="6414" width="10.5703125" style="43" customWidth="1"/>
    <col min="6415" max="6415" width="10.140625" style="43" customWidth="1"/>
    <col min="6416" max="6416" width="8.42578125" style="43" customWidth="1"/>
    <col min="6417" max="6417" width="18.85546875" style="43" customWidth="1"/>
    <col min="6418" max="6418" width="10.28515625" style="43" customWidth="1"/>
    <col min="6419" max="6419" width="11.42578125" style="43"/>
    <col min="6420" max="6420" width="12.140625" style="43" customWidth="1"/>
    <col min="6421" max="6421" width="10.5703125" style="43" customWidth="1"/>
    <col min="6422" max="6422" width="12.42578125" style="43" customWidth="1"/>
    <col min="6423" max="6423" width="15.140625" style="43" customWidth="1"/>
    <col min="6424" max="6424" width="13.5703125" style="43" customWidth="1"/>
    <col min="6425" max="6425" width="13.140625" style="43" customWidth="1"/>
    <col min="6426" max="6426" width="15.7109375" style="43" customWidth="1"/>
    <col min="6427" max="6427" width="37.5703125" style="43" customWidth="1"/>
    <col min="6428" max="6649" width="11.42578125" style="43"/>
    <col min="6650" max="6650" width="10.5703125" style="43" customWidth="1"/>
    <col min="6651" max="6651" width="4.85546875" style="43" customWidth="1"/>
    <col min="6652" max="6652" width="32.42578125" style="43" customWidth="1"/>
    <col min="6653" max="6653" width="9.85546875" style="43" customWidth="1"/>
    <col min="6654" max="6654" width="10.140625" style="43" customWidth="1"/>
    <col min="6655" max="6655" width="12.28515625" style="43" customWidth="1"/>
    <col min="6656" max="6656" width="15.42578125" style="43" customWidth="1"/>
    <col min="6657" max="6657" width="11.85546875" style="43" customWidth="1"/>
    <col min="6658" max="6658" width="13.28515625" style="43" customWidth="1"/>
    <col min="6659" max="6659" width="15.28515625" style="43" customWidth="1"/>
    <col min="6660" max="6660" width="11.85546875" style="43" customWidth="1"/>
    <col min="6661" max="6661" width="6.140625" style="43" customWidth="1"/>
    <col min="6662" max="6662" width="11.85546875" style="43" customWidth="1"/>
    <col min="6663" max="6663" width="9.42578125" style="43" customWidth="1"/>
    <col min="6664" max="6664" width="14.7109375" style="43" customWidth="1"/>
    <col min="6665" max="6665" width="11.5703125" style="43" customWidth="1"/>
    <col min="6666" max="6666" width="0.42578125" style="43" customWidth="1"/>
    <col min="6667" max="6667" width="10.5703125" style="43" bestFit="1" customWidth="1"/>
    <col min="6668" max="6668" width="12.28515625" style="43" customWidth="1"/>
    <col min="6669" max="6669" width="12.5703125" style="43" customWidth="1"/>
    <col min="6670" max="6670" width="10.5703125" style="43" customWidth="1"/>
    <col min="6671" max="6671" width="10.140625" style="43" customWidth="1"/>
    <col min="6672" max="6672" width="8.42578125" style="43" customWidth="1"/>
    <col min="6673" max="6673" width="18.85546875" style="43" customWidth="1"/>
    <col min="6674" max="6674" width="10.28515625" style="43" customWidth="1"/>
    <col min="6675" max="6675" width="11.42578125" style="43"/>
    <col min="6676" max="6676" width="12.140625" style="43" customWidth="1"/>
    <col min="6677" max="6677" width="10.5703125" style="43" customWidth="1"/>
    <col min="6678" max="6678" width="12.42578125" style="43" customWidth="1"/>
    <col min="6679" max="6679" width="15.140625" style="43" customWidth="1"/>
    <col min="6680" max="6680" width="13.5703125" style="43" customWidth="1"/>
    <col min="6681" max="6681" width="13.140625" style="43" customWidth="1"/>
    <col min="6682" max="6682" width="15.7109375" style="43" customWidth="1"/>
    <col min="6683" max="6683" width="37.5703125" style="43" customWidth="1"/>
    <col min="6684" max="6905" width="11.42578125" style="43"/>
    <col min="6906" max="6906" width="10.5703125" style="43" customWidth="1"/>
    <col min="6907" max="6907" width="4.85546875" style="43" customWidth="1"/>
    <col min="6908" max="6908" width="32.42578125" style="43" customWidth="1"/>
    <col min="6909" max="6909" width="9.85546875" style="43" customWidth="1"/>
    <col min="6910" max="6910" width="10.140625" style="43" customWidth="1"/>
    <col min="6911" max="6911" width="12.28515625" style="43" customWidth="1"/>
    <col min="6912" max="6912" width="15.42578125" style="43" customWidth="1"/>
    <col min="6913" max="6913" width="11.85546875" style="43" customWidth="1"/>
    <col min="6914" max="6914" width="13.28515625" style="43" customWidth="1"/>
    <col min="6915" max="6915" width="15.28515625" style="43" customWidth="1"/>
    <col min="6916" max="6916" width="11.85546875" style="43" customWidth="1"/>
    <col min="6917" max="6917" width="6.140625" style="43" customWidth="1"/>
    <col min="6918" max="6918" width="11.85546875" style="43" customWidth="1"/>
    <col min="6919" max="6919" width="9.42578125" style="43" customWidth="1"/>
    <col min="6920" max="6920" width="14.7109375" style="43" customWidth="1"/>
    <col min="6921" max="6921" width="11.5703125" style="43" customWidth="1"/>
    <col min="6922" max="6922" width="0.42578125" style="43" customWidth="1"/>
    <col min="6923" max="6923" width="10.5703125" style="43" bestFit="1" customWidth="1"/>
    <col min="6924" max="6924" width="12.28515625" style="43" customWidth="1"/>
    <col min="6925" max="6925" width="12.5703125" style="43" customWidth="1"/>
    <col min="6926" max="6926" width="10.5703125" style="43" customWidth="1"/>
    <col min="6927" max="6927" width="10.140625" style="43" customWidth="1"/>
    <col min="6928" max="6928" width="8.42578125" style="43" customWidth="1"/>
    <col min="6929" max="6929" width="18.85546875" style="43" customWidth="1"/>
    <col min="6930" max="6930" width="10.28515625" style="43" customWidth="1"/>
    <col min="6931" max="6931" width="11.42578125" style="43"/>
    <col min="6932" max="6932" width="12.140625" style="43" customWidth="1"/>
    <col min="6933" max="6933" width="10.5703125" style="43" customWidth="1"/>
    <col min="6934" max="6934" width="12.42578125" style="43" customWidth="1"/>
    <col min="6935" max="6935" width="15.140625" style="43" customWidth="1"/>
    <col min="6936" max="6936" width="13.5703125" style="43" customWidth="1"/>
    <col min="6937" max="6937" width="13.140625" style="43" customWidth="1"/>
    <col min="6938" max="6938" width="15.7109375" style="43" customWidth="1"/>
    <col min="6939" max="6939" width="37.5703125" style="43" customWidth="1"/>
    <col min="6940" max="7161" width="11.42578125" style="43"/>
    <col min="7162" max="7162" width="10.5703125" style="43" customWidth="1"/>
    <col min="7163" max="7163" width="4.85546875" style="43" customWidth="1"/>
    <col min="7164" max="7164" width="32.42578125" style="43" customWidth="1"/>
    <col min="7165" max="7165" width="9.85546875" style="43" customWidth="1"/>
    <col min="7166" max="7166" width="10.140625" style="43" customWidth="1"/>
    <col min="7167" max="7167" width="12.28515625" style="43" customWidth="1"/>
    <col min="7168" max="7168" width="15.42578125" style="43" customWidth="1"/>
    <col min="7169" max="7169" width="11.85546875" style="43" customWidth="1"/>
    <col min="7170" max="7170" width="13.28515625" style="43" customWidth="1"/>
    <col min="7171" max="7171" width="15.28515625" style="43" customWidth="1"/>
    <col min="7172" max="7172" width="11.85546875" style="43" customWidth="1"/>
    <col min="7173" max="7173" width="6.140625" style="43" customWidth="1"/>
    <col min="7174" max="7174" width="11.85546875" style="43" customWidth="1"/>
    <col min="7175" max="7175" width="9.42578125" style="43" customWidth="1"/>
    <col min="7176" max="7176" width="14.7109375" style="43" customWidth="1"/>
    <col min="7177" max="7177" width="11.5703125" style="43" customWidth="1"/>
    <col min="7178" max="7178" width="0.42578125" style="43" customWidth="1"/>
    <col min="7179" max="7179" width="10.5703125" style="43" bestFit="1" customWidth="1"/>
    <col min="7180" max="7180" width="12.28515625" style="43" customWidth="1"/>
    <col min="7181" max="7181" width="12.5703125" style="43" customWidth="1"/>
    <col min="7182" max="7182" width="10.5703125" style="43" customWidth="1"/>
    <col min="7183" max="7183" width="10.140625" style="43" customWidth="1"/>
    <col min="7184" max="7184" width="8.42578125" style="43" customWidth="1"/>
    <col min="7185" max="7185" width="18.85546875" style="43" customWidth="1"/>
    <col min="7186" max="7186" width="10.28515625" style="43" customWidth="1"/>
    <col min="7187" max="7187" width="11.42578125" style="43"/>
    <col min="7188" max="7188" width="12.140625" style="43" customWidth="1"/>
    <col min="7189" max="7189" width="10.5703125" style="43" customWidth="1"/>
    <col min="7190" max="7190" width="12.42578125" style="43" customWidth="1"/>
    <col min="7191" max="7191" width="15.140625" style="43" customWidth="1"/>
    <col min="7192" max="7192" width="13.5703125" style="43" customWidth="1"/>
    <col min="7193" max="7193" width="13.140625" style="43" customWidth="1"/>
    <col min="7194" max="7194" width="15.7109375" style="43" customWidth="1"/>
    <col min="7195" max="7195" width="37.5703125" style="43" customWidth="1"/>
    <col min="7196" max="7417" width="11.42578125" style="43"/>
    <col min="7418" max="7418" width="10.5703125" style="43" customWidth="1"/>
    <col min="7419" max="7419" width="4.85546875" style="43" customWidth="1"/>
    <col min="7420" max="7420" width="32.42578125" style="43" customWidth="1"/>
    <col min="7421" max="7421" width="9.85546875" style="43" customWidth="1"/>
    <col min="7422" max="7422" width="10.140625" style="43" customWidth="1"/>
    <col min="7423" max="7423" width="12.28515625" style="43" customWidth="1"/>
    <col min="7424" max="7424" width="15.42578125" style="43" customWidth="1"/>
    <col min="7425" max="7425" width="11.85546875" style="43" customWidth="1"/>
    <col min="7426" max="7426" width="13.28515625" style="43" customWidth="1"/>
    <col min="7427" max="7427" width="15.28515625" style="43" customWidth="1"/>
    <col min="7428" max="7428" width="11.85546875" style="43" customWidth="1"/>
    <col min="7429" max="7429" width="6.140625" style="43" customWidth="1"/>
    <col min="7430" max="7430" width="11.85546875" style="43" customWidth="1"/>
    <col min="7431" max="7431" width="9.42578125" style="43" customWidth="1"/>
    <col min="7432" max="7432" width="14.7109375" style="43" customWidth="1"/>
    <col min="7433" max="7433" width="11.5703125" style="43" customWidth="1"/>
    <col min="7434" max="7434" width="0.42578125" style="43" customWidth="1"/>
    <col min="7435" max="7435" width="10.5703125" style="43" bestFit="1" customWidth="1"/>
    <col min="7436" max="7436" width="12.28515625" style="43" customWidth="1"/>
    <col min="7437" max="7437" width="12.5703125" style="43" customWidth="1"/>
    <col min="7438" max="7438" width="10.5703125" style="43" customWidth="1"/>
    <col min="7439" max="7439" width="10.140625" style="43" customWidth="1"/>
    <col min="7440" max="7440" width="8.42578125" style="43" customWidth="1"/>
    <col min="7441" max="7441" width="18.85546875" style="43" customWidth="1"/>
    <col min="7442" max="7442" width="10.28515625" style="43" customWidth="1"/>
    <col min="7443" max="7443" width="11.42578125" style="43"/>
    <col min="7444" max="7444" width="12.140625" style="43" customWidth="1"/>
    <col min="7445" max="7445" width="10.5703125" style="43" customWidth="1"/>
    <col min="7446" max="7446" width="12.42578125" style="43" customWidth="1"/>
    <col min="7447" max="7447" width="15.140625" style="43" customWidth="1"/>
    <col min="7448" max="7448" width="13.5703125" style="43" customWidth="1"/>
    <col min="7449" max="7449" width="13.140625" style="43" customWidth="1"/>
    <col min="7450" max="7450" width="15.7109375" style="43" customWidth="1"/>
    <col min="7451" max="7451" width="37.5703125" style="43" customWidth="1"/>
    <col min="7452" max="7673" width="11.42578125" style="43"/>
    <col min="7674" max="7674" width="10.5703125" style="43" customWidth="1"/>
    <col min="7675" max="7675" width="4.85546875" style="43" customWidth="1"/>
    <col min="7676" max="7676" width="32.42578125" style="43" customWidth="1"/>
    <col min="7677" max="7677" width="9.85546875" style="43" customWidth="1"/>
    <col min="7678" max="7678" width="10.140625" style="43" customWidth="1"/>
    <col min="7679" max="7679" width="12.28515625" style="43" customWidth="1"/>
    <col min="7680" max="7680" width="15.42578125" style="43" customWidth="1"/>
    <col min="7681" max="7681" width="11.85546875" style="43" customWidth="1"/>
    <col min="7682" max="7682" width="13.28515625" style="43" customWidth="1"/>
    <col min="7683" max="7683" width="15.28515625" style="43" customWidth="1"/>
    <col min="7684" max="7684" width="11.85546875" style="43" customWidth="1"/>
    <col min="7685" max="7685" width="6.140625" style="43" customWidth="1"/>
    <col min="7686" max="7686" width="11.85546875" style="43" customWidth="1"/>
    <col min="7687" max="7687" width="9.42578125" style="43" customWidth="1"/>
    <col min="7688" max="7688" width="14.7109375" style="43" customWidth="1"/>
    <col min="7689" max="7689" width="11.5703125" style="43" customWidth="1"/>
    <col min="7690" max="7690" width="0.42578125" style="43" customWidth="1"/>
    <col min="7691" max="7691" width="10.5703125" style="43" bestFit="1" customWidth="1"/>
    <col min="7692" max="7692" width="12.28515625" style="43" customWidth="1"/>
    <col min="7693" max="7693" width="12.5703125" style="43" customWidth="1"/>
    <col min="7694" max="7694" width="10.5703125" style="43" customWidth="1"/>
    <col min="7695" max="7695" width="10.140625" style="43" customWidth="1"/>
    <col min="7696" max="7696" width="8.42578125" style="43" customWidth="1"/>
    <col min="7697" max="7697" width="18.85546875" style="43" customWidth="1"/>
    <col min="7698" max="7698" width="10.28515625" style="43" customWidth="1"/>
    <col min="7699" max="7699" width="11.42578125" style="43"/>
    <col min="7700" max="7700" width="12.140625" style="43" customWidth="1"/>
    <col min="7701" max="7701" width="10.5703125" style="43" customWidth="1"/>
    <col min="7702" max="7702" width="12.42578125" style="43" customWidth="1"/>
    <col min="7703" max="7703" width="15.140625" style="43" customWidth="1"/>
    <col min="7704" max="7704" width="13.5703125" style="43" customWidth="1"/>
    <col min="7705" max="7705" width="13.140625" style="43" customWidth="1"/>
    <col min="7706" max="7706" width="15.7109375" style="43" customWidth="1"/>
    <col min="7707" max="7707" width="37.5703125" style="43" customWidth="1"/>
    <col min="7708" max="7929" width="11.42578125" style="43"/>
    <col min="7930" max="7930" width="10.5703125" style="43" customWidth="1"/>
    <col min="7931" max="7931" width="4.85546875" style="43" customWidth="1"/>
    <col min="7932" max="7932" width="32.42578125" style="43" customWidth="1"/>
    <col min="7933" max="7933" width="9.85546875" style="43" customWidth="1"/>
    <col min="7934" max="7934" width="10.140625" style="43" customWidth="1"/>
    <col min="7935" max="7935" width="12.28515625" style="43" customWidth="1"/>
    <col min="7936" max="7936" width="15.42578125" style="43" customWidth="1"/>
    <col min="7937" max="7937" width="11.85546875" style="43" customWidth="1"/>
    <col min="7938" max="7938" width="13.28515625" style="43" customWidth="1"/>
    <col min="7939" max="7939" width="15.28515625" style="43" customWidth="1"/>
    <col min="7940" max="7940" width="11.85546875" style="43" customWidth="1"/>
    <col min="7941" max="7941" width="6.140625" style="43" customWidth="1"/>
    <col min="7942" max="7942" width="11.85546875" style="43" customWidth="1"/>
    <col min="7943" max="7943" width="9.42578125" style="43" customWidth="1"/>
    <col min="7944" max="7944" width="14.7109375" style="43" customWidth="1"/>
    <col min="7945" max="7945" width="11.5703125" style="43" customWidth="1"/>
    <col min="7946" max="7946" width="0.42578125" style="43" customWidth="1"/>
    <col min="7947" max="7947" width="10.5703125" style="43" bestFit="1" customWidth="1"/>
    <col min="7948" max="7948" width="12.28515625" style="43" customWidth="1"/>
    <col min="7949" max="7949" width="12.5703125" style="43" customWidth="1"/>
    <col min="7950" max="7950" width="10.5703125" style="43" customWidth="1"/>
    <col min="7951" max="7951" width="10.140625" style="43" customWidth="1"/>
    <col min="7952" max="7952" width="8.42578125" style="43" customWidth="1"/>
    <col min="7953" max="7953" width="18.85546875" style="43" customWidth="1"/>
    <col min="7954" max="7954" width="10.28515625" style="43" customWidth="1"/>
    <col min="7955" max="7955" width="11.42578125" style="43"/>
    <col min="7956" max="7956" width="12.140625" style="43" customWidth="1"/>
    <col min="7957" max="7957" width="10.5703125" style="43" customWidth="1"/>
    <col min="7958" max="7958" width="12.42578125" style="43" customWidth="1"/>
    <col min="7959" max="7959" width="15.140625" style="43" customWidth="1"/>
    <col min="7960" max="7960" width="13.5703125" style="43" customWidth="1"/>
    <col min="7961" max="7961" width="13.140625" style="43" customWidth="1"/>
    <col min="7962" max="7962" width="15.7109375" style="43" customWidth="1"/>
    <col min="7963" max="7963" width="37.5703125" style="43" customWidth="1"/>
    <col min="7964" max="8185" width="11.42578125" style="43"/>
    <col min="8186" max="8186" width="10.5703125" style="43" customWidth="1"/>
    <col min="8187" max="8187" width="4.85546875" style="43" customWidth="1"/>
    <col min="8188" max="8188" width="32.42578125" style="43" customWidth="1"/>
    <col min="8189" max="8189" width="9.85546875" style="43" customWidth="1"/>
    <col min="8190" max="8190" width="10.140625" style="43" customWidth="1"/>
    <col min="8191" max="8191" width="12.28515625" style="43" customWidth="1"/>
    <col min="8192" max="8192" width="15.42578125" style="43" customWidth="1"/>
    <col min="8193" max="8193" width="11.85546875" style="43" customWidth="1"/>
    <col min="8194" max="8194" width="13.28515625" style="43" customWidth="1"/>
    <col min="8195" max="8195" width="15.28515625" style="43" customWidth="1"/>
    <col min="8196" max="8196" width="11.85546875" style="43" customWidth="1"/>
    <col min="8197" max="8197" width="6.140625" style="43" customWidth="1"/>
    <col min="8198" max="8198" width="11.85546875" style="43" customWidth="1"/>
    <col min="8199" max="8199" width="9.42578125" style="43" customWidth="1"/>
    <col min="8200" max="8200" width="14.7109375" style="43" customWidth="1"/>
    <col min="8201" max="8201" width="11.5703125" style="43" customWidth="1"/>
    <col min="8202" max="8202" width="0.42578125" style="43" customWidth="1"/>
    <col min="8203" max="8203" width="10.5703125" style="43" bestFit="1" customWidth="1"/>
    <col min="8204" max="8204" width="12.28515625" style="43" customWidth="1"/>
    <col min="8205" max="8205" width="12.5703125" style="43" customWidth="1"/>
    <col min="8206" max="8206" width="10.5703125" style="43" customWidth="1"/>
    <col min="8207" max="8207" width="10.140625" style="43" customWidth="1"/>
    <col min="8208" max="8208" width="8.42578125" style="43" customWidth="1"/>
    <col min="8209" max="8209" width="18.85546875" style="43" customWidth="1"/>
    <col min="8210" max="8210" width="10.28515625" style="43" customWidth="1"/>
    <col min="8211" max="8211" width="11.42578125" style="43"/>
    <col min="8212" max="8212" width="12.140625" style="43" customWidth="1"/>
    <col min="8213" max="8213" width="10.5703125" style="43" customWidth="1"/>
    <col min="8214" max="8214" width="12.42578125" style="43" customWidth="1"/>
    <col min="8215" max="8215" width="15.140625" style="43" customWidth="1"/>
    <col min="8216" max="8216" width="13.5703125" style="43" customWidth="1"/>
    <col min="8217" max="8217" width="13.140625" style="43" customWidth="1"/>
    <col min="8218" max="8218" width="15.7109375" style="43" customWidth="1"/>
    <col min="8219" max="8219" width="37.5703125" style="43" customWidth="1"/>
    <col min="8220" max="8441" width="11.42578125" style="43"/>
    <col min="8442" max="8442" width="10.5703125" style="43" customWidth="1"/>
    <col min="8443" max="8443" width="4.85546875" style="43" customWidth="1"/>
    <col min="8444" max="8444" width="32.42578125" style="43" customWidth="1"/>
    <col min="8445" max="8445" width="9.85546875" style="43" customWidth="1"/>
    <col min="8446" max="8446" width="10.140625" style="43" customWidth="1"/>
    <col min="8447" max="8447" width="12.28515625" style="43" customWidth="1"/>
    <col min="8448" max="8448" width="15.42578125" style="43" customWidth="1"/>
    <col min="8449" max="8449" width="11.85546875" style="43" customWidth="1"/>
    <col min="8450" max="8450" width="13.28515625" style="43" customWidth="1"/>
    <col min="8451" max="8451" width="15.28515625" style="43" customWidth="1"/>
    <col min="8452" max="8452" width="11.85546875" style="43" customWidth="1"/>
    <col min="8453" max="8453" width="6.140625" style="43" customWidth="1"/>
    <col min="8454" max="8454" width="11.85546875" style="43" customWidth="1"/>
    <col min="8455" max="8455" width="9.42578125" style="43" customWidth="1"/>
    <col min="8456" max="8456" width="14.7109375" style="43" customWidth="1"/>
    <col min="8457" max="8457" width="11.5703125" style="43" customWidth="1"/>
    <col min="8458" max="8458" width="0.42578125" style="43" customWidth="1"/>
    <col min="8459" max="8459" width="10.5703125" style="43" bestFit="1" customWidth="1"/>
    <col min="8460" max="8460" width="12.28515625" style="43" customWidth="1"/>
    <col min="8461" max="8461" width="12.5703125" style="43" customWidth="1"/>
    <col min="8462" max="8462" width="10.5703125" style="43" customWidth="1"/>
    <col min="8463" max="8463" width="10.140625" style="43" customWidth="1"/>
    <col min="8464" max="8464" width="8.42578125" style="43" customWidth="1"/>
    <col min="8465" max="8465" width="18.85546875" style="43" customWidth="1"/>
    <col min="8466" max="8466" width="10.28515625" style="43" customWidth="1"/>
    <col min="8467" max="8467" width="11.42578125" style="43"/>
    <col min="8468" max="8468" width="12.140625" style="43" customWidth="1"/>
    <col min="8469" max="8469" width="10.5703125" style="43" customWidth="1"/>
    <col min="8470" max="8470" width="12.42578125" style="43" customWidth="1"/>
    <col min="8471" max="8471" width="15.140625" style="43" customWidth="1"/>
    <col min="8472" max="8472" width="13.5703125" style="43" customWidth="1"/>
    <col min="8473" max="8473" width="13.140625" style="43" customWidth="1"/>
    <col min="8474" max="8474" width="15.7109375" style="43" customWidth="1"/>
    <col min="8475" max="8475" width="37.5703125" style="43" customWidth="1"/>
    <col min="8476" max="8697" width="11.42578125" style="43"/>
    <col min="8698" max="8698" width="10.5703125" style="43" customWidth="1"/>
    <col min="8699" max="8699" width="4.85546875" style="43" customWidth="1"/>
    <col min="8700" max="8700" width="32.42578125" style="43" customWidth="1"/>
    <col min="8701" max="8701" width="9.85546875" style="43" customWidth="1"/>
    <col min="8702" max="8702" width="10.140625" style="43" customWidth="1"/>
    <col min="8703" max="8703" width="12.28515625" style="43" customWidth="1"/>
    <col min="8704" max="8704" width="15.42578125" style="43" customWidth="1"/>
    <col min="8705" max="8705" width="11.85546875" style="43" customWidth="1"/>
    <col min="8706" max="8706" width="13.28515625" style="43" customWidth="1"/>
    <col min="8707" max="8707" width="15.28515625" style="43" customWidth="1"/>
    <col min="8708" max="8708" width="11.85546875" style="43" customWidth="1"/>
    <col min="8709" max="8709" width="6.140625" style="43" customWidth="1"/>
    <col min="8710" max="8710" width="11.85546875" style="43" customWidth="1"/>
    <col min="8711" max="8711" width="9.42578125" style="43" customWidth="1"/>
    <col min="8712" max="8712" width="14.7109375" style="43" customWidth="1"/>
    <col min="8713" max="8713" width="11.5703125" style="43" customWidth="1"/>
    <col min="8714" max="8714" width="0.42578125" style="43" customWidth="1"/>
    <col min="8715" max="8715" width="10.5703125" style="43" bestFit="1" customWidth="1"/>
    <col min="8716" max="8716" width="12.28515625" style="43" customWidth="1"/>
    <col min="8717" max="8717" width="12.5703125" style="43" customWidth="1"/>
    <col min="8718" max="8718" width="10.5703125" style="43" customWidth="1"/>
    <col min="8719" max="8719" width="10.140625" style="43" customWidth="1"/>
    <col min="8720" max="8720" width="8.42578125" style="43" customWidth="1"/>
    <col min="8721" max="8721" width="18.85546875" style="43" customWidth="1"/>
    <col min="8722" max="8722" width="10.28515625" style="43" customWidth="1"/>
    <col min="8723" max="8723" width="11.42578125" style="43"/>
    <col min="8724" max="8724" width="12.140625" style="43" customWidth="1"/>
    <col min="8725" max="8725" width="10.5703125" style="43" customWidth="1"/>
    <col min="8726" max="8726" width="12.42578125" style="43" customWidth="1"/>
    <col min="8727" max="8727" width="15.140625" style="43" customWidth="1"/>
    <col min="8728" max="8728" width="13.5703125" style="43" customWidth="1"/>
    <col min="8729" max="8729" width="13.140625" style="43" customWidth="1"/>
    <col min="8730" max="8730" width="15.7109375" style="43" customWidth="1"/>
    <col min="8731" max="8731" width="37.5703125" style="43" customWidth="1"/>
    <col min="8732" max="8953" width="11.42578125" style="43"/>
    <col min="8954" max="8954" width="10.5703125" style="43" customWidth="1"/>
    <col min="8955" max="8955" width="4.85546875" style="43" customWidth="1"/>
    <col min="8956" max="8956" width="32.42578125" style="43" customWidth="1"/>
    <col min="8957" max="8957" width="9.85546875" style="43" customWidth="1"/>
    <col min="8958" max="8958" width="10.140625" style="43" customWidth="1"/>
    <col min="8959" max="8959" width="12.28515625" style="43" customWidth="1"/>
    <col min="8960" max="8960" width="15.42578125" style="43" customWidth="1"/>
    <col min="8961" max="8961" width="11.85546875" style="43" customWidth="1"/>
    <col min="8962" max="8962" width="13.28515625" style="43" customWidth="1"/>
    <col min="8963" max="8963" width="15.28515625" style="43" customWidth="1"/>
    <col min="8964" max="8964" width="11.85546875" style="43" customWidth="1"/>
    <col min="8965" max="8965" width="6.140625" style="43" customWidth="1"/>
    <col min="8966" max="8966" width="11.85546875" style="43" customWidth="1"/>
    <col min="8967" max="8967" width="9.42578125" style="43" customWidth="1"/>
    <col min="8968" max="8968" width="14.7109375" style="43" customWidth="1"/>
    <col min="8969" max="8969" width="11.5703125" style="43" customWidth="1"/>
    <col min="8970" max="8970" width="0.42578125" style="43" customWidth="1"/>
    <col min="8971" max="8971" width="10.5703125" style="43" bestFit="1" customWidth="1"/>
    <col min="8972" max="8972" width="12.28515625" style="43" customWidth="1"/>
    <col min="8973" max="8973" width="12.5703125" style="43" customWidth="1"/>
    <col min="8974" max="8974" width="10.5703125" style="43" customWidth="1"/>
    <col min="8975" max="8975" width="10.140625" style="43" customWidth="1"/>
    <col min="8976" max="8976" width="8.42578125" style="43" customWidth="1"/>
    <col min="8977" max="8977" width="18.85546875" style="43" customWidth="1"/>
    <col min="8978" max="8978" width="10.28515625" style="43" customWidth="1"/>
    <col min="8979" max="8979" width="11.42578125" style="43"/>
    <col min="8980" max="8980" width="12.140625" style="43" customWidth="1"/>
    <col min="8981" max="8981" width="10.5703125" style="43" customWidth="1"/>
    <col min="8982" max="8982" width="12.42578125" style="43" customWidth="1"/>
    <col min="8983" max="8983" width="15.140625" style="43" customWidth="1"/>
    <col min="8984" max="8984" width="13.5703125" style="43" customWidth="1"/>
    <col min="8985" max="8985" width="13.140625" style="43" customWidth="1"/>
    <col min="8986" max="8986" width="15.7109375" style="43" customWidth="1"/>
    <col min="8987" max="8987" width="37.5703125" style="43" customWidth="1"/>
    <col min="8988" max="9209" width="11.42578125" style="43"/>
    <col min="9210" max="9210" width="10.5703125" style="43" customWidth="1"/>
    <col min="9211" max="9211" width="4.85546875" style="43" customWidth="1"/>
    <col min="9212" max="9212" width="32.42578125" style="43" customWidth="1"/>
    <col min="9213" max="9213" width="9.85546875" style="43" customWidth="1"/>
    <col min="9214" max="9214" width="10.140625" style="43" customWidth="1"/>
    <col min="9215" max="9215" width="12.28515625" style="43" customWidth="1"/>
    <col min="9216" max="9216" width="15.42578125" style="43" customWidth="1"/>
    <col min="9217" max="9217" width="11.85546875" style="43" customWidth="1"/>
    <col min="9218" max="9218" width="13.28515625" style="43" customWidth="1"/>
    <col min="9219" max="9219" width="15.28515625" style="43" customWidth="1"/>
    <col min="9220" max="9220" width="11.85546875" style="43" customWidth="1"/>
    <col min="9221" max="9221" width="6.140625" style="43" customWidth="1"/>
    <col min="9222" max="9222" width="11.85546875" style="43" customWidth="1"/>
    <col min="9223" max="9223" width="9.42578125" style="43" customWidth="1"/>
    <col min="9224" max="9224" width="14.7109375" style="43" customWidth="1"/>
    <col min="9225" max="9225" width="11.5703125" style="43" customWidth="1"/>
    <col min="9226" max="9226" width="0.42578125" style="43" customWidth="1"/>
    <col min="9227" max="9227" width="10.5703125" style="43" bestFit="1" customWidth="1"/>
    <col min="9228" max="9228" width="12.28515625" style="43" customWidth="1"/>
    <col min="9229" max="9229" width="12.5703125" style="43" customWidth="1"/>
    <col min="9230" max="9230" width="10.5703125" style="43" customWidth="1"/>
    <col min="9231" max="9231" width="10.140625" style="43" customWidth="1"/>
    <col min="9232" max="9232" width="8.42578125" style="43" customWidth="1"/>
    <col min="9233" max="9233" width="18.85546875" style="43" customWidth="1"/>
    <col min="9234" max="9234" width="10.28515625" style="43" customWidth="1"/>
    <col min="9235" max="9235" width="11.42578125" style="43"/>
    <col min="9236" max="9236" width="12.140625" style="43" customWidth="1"/>
    <col min="9237" max="9237" width="10.5703125" style="43" customWidth="1"/>
    <col min="9238" max="9238" width="12.42578125" style="43" customWidth="1"/>
    <col min="9239" max="9239" width="15.140625" style="43" customWidth="1"/>
    <col min="9240" max="9240" width="13.5703125" style="43" customWidth="1"/>
    <col min="9241" max="9241" width="13.140625" style="43" customWidth="1"/>
    <col min="9242" max="9242" width="15.7109375" style="43" customWidth="1"/>
    <col min="9243" max="9243" width="37.5703125" style="43" customWidth="1"/>
    <col min="9244" max="9465" width="11.42578125" style="43"/>
    <col min="9466" max="9466" width="10.5703125" style="43" customWidth="1"/>
    <col min="9467" max="9467" width="4.85546875" style="43" customWidth="1"/>
    <col min="9468" max="9468" width="32.42578125" style="43" customWidth="1"/>
    <col min="9469" max="9469" width="9.85546875" style="43" customWidth="1"/>
    <col min="9470" max="9470" width="10.140625" style="43" customWidth="1"/>
    <col min="9471" max="9471" width="12.28515625" style="43" customWidth="1"/>
    <col min="9472" max="9472" width="15.42578125" style="43" customWidth="1"/>
    <col min="9473" max="9473" width="11.85546875" style="43" customWidth="1"/>
    <col min="9474" max="9474" width="13.28515625" style="43" customWidth="1"/>
    <col min="9475" max="9475" width="15.28515625" style="43" customWidth="1"/>
    <col min="9476" max="9476" width="11.85546875" style="43" customWidth="1"/>
    <col min="9477" max="9477" width="6.140625" style="43" customWidth="1"/>
    <col min="9478" max="9478" width="11.85546875" style="43" customWidth="1"/>
    <col min="9479" max="9479" width="9.42578125" style="43" customWidth="1"/>
    <col min="9480" max="9480" width="14.7109375" style="43" customWidth="1"/>
    <col min="9481" max="9481" width="11.5703125" style="43" customWidth="1"/>
    <col min="9482" max="9482" width="0.42578125" style="43" customWidth="1"/>
    <col min="9483" max="9483" width="10.5703125" style="43" bestFit="1" customWidth="1"/>
    <col min="9484" max="9484" width="12.28515625" style="43" customWidth="1"/>
    <col min="9485" max="9485" width="12.5703125" style="43" customWidth="1"/>
    <col min="9486" max="9486" width="10.5703125" style="43" customWidth="1"/>
    <col min="9487" max="9487" width="10.140625" style="43" customWidth="1"/>
    <col min="9488" max="9488" width="8.42578125" style="43" customWidth="1"/>
    <col min="9489" max="9489" width="18.85546875" style="43" customWidth="1"/>
    <col min="9490" max="9490" width="10.28515625" style="43" customWidth="1"/>
    <col min="9491" max="9491" width="11.42578125" style="43"/>
    <col min="9492" max="9492" width="12.140625" style="43" customWidth="1"/>
    <col min="9493" max="9493" width="10.5703125" style="43" customWidth="1"/>
    <col min="9494" max="9494" width="12.42578125" style="43" customWidth="1"/>
    <col min="9495" max="9495" width="15.140625" style="43" customWidth="1"/>
    <col min="9496" max="9496" width="13.5703125" style="43" customWidth="1"/>
    <col min="9497" max="9497" width="13.140625" style="43" customWidth="1"/>
    <col min="9498" max="9498" width="15.7109375" style="43" customWidth="1"/>
    <col min="9499" max="9499" width="37.5703125" style="43" customWidth="1"/>
    <col min="9500" max="9721" width="11.42578125" style="43"/>
    <col min="9722" max="9722" width="10.5703125" style="43" customWidth="1"/>
    <col min="9723" max="9723" width="4.85546875" style="43" customWidth="1"/>
    <col min="9724" max="9724" width="32.42578125" style="43" customWidth="1"/>
    <col min="9725" max="9725" width="9.85546875" style="43" customWidth="1"/>
    <col min="9726" max="9726" width="10.140625" style="43" customWidth="1"/>
    <col min="9727" max="9727" width="12.28515625" style="43" customWidth="1"/>
    <col min="9728" max="9728" width="15.42578125" style="43" customWidth="1"/>
    <col min="9729" max="9729" width="11.85546875" style="43" customWidth="1"/>
    <col min="9730" max="9730" width="13.28515625" style="43" customWidth="1"/>
    <col min="9731" max="9731" width="15.28515625" style="43" customWidth="1"/>
    <col min="9732" max="9732" width="11.85546875" style="43" customWidth="1"/>
    <col min="9733" max="9733" width="6.140625" style="43" customWidth="1"/>
    <col min="9734" max="9734" width="11.85546875" style="43" customWidth="1"/>
    <col min="9735" max="9735" width="9.42578125" style="43" customWidth="1"/>
    <col min="9736" max="9736" width="14.7109375" style="43" customWidth="1"/>
    <col min="9737" max="9737" width="11.5703125" style="43" customWidth="1"/>
    <col min="9738" max="9738" width="0.42578125" style="43" customWidth="1"/>
    <col min="9739" max="9739" width="10.5703125" style="43" bestFit="1" customWidth="1"/>
    <col min="9740" max="9740" width="12.28515625" style="43" customWidth="1"/>
    <col min="9741" max="9741" width="12.5703125" style="43" customWidth="1"/>
    <col min="9742" max="9742" width="10.5703125" style="43" customWidth="1"/>
    <col min="9743" max="9743" width="10.140625" style="43" customWidth="1"/>
    <col min="9744" max="9744" width="8.42578125" style="43" customWidth="1"/>
    <col min="9745" max="9745" width="18.85546875" style="43" customWidth="1"/>
    <col min="9746" max="9746" width="10.28515625" style="43" customWidth="1"/>
    <col min="9747" max="9747" width="11.42578125" style="43"/>
    <col min="9748" max="9748" width="12.140625" style="43" customWidth="1"/>
    <col min="9749" max="9749" width="10.5703125" style="43" customWidth="1"/>
    <col min="9750" max="9750" width="12.42578125" style="43" customWidth="1"/>
    <col min="9751" max="9751" width="15.140625" style="43" customWidth="1"/>
    <col min="9752" max="9752" width="13.5703125" style="43" customWidth="1"/>
    <col min="9753" max="9753" width="13.140625" style="43" customWidth="1"/>
    <col min="9754" max="9754" width="15.7109375" style="43" customWidth="1"/>
    <col min="9755" max="9755" width="37.5703125" style="43" customWidth="1"/>
    <col min="9756" max="9977" width="11.42578125" style="43"/>
    <col min="9978" max="9978" width="10.5703125" style="43" customWidth="1"/>
    <col min="9979" max="9979" width="4.85546875" style="43" customWidth="1"/>
    <col min="9980" max="9980" width="32.42578125" style="43" customWidth="1"/>
    <col min="9981" max="9981" width="9.85546875" style="43" customWidth="1"/>
    <col min="9982" max="9982" width="10.140625" style="43" customWidth="1"/>
    <col min="9983" max="9983" width="12.28515625" style="43" customWidth="1"/>
    <col min="9984" max="9984" width="15.42578125" style="43" customWidth="1"/>
    <col min="9985" max="9985" width="11.85546875" style="43" customWidth="1"/>
    <col min="9986" max="9986" width="13.28515625" style="43" customWidth="1"/>
    <col min="9987" max="9987" width="15.28515625" style="43" customWidth="1"/>
    <col min="9988" max="9988" width="11.85546875" style="43" customWidth="1"/>
    <col min="9989" max="9989" width="6.140625" style="43" customWidth="1"/>
    <col min="9990" max="9990" width="11.85546875" style="43" customWidth="1"/>
    <col min="9991" max="9991" width="9.42578125" style="43" customWidth="1"/>
    <col min="9992" max="9992" width="14.7109375" style="43" customWidth="1"/>
    <col min="9993" max="9993" width="11.5703125" style="43" customWidth="1"/>
    <col min="9994" max="9994" width="0.42578125" style="43" customWidth="1"/>
    <col min="9995" max="9995" width="10.5703125" style="43" bestFit="1" customWidth="1"/>
    <col min="9996" max="9996" width="12.28515625" style="43" customWidth="1"/>
    <col min="9997" max="9997" width="12.5703125" style="43" customWidth="1"/>
    <col min="9998" max="9998" width="10.5703125" style="43" customWidth="1"/>
    <col min="9999" max="9999" width="10.140625" style="43" customWidth="1"/>
    <col min="10000" max="10000" width="8.42578125" style="43" customWidth="1"/>
    <col min="10001" max="10001" width="18.85546875" style="43" customWidth="1"/>
    <col min="10002" max="10002" width="10.28515625" style="43" customWidth="1"/>
    <col min="10003" max="10003" width="11.42578125" style="43"/>
    <col min="10004" max="10004" width="12.140625" style="43" customWidth="1"/>
    <col min="10005" max="10005" width="10.5703125" style="43" customWidth="1"/>
    <col min="10006" max="10006" width="12.42578125" style="43" customWidth="1"/>
    <col min="10007" max="10007" width="15.140625" style="43" customWidth="1"/>
    <col min="10008" max="10008" width="13.5703125" style="43" customWidth="1"/>
    <col min="10009" max="10009" width="13.140625" style="43" customWidth="1"/>
    <col min="10010" max="10010" width="15.7109375" style="43" customWidth="1"/>
    <col min="10011" max="10011" width="37.5703125" style="43" customWidth="1"/>
    <col min="10012" max="10233" width="11.42578125" style="43"/>
    <col min="10234" max="10234" width="10.5703125" style="43" customWidth="1"/>
    <col min="10235" max="10235" width="4.85546875" style="43" customWidth="1"/>
    <col min="10236" max="10236" width="32.42578125" style="43" customWidth="1"/>
    <col min="10237" max="10237" width="9.85546875" style="43" customWidth="1"/>
    <col min="10238" max="10238" width="10.140625" style="43" customWidth="1"/>
    <col min="10239" max="10239" width="12.28515625" style="43" customWidth="1"/>
    <col min="10240" max="10240" width="15.42578125" style="43" customWidth="1"/>
    <col min="10241" max="10241" width="11.85546875" style="43" customWidth="1"/>
    <col min="10242" max="10242" width="13.28515625" style="43" customWidth="1"/>
    <col min="10243" max="10243" width="15.28515625" style="43" customWidth="1"/>
    <col min="10244" max="10244" width="11.85546875" style="43" customWidth="1"/>
    <col min="10245" max="10245" width="6.140625" style="43" customWidth="1"/>
    <col min="10246" max="10246" width="11.85546875" style="43" customWidth="1"/>
    <col min="10247" max="10247" width="9.42578125" style="43" customWidth="1"/>
    <col min="10248" max="10248" width="14.7109375" style="43" customWidth="1"/>
    <col min="10249" max="10249" width="11.5703125" style="43" customWidth="1"/>
    <col min="10250" max="10250" width="0.42578125" style="43" customWidth="1"/>
    <col min="10251" max="10251" width="10.5703125" style="43" bestFit="1" customWidth="1"/>
    <col min="10252" max="10252" width="12.28515625" style="43" customWidth="1"/>
    <col min="10253" max="10253" width="12.5703125" style="43" customWidth="1"/>
    <col min="10254" max="10254" width="10.5703125" style="43" customWidth="1"/>
    <col min="10255" max="10255" width="10.140625" style="43" customWidth="1"/>
    <col min="10256" max="10256" width="8.42578125" style="43" customWidth="1"/>
    <col min="10257" max="10257" width="18.85546875" style="43" customWidth="1"/>
    <col min="10258" max="10258" width="10.28515625" style="43" customWidth="1"/>
    <col min="10259" max="10259" width="11.42578125" style="43"/>
    <col min="10260" max="10260" width="12.140625" style="43" customWidth="1"/>
    <col min="10261" max="10261" width="10.5703125" style="43" customWidth="1"/>
    <col min="10262" max="10262" width="12.42578125" style="43" customWidth="1"/>
    <col min="10263" max="10263" width="15.140625" style="43" customWidth="1"/>
    <col min="10264" max="10264" width="13.5703125" style="43" customWidth="1"/>
    <col min="10265" max="10265" width="13.140625" style="43" customWidth="1"/>
    <col min="10266" max="10266" width="15.7109375" style="43" customWidth="1"/>
    <col min="10267" max="10267" width="37.5703125" style="43" customWidth="1"/>
    <col min="10268" max="10489" width="11.42578125" style="43"/>
    <col min="10490" max="10490" width="10.5703125" style="43" customWidth="1"/>
    <col min="10491" max="10491" width="4.85546875" style="43" customWidth="1"/>
    <col min="10492" max="10492" width="32.42578125" style="43" customWidth="1"/>
    <col min="10493" max="10493" width="9.85546875" style="43" customWidth="1"/>
    <col min="10494" max="10494" width="10.140625" style="43" customWidth="1"/>
    <col min="10495" max="10495" width="12.28515625" style="43" customWidth="1"/>
    <col min="10496" max="10496" width="15.42578125" style="43" customWidth="1"/>
    <col min="10497" max="10497" width="11.85546875" style="43" customWidth="1"/>
    <col min="10498" max="10498" width="13.28515625" style="43" customWidth="1"/>
    <col min="10499" max="10499" width="15.28515625" style="43" customWidth="1"/>
    <col min="10500" max="10500" width="11.85546875" style="43" customWidth="1"/>
    <col min="10501" max="10501" width="6.140625" style="43" customWidth="1"/>
    <col min="10502" max="10502" width="11.85546875" style="43" customWidth="1"/>
    <col min="10503" max="10503" width="9.42578125" style="43" customWidth="1"/>
    <col min="10504" max="10504" width="14.7109375" style="43" customWidth="1"/>
    <col min="10505" max="10505" width="11.5703125" style="43" customWidth="1"/>
    <col min="10506" max="10506" width="0.42578125" style="43" customWidth="1"/>
    <col min="10507" max="10507" width="10.5703125" style="43" bestFit="1" customWidth="1"/>
    <col min="10508" max="10508" width="12.28515625" style="43" customWidth="1"/>
    <col min="10509" max="10509" width="12.5703125" style="43" customWidth="1"/>
    <col min="10510" max="10510" width="10.5703125" style="43" customWidth="1"/>
    <col min="10511" max="10511" width="10.140625" style="43" customWidth="1"/>
    <col min="10512" max="10512" width="8.42578125" style="43" customWidth="1"/>
    <col min="10513" max="10513" width="18.85546875" style="43" customWidth="1"/>
    <col min="10514" max="10514" width="10.28515625" style="43" customWidth="1"/>
    <col min="10515" max="10515" width="11.42578125" style="43"/>
    <col min="10516" max="10516" width="12.140625" style="43" customWidth="1"/>
    <col min="10517" max="10517" width="10.5703125" style="43" customWidth="1"/>
    <col min="10518" max="10518" width="12.42578125" style="43" customWidth="1"/>
    <col min="10519" max="10519" width="15.140625" style="43" customWidth="1"/>
    <col min="10520" max="10520" width="13.5703125" style="43" customWidth="1"/>
    <col min="10521" max="10521" width="13.140625" style="43" customWidth="1"/>
    <col min="10522" max="10522" width="15.7109375" style="43" customWidth="1"/>
    <col min="10523" max="10523" width="37.5703125" style="43" customWidth="1"/>
    <col min="10524" max="10745" width="11.42578125" style="43"/>
    <col min="10746" max="10746" width="10.5703125" style="43" customWidth="1"/>
    <col min="10747" max="10747" width="4.85546875" style="43" customWidth="1"/>
    <col min="10748" max="10748" width="32.42578125" style="43" customWidth="1"/>
    <col min="10749" max="10749" width="9.85546875" style="43" customWidth="1"/>
    <col min="10750" max="10750" width="10.140625" style="43" customWidth="1"/>
    <col min="10751" max="10751" width="12.28515625" style="43" customWidth="1"/>
    <col min="10752" max="10752" width="15.42578125" style="43" customWidth="1"/>
    <col min="10753" max="10753" width="11.85546875" style="43" customWidth="1"/>
    <col min="10754" max="10754" width="13.28515625" style="43" customWidth="1"/>
    <col min="10755" max="10755" width="15.28515625" style="43" customWidth="1"/>
    <col min="10756" max="10756" width="11.85546875" style="43" customWidth="1"/>
    <col min="10757" max="10757" width="6.140625" style="43" customWidth="1"/>
    <col min="10758" max="10758" width="11.85546875" style="43" customWidth="1"/>
    <col min="10759" max="10759" width="9.42578125" style="43" customWidth="1"/>
    <col min="10760" max="10760" width="14.7109375" style="43" customWidth="1"/>
    <col min="10761" max="10761" width="11.5703125" style="43" customWidth="1"/>
    <col min="10762" max="10762" width="0.42578125" style="43" customWidth="1"/>
    <col min="10763" max="10763" width="10.5703125" style="43" bestFit="1" customWidth="1"/>
    <col min="10764" max="10764" width="12.28515625" style="43" customWidth="1"/>
    <col min="10765" max="10765" width="12.5703125" style="43" customWidth="1"/>
    <col min="10766" max="10766" width="10.5703125" style="43" customWidth="1"/>
    <col min="10767" max="10767" width="10.140625" style="43" customWidth="1"/>
    <col min="10768" max="10768" width="8.42578125" style="43" customWidth="1"/>
    <col min="10769" max="10769" width="18.85546875" style="43" customWidth="1"/>
    <col min="10770" max="10770" width="10.28515625" style="43" customWidth="1"/>
    <col min="10771" max="10771" width="11.42578125" style="43"/>
    <col min="10772" max="10772" width="12.140625" style="43" customWidth="1"/>
    <col min="10773" max="10773" width="10.5703125" style="43" customWidth="1"/>
    <col min="10774" max="10774" width="12.42578125" style="43" customWidth="1"/>
    <col min="10775" max="10775" width="15.140625" style="43" customWidth="1"/>
    <col min="10776" max="10776" width="13.5703125" style="43" customWidth="1"/>
    <col min="10777" max="10777" width="13.140625" style="43" customWidth="1"/>
    <col min="10778" max="10778" width="15.7109375" style="43" customWidth="1"/>
    <col min="10779" max="10779" width="37.5703125" style="43" customWidth="1"/>
    <col min="10780" max="11001" width="11.42578125" style="43"/>
    <col min="11002" max="11002" width="10.5703125" style="43" customWidth="1"/>
    <col min="11003" max="11003" width="4.85546875" style="43" customWidth="1"/>
    <col min="11004" max="11004" width="32.42578125" style="43" customWidth="1"/>
    <col min="11005" max="11005" width="9.85546875" style="43" customWidth="1"/>
    <col min="11006" max="11006" width="10.140625" style="43" customWidth="1"/>
    <col min="11007" max="11007" width="12.28515625" style="43" customWidth="1"/>
    <col min="11008" max="11008" width="15.42578125" style="43" customWidth="1"/>
    <col min="11009" max="11009" width="11.85546875" style="43" customWidth="1"/>
    <col min="11010" max="11010" width="13.28515625" style="43" customWidth="1"/>
    <col min="11011" max="11011" width="15.28515625" style="43" customWidth="1"/>
    <col min="11012" max="11012" width="11.85546875" style="43" customWidth="1"/>
    <col min="11013" max="11013" width="6.140625" style="43" customWidth="1"/>
    <col min="11014" max="11014" width="11.85546875" style="43" customWidth="1"/>
    <col min="11015" max="11015" width="9.42578125" style="43" customWidth="1"/>
    <col min="11016" max="11016" width="14.7109375" style="43" customWidth="1"/>
    <col min="11017" max="11017" width="11.5703125" style="43" customWidth="1"/>
    <col min="11018" max="11018" width="0.42578125" style="43" customWidth="1"/>
    <col min="11019" max="11019" width="10.5703125" style="43" bestFit="1" customWidth="1"/>
    <col min="11020" max="11020" width="12.28515625" style="43" customWidth="1"/>
    <col min="11021" max="11021" width="12.5703125" style="43" customWidth="1"/>
    <col min="11022" max="11022" width="10.5703125" style="43" customWidth="1"/>
    <col min="11023" max="11023" width="10.140625" style="43" customWidth="1"/>
    <col min="11024" max="11024" width="8.42578125" style="43" customWidth="1"/>
    <col min="11025" max="11025" width="18.85546875" style="43" customWidth="1"/>
    <col min="11026" max="11026" width="10.28515625" style="43" customWidth="1"/>
    <col min="11027" max="11027" width="11.42578125" style="43"/>
    <col min="11028" max="11028" width="12.140625" style="43" customWidth="1"/>
    <col min="11029" max="11029" width="10.5703125" style="43" customWidth="1"/>
    <col min="11030" max="11030" width="12.42578125" style="43" customWidth="1"/>
    <col min="11031" max="11031" width="15.140625" style="43" customWidth="1"/>
    <col min="11032" max="11032" width="13.5703125" style="43" customWidth="1"/>
    <col min="11033" max="11033" width="13.140625" style="43" customWidth="1"/>
    <col min="11034" max="11034" width="15.7109375" style="43" customWidth="1"/>
    <col min="11035" max="11035" width="37.5703125" style="43" customWidth="1"/>
    <col min="11036" max="11257" width="11.42578125" style="43"/>
    <col min="11258" max="11258" width="10.5703125" style="43" customWidth="1"/>
    <col min="11259" max="11259" width="4.85546875" style="43" customWidth="1"/>
    <col min="11260" max="11260" width="32.42578125" style="43" customWidth="1"/>
    <col min="11261" max="11261" width="9.85546875" style="43" customWidth="1"/>
    <col min="11262" max="11262" width="10.140625" style="43" customWidth="1"/>
    <col min="11263" max="11263" width="12.28515625" style="43" customWidth="1"/>
    <col min="11264" max="11264" width="15.42578125" style="43" customWidth="1"/>
    <col min="11265" max="11265" width="11.85546875" style="43" customWidth="1"/>
    <col min="11266" max="11266" width="13.28515625" style="43" customWidth="1"/>
    <col min="11267" max="11267" width="15.28515625" style="43" customWidth="1"/>
    <col min="11268" max="11268" width="11.85546875" style="43" customWidth="1"/>
    <col min="11269" max="11269" width="6.140625" style="43" customWidth="1"/>
    <col min="11270" max="11270" width="11.85546875" style="43" customWidth="1"/>
    <col min="11271" max="11271" width="9.42578125" style="43" customWidth="1"/>
    <col min="11272" max="11272" width="14.7109375" style="43" customWidth="1"/>
    <col min="11273" max="11273" width="11.5703125" style="43" customWidth="1"/>
    <col min="11274" max="11274" width="0.42578125" style="43" customWidth="1"/>
    <col min="11275" max="11275" width="10.5703125" style="43" bestFit="1" customWidth="1"/>
    <col min="11276" max="11276" width="12.28515625" style="43" customWidth="1"/>
    <col min="11277" max="11277" width="12.5703125" style="43" customWidth="1"/>
    <col min="11278" max="11278" width="10.5703125" style="43" customWidth="1"/>
    <col min="11279" max="11279" width="10.140625" style="43" customWidth="1"/>
    <col min="11280" max="11280" width="8.42578125" style="43" customWidth="1"/>
    <col min="11281" max="11281" width="18.85546875" style="43" customWidth="1"/>
    <col min="11282" max="11282" width="10.28515625" style="43" customWidth="1"/>
    <col min="11283" max="11283" width="11.42578125" style="43"/>
    <col min="11284" max="11284" width="12.140625" style="43" customWidth="1"/>
    <col min="11285" max="11285" width="10.5703125" style="43" customWidth="1"/>
    <col min="11286" max="11286" width="12.42578125" style="43" customWidth="1"/>
    <col min="11287" max="11287" width="15.140625" style="43" customWidth="1"/>
    <col min="11288" max="11288" width="13.5703125" style="43" customWidth="1"/>
    <col min="11289" max="11289" width="13.140625" style="43" customWidth="1"/>
    <col min="11290" max="11290" width="15.7109375" style="43" customWidth="1"/>
    <col min="11291" max="11291" width="37.5703125" style="43" customWidth="1"/>
    <col min="11292" max="11513" width="11.42578125" style="43"/>
    <col min="11514" max="11514" width="10.5703125" style="43" customWidth="1"/>
    <col min="11515" max="11515" width="4.85546875" style="43" customWidth="1"/>
    <col min="11516" max="11516" width="32.42578125" style="43" customWidth="1"/>
    <col min="11517" max="11517" width="9.85546875" style="43" customWidth="1"/>
    <col min="11518" max="11518" width="10.140625" style="43" customWidth="1"/>
    <col min="11519" max="11519" width="12.28515625" style="43" customWidth="1"/>
    <col min="11520" max="11520" width="15.42578125" style="43" customWidth="1"/>
    <col min="11521" max="11521" width="11.85546875" style="43" customWidth="1"/>
    <col min="11522" max="11522" width="13.28515625" style="43" customWidth="1"/>
    <col min="11523" max="11523" width="15.28515625" style="43" customWidth="1"/>
    <col min="11524" max="11524" width="11.85546875" style="43" customWidth="1"/>
    <col min="11525" max="11525" width="6.140625" style="43" customWidth="1"/>
    <col min="11526" max="11526" width="11.85546875" style="43" customWidth="1"/>
    <col min="11527" max="11527" width="9.42578125" style="43" customWidth="1"/>
    <col min="11528" max="11528" width="14.7109375" style="43" customWidth="1"/>
    <col min="11529" max="11529" width="11.5703125" style="43" customWidth="1"/>
    <col min="11530" max="11530" width="0.42578125" style="43" customWidth="1"/>
    <col min="11531" max="11531" width="10.5703125" style="43" bestFit="1" customWidth="1"/>
    <col min="11532" max="11532" width="12.28515625" style="43" customWidth="1"/>
    <col min="11533" max="11533" width="12.5703125" style="43" customWidth="1"/>
    <col min="11534" max="11534" width="10.5703125" style="43" customWidth="1"/>
    <col min="11535" max="11535" width="10.140625" style="43" customWidth="1"/>
    <col min="11536" max="11536" width="8.42578125" style="43" customWidth="1"/>
    <col min="11537" max="11537" width="18.85546875" style="43" customWidth="1"/>
    <col min="11538" max="11538" width="10.28515625" style="43" customWidth="1"/>
    <col min="11539" max="11539" width="11.42578125" style="43"/>
    <col min="11540" max="11540" width="12.140625" style="43" customWidth="1"/>
    <col min="11541" max="11541" width="10.5703125" style="43" customWidth="1"/>
    <col min="11542" max="11542" width="12.42578125" style="43" customWidth="1"/>
    <col min="11543" max="11543" width="15.140625" style="43" customWidth="1"/>
    <col min="11544" max="11544" width="13.5703125" style="43" customWidth="1"/>
    <col min="11545" max="11545" width="13.140625" style="43" customWidth="1"/>
    <col min="11546" max="11546" width="15.7109375" style="43" customWidth="1"/>
    <col min="11547" max="11547" width="37.5703125" style="43" customWidth="1"/>
    <col min="11548" max="11769" width="11.42578125" style="43"/>
    <col min="11770" max="11770" width="10.5703125" style="43" customWidth="1"/>
    <col min="11771" max="11771" width="4.85546875" style="43" customWidth="1"/>
    <col min="11772" max="11772" width="32.42578125" style="43" customWidth="1"/>
    <col min="11773" max="11773" width="9.85546875" style="43" customWidth="1"/>
    <col min="11774" max="11774" width="10.140625" style="43" customWidth="1"/>
    <col min="11775" max="11775" width="12.28515625" style="43" customWidth="1"/>
    <col min="11776" max="11776" width="15.42578125" style="43" customWidth="1"/>
    <col min="11777" max="11777" width="11.85546875" style="43" customWidth="1"/>
    <col min="11778" max="11778" width="13.28515625" style="43" customWidth="1"/>
    <col min="11779" max="11779" width="15.28515625" style="43" customWidth="1"/>
    <col min="11780" max="11780" width="11.85546875" style="43" customWidth="1"/>
    <col min="11781" max="11781" width="6.140625" style="43" customWidth="1"/>
    <col min="11782" max="11782" width="11.85546875" style="43" customWidth="1"/>
    <col min="11783" max="11783" width="9.42578125" style="43" customWidth="1"/>
    <col min="11784" max="11784" width="14.7109375" style="43" customWidth="1"/>
    <col min="11785" max="11785" width="11.5703125" style="43" customWidth="1"/>
    <col min="11786" max="11786" width="0.42578125" style="43" customWidth="1"/>
    <col min="11787" max="11787" width="10.5703125" style="43" bestFit="1" customWidth="1"/>
    <col min="11788" max="11788" width="12.28515625" style="43" customWidth="1"/>
    <col min="11789" max="11789" width="12.5703125" style="43" customWidth="1"/>
    <col min="11790" max="11790" width="10.5703125" style="43" customWidth="1"/>
    <col min="11791" max="11791" width="10.140625" style="43" customWidth="1"/>
    <col min="11792" max="11792" width="8.42578125" style="43" customWidth="1"/>
    <col min="11793" max="11793" width="18.85546875" style="43" customWidth="1"/>
    <col min="11794" max="11794" width="10.28515625" style="43" customWidth="1"/>
    <col min="11795" max="11795" width="11.42578125" style="43"/>
    <col min="11796" max="11796" width="12.140625" style="43" customWidth="1"/>
    <col min="11797" max="11797" width="10.5703125" style="43" customWidth="1"/>
    <col min="11798" max="11798" width="12.42578125" style="43" customWidth="1"/>
    <col min="11799" max="11799" width="15.140625" style="43" customWidth="1"/>
    <col min="11800" max="11800" width="13.5703125" style="43" customWidth="1"/>
    <col min="11801" max="11801" width="13.140625" style="43" customWidth="1"/>
    <col min="11802" max="11802" width="15.7109375" style="43" customWidth="1"/>
    <col min="11803" max="11803" width="37.5703125" style="43" customWidth="1"/>
    <col min="11804" max="12025" width="11.42578125" style="43"/>
    <col min="12026" max="12026" width="10.5703125" style="43" customWidth="1"/>
    <col min="12027" max="12027" width="4.85546875" style="43" customWidth="1"/>
    <col min="12028" max="12028" width="32.42578125" style="43" customWidth="1"/>
    <col min="12029" max="12029" width="9.85546875" style="43" customWidth="1"/>
    <col min="12030" max="12030" width="10.140625" style="43" customWidth="1"/>
    <col min="12031" max="12031" width="12.28515625" style="43" customWidth="1"/>
    <col min="12032" max="12032" width="15.42578125" style="43" customWidth="1"/>
    <col min="12033" max="12033" width="11.85546875" style="43" customWidth="1"/>
    <col min="12034" max="12034" width="13.28515625" style="43" customWidth="1"/>
    <col min="12035" max="12035" width="15.28515625" style="43" customWidth="1"/>
    <col min="12036" max="12036" width="11.85546875" style="43" customWidth="1"/>
    <col min="12037" max="12037" width="6.140625" style="43" customWidth="1"/>
    <col min="12038" max="12038" width="11.85546875" style="43" customWidth="1"/>
    <col min="12039" max="12039" width="9.42578125" style="43" customWidth="1"/>
    <col min="12040" max="12040" width="14.7109375" style="43" customWidth="1"/>
    <col min="12041" max="12041" width="11.5703125" style="43" customWidth="1"/>
    <col min="12042" max="12042" width="0.42578125" style="43" customWidth="1"/>
    <col min="12043" max="12043" width="10.5703125" style="43" bestFit="1" customWidth="1"/>
    <col min="12044" max="12044" width="12.28515625" style="43" customWidth="1"/>
    <col min="12045" max="12045" width="12.5703125" style="43" customWidth="1"/>
    <col min="12046" max="12046" width="10.5703125" style="43" customWidth="1"/>
    <col min="12047" max="12047" width="10.140625" style="43" customWidth="1"/>
    <col min="12048" max="12048" width="8.42578125" style="43" customWidth="1"/>
    <col min="12049" max="12049" width="18.85546875" style="43" customWidth="1"/>
    <col min="12050" max="12050" width="10.28515625" style="43" customWidth="1"/>
    <col min="12051" max="12051" width="11.42578125" style="43"/>
    <col min="12052" max="12052" width="12.140625" style="43" customWidth="1"/>
    <col min="12053" max="12053" width="10.5703125" style="43" customWidth="1"/>
    <col min="12054" max="12054" width="12.42578125" style="43" customWidth="1"/>
    <col min="12055" max="12055" width="15.140625" style="43" customWidth="1"/>
    <col min="12056" max="12056" width="13.5703125" style="43" customWidth="1"/>
    <col min="12057" max="12057" width="13.140625" style="43" customWidth="1"/>
    <col min="12058" max="12058" width="15.7109375" style="43" customWidth="1"/>
    <col min="12059" max="12059" width="37.5703125" style="43" customWidth="1"/>
    <col min="12060" max="12281" width="11.42578125" style="43"/>
    <col min="12282" max="12282" width="10.5703125" style="43" customWidth="1"/>
    <col min="12283" max="12283" width="4.85546875" style="43" customWidth="1"/>
    <col min="12284" max="12284" width="32.42578125" style="43" customWidth="1"/>
    <col min="12285" max="12285" width="9.85546875" style="43" customWidth="1"/>
    <col min="12286" max="12286" width="10.140625" style="43" customWidth="1"/>
    <col min="12287" max="12287" width="12.28515625" style="43" customWidth="1"/>
    <col min="12288" max="12288" width="15.42578125" style="43" customWidth="1"/>
    <col min="12289" max="12289" width="11.85546875" style="43" customWidth="1"/>
    <col min="12290" max="12290" width="13.28515625" style="43" customWidth="1"/>
    <col min="12291" max="12291" width="15.28515625" style="43" customWidth="1"/>
    <col min="12292" max="12292" width="11.85546875" style="43" customWidth="1"/>
    <col min="12293" max="12293" width="6.140625" style="43" customWidth="1"/>
    <col min="12294" max="12294" width="11.85546875" style="43" customWidth="1"/>
    <col min="12295" max="12295" width="9.42578125" style="43" customWidth="1"/>
    <col min="12296" max="12296" width="14.7109375" style="43" customWidth="1"/>
    <col min="12297" max="12297" width="11.5703125" style="43" customWidth="1"/>
    <col min="12298" max="12298" width="0.42578125" style="43" customWidth="1"/>
    <col min="12299" max="12299" width="10.5703125" style="43" bestFit="1" customWidth="1"/>
    <col min="12300" max="12300" width="12.28515625" style="43" customWidth="1"/>
    <col min="12301" max="12301" width="12.5703125" style="43" customWidth="1"/>
    <col min="12302" max="12302" width="10.5703125" style="43" customWidth="1"/>
    <col min="12303" max="12303" width="10.140625" style="43" customWidth="1"/>
    <col min="12304" max="12304" width="8.42578125" style="43" customWidth="1"/>
    <col min="12305" max="12305" width="18.85546875" style="43" customWidth="1"/>
    <col min="12306" max="12306" width="10.28515625" style="43" customWidth="1"/>
    <col min="12307" max="12307" width="11.42578125" style="43"/>
    <col min="12308" max="12308" width="12.140625" style="43" customWidth="1"/>
    <col min="12309" max="12309" width="10.5703125" style="43" customWidth="1"/>
    <col min="12310" max="12310" width="12.42578125" style="43" customWidth="1"/>
    <col min="12311" max="12311" width="15.140625" style="43" customWidth="1"/>
    <col min="12312" max="12312" width="13.5703125" style="43" customWidth="1"/>
    <col min="12313" max="12313" width="13.140625" style="43" customWidth="1"/>
    <col min="12314" max="12314" width="15.7109375" style="43" customWidth="1"/>
    <col min="12315" max="12315" width="37.5703125" style="43" customWidth="1"/>
    <col min="12316" max="12537" width="11.42578125" style="43"/>
    <col min="12538" max="12538" width="10.5703125" style="43" customWidth="1"/>
    <col min="12539" max="12539" width="4.85546875" style="43" customWidth="1"/>
    <col min="12540" max="12540" width="32.42578125" style="43" customWidth="1"/>
    <col min="12541" max="12541" width="9.85546875" style="43" customWidth="1"/>
    <col min="12542" max="12542" width="10.140625" style="43" customWidth="1"/>
    <col min="12543" max="12543" width="12.28515625" style="43" customWidth="1"/>
    <col min="12544" max="12544" width="15.42578125" style="43" customWidth="1"/>
    <col min="12545" max="12545" width="11.85546875" style="43" customWidth="1"/>
    <col min="12546" max="12546" width="13.28515625" style="43" customWidth="1"/>
    <col min="12547" max="12547" width="15.28515625" style="43" customWidth="1"/>
    <col min="12548" max="12548" width="11.85546875" style="43" customWidth="1"/>
    <col min="12549" max="12549" width="6.140625" style="43" customWidth="1"/>
    <col min="12550" max="12550" width="11.85546875" style="43" customWidth="1"/>
    <col min="12551" max="12551" width="9.42578125" style="43" customWidth="1"/>
    <col min="12552" max="12552" width="14.7109375" style="43" customWidth="1"/>
    <col min="12553" max="12553" width="11.5703125" style="43" customWidth="1"/>
    <col min="12554" max="12554" width="0.42578125" style="43" customWidth="1"/>
    <col min="12555" max="12555" width="10.5703125" style="43" bestFit="1" customWidth="1"/>
    <col min="12556" max="12556" width="12.28515625" style="43" customWidth="1"/>
    <col min="12557" max="12557" width="12.5703125" style="43" customWidth="1"/>
    <col min="12558" max="12558" width="10.5703125" style="43" customWidth="1"/>
    <col min="12559" max="12559" width="10.140625" style="43" customWidth="1"/>
    <col min="12560" max="12560" width="8.42578125" style="43" customWidth="1"/>
    <col min="12561" max="12561" width="18.85546875" style="43" customWidth="1"/>
    <col min="12562" max="12562" width="10.28515625" style="43" customWidth="1"/>
    <col min="12563" max="12563" width="11.42578125" style="43"/>
    <col min="12564" max="12564" width="12.140625" style="43" customWidth="1"/>
    <col min="12565" max="12565" width="10.5703125" style="43" customWidth="1"/>
    <col min="12566" max="12566" width="12.42578125" style="43" customWidth="1"/>
    <col min="12567" max="12567" width="15.140625" style="43" customWidth="1"/>
    <col min="12568" max="12568" width="13.5703125" style="43" customWidth="1"/>
    <col min="12569" max="12569" width="13.140625" style="43" customWidth="1"/>
    <col min="12570" max="12570" width="15.7109375" style="43" customWidth="1"/>
    <col min="12571" max="12571" width="37.5703125" style="43" customWidth="1"/>
    <col min="12572" max="12793" width="11.42578125" style="43"/>
    <col min="12794" max="12794" width="10.5703125" style="43" customWidth="1"/>
    <col min="12795" max="12795" width="4.85546875" style="43" customWidth="1"/>
    <col min="12796" max="12796" width="32.42578125" style="43" customWidth="1"/>
    <col min="12797" max="12797" width="9.85546875" style="43" customWidth="1"/>
    <col min="12798" max="12798" width="10.140625" style="43" customWidth="1"/>
    <col min="12799" max="12799" width="12.28515625" style="43" customWidth="1"/>
    <col min="12800" max="12800" width="15.42578125" style="43" customWidth="1"/>
    <col min="12801" max="12801" width="11.85546875" style="43" customWidth="1"/>
    <col min="12802" max="12802" width="13.28515625" style="43" customWidth="1"/>
    <col min="12803" max="12803" width="15.28515625" style="43" customWidth="1"/>
    <col min="12804" max="12804" width="11.85546875" style="43" customWidth="1"/>
    <col min="12805" max="12805" width="6.140625" style="43" customWidth="1"/>
    <col min="12806" max="12806" width="11.85546875" style="43" customWidth="1"/>
    <col min="12807" max="12807" width="9.42578125" style="43" customWidth="1"/>
    <col min="12808" max="12808" width="14.7109375" style="43" customWidth="1"/>
    <col min="12809" max="12809" width="11.5703125" style="43" customWidth="1"/>
    <col min="12810" max="12810" width="0.42578125" style="43" customWidth="1"/>
    <col min="12811" max="12811" width="10.5703125" style="43" bestFit="1" customWidth="1"/>
    <col min="12812" max="12812" width="12.28515625" style="43" customWidth="1"/>
    <col min="12813" max="12813" width="12.5703125" style="43" customWidth="1"/>
    <col min="12814" max="12814" width="10.5703125" style="43" customWidth="1"/>
    <col min="12815" max="12815" width="10.140625" style="43" customWidth="1"/>
    <col min="12816" max="12816" width="8.42578125" style="43" customWidth="1"/>
    <col min="12817" max="12817" width="18.85546875" style="43" customWidth="1"/>
    <col min="12818" max="12818" width="10.28515625" style="43" customWidth="1"/>
    <col min="12819" max="12819" width="11.42578125" style="43"/>
    <col min="12820" max="12820" width="12.140625" style="43" customWidth="1"/>
    <col min="12821" max="12821" width="10.5703125" style="43" customWidth="1"/>
    <col min="12822" max="12822" width="12.42578125" style="43" customWidth="1"/>
    <col min="12823" max="12823" width="15.140625" style="43" customWidth="1"/>
    <col min="12824" max="12824" width="13.5703125" style="43" customWidth="1"/>
    <col min="12825" max="12825" width="13.140625" style="43" customWidth="1"/>
    <col min="12826" max="12826" width="15.7109375" style="43" customWidth="1"/>
    <col min="12827" max="12827" width="37.5703125" style="43" customWidth="1"/>
    <col min="12828" max="13049" width="11.42578125" style="43"/>
    <col min="13050" max="13050" width="10.5703125" style="43" customWidth="1"/>
    <col min="13051" max="13051" width="4.85546875" style="43" customWidth="1"/>
    <col min="13052" max="13052" width="32.42578125" style="43" customWidth="1"/>
    <col min="13053" max="13053" width="9.85546875" style="43" customWidth="1"/>
    <col min="13054" max="13054" width="10.140625" style="43" customWidth="1"/>
    <col min="13055" max="13055" width="12.28515625" style="43" customWidth="1"/>
    <col min="13056" max="13056" width="15.42578125" style="43" customWidth="1"/>
    <col min="13057" max="13057" width="11.85546875" style="43" customWidth="1"/>
    <col min="13058" max="13058" width="13.28515625" style="43" customWidth="1"/>
    <col min="13059" max="13059" width="15.28515625" style="43" customWidth="1"/>
    <col min="13060" max="13060" width="11.85546875" style="43" customWidth="1"/>
    <col min="13061" max="13061" width="6.140625" style="43" customWidth="1"/>
    <col min="13062" max="13062" width="11.85546875" style="43" customWidth="1"/>
    <col min="13063" max="13063" width="9.42578125" style="43" customWidth="1"/>
    <col min="13064" max="13064" width="14.7109375" style="43" customWidth="1"/>
    <col min="13065" max="13065" width="11.5703125" style="43" customWidth="1"/>
    <col min="13066" max="13066" width="0.42578125" style="43" customWidth="1"/>
    <col min="13067" max="13067" width="10.5703125" style="43" bestFit="1" customWidth="1"/>
    <col min="13068" max="13068" width="12.28515625" style="43" customWidth="1"/>
    <col min="13069" max="13069" width="12.5703125" style="43" customWidth="1"/>
    <col min="13070" max="13070" width="10.5703125" style="43" customWidth="1"/>
    <col min="13071" max="13071" width="10.140625" style="43" customWidth="1"/>
    <col min="13072" max="13072" width="8.42578125" style="43" customWidth="1"/>
    <col min="13073" max="13073" width="18.85546875" style="43" customWidth="1"/>
    <col min="13074" max="13074" width="10.28515625" style="43" customWidth="1"/>
    <col min="13075" max="13075" width="11.42578125" style="43"/>
    <col min="13076" max="13076" width="12.140625" style="43" customWidth="1"/>
    <col min="13077" max="13077" width="10.5703125" style="43" customWidth="1"/>
    <col min="13078" max="13078" width="12.42578125" style="43" customWidth="1"/>
    <col min="13079" max="13079" width="15.140625" style="43" customWidth="1"/>
    <col min="13080" max="13080" width="13.5703125" style="43" customWidth="1"/>
    <col min="13081" max="13081" width="13.140625" style="43" customWidth="1"/>
    <col min="13082" max="13082" width="15.7109375" style="43" customWidth="1"/>
    <col min="13083" max="13083" width="37.5703125" style="43" customWidth="1"/>
    <col min="13084" max="13305" width="11.42578125" style="43"/>
    <col min="13306" max="13306" width="10.5703125" style="43" customWidth="1"/>
    <col min="13307" max="13307" width="4.85546875" style="43" customWidth="1"/>
    <col min="13308" max="13308" width="32.42578125" style="43" customWidth="1"/>
    <col min="13309" max="13309" width="9.85546875" style="43" customWidth="1"/>
    <col min="13310" max="13310" width="10.140625" style="43" customWidth="1"/>
    <col min="13311" max="13311" width="12.28515625" style="43" customWidth="1"/>
    <col min="13312" max="13312" width="15.42578125" style="43" customWidth="1"/>
    <col min="13313" max="13313" width="11.85546875" style="43" customWidth="1"/>
    <col min="13314" max="13314" width="13.28515625" style="43" customWidth="1"/>
    <col min="13315" max="13315" width="15.28515625" style="43" customWidth="1"/>
    <col min="13316" max="13316" width="11.85546875" style="43" customWidth="1"/>
    <col min="13317" max="13317" width="6.140625" style="43" customWidth="1"/>
    <col min="13318" max="13318" width="11.85546875" style="43" customWidth="1"/>
    <col min="13319" max="13319" width="9.42578125" style="43" customWidth="1"/>
    <col min="13320" max="13320" width="14.7109375" style="43" customWidth="1"/>
    <col min="13321" max="13321" width="11.5703125" style="43" customWidth="1"/>
    <col min="13322" max="13322" width="0.42578125" style="43" customWidth="1"/>
    <col min="13323" max="13323" width="10.5703125" style="43" bestFit="1" customWidth="1"/>
    <col min="13324" max="13324" width="12.28515625" style="43" customWidth="1"/>
    <col min="13325" max="13325" width="12.5703125" style="43" customWidth="1"/>
    <col min="13326" max="13326" width="10.5703125" style="43" customWidth="1"/>
    <col min="13327" max="13327" width="10.140625" style="43" customWidth="1"/>
    <col min="13328" max="13328" width="8.42578125" style="43" customWidth="1"/>
    <col min="13329" max="13329" width="18.85546875" style="43" customWidth="1"/>
    <col min="13330" max="13330" width="10.28515625" style="43" customWidth="1"/>
    <col min="13331" max="13331" width="11.42578125" style="43"/>
    <col min="13332" max="13332" width="12.140625" style="43" customWidth="1"/>
    <col min="13333" max="13333" width="10.5703125" style="43" customWidth="1"/>
    <col min="13334" max="13334" width="12.42578125" style="43" customWidth="1"/>
    <col min="13335" max="13335" width="15.140625" style="43" customWidth="1"/>
    <col min="13336" max="13336" width="13.5703125" style="43" customWidth="1"/>
    <col min="13337" max="13337" width="13.140625" style="43" customWidth="1"/>
    <col min="13338" max="13338" width="15.7109375" style="43" customWidth="1"/>
    <col min="13339" max="13339" width="37.5703125" style="43" customWidth="1"/>
    <col min="13340" max="13561" width="11.42578125" style="43"/>
    <col min="13562" max="13562" width="10.5703125" style="43" customWidth="1"/>
    <col min="13563" max="13563" width="4.85546875" style="43" customWidth="1"/>
    <col min="13564" max="13564" width="32.42578125" style="43" customWidth="1"/>
    <col min="13565" max="13565" width="9.85546875" style="43" customWidth="1"/>
    <col min="13566" max="13566" width="10.140625" style="43" customWidth="1"/>
    <col min="13567" max="13567" width="12.28515625" style="43" customWidth="1"/>
    <col min="13568" max="13568" width="15.42578125" style="43" customWidth="1"/>
    <col min="13569" max="13569" width="11.85546875" style="43" customWidth="1"/>
    <col min="13570" max="13570" width="13.28515625" style="43" customWidth="1"/>
    <col min="13571" max="13571" width="15.28515625" style="43" customWidth="1"/>
    <col min="13572" max="13572" width="11.85546875" style="43" customWidth="1"/>
    <col min="13573" max="13573" width="6.140625" style="43" customWidth="1"/>
    <col min="13574" max="13574" width="11.85546875" style="43" customWidth="1"/>
    <col min="13575" max="13575" width="9.42578125" style="43" customWidth="1"/>
    <col min="13576" max="13576" width="14.7109375" style="43" customWidth="1"/>
    <col min="13577" max="13577" width="11.5703125" style="43" customWidth="1"/>
    <col min="13578" max="13578" width="0.42578125" style="43" customWidth="1"/>
    <col min="13579" max="13579" width="10.5703125" style="43" bestFit="1" customWidth="1"/>
    <col min="13580" max="13580" width="12.28515625" style="43" customWidth="1"/>
    <col min="13581" max="13581" width="12.5703125" style="43" customWidth="1"/>
    <col min="13582" max="13582" width="10.5703125" style="43" customWidth="1"/>
    <col min="13583" max="13583" width="10.140625" style="43" customWidth="1"/>
    <col min="13584" max="13584" width="8.42578125" style="43" customWidth="1"/>
    <col min="13585" max="13585" width="18.85546875" style="43" customWidth="1"/>
    <col min="13586" max="13586" width="10.28515625" style="43" customWidth="1"/>
    <col min="13587" max="13587" width="11.42578125" style="43"/>
    <col min="13588" max="13588" width="12.140625" style="43" customWidth="1"/>
    <col min="13589" max="13589" width="10.5703125" style="43" customWidth="1"/>
    <col min="13590" max="13590" width="12.42578125" style="43" customWidth="1"/>
    <col min="13591" max="13591" width="15.140625" style="43" customWidth="1"/>
    <col min="13592" max="13592" width="13.5703125" style="43" customWidth="1"/>
    <col min="13593" max="13593" width="13.140625" style="43" customWidth="1"/>
    <col min="13594" max="13594" width="15.7109375" style="43" customWidth="1"/>
    <col min="13595" max="13595" width="37.5703125" style="43" customWidth="1"/>
    <col min="13596" max="13817" width="11.42578125" style="43"/>
    <col min="13818" max="13818" width="10.5703125" style="43" customWidth="1"/>
    <col min="13819" max="13819" width="4.85546875" style="43" customWidth="1"/>
    <col min="13820" max="13820" width="32.42578125" style="43" customWidth="1"/>
    <col min="13821" max="13821" width="9.85546875" style="43" customWidth="1"/>
    <col min="13822" max="13822" width="10.140625" style="43" customWidth="1"/>
    <col min="13823" max="13823" width="12.28515625" style="43" customWidth="1"/>
    <col min="13824" max="13824" width="15.42578125" style="43" customWidth="1"/>
    <col min="13825" max="13825" width="11.85546875" style="43" customWidth="1"/>
    <col min="13826" max="13826" width="13.28515625" style="43" customWidth="1"/>
    <col min="13827" max="13827" width="15.28515625" style="43" customWidth="1"/>
    <col min="13828" max="13828" width="11.85546875" style="43" customWidth="1"/>
    <col min="13829" max="13829" width="6.140625" style="43" customWidth="1"/>
    <col min="13830" max="13830" width="11.85546875" style="43" customWidth="1"/>
    <col min="13831" max="13831" width="9.42578125" style="43" customWidth="1"/>
    <col min="13832" max="13832" width="14.7109375" style="43" customWidth="1"/>
    <col min="13833" max="13833" width="11.5703125" style="43" customWidth="1"/>
    <col min="13834" max="13834" width="0.42578125" style="43" customWidth="1"/>
    <col min="13835" max="13835" width="10.5703125" style="43" bestFit="1" customWidth="1"/>
    <col min="13836" max="13836" width="12.28515625" style="43" customWidth="1"/>
    <col min="13837" max="13837" width="12.5703125" style="43" customWidth="1"/>
    <col min="13838" max="13838" width="10.5703125" style="43" customWidth="1"/>
    <col min="13839" max="13839" width="10.140625" style="43" customWidth="1"/>
    <col min="13840" max="13840" width="8.42578125" style="43" customWidth="1"/>
    <col min="13841" max="13841" width="18.85546875" style="43" customWidth="1"/>
    <col min="13842" max="13842" width="10.28515625" style="43" customWidth="1"/>
    <col min="13843" max="13843" width="11.42578125" style="43"/>
    <col min="13844" max="13844" width="12.140625" style="43" customWidth="1"/>
    <col min="13845" max="13845" width="10.5703125" style="43" customWidth="1"/>
    <col min="13846" max="13846" width="12.42578125" style="43" customWidth="1"/>
    <col min="13847" max="13847" width="15.140625" style="43" customWidth="1"/>
    <col min="13848" max="13848" width="13.5703125" style="43" customWidth="1"/>
    <col min="13849" max="13849" width="13.140625" style="43" customWidth="1"/>
    <col min="13850" max="13850" width="15.7109375" style="43" customWidth="1"/>
    <col min="13851" max="13851" width="37.5703125" style="43" customWidth="1"/>
    <col min="13852" max="14073" width="11.42578125" style="43"/>
    <col min="14074" max="14074" width="10.5703125" style="43" customWidth="1"/>
    <col min="14075" max="14075" width="4.85546875" style="43" customWidth="1"/>
    <col min="14076" max="14076" width="32.42578125" style="43" customWidth="1"/>
    <col min="14077" max="14077" width="9.85546875" style="43" customWidth="1"/>
    <col min="14078" max="14078" width="10.140625" style="43" customWidth="1"/>
    <col min="14079" max="14079" width="12.28515625" style="43" customWidth="1"/>
    <col min="14080" max="14080" width="15.42578125" style="43" customWidth="1"/>
    <col min="14081" max="14081" width="11.85546875" style="43" customWidth="1"/>
    <col min="14082" max="14082" width="13.28515625" style="43" customWidth="1"/>
    <col min="14083" max="14083" width="15.28515625" style="43" customWidth="1"/>
    <col min="14084" max="14084" width="11.85546875" style="43" customWidth="1"/>
    <col min="14085" max="14085" width="6.140625" style="43" customWidth="1"/>
    <col min="14086" max="14086" width="11.85546875" style="43" customWidth="1"/>
    <col min="14087" max="14087" width="9.42578125" style="43" customWidth="1"/>
    <col min="14088" max="14088" width="14.7109375" style="43" customWidth="1"/>
    <col min="14089" max="14089" width="11.5703125" style="43" customWidth="1"/>
    <col min="14090" max="14090" width="0.42578125" style="43" customWidth="1"/>
    <col min="14091" max="14091" width="10.5703125" style="43" bestFit="1" customWidth="1"/>
    <col min="14092" max="14092" width="12.28515625" style="43" customWidth="1"/>
    <col min="14093" max="14093" width="12.5703125" style="43" customWidth="1"/>
    <col min="14094" max="14094" width="10.5703125" style="43" customWidth="1"/>
    <col min="14095" max="14095" width="10.140625" style="43" customWidth="1"/>
    <col min="14096" max="14096" width="8.42578125" style="43" customWidth="1"/>
    <col min="14097" max="14097" width="18.85546875" style="43" customWidth="1"/>
    <col min="14098" max="14098" width="10.28515625" style="43" customWidth="1"/>
    <col min="14099" max="14099" width="11.42578125" style="43"/>
    <col min="14100" max="14100" width="12.140625" style="43" customWidth="1"/>
    <col min="14101" max="14101" width="10.5703125" style="43" customWidth="1"/>
    <col min="14102" max="14102" width="12.42578125" style="43" customWidth="1"/>
    <col min="14103" max="14103" width="15.140625" style="43" customWidth="1"/>
    <col min="14104" max="14104" width="13.5703125" style="43" customWidth="1"/>
    <col min="14105" max="14105" width="13.140625" style="43" customWidth="1"/>
    <col min="14106" max="14106" width="15.7109375" style="43" customWidth="1"/>
    <col min="14107" max="14107" width="37.5703125" style="43" customWidth="1"/>
    <col min="14108" max="14329" width="11.42578125" style="43"/>
    <col min="14330" max="14330" width="10.5703125" style="43" customWidth="1"/>
    <col min="14331" max="14331" width="4.85546875" style="43" customWidth="1"/>
    <col min="14332" max="14332" width="32.42578125" style="43" customWidth="1"/>
    <col min="14333" max="14333" width="9.85546875" style="43" customWidth="1"/>
    <col min="14334" max="14334" width="10.140625" style="43" customWidth="1"/>
    <col min="14335" max="14335" width="12.28515625" style="43" customWidth="1"/>
    <col min="14336" max="14336" width="15.42578125" style="43" customWidth="1"/>
    <col min="14337" max="14337" width="11.85546875" style="43" customWidth="1"/>
    <col min="14338" max="14338" width="13.28515625" style="43" customWidth="1"/>
    <col min="14339" max="14339" width="15.28515625" style="43" customWidth="1"/>
    <col min="14340" max="14340" width="11.85546875" style="43" customWidth="1"/>
    <col min="14341" max="14341" width="6.140625" style="43" customWidth="1"/>
    <col min="14342" max="14342" width="11.85546875" style="43" customWidth="1"/>
    <col min="14343" max="14343" width="9.42578125" style="43" customWidth="1"/>
    <col min="14344" max="14344" width="14.7109375" style="43" customWidth="1"/>
    <col min="14345" max="14345" width="11.5703125" style="43" customWidth="1"/>
    <col min="14346" max="14346" width="0.42578125" style="43" customWidth="1"/>
    <col min="14347" max="14347" width="10.5703125" style="43" bestFit="1" customWidth="1"/>
    <col min="14348" max="14348" width="12.28515625" style="43" customWidth="1"/>
    <col min="14349" max="14349" width="12.5703125" style="43" customWidth="1"/>
    <col min="14350" max="14350" width="10.5703125" style="43" customWidth="1"/>
    <col min="14351" max="14351" width="10.140625" style="43" customWidth="1"/>
    <col min="14352" max="14352" width="8.42578125" style="43" customWidth="1"/>
    <col min="14353" max="14353" width="18.85546875" style="43" customWidth="1"/>
    <col min="14354" max="14354" width="10.28515625" style="43" customWidth="1"/>
    <col min="14355" max="14355" width="11.42578125" style="43"/>
    <col min="14356" max="14356" width="12.140625" style="43" customWidth="1"/>
    <col min="14357" max="14357" width="10.5703125" style="43" customWidth="1"/>
    <col min="14358" max="14358" width="12.42578125" style="43" customWidth="1"/>
    <col min="14359" max="14359" width="15.140625" style="43" customWidth="1"/>
    <col min="14360" max="14360" width="13.5703125" style="43" customWidth="1"/>
    <col min="14361" max="14361" width="13.140625" style="43" customWidth="1"/>
    <col min="14362" max="14362" width="15.7109375" style="43" customWidth="1"/>
    <col min="14363" max="14363" width="37.5703125" style="43" customWidth="1"/>
    <col min="14364" max="14585" width="11.42578125" style="43"/>
    <col min="14586" max="14586" width="10.5703125" style="43" customWidth="1"/>
    <col min="14587" max="14587" width="4.85546875" style="43" customWidth="1"/>
    <col min="14588" max="14588" width="32.42578125" style="43" customWidth="1"/>
    <col min="14589" max="14589" width="9.85546875" style="43" customWidth="1"/>
    <col min="14590" max="14590" width="10.140625" style="43" customWidth="1"/>
    <col min="14591" max="14591" width="12.28515625" style="43" customWidth="1"/>
    <col min="14592" max="14592" width="15.42578125" style="43" customWidth="1"/>
    <col min="14593" max="14593" width="11.85546875" style="43" customWidth="1"/>
    <col min="14594" max="14594" width="13.28515625" style="43" customWidth="1"/>
    <col min="14595" max="14595" width="15.28515625" style="43" customWidth="1"/>
    <col min="14596" max="14596" width="11.85546875" style="43" customWidth="1"/>
    <col min="14597" max="14597" width="6.140625" style="43" customWidth="1"/>
    <col min="14598" max="14598" width="11.85546875" style="43" customWidth="1"/>
    <col min="14599" max="14599" width="9.42578125" style="43" customWidth="1"/>
    <col min="14600" max="14600" width="14.7109375" style="43" customWidth="1"/>
    <col min="14601" max="14601" width="11.5703125" style="43" customWidth="1"/>
    <col min="14602" max="14602" width="0.42578125" style="43" customWidth="1"/>
    <col min="14603" max="14603" width="10.5703125" style="43" bestFit="1" customWidth="1"/>
    <col min="14604" max="14604" width="12.28515625" style="43" customWidth="1"/>
    <col min="14605" max="14605" width="12.5703125" style="43" customWidth="1"/>
    <col min="14606" max="14606" width="10.5703125" style="43" customWidth="1"/>
    <col min="14607" max="14607" width="10.140625" style="43" customWidth="1"/>
    <col min="14608" max="14608" width="8.42578125" style="43" customWidth="1"/>
    <col min="14609" max="14609" width="18.85546875" style="43" customWidth="1"/>
    <col min="14610" max="14610" width="10.28515625" style="43" customWidth="1"/>
    <col min="14611" max="14611" width="11.42578125" style="43"/>
    <col min="14612" max="14612" width="12.140625" style="43" customWidth="1"/>
    <col min="14613" max="14613" width="10.5703125" style="43" customWidth="1"/>
    <col min="14614" max="14614" width="12.42578125" style="43" customWidth="1"/>
    <col min="14615" max="14615" width="15.140625" style="43" customWidth="1"/>
    <col min="14616" max="14616" width="13.5703125" style="43" customWidth="1"/>
    <col min="14617" max="14617" width="13.140625" style="43" customWidth="1"/>
    <col min="14618" max="14618" width="15.7109375" style="43" customWidth="1"/>
    <col min="14619" max="14619" width="37.5703125" style="43" customWidth="1"/>
    <col min="14620" max="14841" width="11.42578125" style="43"/>
    <col min="14842" max="14842" width="10.5703125" style="43" customWidth="1"/>
    <col min="14843" max="14843" width="4.85546875" style="43" customWidth="1"/>
    <col min="14844" max="14844" width="32.42578125" style="43" customWidth="1"/>
    <col min="14845" max="14845" width="9.85546875" style="43" customWidth="1"/>
    <col min="14846" max="14846" width="10.140625" style="43" customWidth="1"/>
    <col min="14847" max="14847" width="12.28515625" style="43" customWidth="1"/>
    <col min="14848" max="14848" width="15.42578125" style="43" customWidth="1"/>
    <col min="14849" max="14849" width="11.85546875" style="43" customWidth="1"/>
    <col min="14850" max="14850" width="13.28515625" style="43" customWidth="1"/>
    <col min="14851" max="14851" width="15.28515625" style="43" customWidth="1"/>
    <col min="14852" max="14852" width="11.85546875" style="43" customWidth="1"/>
    <col min="14853" max="14853" width="6.140625" style="43" customWidth="1"/>
    <col min="14854" max="14854" width="11.85546875" style="43" customWidth="1"/>
    <col min="14855" max="14855" width="9.42578125" style="43" customWidth="1"/>
    <col min="14856" max="14856" width="14.7109375" style="43" customWidth="1"/>
    <col min="14857" max="14857" width="11.5703125" style="43" customWidth="1"/>
    <col min="14858" max="14858" width="0.42578125" style="43" customWidth="1"/>
    <col min="14859" max="14859" width="10.5703125" style="43" bestFit="1" customWidth="1"/>
    <col min="14860" max="14860" width="12.28515625" style="43" customWidth="1"/>
    <col min="14861" max="14861" width="12.5703125" style="43" customWidth="1"/>
    <col min="14862" max="14862" width="10.5703125" style="43" customWidth="1"/>
    <col min="14863" max="14863" width="10.140625" style="43" customWidth="1"/>
    <col min="14864" max="14864" width="8.42578125" style="43" customWidth="1"/>
    <col min="14865" max="14865" width="18.85546875" style="43" customWidth="1"/>
    <col min="14866" max="14866" width="10.28515625" style="43" customWidth="1"/>
    <col min="14867" max="14867" width="11.42578125" style="43"/>
    <col min="14868" max="14868" width="12.140625" style="43" customWidth="1"/>
    <col min="14869" max="14869" width="10.5703125" style="43" customWidth="1"/>
    <col min="14870" max="14870" width="12.42578125" style="43" customWidth="1"/>
    <col min="14871" max="14871" width="15.140625" style="43" customWidth="1"/>
    <col min="14872" max="14872" width="13.5703125" style="43" customWidth="1"/>
    <col min="14873" max="14873" width="13.140625" style="43" customWidth="1"/>
    <col min="14874" max="14874" width="15.7109375" style="43" customWidth="1"/>
    <col min="14875" max="14875" width="37.5703125" style="43" customWidth="1"/>
    <col min="14876" max="15097" width="11.42578125" style="43"/>
    <col min="15098" max="15098" width="10.5703125" style="43" customWidth="1"/>
    <col min="15099" max="15099" width="4.85546875" style="43" customWidth="1"/>
    <col min="15100" max="15100" width="32.42578125" style="43" customWidth="1"/>
    <col min="15101" max="15101" width="9.85546875" style="43" customWidth="1"/>
    <col min="15102" max="15102" width="10.140625" style="43" customWidth="1"/>
    <col min="15103" max="15103" width="12.28515625" style="43" customWidth="1"/>
    <col min="15104" max="15104" width="15.42578125" style="43" customWidth="1"/>
    <col min="15105" max="15105" width="11.85546875" style="43" customWidth="1"/>
    <col min="15106" max="15106" width="13.28515625" style="43" customWidth="1"/>
    <col min="15107" max="15107" width="15.28515625" style="43" customWidth="1"/>
    <col min="15108" max="15108" width="11.85546875" style="43" customWidth="1"/>
    <col min="15109" max="15109" width="6.140625" style="43" customWidth="1"/>
    <col min="15110" max="15110" width="11.85546875" style="43" customWidth="1"/>
    <col min="15111" max="15111" width="9.42578125" style="43" customWidth="1"/>
    <col min="15112" max="15112" width="14.7109375" style="43" customWidth="1"/>
    <col min="15113" max="15113" width="11.5703125" style="43" customWidth="1"/>
    <col min="15114" max="15114" width="0.42578125" style="43" customWidth="1"/>
    <col min="15115" max="15115" width="10.5703125" style="43" bestFit="1" customWidth="1"/>
    <col min="15116" max="15116" width="12.28515625" style="43" customWidth="1"/>
    <col min="15117" max="15117" width="12.5703125" style="43" customWidth="1"/>
    <col min="15118" max="15118" width="10.5703125" style="43" customWidth="1"/>
    <col min="15119" max="15119" width="10.140625" style="43" customWidth="1"/>
    <col min="15120" max="15120" width="8.42578125" style="43" customWidth="1"/>
    <col min="15121" max="15121" width="18.85546875" style="43" customWidth="1"/>
    <col min="15122" max="15122" width="10.28515625" style="43" customWidth="1"/>
    <col min="15123" max="15123" width="11.42578125" style="43"/>
    <col min="15124" max="15124" width="12.140625" style="43" customWidth="1"/>
    <col min="15125" max="15125" width="10.5703125" style="43" customWidth="1"/>
    <col min="15126" max="15126" width="12.42578125" style="43" customWidth="1"/>
    <col min="15127" max="15127" width="15.140625" style="43" customWidth="1"/>
    <col min="15128" max="15128" width="13.5703125" style="43" customWidth="1"/>
    <col min="15129" max="15129" width="13.140625" style="43" customWidth="1"/>
    <col min="15130" max="15130" width="15.7109375" style="43" customWidth="1"/>
    <col min="15131" max="15131" width="37.5703125" style="43" customWidth="1"/>
    <col min="15132" max="15353" width="11.42578125" style="43"/>
    <col min="15354" max="15354" width="10.5703125" style="43" customWidth="1"/>
    <col min="15355" max="15355" width="4.85546875" style="43" customWidth="1"/>
    <col min="15356" max="15356" width="32.42578125" style="43" customWidth="1"/>
    <col min="15357" max="15357" width="9.85546875" style="43" customWidth="1"/>
    <col min="15358" max="15358" width="10.140625" style="43" customWidth="1"/>
    <col min="15359" max="15359" width="12.28515625" style="43" customWidth="1"/>
    <col min="15360" max="15360" width="15.42578125" style="43" customWidth="1"/>
    <col min="15361" max="15361" width="11.85546875" style="43" customWidth="1"/>
    <col min="15362" max="15362" width="13.28515625" style="43" customWidth="1"/>
    <col min="15363" max="15363" width="15.28515625" style="43" customWidth="1"/>
    <col min="15364" max="15364" width="11.85546875" style="43" customWidth="1"/>
    <col min="15365" max="15365" width="6.140625" style="43" customWidth="1"/>
    <col min="15366" max="15366" width="11.85546875" style="43" customWidth="1"/>
    <col min="15367" max="15367" width="9.42578125" style="43" customWidth="1"/>
    <col min="15368" max="15368" width="14.7109375" style="43" customWidth="1"/>
    <col min="15369" max="15369" width="11.5703125" style="43" customWidth="1"/>
    <col min="15370" max="15370" width="0.42578125" style="43" customWidth="1"/>
    <col min="15371" max="15371" width="10.5703125" style="43" bestFit="1" customWidth="1"/>
    <col min="15372" max="15372" width="12.28515625" style="43" customWidth="1"/>
    <col min="15373" max="15373" width="12.5703125" style="43" customWidth="1"/>
    <col min="15374" max="15374" width="10.5703125" style="43" customWidth="1"/>
    <col min="15375" max="15375" width="10.140625" style="43" customWidth="1"/>
    <col min="15376" max="15376" width="8.42578125" style="43" customWidth="1"/>
    <col min="15377" max="15377" width="18.85546875" style="43" customWidth="1"/>
    <col min="15378" max="15378" width="10.28515625" style="43" customWidth="1"/>
    <col min="15379" max="15379" width="11.42578125" style="43"/>
    <col min="15380" max="15380" width="12.140625" style="43" customWidth="1"/>
    <col min="15381" max="15381" width="10.5703125" style="43" customWidth="1"/>
    <col min="15382" max="15382" width="12.42578125" style="43" customWidth="1"/>
    <col min="15383" max="15383" width="15.140625" style="43" customWidth="1"/>
    <col min="15384" max="15384" width="13.5703125" style="43" customWidth="1"/>
    <col min="15385" max="15385" width="13.140625" style="43" customWidth="1"/>
    <col min="15386" max="15386" width="15.7109375" style="43" customWidth="1"/>
    <col min="15387" max="15387" width="37.5703125" style="43" customWidth="1"/>
    <col min="15388" max="15609" width="11.42578125" style="43"/>
    <col min="15610" max="15610" width="10.5703125" style="43" customWidth="1"/>
    <col min="15611" max="15611" width="4.85546875" style="43" customWidth="1"/>
    <col min="15612" max="15612" width="32.42578125" style="43" customWidth="1"/>
    <col min="15613" max="15613" width="9.85546875" style="43" customWidth="1"/>
    <col min="15614" max="15614" width="10.140625" style="43" customWidth="1"/>
    <col min="15615" max="15615" width="12.28515625" style="43" customWidth="1"/>
    <col min="15616" max="15616" width="15.42578125" style="43" customWidth="1"/>
    <col min="15617" max="15617" width="11.85546875" style="43" customWidth="1"/>
    <col min="15618" max="15618" width="13.28515625" style="43" customWidth="1"/>
    <col min="15619" max="15619" width="15.28515625" style="43" customWidth="1"/>
    <col min="15620" max="15620" width="11.85546875" style="43" customWidth="1"/>
    <col min="15621" max="15621" width="6.140625" style="43" customWidth="1"/>
    <col min="15622" max="15622" width="11.85546875" style="43" customWidth="1"/>
    <col min="15623" max="15623" width="9.42578125" style="43" customWidth="1"/>
    <col min="15624" max="15624" width="14.7109375" style="43" customWidth="1"/>
    <col min="15625" max="15625" width="11.5703125" style="43" customWidth="1"/>
    <col min="15626" max="15626" width="0.42578125" style="43" customWidth="1"/>
    <col min="15627" max="15627" width="10.5703125" style="43" bestFit="1" customWidth="1"/>
    <col min="15628" max="15628" width="12.28515625" style="43" customWidth="1"/>
    <col min="15629" max="15629" width="12.5703125" style="43" customWidth="1"/>
    <col min="15630" max="15630" width="10.5703125" style="43" customWidth="1"/>
    <col min="15631" max="15631" width="10.140625" style="43" customWidth="1"/>
    <col min="15632" max="15632" width="8.42578125" style="43" customWidth="1"/>
    <col min="15633" max="15633" width="18.85546875" style="43" customWidth="1"/>
    <col min="15634" max="15634" width="10.28515625" style="43" customWidth="1"/>
    <col min="15635" max="15635" width="11.42578125" style="43"/>
    <col min="15636" max="15636" width="12.140625" style="43" customWidth="1"/>
    <col min="15637" max="15637" width="10.5703125" style="43" customWidth="1"/>
    <col min="15638" max="15638" width="12.42578125" style="43" customWidth="1"/>
    <col min="15639" max="15639" width="15.140625" style="43" customWidth="1"/>
    <col min="15640" max="15640" width="13.5703125" style="43" customWidth="1"/>
    <col min="15641" max="15641" width="13.140625" style="43" customWidth="1"/>
    <col min="15642" max="15642" width="15.7109375" style="43" customWidth="1"/>
    <col min="15643" max="15643" width="37.5703125" style="43" customWidth="1"/>
    <col min="15644" max="15865" width="11.42578125" style="43"/>
    <col min="15866" max="15866" width="10.5703125" style="43" customWidth="1"/>
    <col min="15867" max="15867" width="4.85546875" style="43" customWidth="1"/>
    <col min="15868" max="15868" width="32.42578125" style="43" customWidth="1"/>
    <col min="15869" max="15869" width="9.85546875" style="43" customWidth="1"/>
    <col min="15870" max="15870" width="10.140625" style="43" customWidth="1"/>
    <col min="15871" max="15871" width="12.28515625" style="43" customWidth="1"/>
    <col min="15872" max="15872" width="15.42578125" style="43" customWidth="1"/>
    <col min="15873" max="15873" width="11.85546875" style="43" customWidth="1"/>
    <col min="15874" max="15874" width="13.28515625" style="43" customWidth="1"/>
    <col min="15875" max="15875" width="15.28515625" style="43" customWidth="1"/>
    <col min="15876" max="15876" width="11.85546875" style="43" customWidth="1"/>
    <col min="15877" max="15877" width="6.140625" style="43" customWidth="1"/>
    <col min="15878" max="15878" width="11.85546875" style="43" customWidth="1"/>
    <col min="15879" max="15879" width="9.42578125" style="43" customWidth="1"/>
    <col min="15880" max="15880" width="14.7109375" style="43" customWidth="1"/>
    <col min="15881" max="15881" width="11.5703125" style="43" customWidth="1"/>
    <col min="15882" max="15882" width="0.42578125" style="43" customWidth="1"/>
    <col min="15883" max="15883" width="10.5703125" style="43" bestFit="1" customWidth="1"/>
    <col min="15884" max="15884" width="12.28515625" style="43" customWidth="1"/>
    <col min="15885" max="15885" width="12.5703125" style="43" customWidth="1"/>
    <col min="15886" max="15886" width="10.5703125" style="43" customWidth="1"/>
    <col min="15887" max="15887" width="10.140625" style="43" customWidth="1"/>
    <col min="15888" max="15888" width="8.42578125" style="43" customWidth="1"/>
    <col min="15889" max="15889" width="18.85546875" style="43" customWidth="1"/>
    <col min="15890" max="15890" width="10.28515625" style="43" customWidth="1"/>
    <col min="15891" max="15891" width="11.42578125" style="43"/>
    <col min="15892" max="15892" width="12.140625" style="43" customWidth="1"/>
    <col min="15893" max="15893" width="10.5703125" style="43" customWidth="1"/>
    <col min="15894" max="15894" width="12.42578125" style="43" customWidth="1"/>
    <col min="15895" max="15895" width="15.140625" style="43" customWidth="1"/>
    <col min="15896" max="15896" width="13.5703125" style="43" customWidth="1"/>
    <col min="15897" max="15897" width="13.140625" style="43" customWidth="1"/>
    <col min="15898" max="15898" width="15.7109375" style="43" customWidth="1"/>
    <col min="15899" max="15899" width="37.5703125" style="43" customWidth="1"/>
    <col min="15900" max="16121" width="11.42578125" style="43"/>
    <col min="16122" max="16122" width="10.5703125" style="43" customWidth="1"/>
    <col min="16123" max="16123" width="4.85546875" style="43" customWidth="1"/>
    <col min="16124" max="16124" width="32.42578125" style="43" customWidth="1"/>
    <col min="16125" max="16125" width="9.85546875" style="43" customWidth="1"/>
    <col min="16126" max="16126" width="10.140625" style="43" customWidth="1"/>
    <col min="16127" max="16127" width="12.28515625" style="43" customWidth="1"/>
    <col min="16128" max="16128" width="15.42578125" style="43" customWidth="1"/>
    <col min="16129" max="16129" width="11.85546875" style="43" customWidth="1"/>
    <col min="16130" max="16130" width="13.28515625" style="43" customWidth="1"/>
    <col min="16131" max="16131" width="15.28515625" style="43" customWidth="1"/>
    <col min="16132" max="16132" width="11.85546875" style="43" customWidth="1"/>
    <col min="16133" max="16133" width="6.140625" style="43" customWidth="1"/>
    <col min="16134" max="16134" width="11.85546875" style="43" customWidth="1"/>
    <col min="16135" max="16135" width="9.42578125" style="43" customWidth="1"/>
    <col min="16136" max="16136" width="14.7109375" style="43" customWidth="1"/>
    <col min="16137" max="16137" width="11.5703125" style="43" customWidth="1"/>
    <col min="16138" max="16138" width="0.42578125" style="43" customWidth="1"/>
    <col min="16139" max="16139" width="10.5703125" style="43" bestFit="1" customWidth="1"/>
    <col min="16140" max="16140" width="12.28515625" style="43" customWidth="1"/>
    <col min="16141" max="16141" width="12.5703125" style="43" customWidth="1"/>
    <col min="16142" max="16142" width="10.5703125" style="43" customWidth="1"/>
    <col min="16143" max="16143" width="10.140625" style="43" customWidth="1"/>
    <col min="16144" max="16144" width="8.42578125" style="43" customWidth="1"/>
    <col min="16145" max="16145" width="18.85546875" style="43" customWidth="1"/>
    <col min="16146" max="16146" width="10.28515625" style="43" customWidth="1"/>
    <col min="16147" max="16147" width="11.42578125" style="43"/>
    <col min="16148" max="16148" width="12.140625" style="43" customWidth="1"/>
    <col min="16149" max="16149" width="10.5703125" style="43" customWidth="1"/>
    <col min="16150" max="16150" width="12.42578125" style="43" customWidth="1"/>
    <col min="16151" max="16151" width="15.140625" style="43" customWidth="1"/>
    <col min="16152" max="16152" width="13.5703125" style="43" customWidth="1"/>
    <col min="16153" max="16153" width="13.140625" style="43" customWidth="1"/>
    <col min="16154" max="16154" width="15.7109375" style="43" customWidth="1"/>
    <col min="16155" max="16155" width="37.5703125" style="43" customWidth="1"/>
    <col min="16156" max="16384" width="11.42578125" style="43"/>
  </cols>
  <sheetData>
    <row r="1" spans="1:27" ht="12.75" x14ac:dyDescent="0.25">
      <c r="A1" s="81"/>
      <c r="B1" s="81"/>
      <c r="C1" s="117" t="s">
        <v>129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45"/>
      <c r="Z1" s="41"/>
      <c r="AA1" s="45"/>
    </row>
    <row r="2" spans="1:27" ht="12.75" x14ac:dyDescent="0.25">
      <c r="A2" s="81"/>
      <c r="B2" s="81"/>
      <c r="C2" s="118" t="s">
        <v>1</v>
      </c>
      <c r="D2" s="45"/>
      <c r="E2" s="119" t="s">
        <v>2</v>
      </c>
      <c r="F2" s="119"/>
      <c r="G2" s="119"/>
      <c r="H2" s="119"/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19"/>
      <c r="X2" s="45"/>
      <c r="Y2" s="45"/>
      <c r="Z2" s="41"/>
      <c r="AA2" s="45"/>
    </row>
    <row r="3" spans="1:27" ht="63.75" x14ac:dyDescent="0.25">
      <c r="A3" s="120" t="s">
        <v>4</v>
      </c>
      <c r="B3" s="121" t="s">
        <v>5</v>
      </c>
      <c r="C3" s="38" t="s">
        <v>6</v>
      </c>
      <c r="D3" s="38" t="s">
        <v>7</v>
      </c>
      <c r="E3" s="97" t="s">
        <v>8</v>
      </c>
      <c r="F3" s="97" t="s">
        <v>9</v>
      </c>
      <c r="G3" s="97" t="s">
        <v>10</v>
      </c>
      <c r="H3" s="97" t="s">
        <v>11</v>
      </c>
      <c r="I3" s="97" t="s">
        <v>118</v>
      </c>
      <c r="J3" s="97" t="s">
        <v>101</v>
      </c>
      <c r="K3" s="97" t="s">
        <v>14</v>
      </c>
      <c r="L3" s="97" t="s">
        <v>114</v>
      </c>
      <c r="M3" s="97" t="s">
        <v>16</v>
      </c>
      <c r="N3" s="97" t="s">
        <v>17</v>
      </c>
      <c r="O3" s="97" t="s">
        <v>18</v>
      </c>
      <c r="P3" s="97" t="s">
        <v>19</v>
      </c>
      <c r="Q3" s="97" t="s">
        <v>20</v>
      </c>
      <c r="R3" s="97" t="s">
        <v>21</v>
      </c>
      <c r="S3" s="97" t="s">
        <v>22</v>
      </c>
      <c r="T3" s="97" t="s">
        <v>23</v>
      </c>
      <c r="U3" s="97" t="s">
        <v>24</v>
      </c>
      <c r="V3" s="97" t="s">
        <v>25</v>
      </c>
      <c r="W3" s="97" t="s">
        <v>26</v>
      </c>
      <c r="X3" s="38" t="s">
        <v>27</v>
      </c>
      <c r="Y3" s="38"/>
      <c r="Z3" s="122"/>
      <c r="AA3" s="38" t="s">
        <v>30</v>
      </c>
    </row>
    <row r="4" spans="1:27" ht="12.75" x14ac:dyDescent="0.25">
      <c r="A4" s="120"/>
      <c r="B4" s="123">
        <v>1</v>
      </c>
      <c r="C4" s="37" t="s">
        <v>115</v>
      </c>
      <c r="D4" s="38" t="s">
        <v>32</v>
      </c>
      <c r="E4" s="39">
        <v>4500000</v>
      </c>
      <c r="F4" s="39">
        <v>30</v>
      </c>
      <c r="G4" s="39">
        <f>+E4/30*F4</f>
        <v>4500000</v>
      </c>
      <c r="H4" s="39"/>
      <c r="I4" s="39"/>
      <c r="J4" s="39"/>
      <c r="K4" s="39"/>
      <c r="L4" s="39"/>
      <c r="M4" s="39"/>
      <c r="N4" s="39">
        <f>SUM(G4:M4)</f>
        <v>4500000</v>
      </c>
      <c r="O4" s="39">
        <f>+G4*4%</f>
        <v>180000</v>
      </c>
      <c r="P4" s="39">
        <f>+O4</f>
        <v>180000</v>
      </c>
      <c r="Q4" s="39"/>
      <c r="R4" s="39"/>
      <c r="S4" s="39">
        <f>+G4*0.01</f>
        <v>45000</v>
      </c>
      <c r="T4" s="39">
        <v>98752</v>
      </c>
      <c r="U4" s="39"/>
      <c r="V4" s="39"/>
      <c r="W4" s="39">
        <f t="shared" ref="W4:W66" si="0">SUM(O4:V4)</f>
        <v>503752</v>
      </c>
      <c r="X4" s="40">
        <f t="shared" ref="X4:X24" si="1">+N4-W4</f>
        <v>3996248</v>
      </c>
      <c r="Y4" s="40"/>
      <c r="Z4" s="41"/>
      <c r="AA4" s="40">
        <f>X4+Y4-Z4</f>
        <v>3996248</v>
      </c>
    </row>
    <row r="5" spans="1:27" ht="12.75" x14ac:dyDescent="0.25">
      <c r="A5" s="120"/>
      <c r="B5" s="123">
        <v>2</v>
      </c>
      <c r="C5" s="37" t="s">
        <v>31</v>
      </c>
      <c r="D5" s="38" t="s">
        <v>32</v>
      </c>
      <c r="E5" s="39">
        <v>4000000</v>
      </c>
      <c r="F5" s="39">
        <v>30</v>
      </c>
      <c r="G5" s="39">
        <f>+E5/30*F5</f>
        <v>4000000.0000000005</v>
      </c>
      <c r="H5" s="39"/>
      <c r="I5" s="39"/>
      <c r="J5" s="39"/>
      <c r="K5" s="39"/>
      <c r="L5" s="39"/>
      <c r="M5" s="39"/>
      <c r="N5" s="39">
        <f>SUM(G5:M5)</f>
        <v>4000000.0000000005</v>
      </c>
      <c r="O5" s="39">
        <f>+G5*4%</f>
        <v>160000.00000000003</v>
      </c>
      <c r="P5" s="39">
        <f>+O5</f>
        <v>160000.00000000003</v>
      </c>
      <c r="Q5" s="39"/>
      <c r="R5" s="39"/>
      <c r="S5" s="39">
        <f>+G5*0.01</f>
        <v>40000.000000000007</v>
      </c>
      <c r="T5" s="39">
        <v>31064</v>
      </c>
      <c r="U5" s="39"/>
      <c r="V5" s="39"/>
      <c r="W5" s="39">
        <f t="shared" si="0"/>
        <v>391064.00000000006</v>
      </c>
      <c r="X5" s="40">
        <f t="shared" si="1"/>
        <v>3608936.0000000005</v>
      </c>
      <c r="Y5" s="40"/>
      <c r="Z5" s="41"/>
      <c r="AA5" s="40">
        <f>X5+Y5-Z5</f>
        <v>3608936.0000000005</v>
      </c>
    </row>
    <row r="6" spans="1:27" ht="12.75" x14ac:dyDescent="0.25">
      <c r="A6" s="120"/>
      <c r="B6" s="123">
        <v>3</v>
      </c>
      <c r="C6" s="37" t="s">
        <v>33</v>
      </c>
      <c r="D6" s="38" t="s">
        <v>32</v>
      </c>
      <c r="E6" s="39">
        <v>5133000</v>
      </c>
      <c r="F6" s="39">
        <v>30</v>
      </c>
      <c r="G6" s="39">
        <f>+E6/30*F6</f>
        <v>5133000</v>
      </c>
      <c r="H6" s="39"/>
      <c r="I6" s="39"/>
      <c r="J6" s="39"/>
      <c r="K6" s="39"/>
      <c r="L6" s="39"/>
      <c r="M6" s="39"/>
      <c r="N6" s="39">
        <f t="shared" ref="N6:N29" si="2">SUM(G6:M6)</f>
        <v>5133000</v>
      </c>
      <c r="O6" s="39">
        <f>+G6*4%</f>
        <v>205320</v>
      </c>
      <c r="P6" s="39">
        <f>+O6</f>
        <v>205320</v>
      </c>
      <c r="Q6" s="39"/>
      <c r="R6" s="39"/>
      <c r="S6" s="39">
        <f t="shared" ref="S6:S36" si="3">+G6*0.01</f>
        <v>51330</v>
      </c>
      <c r="T6" s="48">
        <v>111299</v>
      </c>
      <c r="U6" s="39"/>
      <c r="V6" s="39"/>
      <c r="W6" s="39">
        <f t="shared" si="0"/>
        <v>573269</v>
      </c>
      <c r="X6" s="40">
        <f t="shared" si="1"/>
        <v>4559731</v>
      </c>
      <c r="Y6" s="40"/>
      <c r="Z6" s="41"/>
      <c r="AA6" s="40">
        <f>X6+Y6-Z6</f>
        <v>4559731</v>
      </c>
    </row>
    <row r="7" spans="1:27" ht="12.75" x14ac:dyDescent="0.25">
      <c r="A7" s="120"/>
      <c r="B7" s="123">
        <v>4</v>
      </c>
      <c r="C7" s="37" t="s">
        <v>34</v>
      </c>
      <c r="D7" s="38" t="s">
        <v>32</v>
      </c>
      <c r="E7" s="39">
        <v>4180000</v>
      </c>
      <c r="F7" s="39">
        <v>30</v>
      </c>
      <c r="G7" s="39">
        <f>+E7/30*F7</f>
        <v>4180000.0000000005</v>
      </c>
      <c r="H7" s="39"/>
      <c r="I7" s="39"/>
      <c r="J7" s="39"/>
      <c r="K7" s="39"/>
      <c r="L7" s="39"/>
      <c r="M7" s="39">
        <v>1881000</v>
      </c>
      <c r="N7" s="39">
        <f t="shared" si="2"/>
        <v>6061000</v>
      </c>
      <c r="O7" s="39">
        <f>+G7*4%</f>
        <v>167200.00000000003</v>
      </c>
      <c r="P7" s="39">
        <f>+O7</f>
        <v>167200.00000000003</v>
      </c>
      <c r="Q7" s="39"/>
      <c r="R7" s="39"/>
      <c r="S7" s="39">
        <f t="shared" si="3"/>
        <v>41800.000000000007</v>
      </c>
      <c r="T7" s="48">
        <v>31064</v>
      </c>
      <c r="U7" s="39"/>
      <c r="V7" s="39"/>
      <c r="W7" s="39">
        <f t="shared" si="0"/>
        <v>407264.00000000006</v>
      </c>
      <c r="X7" s="40">
        <f>+N7-W7</f>
        <v>5653736</v>
      </c>
      <c r="Y7" s="40"/>
      <c r="Z7" s="41"/>
      <c r="AA7" s="40">
        <f>X7+Y7-Z7</f>
        <v>5653736</v>
      </c>
    </row>
    <row r="8" spans="1:27" ht="12.75" x14ac:dyDescent="0.25">
      <c r="A8" s="120"/>
      <c r="B8" s="123">
        <v>5</v>
      </c>
      <c r="C8" s="37" t="s">
        <v>130</v>
      </c>
      <c r="D8" s="38" t="s">
        <v>32</v>
      </c>
      <c r="E8" s="39">
        <v>4200000</v>
      </c>
      <c r="F8" s="39">
        <v>30</v>
      </c>
      <c r="G8" s="39">
        <f>E8/30*F8</f>
        <v>4200000</v>
      </c>
      <c r="H8" s="39"/>
      <c r="I8" s="39"/>
      <c r="J8" s="39"/>
      <c r="K8" s="39"/>
      <c r="L8" s="39"/>
      <c r="M8" s="39"/>
      <c r="N8" s="39">
        <f t="shared" si="2"/>
        <v>4200000</v>
      </c>
      <c r="O8" s="39">
        <f t="shared" ref="O8" si="4">+G8*4%</f>
        <v>168000</v>
      </c>
      <c r="P8" s="39">
        <f>O8</f>
        <v>168000</v>
      </c>
      <c r="Q8" s="39"/>
      <c r="R8" s="39"/>
      <c r="S8" s="39">
        <f>+G8*1%</f>
        <v>42000</v>
      </c>
      <c r="T8" s="48">
        <v>2545</v>
      </c>
      <c r="U8" s="39"/>
      <c r="V8" s="39"/>
      <c r="W8" s="39">
        <f t="shared" si="0"/>
        <v>380545</v>
      </c>
      <c r="X8" s="40">
        <f>N8-W8</f>
        <v>3819455</v>
      </c>
      <c r="Y8" s="40"/>
      <c r="Z8" s="41"/>
      <c r="AA8" s="40">
        <f t="shared" ref="AA8" si="5">X8+Y8-Z8</f>
        <v>3819455</v>
      </c>
    </row>
    <row r="9" spans="1:27" ht="12.75" x14ac:dyDescent="0.25">
      <c r="A9" s="120"/>
      <c r="B9" s="123">
        <v>6</v>
      </c>
      <c r="C9" s="37" t="s">
        <v>36</v>
      </c>
      <c r="D9" s="38" t="s">
        <v>32</v>
      </c>
      <c r="E9" s="39">
        <v>4500000</v>
      </c>
      <c r="F9" s="39">
        <v>30</v>
      </c>
      <c r="G9" s="39">
        <f>E9/30*F9</f>
        <v>4500000</v>
      </c>
      <c r="H9" s="39"/>
      <c r="I9" s="39"/>
      <c r="J9" s="39"/>
      <c r="K9" s="39"/>
      <c r="L9" s="39"/>
      <c r="M9" s="39"/>
      <c r="N9" s="39">
        <f t="shared" si="2"/>
        <v>4500000</v>
      </c>
      <c r="O9" s="39">
        <f t="shared" ref="O9:O11" si="6">G9*4%</f>
        <v>180000</v>
      </c>
      <c r="P9" s="39">
        <f>O9</f>
        <v>180000</v>
      </c>
      <c r="Q9" s="39"/>
      <c r="R9" s="39"/>
      <c r="S9" s="39">
        <f>G9*1%</f>
        <v>45000</v>
      </c>
      <c r="T9" s="39">
        <v>98752</v>
      </c>
      <c r="U9" s="39"/>
      <c r="V9" s="39"/>
      <c r="W9" s="39">
        <f t="shared" si="0"/>
        <v>503752</v>
      </c>
      <c r="X9" s="40">
        <f>N9-W9</f>
        <v>3996248</v>
      </c>
      <c r="Y9" s="40"/>
      <c r="Z9" s="41"/>
      <c r="AA9" s="40">
        <f>X9+Y9-Z9</f>
        <v>3996248</v>
      </c>
    </row>
    <row r="10" spans="1:27" ht="12.75" x14ac:dyDescent="0.25">
      <c r="A10" s="120"/>
      <c r="B10" s="123">
        <v>7</v>
      </c>
      <c r="C10" s="137" t="s">
        <v>38</v>
      </c>
      <c r="D10" s="96" t="s">
        <v>32</v>
      </c>
      <c r="E10" s="39">
        <v>4800000</v>
      </c>
      <c r="F10" s="39">
        <v>30</v>
      </c>
      <c r="G10" s="39">
        <f t="shared" ref="G10:G13" si="7">+E10/30*F10</f>
        <v>4800000</v>
      </c>
      <c r="H10" s="39"/>
      <c r="I10" s="39"/>
      <c r="J10" s="39"/>
      <c r="K10" s="39"/>
      <c r="L10" s="39"/>
      <c r="M10" s="39"/>
      <c r="N10" s="39">
        <f t="shared" si="2"/>
        <v>4800000</v>
      </c>
      <c r="O10" s="39">
        <f t="shared" si="6"/>
        <v>192000</v>
      </c>
      <c r="P10" s="39">
        <f>+O10</f>
        <v>192000</v>
      </c>
      <c r="Q10" s="39"/>
      <c r="R10" s="39"/>
      <c r="S10" s="39">
        <f t="shared" si="3"/>
        <v>48000</v>
      </c>
      <c r="T10" s="39">
        <v>5939</v>
      </c>
      <c r="U10" s="39"/>
      <c r="V10" s="39"/>
      <c r="W10" s="39">
        <f t="shared" si="0"/>
        <v>437939</v>
      </c>
      <c r="X10" s="40">
        <f t="shared" si="1"/>
        <v>4362061</v>
      </c>
      <c r="Y10" s="40"/>
      <c r="Z10" s="41"/>
      <c r="AA10" s="40">
        <f t="shared" ref="AA10:AA70" si="8">X10+Y10-Z10</f>
        <v>4362061</v>
      </c>
    </row>
    <row r="11" spans="1:27" ht="12.75" x14ac:dyDescent="0.25">
      <c r="A11" s="120"/>
      <c r="B11" s="123">
        <v>8</v>
      </c>
      <c r="C11" s="118" t="s">
        <v>40</v>
      </c>
      <c r="D11" s="45" t="s">
        <v>32</v>
      </c>
      <c r="E11" s="39">
        <v>3500000</v>
      </c>
      <c r="F11" s="39">
        <v>30</v>
      </c>
      <c r="G11" s="39">
        <f t="shared" si="7"/>
        <v>3500000</v>
      </c>
      <c r="H11" s="39"/>
      <c r="I11" s="39"/>
      <c r="J11" s="39"/>
      <c r="K11" s="39"/>
      <c r="L11" s="39"/>
      <c r="M11" s="39">
        <v>500000</v>
      </c>
      <c r="N11" s="39">
        <f t="shared" si="2"/>
        <v>4000000</v>
      </c>
      <c r="O11" s="39">
        <f t="shared" si="6"/>
        <v>140000</v>
      </c>
      <c r="P11" s="39">
        <f>O11</f>
        <v>140000</v>
      </c>
      <c r="Q11" s="39"/>
      <c r="R11" s="39"/>
      <c r="S11" s="39">
        <f>G11*1%</f>
        <v>35000</v>
      </c>
      <c r="T11" s="39">
        <v>0</v>
      </c>
      <c r="U11" s="39"/>
      <c r="V11" s="39"/>
      <c r="W11" s="39">
        <f t="shared" si="0"/>
        <v>315000</v>
      </c>
      <c r="X11" s="40">
        <f t="shared" si="1"/>
        <v>3685000</v>
      </c>
      <c r="Y11" s="40"/>
      <c r="Z11" s="41"/>
      <c r="AA11" s="40">
        <f t="shared" si="8"/>
        <v>3685000</v>
      </c>
    </row>
    <row r="12" spans="1:27" ht="12.75" x14ac:dyDescent="0.25">
      <c r="A12" s="120"/>
      <c r="B12" s="123">
        <v>9</v>
      </c>
      <c r="C12" s="37" t="s">
        <v>42</v>
      </c>
      <c r="D12" s="38" t="s">
        <v>32</v>
      </c>
      <c r="E12" s="39">
        <v>4410000</v>
      </c>
      <c r="F12" s="39">
        <v>30</v>
      </c>
      <c r="G12" s="39">
        <f t="shared" si="7"/>
        <v>4410000</v>
      </c>
      <c r="H12" s="39"/>
      <c r="I12" s="39"/>
      <c r="J12" s="39"/>
      <c r="K12" s="39"/>
      <c r="L12" s="39"/>
      <c r="M12" s="39"/>
      <c r="N12" s="39">
        <f t="shared" si="2"/>
        <v>4410000</v>
      </c>
      <c r="O12" s="39">
        <f>+G12*4%</f>
        <v>176400</v>
      </c>
      <c r="P12" s="39">
        <f>+O12</f>
        <v>176400</v>
      </c>
      <c r="Q12" s="39"/>
      <c r="R12" s="39"/>
      <c r="S12" s="39">
        <f t="shared" si="3"/>
        <v>44100</v>
      </c>
      <c r="T12" s="48">
        <v>29568</v>
      </c>
      <c r="U12" s="39">
        <v>400000</v>
      </c>
      <c r="V12" s="39"/>
      <c r="W12" s="39">
        <f t="shared" si="0"/>
        <v>826468</v>
      </c>
      <c r="X12" s="40">
        <f t="shared" si="1"/>
        <v>3583532</v>
      </c>
      <c r="Y12" s="40"/>
      <c r="Z12" s="41"/>
      <c r="AA12" s="40">
        <f t="shared" si="8"/>
        <v>3583532</v>
      </c>
    </row>
    <row r="13" spans="1:27" ht="12.75" x14ac:dyDescent="0.25">
      <c r="A13" s="120"/>
      <c r="B13" s="123">
        <v>10</v>
      </c>
      <c r="C13" s="37" t="s">
        <v>104</v>
      </c>
      <c r="D13" s="38" t="s">
        <v>32</v>
      </c>
      <c r="E13" s="39">
        <v>4500000</v>
      </c>
      <c r="F13" s="39">
        <v>30</v>
      </c>
      <c r="G13" s="39">
        <f t="shared" si="7"/>
        <v>4500000</v>
      </c>
      <c r="H13" s="39"/>
      <c r="I13" s="39"/>
      <c r="J13" s="39"/>
      <c r="K13" s="39"/>
      <c r="L13" s="39"/>
      <c r="M13" s="39">
        <v>300000</v>
      </c>
      <c r="N13" s="39">
        <f t="shared" si="2"/>
        <v>4800000</v>
      </c>
      <c r="O13" s="39">
        <f>+G13*4%</f>
        <v>180000</v>
      </c>
      <c r="P13" s="39">
        <f>+O13</f>
        <v>180000</v>
      </c>
      <c r="Q13" s="39"/>
      <c r="R13" s="39"/>
      <c r="S13" s="39">
        <f t="shared" si="3"/>
        <v>45000</v>
      </c>
      <c r="T13" s="48">
        <v>98752</v>
      </c>
      <c r="U13" s="39"/>
      <c r="V13" s="39"/>
      <c r="W13" s="39">
        <f t="shared" si="0"/>
        <v>503752</v>
      </c>
      <c r="X13" s="40">
        <f t="shared" si="1"/>
        <v>4296248</v>
      </c>
      <c r="Y13" s="40"/>
      <c r="Z13" s="41"/>
      <c r="AA13" s="40">
        <f t="shared" si="8"/>
        <v>4296248</v>
      </c>
    </row>
    <row r="14" spans="1:27" ht="25.5" x14ac:dyDescent="0.25">
      <c r="A14" s="120"/>
      <c r="B14" s="123">
        <v>11</v>
      </c>
      <c r="C14" s="37" t="s">
        <v>43</v>
      </c>
      <c r="D14" s="38" t="s">
        <v>32</v>
      </c>
      <c r="E14" s="39">
        <v>5000000</v>
      </c>
      <c r="F14" s="39">
        <v>30</v>
      </c>
      <c r="G14" s="39">
        <f t="shared" ref="G14:G19" si="9">E14/30*F14</f>
        <v>5000000</v>
      </c>
      <c r="H14" s="39"/>
      <c r="I14" s="39"/>
      <c r="J14" s="39"/>
      <c r="K14" s="39"/>
      <c r="L14" s="39"/>
      <c r="M14" s="39">
        <v>600000</v>
      </c>
      <c r="N14" s="39">
        <f>SUM(G14:M14)</f>
        <v>5600000</v>
      </c>
      <c r="O14" s="39">
        <f t="shared" ref="O14:O16" si="10">+G14*4%</f>
        <v>200000</v>
      </c>
      <c r="P14" s="39">
        <f>+O14</f>
        <v>200000</v>
      </c>
      <c r="Q14" s="39"/>
      <c r="R14" s="39"/>
      <c r="S14" s="39">
        <f t="shared" si="3"/>
        <v>50000</v>
      </c>
      <c r="T14" s="48">
        <v>98752</v>
      </c>
      <c r="U14" s="39"/>
      <c r="V14" s="39"/>
      <c r="W14" s="39">
        <f t="shared" si="0"/>
        <v>548752</v>
      </c>
      <c r="X14" s="40">
        <f>N14-W14</f>
        <v>5051248</v>
      </c>
      <c r="Y14" s="40"/>
      <c r="Z14" s="41"/>
      <c r="AA14" s="40">
        <f t="shared" si="8"/>
        <v>5051248</v>
      </c>
    </row>
    <row r="15" spans="1:27" ht="12.75" x14ac:dyDescent="0.25">
      <c r="A15" s="120"/>
      <c r="B15" s="123">
        <v>12</v>
      </c>
      <c r="C15" s="37" t="s">
        <v>44</v>
      </c>
      <c r="D15" s="38" t="s">
        <v>32</v>
      </c>
      <c r="E15" s="39">
        <v>4500000</v>
      </c>
      <c r="F15" s="39">
        <v>30</v>
      </c>
      <c r="G15" s="39">
        <f t="shared" si="9"/>
        <v>4500000</v>
      </c>
      <c r="H15" s="39"/>
      <c r="I15" s="39"/>
      <c r="J15" s="39"/>
      <c r="K15" s="39"/>
      <c r="L15" s="39"/>
      <c r="M15" s="39"/>
      <c r="N15" s="39">
        <f t="shared" si="2"/>
        <v>4500000</v>
      </c>
      <c r="O15" s="39">
        <f t="shared" si="10"/>
        <v>180000</v>
      </c>
      <c r="P15" s="39">
        <f>O15</f>
        <v>180000</v>
      </c>
      <c r="Q15" s="39"/>
      <c r="R15" s="39"/>
      <c r="S15" s="39">
        <v>45000</v>
      </c>
      <c r="T15" s="48">
        <v>98752</v>
      </c>
      <c r="U15" s="39"/>
      <c r="V15" s="39"/>
      <c r="W15" s="39">
        <f t="shared" si="0"/>
        <v>503752</v>
      </c>
      <c r="X15" s="40">
        <f>N15-W15</f>
        <v>3996248</v>
      </c>
      <c r="Y15" s="40"/>
      <c r="Z15" s="41"/>
      <c r="AA15" s="40">
        <f t="shared" si="8"/>
        <v>3996248</v>
      </c>
    </row>
    <row r="16" spans="1:27" ht="12.75" x14ac:dyDescent="0.25">
      <c r="A16" s="120"/>
      <c r="B16" s="123">
        <v>13</v>
      </c>
      <c r="C16" s="37" t="s">
        <v>131</v>
      </c>
      <c r="D16" s="38" t="s">
        <v>32</v>
      </c>
      <c r="E16" s="39">
        <v>4000000</v>
      </c>
      <c r="F16" s="39">
        <v>30</v>
      </c>
      <c r="G16" s="39">
        <f t="shared" si="9"/>
        <v>4000000.0000000005</v>
      </c>
      <c r="H16" s="39"/>
      <c r="I16" s="39"/>
      <c r="J16" s="39"/>
      <c r="K16" s="39"/>
      <c r="L16" s="39"/>
      <c r="M16" s="39"/>
      <c r="N16" s="39">
        <f t="shared" si="2"/>
        <v>4000000.0000000005</v>
      </c>
      <c r="O16" s="39">
        <f t="shared" si="10"/>
        <v>160000.00000000003</v>
      </c>
      <c r="P16" s="39">
        <f>O16</f>
        <v>160000.00000000003</v>
      </c>
      <c r="Q16" s="39"/>
      <c r="R16" s="39"/>
      <c r="S16" s="39">
        <f>+G16*1%</f>
        <v>40000.000000000007</v>
      </c>
      <c r="T16" s="48">
        <v>31064</v>
      </c>
      <c r="U16" s="39"/>
      <c r="V16" s="39"/>
      <c r="W16" s="39">
        <f t="shared" si="0"/>
        <v>391064.00000000006</v>
      </c>
      <c r="X16" s="40">
        <f>N16-W16</f>
        <v>3608936.0000000005</v>
      </c>
      <c r="Y16" s="40"/>
      <c r="Z16" s="41"/>
      <c r="AA16" s="40">
        <f t="shared" si="8"/>
        <v>3608936.0000000005</v>
      </c>
    </row>
    <row r="17" spans="1:27" ht="12.75" x14ac:dyDescent="0.25">
      <c r="A17" s="120"/>
      <c r="B17" s="123">
        <v>14</v>
      </c>
      <c r="C17" s="37" t="s">
        <v>125</v>
      </c>
      <c r="D17" s="38" t="s">
        <v>32</v>
      </c>
      <c r="E17" s="39">
        <v>4500000</v>
      </c>
      <c r="F17" s="39">
        <v>30</v>
      </c>
      <c r="G17" s="39">
        <f t="shared" si="9"/>
        <v>4500000</v>
      </c>
      <c r="H17" s="39"/>
      <c r="I17" s="39"/>
      <c r="J17" s="39"/>
      <c r="K17" s="39"/>
      <c r="L17" s="39"/>
      <c r="M17" s="39"/>
      <c r="N17" s="39">
        <f t="shared" si="2"/>
        <v>4500000</v>
      </c>
      <c r="O17" s="39">
        <f>+G17*4%</f>
        <v>180000</v>
      </c>
      <c r="P17" s="39">
        <f>O17</f>
        <v>180000</v>
      </c>
      <c r="Q17" s="39"/>
      <c r="R17" s="39"/>
      <c r="S17" s="39">
        <f>+G17*1%</f>
        <v>45000</v>
      </c>
      <c r="T17" s="48">
        <v>34627</v>
      </c>
      <c r="U17" s="39"/>
      <c r="V17" s="39"/>
      <c r="W17" s="39">
        <f t="shared" si="0"/>
        <v>439627</v>
      </c>
      <c r="X17" s="40">
        <f>N17-W17</f>
        <v>4060373</v>
      </c>
      <c r="Y17" s="40"/>
      <c r="Z17" s="41"/>
      <c r="AA17" s="40">
        <f t="shared" si="8"/>
        <v>4060373</v>
      </c>
    </row>
    <row r="18" spans="1:27" ht="12.75" x14ac:dyDescent="0.25">
      <c r="A18" s="120"/>
      <c r="B18" s="123">
        <v>15</v>
      </c>
      <c r="C18" s="37" t="s">
        <v>45</v>
      </c>
      <c r="D18" s="38" t="s">
        <v>32</v>
      </c>
      <c r="E18" s="39">
        <v>4180000</v>
      </c>
      <c r="F18" s="39">
        <v>30</v>
      </c>
      <c r="G18" s="39">
        <f t="shared" si="9"/>
        <v>4180000.0000000005</v>
      </c>
      <c r="H18" s="39"/>
      <c r="I18" s="39"/>
      <c r="J18" s="39"/>
      <c r="K18" s="39"/>
      <c r="L18" s="39"/>
      <c r="M18" s="39">
        <v>1515250</v>
      </c>
      <c r="N18" s="39">
        <f t="shared" si="2"/>
        <v>5695250</v>
      </c>
      <c r="O18" s="39">
        <f>+G18*4%</f>
        <v>167200.00000000003</v>
      </c>
      <c r="P18" s="39">
        <f>+O18</f>
        <v>167200.00000000003</v>
      </c>
      <c r="Q18" s="39"/>
      <c r="R18" s="39"/>
      <c r="S18" s="39">
        <f t="shared" si="3"/>
        <v>41800.000000000007</v>
      </c>
      <c r="T18" s="48">
        <v>2545</v>
      </c>
      <c r="U18" s="39">
        <v>800000</v>
      </c>
      <c r="V18" s="39">
        <v>884747</v>
      </c>
      <c r="W18" s="39">
        <f t="shared" si="0"/>
        <v>2063492</v>
      </c>
      <c r="X18" s="40">
        <f t="shared" si="1"/>
        <v>3631758</v>
      </c>
      <c r="Y18" s="40"/>
      <c r="Z18" s="41"/>
      <c r="AA18" s="40">
        <f t="shared" si="8"/>
        <v>3631758</v>
      </c>
    </row>
    <row r="19" spans="1:27" ht="12.75" x14ac:dyDescent="0.25">
      <c r="A19" s="120"/>
      <c r="B19" s="123">
        <v>16</v>
      </c>
      <c r="C19" s="37" t="s">
        <v>46</v>
      </c>
      <c r="D19" s="38" t="s">
        <v>32</v>
      </c>
      <c r="E19" s="39">
        <v>4702500</v>
      </c>
      <c r="F19" s="39">
        <v>30</v>
      </c>
      <c r="G19" s="39">
        <f t="shared" si="9"/>
        <v>4702500</v>
      </c>
      <c r="H19" s="39"/>
      <c r="I19" s="39"/>
      <c r="J19" s="39"/>
      <c r="K19" s="39"/>
      <c r="L19" s="39"/>
      <c r="M19" s="39"/>
      <c r="N19" s="39">
        <f t="shared" si="2"/>
        <v>4702500</v>
      </c>
      <c r="O19" s="39">
        <f t="shared" ref="O19:O28" si="11">+G19*4%</f>
        <v>188100</v>
      </c>
      <c r="P19" s="39">
        <f>+O19</f>
        <v>188100</v>
      </c>
      <c r="Q19" s="39"/>
      <c r="R19" s="39"/>
      <c r="S19" s="39">
        <f>N19*1%</f>
        <v>47025</v>
      </c>
      <c r="T19" s="48">
        <v>126165</v>
      </c>
      <c r="U19" s="39"/>
      <c r="V19" s="39"/>
      <c r="W19" s="39">
        <f t="shared" si="0"/>
        <v>549390</v>
      </c>
      <c r="X19" s="40">
        <f>N19-W19</f>
        <v>4153110</v>
      </c>
      <c r="Y19" s="40"/>
      <c r="Z19" s="41"/>
      <c r="AA19" s="40">
        <f t="shared" si="8"/>
        <v>4153110</v>
      </c>
    </row>
    <row r="20" spans="1:27" ht="12.75" x14ac:dyDescent="0.25">
      <c r="A20" s="120"/>
      <c r="B20" s="123">
        <v>17</v>
      </c>
      <c r="C20" s="138" t="s">
        <v>47</v>
      </c>
      <c r="D20" s="96" t="s">
        <v>32</v>
      </c>
      <c r="E20" s="39">
        <v>4200000</v>
      </c>
      <c r="F20" s="39">
        <v>30</v>
      </c>
      <c r="G20" s="39">
        <f t="shared" ref="G20:G38" si="12">+E20/30*F20</f>
        <v>4200000</v>
      </c>
      <c r="H20" s="39"/>
      <c r="I20" s="39"/>
      <c r="J20" s="39"/>
      <c r="K20" s="39"/>
      <c r="L20" s="39"/>
      <c r="M20" s="39">
        <v>300000</v>
      </c>
      <c r="N20" s="39">
        <f t="shared" si="2"/>
        <v>4500000</v>
      </c>
      <c r="O20" s="39">
        <f t="shared" si="11"/>
        <v>168000</v>
      </c>
      <c r="P20" s="39">
        <f>O20</f>
        <v>168000</v>
      </c>
      <c r="Q20" s="39"/>
      <c r="R20" s="39"/>
      <c r="S20" s="39">
        <f>E20*1%</f>
        <v>42000</v>
      </c>
      <c r="T20" s="48">
        <v>58139</v>
      </c>
      <c r="U20" s="39"/>
      <c r="V20" s="39"/>
      <c r="W20" s="39">
        <f t="shared" si="0"/>
        <v>436139</v>
      </c>
      <c r="X20" s="40">
        <f>N20-W20</f>
        <v>4063861</v>
      </c>
      <c r="Y20" s="40"/>
      <c r="Z20" s="41"/>
      <c r="AA20" s="40">
        <f t="shared" si="8"/>
        <v>4063861</v>
      </c>
    </row>
    <row r="21" spans="1:27" ht="12.75" x14ac:dyDescent="0.25">
      <c r="A21" s="120"/>
      <c r="B21" s="123">
        <v>18</v>
      </c>
      <c r="C21" s="37" t="s">
        <v>126</v>
      </c>
      <c r="D21" s="38" t="s">
        <v>32</v>
      </c>
      <c r="E21" s="39">
        <v>3000000</v>
      </c>
      <c r="F21" s="39">
        <v>30</v>
      </c>
      <c r="G21" s="39">
        <f>E21/30*F21</f>
        <v>3000000</v>
      </c>
      <c r="H21" s="39"/>
      <c r="I21" s="39"/>
      <c r="J21" s="39"/>
      <c r="K21" s="39"/>
      <c r="L21" s="39"/>
      <c r="M21" s="39"/>
      <c r="N21" s="39">
        <f t="shared" ref="N21" si="13">SUM(G21:M21)</f>
        <v>3000000</v>
      </c>
      <c r="O21" s="39">
        <f>+G21*4%</f>
        <v>120000</v>
      </c>
      <c r="P21" s="39">
        <f>O21</f>
        <v>120000</v>
      </c>
      <c r="Q21" s="39"/>
      <c r="R21" s="39"/>
      <c r="S21" s="39">
        <f>+G21*1%</f>
        <v>30000</v>
      </c>
      <c r="T21" s="48">
        <v>0</v>
      </c>
      <c r="U21" s="39"/>
      <c r="V21" s="39"/>
      <c r="W21" s="39">
        <f t="shared" ref="W21" si="14">SUM(O21:V21)</f>
        <v>270000</v>
      </c>
      <c r="X21" s="40">
        <f>N21-W21</f>
        <v>2730000</v>
      </c>
      <c r="Y21" s="40"/>
      <c r="Z21" s="41"/>
      <c r="AA21" s="40">
        <f t="shared" si="8"/>
        <v>2730000</v>
      </c>
    </row>
    <row r="22" spans="1:27" ht="12.75" x14ac:dyDescent="0.25">
      <c r="A22" s="120"/>
      <c r="B22" s="123">
        <v>19</v>
      </c>
      <c r="C22" s="138" t="s">
        <v>120</v>
      </c>
      <c r="D22" s="96" t="s">
        <v>32</v>
      </c>
      <c r="E22" s="39">
        <v>4500000</v>
      </c>
      <c r="F22" s="39">
        <v>30</v>
      </c>
      <c r="G22" s="39">
        <f t="shared" si="12"/>
        <v>4500000</v>
      </c>
      <c r="H22" s="39"/>
      <c r="I22" s="39"/>
      <c r="J22" s="39"/>
      <c r="K22" s="39"/>
      <c r="L22" s="39"/>
      <c r="M22" s="39"/>
      <c r="N22" s="39">
        <f t="shared" si="2"/>
        <v>4500000</v>
      </c>
      <c r="O22" s="39">
        <f t="shared" si="11"/>
        <v>180000</v>
      </c>
      <c r="P22" s="39">
        <f>O22</f>
        <v>180000</v>
      </c>
      <c r="Q22" s="39"/>
      <c r="R22" s="39"/>
      <c r="S22" s="39">
        <f>N22*1%</f>
        <v>45000</v>
      </c>
      <c r="T22" s="48">
        <v>34627</v>
      </c>
      <c r="U22" s="39"/>
      <c r="V22" s="39"/>
      <c r="W22" s="39">
        <f t="shared" si="0"/>
        <v>439627</v>
      </c>
      <c r="X22" s="40">
        <f>N22-W22</f>
        <v>4060373</v>
      </c>
      <c r="Y22" s="40"/>
      <c r="Z22" s="41"/>
      <c r="AA22" s="40">
        <f t="shared" si="8"/>
        <v>4060373</v>
      </c>
    </row>
    <row r="23" spans="1:27" ht="12.75" x14ac:dyDescent="0.25">
      <c r="A23" s="120"/>
      <c r="B23" s="123">
        <v>20</v>
      </c>
      <c r="C23" s="37" t="s">
        <v>48</v>
      </c>
      <c r="D23" s="38" t="s">
        <v>32</v>
      </c>
      <c r="E23" s="39">
        <v>4800000</v>
      </c>
      <c r="F23" s="39">
        <v>30</v>
      </c>
      <c r="G23" s="39">
        <f t="shared" si="12"/>
        <v>4800000</v>
      </c>
      <c r="H23" s="39"/>
      <c r="I23" s="39"/>
      <c r="J23" s="39"/>
      <c r="K23" s="39"/>
      <c r="L23" s="39"/>
      <c r="M23" s="39"/>
      <c r="N23" s="39">
        <f t="shared" si="2"/>
        <v>4800000</v>
      </c>
      <c r="O23" s="39">
        <f t="shared" si="11"/>
        <v>192000</v>
      </c>
      <c r="P23" s="39">
        <f t="shared" ref="P23:P28" si="15">+O23</f>
        <v>192000</v>
      </c>
      <c r="Q23" s="39"/>
      <c r="R23" s="39"/>
      <c r="S23" s="39">
        <f t="shared" si="3"/>
        <v>48000</v>
      </c>
      <c r="T23" s="39">
        <v>139364</v>
      </c>
      <c r="U23" s="39"/>
      <c r="V23" s="39"/>
      <c r="W23" s="39">
        <f t="shared" si="0"/>
        <v>571364</v>
      </c>
      <c r="X23" s="40">
        <f t="shared" si="1"/>
        <v>4228636</v>
      </c>
      <c r="Y23" s="40"/>
      <c r="Z23" s="41"/>
      <c r="AA23" s="40">
        <f t="shared" si="8"/>
        <v>4228636</v>
      </c>
    </row>
    <row r="24" spans="1:27" ht="12.75" x14ac:dyDescent="0.25">
      <c r="A24" s="120"/>
      <c r="B24" s="123">
        <v>21</v>
      </c>
      <c r="C24" s="37" t="s">
        <v>49</v>
      </c>
      <c r="D24" s="38" t="s">
        <v>32</v>
      </c>
      <c r="E24" s="39">
        <v>4023250</v>
      </c>
      <c r="F24" s="39">
        <v>30</v>
      </c>
      <c r="G24" s="39">
        <f t="shared" si="12"/>
        <v>4023250.0000000005</v>
      </c>
      <c r="H24" s="39"/>
      <c r="I24" s="39"/>
      <c r="J24" s="39"/>
      <c r="K24" s="39"/>
      <c r="L24" s="39"/>
      <c r="M24" s="39"/>
      <c r="N24" s="39">
        <f t="shared" si="2"/>
        <v>4023250.0000000005</v>
      </c>
      <c r="O24" s="39">
        <f t="shared" si="11"/>
        <v>160930.00000000003</v>
      </c>
      <c r="P24" s="39">
        <f t="shared" si="15"/>
        <v>160930.00000000003</v>
      </c>
      <c r="Q24" s="39"/>
      <c r="R24" s="39"/>
      <c r="S24" s="39">
        <f t="shared" si="3"/>
        <v>40232.500000000007</v>
      </c>
      <c r="T24" s="39">
        <v>2545</v>
      </c>
      <c r="U24" s="39"/>
      <c r="V24" s="39"/>
      <c r="W24" s="39">
        <f t="shared" si="0"/>
        <v>364637.50000000006</v>
      </c>
      <c r="X24" s="40">
        <f t="shared" si="1"/>
        <v>3658612.5000000005</v>
      </c>
      <c r="Y24" s="40"/>
      <c r="Z24" s="41"/>
      <c r="AA24" s="40">
        <f t="shared" si="8"/>
        <v>3658612.5000000005</v>
      </c>
    </row>
    <row r="25" spans="1:27" ht="12.75" x14ac:dyDescent="0.25">
      <c r="A25" s="120"/>
      <c r="B25" s="123">
        <v>22</v>
      </c>
      <c r="C25" s="37" t="s">
        <v>50</v>
      </c>
      <c r="D25" s="38" t="s">
        <v>32</v>
      </c>
      <c r="E25" s="39">
        <v>6583500</v>
      </c>
      <c r="F25" s="39">
        <v>30</v>
      </c>
      <c r="G25" s="39">
        <f t="shared" si="12"/>
        <v>6583500</v>
      </c>
      <c r="H25" s="39"/>
      <c r="I25" s="39"/>
      <c r="J25" s="39"/>
      <c r="K25" s="39"/>
      <c r="L25" s="39"/>
      <c r="M25" s="39"/>
      <c r="N25" s="39">
        <f t="shared" si="2"/>
        <v>6583500</v>
      </c>
      <c r="O25" s="39">
        <f t="shared" si="11"/>
        <v>263340</v>
      </c>
      <c r="P25" s="39">
        <f t="shared" si="15"/>
        <v>263340</v>
      </c>
      <c r="Q25" s="39"/>
      <c r="R25" s="39"/>
      <c r="S25" s="39">
        <f t="shared" si="3"/>
        <v>65835</v>
      </c>
      <c r="T25" s="48">
        <v>83706</v>
      </c>
      <c r="U25" s="39">
        <v>1560000</v>
      </c>
      <c r="V25" s="39"/>
      <c r="W25" s="39">
        <f t="shared" si="0"/>
        <v>2236221</v>
      </c>
      <c r="X25" s="40">
        <f>+N25-W25</f>
        <v>4347279</v>
      </c>
      <c r="Y25" s="40"/>
      <c r="Z25" s="41"/>
      <c r="AA25" s="40">
        <f t="shared" si="8"/>
        <v>4347279</v>
      </c>
    </row>
    <row r="26" spans="1:27" ht="12.75" x14ac:dyDescent="0.25">
      <c r="A26" s="120"/>
      <c r="B26" s="123">
        <v>23</v>
      </c>
      <c r="C26" s="37" t="s">
        <v>51</v>
      </c>
      <c r="D26" s="38" t="s">
        <v>32</v>
      </c>
      <c r="E26" s="39">
        <v>3500000</v>
      </c>
      <c r="F26" s="39">
        <v>30</v>
      </c>
      <c r="G26" s="39">
        <f t="shared" si="12"/>
        <v>3500000</v>
      </c>
      <c r="H26" s="39"/>
      <c r="I26" s="39"/>
      <c r="J26" s="39"/>
      <c r="K26" s="39"/>
      <c r="L26" s="39"/>
      <c r="M26" s="39">
        <v>500000</v>
      </c>
      <c r="N26" s="39">
        <f t="shared" si="2"/>
        <v>4000000</v>
      </c>
      <c r="O26" s="39">
        <f t="shared" si="11"/>
        <v>140000</v>
      </c>
      <c r="P26" s="39">
        <f t="shared" si="15"/>
        <v>140000</v>
      </c>
      <c r="Q26" s="39"/>
      <c r="R26" s="39"/>
      <c r="S26" s="39">
        <f t="shared" si="3"/>
        <v>35000</v>
      </c>
      <c r="T26" s="39">
        <v>0</v>
      </c>
      <c r="U26" s="39"/>
      <c r="V26" s="39">
        <v>500000</v>
      </c>
      <c r="W26" s="39">
        <f t="shared" si="0"/>
        <v>815000</v>
      </c>
      <c r="X26" s="40">
        <f>+N26-W26</f>
        <v>3185000</v>
      </c>
      <c r="Y26" s="40"/>
      <c r="Z26" s="41"/>
      <c r="AA26" s="40">
        <f t="shared" si="8"/>
        <v>3185000</v>
      </c>
    </row>
    <row r="27" spans="1:27" ht="12.75" x14ac:dyDescent="0.25">
      <c r="A27" s="120"/>
      <c r="B27" s="123">
        <v>24</v>
      </c>
      <c r="C27" s="37" t="s">
        <v>127</v>
      </c>
      <c r="D27" s="38" t="s">
        <v>32</v>
      </c>
      <c r="E27" s="39">
        <v>4000000</v>
      </c>
      <c r="F27" s="39">
        <v>30</v>
      </c>
      <c r="G27" s="39">
        <f t="shared" si="12"/>
        <v>4000000.0000000005</v>
      </c>
      <c r="H27" s="39"/>
      <c r="I27" s="39"/>
      <c r="J27" s="39"/>
      <c r="K27" s="39"/>
      <c r="L27" s="39"/>
      <c r="M27" s="39"/>
      <c r="N27" s="39">
        <f>SUM(G27:M27)</f>
        <v>4000000.0000000005</v>
      </c>
      <c r="O27" s="39">
        <f>+G27*4%</f>
        <v>160000.00000000003</v>
      </c>
      <c r="P27" s="39">
        <f>+O27</f>
        <v>160000.00000000003</v>
      </c>
      <c r="Q27" s="39"/>
      <c r="R27" s="39"/>
      <c r="S27" s="39">
        <f>+G27*1%</f>
        <v>40000.000000000007</v>
      </c>
      <c r="T27" s="39">
        <v>0</v>
      </c>
      <c r="U27" s="39"/>
      <c r="V27" s="39">
        <v>500000</v>
      </c>
      <c r="W27" s="39">
        <f t="shared" si="0"/>
        <v>860000</v>
      </c>
      <c r="X27" s="40">
        <f>+N27-W27</f>
        <v>3140000.0000000005</v>
      </c>
      <c r="Y27" s="40"/>
      <c r="Z27" s="41"/>
      <c r="AA27" s="40">
        <f t="shared" si="8"/>
        <v>3140000.0000000005</v>
      </c>
    </row>
    <row r="28" spans="1:27" ht="12.75" x14ac:dyDescent="0.25">
      <c r="A28" s="120"/>
      <c r="B28" s="123">
        <v>25</v>
      </c>
      <c r="C28" s="118" t="s">
        <v>53</v>
      </c>
      <c r="D28" s="45" t="s">
        <v>32</v>
      </c>
      <c r="E28" s="39">
        <v>4500000</v>
      </c>
      <c r="F28" s="39">
        <v>30</v>
      </c>
      <c r="G28" s="39">
        <f t="shared" si="12"/>
        <v>4500000</v>
      </c>
      <c r="H28" s="39"/>
      <c r="I28" s="39"/>
      <c r="J28" s="39"/>
      <c r="K28" s="39"/>
      <c r="L28" s="39"/>
      <c r="M28" s="39"/>
      <c r="N28" s="39">
        <f t="shared" si="2"/>
        <v>4500000</v>
      </c>
      <c r="O28" s="39">
        <f t="shared" si="11"/>
        <v>180000</v>
      </c>
      <c r="P28" s="39">
        <f t="shared" si="15"/>
        <v>180000</v>
      </c>
      <c r="Q28" s="39"/>
      <c r="R28" s="39"/>
      <c r="S28" s="39">
        <f>N28*1%</f>
        <v>45000</v>
      </c>
      <c r="T28" s="39">
        <v>34627</v>
      </c>
      <c r="U28" s="39"/>
      <c r="V28" s="39"/>
      <c r="W28" s="39">
        <f t="shared" si="0"/>
        <v>439627</v>
      </c>
      <c r="X28" s="40">
        <f>N28-W28</f>
        <v>4060373</v>
      </c>
      <c r="Y28" s="40"/>
      <c r="Z28" s="41"/>
      <c r="AA28" s="40">
        <f t="shared" si="8"/>
        <v>4060373</v>
      </c>
    </row>
    <row r="29" spans="1:27" ht="12.75" x14ac:dyDescent="0.25">
      <c r="A29" s="120"/>
      <c r="B29" s="123">
        <v>26</v>
      </c>
      <c r="C29" s="139" t="s">
        <v>54</v>
      </c>
      <c r="D29" s="42" t="s">
        <v>32</v>
      </c>
      <c r="E29" s="39">
        <v>5000000</v>
      </c>
      <c r="F29" s="39">
        <v>30</v>
      </c>
      <c r="G29" s="39">
        <f t="shared" si="12"/>
        <v>5000000</v>
      </c>
      <c r="H29" s="39"/>
      <c r="I29" s="39"/>
      <c r="J29" s="39"/>
      <c r="K29" s="39"/>
      <c r="L29" s="39"/>
      <c r="M29" s="39">
        <f>400000/30*F29</f>
        <v>400000</v>
      </c>
      <c r="N29" s="39">
        <f t="shared" si="2"/>
        <v>5400000</v>
      </c>
      <c r="O29" s="39">
        <f>G29*4%</f>
        <v>200000</v>
      </c>
      <c r="P29" s="39">
        <f>O29</f>
        <v>200000</v>
      </c>
      <c r="Q29" s="39"/>
      <c r="R29" s="39"/>
      <c r="S29" s="39">
        <f>G29*1%</f>
        <v>50000</v>
      </c>
      <c r="T29" s="39">
        <v>166439</v>
      </c>
      <c r="U29" s="39"/>
      <c r="V29" s="39"/>
      <c r="W29" s="39">
        <f t="shared" si="0"/>
        <v>616439</v>
      </c>
      <c r="X29" s="40">
        <f>N29-W29</f>
        <v>4783561</v>
      </c>
      <c r="Y29" s="40"/>
      <c r="Z29" s="41"/>
      <c r="AA29" s="40">
        <f t="shared" si="8"/>
        <v>4783561</v>
      </c>
    </row>
    <row r="30" spans="1:27" ht="25.5" x14ac:dyDescent="0.25">
      <c r="A30" s="120"/>
      <c r="B30" s="123">
        <v>27</v>
      </c>
      <c r="C30" s="37" t="s">
        <v>55</v>
      </c>
      <c r="D30" s="38" t="s">
        <v>32</v>
      </c>
      <c r="E30" s="39">
        <v>4410000</v>
      </c>
      <c r="F30" s="39">
        <v>27</v>
      </c>
      <c r="G30" s="39">
        <f>+E30/30*F30+294015</f>
        <v>4263015</v>
      </c>
      <c r="H30" s="39"/>
      <c r="I30" s="39"/>
      <c r="J30" s="39"/>
      <c r="K30" s="39"/>
      <c r="L30" s="39"/>
      <c r="M30" s="39"/>
      <c r="N30" s="39">
        <f>SUM(G30:M30)</f>
        <v>4263015</v>
      </c>
      <c r="O30" s="39">
        <f>+G30*4%</f>
        <v>170520.6</v>
      </c>
      <c r="P30" s="39">
        <f>+O30</f>
        <v>170520.6</v>
      </c>
      <c r="Q30" s="39"/>
      <c r="R30" s="39"/>
      <c r="S30" s="39">
        <f t="shared" si="3"/>
        <v>42630.15</v>
      </c>
      <c r="T30" s="39">
        <v>2545</v>
      </c>
      <c r="U30" s="39"/>
      <c r="V30" s="39">
        <v>1300000</v>
      </c>
      <c r="W30" s="39">
        <f t="shared" si="0"/>
        <v>1686216.35</v>
      </c>
      <c r="X30" s="40">
        <f>+N30-W30</f>
        <v>2576798.65</v>
      </c>
      <c r="Y30" s="40"/>
      <c r="Z30" s="41"/>
      <c r="AA30" s="40">
        <f t="shared" si="8"/>
        <v>2576798.65</v>
      </c>
    </row>
    <row r="31" spans="1:27" ht="12.75" x14ac:dyDescent="0.25">
      <c r="A31" s="120"/>
      <c r="B31" s="123">
        <v>28</v>
      </c>
      <c r="C31" s="37" t="s">
        <v>132</v>
      </c>
      <c r="D31" s="38" t="s">
        <v>32</v>
      </c>
      <c r="E31" s="39">
        <v>2000000</v>
      </c>
      <c r="F31" s="39">
        <v>30</v>
      </c>
      <c r="G31" s="39">
        <f t="shared" ref="G31" si="16">+E31/30*F31</f>
        <v>2000000.0000000002</v>
      </c>
      <c r="H31" s="39"/>
      <c r="I31" s="39"/>
      <c r="J31" s="39"/>
      <c r="K31" s="39"/>
      <c r="L31" s="39"/>
      <c r="M31" s="39"/>
      <c r="N31" s="39">
        <f>SUM(G31:M31)</f>
        <v>2000000.0000000002</v>
      </c>
      <c r="O31" s="39">
        <f>+G31*4%</f>
        <v>80000.000000000015</v>
      </c>
      <c r="P31" s="39">
        <f>+O31</f>
        <v>80000.000000000015</v>
      </c>
      <c r="Q31" s="39"/>
      <c r="R31" s="39"/>
      <c r="S31" s="39"/>
      <c r="T31" s="39"/>
      <c r="U31" s="39"/>
      <c r="V31" s="39"/>
      <c r="W31" s="39">
        <f t="shared" ref="W31" si="17">SUM(O31:V31)</f>
        <v>160000.00000000003</v>
      </c>
      <c r="X31" s="40">
        <f>+N31-W31</f>
        <v>1840000.0000000002</v>
      </c>
      <c r="Y31" s="40"/>
      <c r="Z31" s="41"/>
      <c r="AA31" s="40">
        <f t="shared" si="8"/>
        <v>1840000.0000000002</v>
      </c>
    </row>
    <row r="32" spans="1:27" ht="12.75" x14ac:dyDescent="0.25">
      <c r="A32" s="120"/>
      <c r="B32" s="123">
        <v>29</v>
      </c>
      <c r="C32" s="37" t="s">
        <v>109</v>
      </c>
      <c r="D32" s="38" t="s">
        <v>32</v>
      </c>
      <c r="E32" s="39">
        <v>4200000</v>
      </c>
      <c r="F32" s="39">
        <v>30</v>
      </c>
      <c r="G32" s="39">
        <f t="shared" si="12"/>
        <v>4200000</v>
      </c>
      <c r="H32" s="39"/>
      <c r="I32" s="39"/>
      <c r="J32" s="39"/>
      <c r="K32" s="39"/>
      <c r="L32" s="39"/>
      <c r="M32" s="39"/>
      <c r="N32" s="39">
        <f>SUM(G32:M32)</f>
        <v>4200000</v>
      </c>
      <c r="O32" s="39">
        <f>+G32*4%</f>
        <v>168000</v>
      </c>
      <c r="P32" s="39">
        <f>+O32</f>
        <v>168000</v>
      </c>
      <c r="Q32" s="39"/>
      <c r="R32" s="39"/>
      <c r="S32" s="39">
        <v>42000</v>
      </c>
      <c r="T32" s="39">
        <v>2545</v>
      </c>
      <c r="U32" s="39"/>
      <c r="V32" s="39"/>
      <c r="W32" s="39">
        <f t="shared" si="0"/>
        <v>380545</v>
      </c>
      <c r="X32" s="40">
        <f>+N32-W32</f>
        <v>3819455</v>
      </c>
      <c r="Y32" s="40"/>
      <c r="Z32" s="41"/>
      <c r="AA32" s="40">
        <f t="shared" si="8"/>
        <v>3819455</v>
      </c>
    </row>
    <row r="33" spans="1:27" ht="12.75" x14ac:dyDescent="0.25">
      <c r="A33" s="120"/>
      <c r="B33" s="123">
        <v>30</v>
      </c>
      <c r="C33" s="37" t="s">
        <v>128</v>
      </c>
      <c r="D33" s="38" t="s">
        <v>32</v>
      </c>
      <c r="E33" s="39">
        <v>4500000</v>
      </c>
      <c r="F33" s="39">
        <v>30</v>
      </c>
      <c r="G33" s="39">
        <f t="shared" si="12"/>
        <v>4500000</v>
      </c>
      <c r="H33" s="39"/>
      <c r="I33" s="39"/>
      <c r="J33" s="39"/>
      <c r="K33" s="39"/>
      <c r="L33" s="39"/>
      <c r="M33" s="39"/>
      <c r="N33" s="39">
        <f>SUM(G33:M33)</f>
        <v>4500000</v>
      </c>
      <c r="O33" s="39">
        <f>+G33*4%</f>
        <v>180000</v>
      </c>
      <c r="P33" s="39">
        <f>+O33</f>
        <v>180000</v>
      </c>
      <c r="Q33" s="39"/>
      <c r="R33" s="39"/>
      <c r="S33" s="39">
        <f>+G33*1%</f>
        <v>45000</v>
      </c>
      <c r="T33" s="39">
        <v>34627</v>
      </c>
      <c r="U33" s="39"/>
      <c r="V33" s="39"/>
      <c r="W33" s="39">
        <f t="shared" ref="W33" si="18">SUM(O33:V33)</f>
        <v>439627</v>
      </c>
      <c r="X33" s="40">
        <f>+N33-W33</f>
        <v>4060373</v>
      </c>
      <c r="Y33" s="40"/>
      <c r="Z33" s="41"/>
      <c r="AA33" s="40">
        <f t="shared" si="8"/>
        <v>4060373</v>
      </c>
    </row>
    <row r="34" spans="1:27" ht="12.75" x14ac:dyDescent="0.25">
      <c r="A34" s="120"/>
      <c r="B34" s="123">
        <v>31</v>
      </c>
      <c r="C34" s="138" t="s">
        <v>56</v>
      </c>
      <c r="D34" s="96" t="s">
        <v>32</v>
      </c>
      <c r="E34" s="39">
        <v>4180000</v>
      </c>
      <c r="F34" s="39">
        <v>30</v>
      </c>
      <c r="G34" s="39">
        <f t="shared" si="12"/>
        <v>4180000.0000000005</v>
      </c>
      <c r="H34" s="39"/>
      <c r="I34" s="39"/>
      <c r="J34" s="39"/>
      <c r="K34" s="39"/>
      <c r="L34" s="39"/>
      <c r="M34" s="39">
        <v>522500</v>
      </c>
      <c r="N34" s="39">
        <f>SUM(G34:M34)</f>
        <v>4702500</v>
      </c>
      <c r="O34" s="39">
        <f>+G34*4%</f>
        <v>167200.00000000003</v>
      </c>
      <c r="P34" s="39">
        <f>+O34</f>
        <v>167200.00000000003</v>
      </c>
      <c r="Q34" s="39"/>
      <c r="R34" s="39"/>
      <c r="S34" s="39">
        <f t="shared" si="3"/>
        <v>41800.000000000007</v>
      </c>
      <c r="T34" s="39">
        <v>55432</v>
      </c>
      <c r="U34" s="39"/>
      <c r="V34" s="39"/>
      <c r="W34" s="39">
        <f t="shared" si="0"/>
        <v>431632.00000000006</v>
      </c>
      <c r="X34" s="40">
        <f>+N34-W34</f>
        <v>4270868</v>
      </c>
      <c r="Y34" s="40"/>
      <c r="Z34" s="41"/>
      <c r="AA34" s="40">
        <f t="shared" si="8"/>
        <v>4270868</v>
      </c>
    </row>
    <row r="35" spans="1:27" ht="30.75" customHeight="1" x14ac:dyDescent="0.25">
      <c r="A35" s="120"/>
      <c r="B35" s="123">
        <v>32</v>
      </c>
      <c r="C35" s="37" t="s">
        <v>121</v>
      </c>
      <c r="D35" s="38" t="s">
        <v>32</v>
      </c>
      <c r="E35" s="39">
        <v>4500000</v>
      </c>
      <c r="F35" s="39">
        <v>30</v>
      </c>
      <c r="G35" s="39">
        <f t="shared" si="12"/>
        <v>4500000</v>
      </c>
      <c r="H35" s="39"/>
      <c r="I35" s="39"/>
      <c r="J35" s="39"/>
      <c r="K35" s="39"/>
      <c r="L35" s="39"/>
      <c r="M35" s="39">
        <v>300000</v>
      </c>
      <c r="N35" s="39">
        <f t="shared" ref="N35:N36" si="19">SUM(G35:M35)</f>
        <v>4800000</v>
      </c>
      <c r="O35" s="39">
        <f t="shared" ref="O35" si="20">+G35*4%</f>
        <v>180000</v>
      </c>
      <c r="P35" s="39">
        <f>O35</f>
        <v>180000</v>
      </c>
      <c r="Q35" s="39"/>
      <c r="R35" s="39"/>
      <c r="S35" s="39">
        <v>45000</v>
      </c>
      <c r="T35" s="39">
        <v>98752</v>
      </c>
      <c r="U35" s="39"/>
      <c r="V35" s="39"/>
      <c r="W35" s="39">
        <f t="shared" si="0"/>
        <v>503752</v>
      </c>
      <c r="X35" s="40">
        <f>N35-W35</f>
        <v>4296248</v>
      </c>
      <c r="Y35" s="40"/>
      <c r="Z35" s="41"/>
      <c r="AA35" s="40">
        <f t="shared" si="8"/>
        <v>4296248</v>
      </c>
    </row>
    <row r="36" spans="1:27" ht="12.75" x14ac:dyDescent="0.25">
      <c r="A36" s="120"/>
      <c r="B36" s="123">
        <v>33</v>
      </c>
      <c r="C36" s="37" t="s">
        <v>59</v>
      </c>
      <c r="D36" s="38" t="s">
        <v>32</v>
      </c>
      <c r="E36" s="39">
        <v>5747500</v>
      </c>
      <c r="F36" s="39">
        <v>30</v>
      </c>
      <c r="G36" s="39">
        <f t="shared" si="12"/>
        <v>5747500</v>
      </c>
      <c r="H36" s="39"/>
      <c r="I36" s="39"/>
      <c r="J36" s="39"/>
      <c r="K36" s="39"/>
      <c r="L36" s="39"/>
      <c r="M36" s="39">
        <v>1000000</v>
      </c>
      <c r="N36" s="39">
        <f t="shared" si="19"/>
        <v>6747500</v>
      </c>
      <c r="O36" s="39">
        <v>229900</v>
      </c>
      <c r="P36" s="39">
        <f>+O36</f>
        <v>229900</v>
      </c>
      <c r="Q36" s="39"/>
      <c r="R36" s="39"/>
      <c r="S36" s="39">
        <f t="shared" si="3"/>
        <v>57475</v>
      </c>
      <c r="T36" s="39">
        <v>91627</v>
      </c>
      <c r="U36" s="39">
        <v>1000000</v>
      </c>
      <c r="V36" s="39"/>
      <c r="W36" s="39">
        <f t="shared" si="0"/>
        <v>1608902</v>
      </c>
      <c r="X36" s="40">
        <f>N36-W36</f>
        <v>5138598</v>
      </c>
      <c r="Y36" s="40"/>
      <c r="Z36" s="41"/>
      <c r="AA36" s="40">
        <f t="shared" si="8"/>
        <v>5138598</v>
      </c>
    </row>
    <row r="37" spans="1:27" ht="12.75" x14ac:dyDescent="0.25">
      <c r="A37" s="120" t="s">
        <v>60</v>
      </c>
      <c r="B37" s="123">
        <v>34</v>
      </c>
      <c r="C37" s="37" t="s">
        <v>61</v>
      </c>
      <c r="D37" s="38" t="s">
        <v>32</v>
      </c>
      <c r="E37" s="39">
        <v>1500000</v>
      </c>
      <c r="F37" s="39">
        <v>30</v>
      </c>
      <c r="G37" s="39">
        <f t="shared" si="12"/>
        <v>1500000</v>
      </c>
      <c r="H37" s="39"/>
      <c r="I37" s="39"/>
      <c r="J37" s="39"/>
      <c r="K37" s="39"/>
      <c r="L37" s="39"/>
      <c r="M37" s="39">
        <v>522500</v>
      </c>
      <c r="N37" s="39">
        <f>SUM(G37:M37)</f>
        <v>2022500</v>
      </c>
      <c r="O37" s="39">
        <f>+G37*4%</f>
        <v>60000</v>
      </c>
      <c r="P37" s="39">
        <f>+O37</f>
        <v>60000</v>
      </c>
      <c r="Q37" s="39"/>
      <c r="R37" s="39"/>
      <c r="S37" s="39"/>
      <c r="T37" s="48">
        <v>0</v>
      </c>
      <c r="U37" s="39"/>
      <c r="V37" s="39">
        <v>152804</v>
      </c>
      <c r="W37" s="39">
        <f t="shared" si="0"/>
        <v>272804</v>
      </c>
      <c r="X37" s="40">
        <f>+N37-W37</f>
        <v>1749696</v>
      </c>
      <c r="Y37" s="40"/>
      <c r="Z37" s="41"/>
      <c r="AA37" s="40">
        <f t="shared" si="8"/>
        <v>1749696</v>
      </c>
    </row>
    <row r="38" spans="1:27" ht="12.75" x14ac:dyDescent="0.25">
      <c r="A38" s="120"/>
      <c r="B38" s="123">
        <v>35</v>
      </c>
      <c r="C38" s="37" t="s">
        <v>133</v>
      </c>
      <c r="D38" s="38" t="s">
        <v>32</v>
      </c>
      <c r="E38" s="39">
        <v>322250</v>
      </c>
      <c r="F38" s="39">
        <v>30</v>
      </c>
      <c r="G38" s="39">
        <f t="shared" si="12"/>
        <v>322250</v>
      </c>
      <c r="H38" s="39"/>
      <c r="I38" s="39"/>
      <c r="J38" s="39"/>
      <c r="K38" s="39"/>
      <c r="L38" s="39"/>
      <c r="M38" s="39"/>
      <c r="N38" s="39">
        <f>SUM(G38:M38)</f>
        <v>322250</v>
      </c>
      <c r="O38" s="39"/>
      <c r="P38" s="39"/>
      <c r="Q38" s="39"/>
      <c r="R38" s="39"/>
      <c r="S38" s="39"/>
      <c r="T38" s="48"/>
      <c r="U38" s="39"/>
      <c r="V38" s="39"/>
      <c r="W38" s="39">
        <f t="shared" si="0"/>
        <v>0</v>
      </c>
      <c r="X38" s="40">
        <f>+N38-W38</f>
        <v>322250</v>
      </c>
      <c r="Y38" s="40"/>
      <c r="Z38" s="41"/>
      <c r="AA38" s="40">
        <f t="shared" si="8"/>
        <v>322250</v>
      </c>
    </row>
    <row r="39" spans="1:27" ht="12.75" x14ac:dyDescent="0.25">
      <c r="A39" s="120"/>
      <c r="B39" s="123">
        <v>36</v>
      </c>
      <c r="C39" s="37" t="s">
        <v>65</v>
      </c>
      <c r="D39" s="38" t="s">
        <v>32</v>
      </c>
      <c r="E39" s="39">
        <v>800000</v>
      </c>
      <c r="F39" s="39">
        <v>30</v>
      </c>
      <c r="G39" s="39">
        <f>E39/30*F39</f>
        <v>800000</v>
      </c>
      <c r="H39" s="39">
        <v>74000</v>
      </c>
      <c r="I39" s="39"/>
      <c r="J39" s="39"/>
      <c r="K39" s="39"/>
      <c r="L39" s="39"/>
      <c r="M39" s="39"/>
      <c r="N39" s="39">
        <f t="shared" ref="N39:N58" si="21">SUM(G39:M39)</f>
        <v>874000</v>
      </c>
      <c r="O39" s="39">
        <f>+G39*4%</f>
        <v>32000</v>
      </c>
      <c r="P39" s="39">
        <f>+O39</f>
        <v>32000</v>
      </c>
      <c r="Q39" s="39"/>
      <c r="R39" s="39"/>
      <c r="S39" s="39"/>
      <c r="T39" s="39">
        <v>0</v>
      </c>
      <c r="U39" s="39"/>
      <c r="V39" s="39"/>
      <c r="W39" s="39">
        <f t="shared" si="0"/>
        <v>64000</v>
      </c>
      <c r="X39" s="40">
        <f>+N39-W39</f>
        <v>810000</v>
      </c>
      <c r="Y39" s="40"/>
      <c r="Z39" s="41"/>
      <c r="AA39" s="40">
        <f t="shared" si="8"/>
        <v>810000</v>
      </c>
    </row>
    <row r="40" spans="1:27" ht="12.75" x14ac:dyDescent="0.25">
      <c r="A40" s="120"/>
      <c r="B40" s="123">
        <v>37</v>
      </c>
      <c r="C40" s="37" t="s">
        <v>66</v>
      </c>
      <c r="D40" s="38" t="s">
        <v>32</v>
      </c>
      <c r="E40" s="39">
        <v>644350</v>
      </c>
      <c r="F40" s="39">
        <v>30</v>
      </c>
      <c r="G40" s="39">
        <f>E40/30*F40</f>
        <v>644350</v>
      </c>
      <c r="H40" s="39"/>
      <c r="I40" s="39"/>
      <c r="J40" s="39"/>
      <c r="K40" s="39"/>
      <c r="L40" s="39"/>
      <c r="M40" s="39"/>
      <c r="N40" s="39">
        <f t="shared" si="21"/>
        <v>644350</v>
      </c>
      <c r="O40" s="39"/>
      <c r="P40" s="39"/>
      <c r="Q40" s="39"/>
      <c r="R40" s="39"/>
      <c r="S40" s="39"/>
      <c r="T40" s="39">
        <v>0</v>
      </c>
      <c r="U40" s="39"/>
      <c r="V40" s="39"/>
      <c r="W40" s="39">
        <f t="shared" si="0"/>
        <v>0</v>
      </c>
      <c r="X40" s="40">
        <f>N40</f>
        <v>644350</v>
      </c>
      <c r="Y40" s="40"/>
      <c r="Z40" s="41"/>
      <c r="AA40" s="40">
        <f t="shared" si="8"/>
        <v>644350</v>
      </c>
    </row>
    <row r="41" spans="1:27" ht="12.75" x14ac:dyDescent="0.25">
      <c r="A41" s="120"/>
      <c r="B41" s="123">
        <v>38</v>
      </c>
      <c r="C41" s="118" t="s">
        <v>67</v>
      </c>
      <c r="D41" s="45" t="s">
        <v>32</v>
      </c>
      <c r="E41" s="39">
        <v>1300000</v>
      </c>
      <c r="F41" s="39">
        <v>30</v>
      </c>
      <c r="G41" s="39">
        <f>+E41/30*F41</f>
        <v>1300000</v>
      </c>
      <c r="H41" s="39"/>
      <c r="I41" s="39"/>
      <c r="J41" s="39"/>
      <c r="K41" s="39"/>
      <c r="L41" s="39"/>
      <c r="M41" s="39"/>
      <c r="N41" s="39">
        <f t="shared" si="21"/>
        <v>1300000</v>
      </c>
      <c r="O41" s="39">
        <f>G41*4%</f>
        <v>52000</v>
      </c>
      <c r="P41" s="39">
        <f>+O41</f>
        <v>52000</v>
      </c>
      <c r="Q41" s="39"/>
      <c r="R41" s="39"/>
      <c r="S41" s="39"/>
      <c r="T41" s="39">
        <v>0</v>
      </c>
      <c r="U41" s="39"/>
      <c r="V41" s="39"/>
      <c r="W41" s="39">
        <f t="shared" si="0"/>
        <v>104000</v>
      </c>
      <c r="X41" s="40">
        <f>N41-W41</f>
        <v>1196000</v>
      </c>
      <c r="Y41" s="40"/>
      <c r="Z41" s="41"/>
      <c r="AA41" s="40">
        <f t="shared" si="8"/>
        <v>1196000</v>
      </c>
    </row>
    <row r="42" spans="1:27" ht="12.75" x14ac:dyDescent="0.25">
      <c r="A42" s="120"/>
      <c r="B42" s="123">
        <v>39</v>
      </c>
      <c r="C42" s="37" t="s">
        <v>68</v>
      </c>
      <c r="D42" s="38" t="s">
        <v>32</v>
      </c>
      <c r="E42" s="39">
        <v>2500000</v>
      </c>
      <c r="F42" s="39">
        <v>30</v>
      </c>
      <c r="G42" s="39">
        <f t="shared" ref="G42:G43" si="22">+E42/30*F42</f>
        <v>2500000</v>
      </c>
      <c r="H42" s="39"/>
      <c r="I42" s="39"/>
      <c r="J42" s="39"/>
      <c r="K42" s="39"/>
      <c r="L42" s="39"/>
      <c r="M42" s="39">
        <v>500000</v>
      </c>
      <c r="N42" s="39">
        <f t="shared" si="21"/>
        <v>3000000</v>
      </c>
      <c r="O42" s="39">
        <f>G42*4%</f>
        <v>100000</v>
      </c>
      <c r="P42" s="39">
        <f>O42</f>
        <v>100000</v>
      </c>
      <c r="Q42" s="39"/>
      <c r="R42" s="39"/>
      <c r="S42" s="39"/>
      <c r="T42" s="39">
        <v>0</v>
      </c>
      <c r="U42" s="39"/>
      <c r="V42" s="39">
        <v>766228</v>
      </c>
      <c r="W42" s="39">
        <f t="shared" si="0"/>
        <v>966228</v>
      </c>
      <c r="X42" s="40">
        <f t="shared" ref="X42:X45" si="23">N42-W42</f>
        <v>2033772</v>
      </c>
      <c r="Y42" s="40"/>
      <c r="Z42" s="41"/>
      <c r="AA42" s="40">
        <f t="shared" si="8"/>
        <v>2033772</v>
      </c>
    </row>
    <row r="43" spans="1:27" ht="12.75" x14ac:dyDescent="0.25">
      <c r="A43" s="120"/>
      <c r="B43" s="123">
        <v>40</v>
      </c>
      <c r="C43" s="37" t="s">
        <v>134</v>
      </c>
      <c r="D43" s="38" t="s">
        <v>32</v>
      </c>
      <c r="E43" s="39">
        <v>322250</v>
      </c>
      <c r="F43" s="39">
        <v>30</v>
      </c>
      <c r="G43" s="39">
        <f t="shared" si="22"/>
        <v>322250</v>
      </c>
      <c r="H43" s="39"/>
      <c r="I43" s="39"/>
      <c r="J43" s="39"/>
      <c r="K43" s="39"/>
      <c r="L43" s="39"/>
      <c r="M43" s="39"/>
      <c r="N43" s="39">
        <f t="shared" si="21"/>
        <v>322250</v>
      </c>
      <c r="O43" s="39"/>
      <c r="P43" s="39"/>
      <c r="Q43" s="39"/>
      <c r="R43" s="39"/>
      <c r="S43" s="39"/>
      <c r="T43" s="39"/>
      <c r="U43" s="39"/>
      <c r="V43" s="39"/>
      <c r="W43" s="39">
        <f t="shared" si="0"/>
        <v>0</v>
      </c>
      <c r="X43" s="40">
        <f t="shared" si="23"/>
        <v>322250</v>
      </c>
      <c r="Y43" s="40"/>
      <c r="Z43" s="41"/>
      <c r="AA43" s="40">
        <f t="shared" si="8"/>
        <v>322250</v>
      </c>
    </row>
    <row r="44" spans="1:27" ht="12.75" x14ac:dyDescent="0.25">
      <c r="A44" s="120"/>
      <c r="B44" s="123">
        <v>41</v>
      </c>
      <c r="C44" s="37" t="s">
        <v>70</v>
      </c>
      <c r="D44" s="38" t="s">
        <v>32</v>
      </c>
      <c r="E44" s="39">
        <v>2000000</v>
      </c>
      <c r="F44" s="39">
        <v>30</v>
      </c>
      <c r="G44" s="39">
        <f>E44/30*F44</f>
        <v>2000000.0000000002</v>
      </c>
      <c r="H44" s="39"/>
      <c r="I44" s="39"/>
      <c r="J44" s="39"/>
      <c r="K44" s="39"/>
      <c r="L44" s="39"/>
      <c r="M44" s="39"/>
      <c r="N44" s="39">
        <f t="shared" si="21"/>
        <v>2000000.0000000002</v>
      </c>
      <c r="O44" s="39">
        <f t="shared" ref="O44" si="24">G44*4%</f>
        <v>80000.000000000015</v>
      </c>
      <c r="P44" s="39">
        <f>O44</f>
        <v>80000.000000000015</v>
      </c>
      <c r="Q44" s="39"/>
      <c r="R44" s="39"/>
      <c r="S44" s="39"/>
      <c r="T44" s="39">
        <v>0</v>
      </c>
      <c r="U44" s="39"/>
      <c r="V44" s="39"/>
      <c r="W44" s="39">
        <f t="shared" si="0"/>
        <v>160000.00000000003</v>
      </c>
      <c r="X44" s="40">
        <f t="shared" si="23"/>
        <v>1840000.0000000002</v>
      </c>
      <c r="Y44" s="40"/>
      <c r="Z44" s="41"/>
      <c r="AA44" s="40">
        <f t="shared" si="8"/>
        <v>1840000.0000000002</v>
      </c>
    </row>
    <row r="45" spans="1:27" ht="12.75" x14ac:dyDescent="0.25">
      <c r="A45" s="120"/>
      <c r="B45" s="123">
        <v>42</v>
      </c>
      <c r="C45" s="37" t="s">
        <v>71</v>
      </c>
      <c r="D45" s="38" t="s">
        <v>32</v>
      </c>
      <c r="E45" s="39">
        <v>1300000</v>
      </c>
      <c r="F45" s="39">
        <v>30</v>
      </c>
      <c r="G45" s="39">
        <f>E45/30*F45</f>
        <v>1300000</v>
      </c>
      <c r="H45" s="39"/>
      <c r="I45" s="39"/>
      <c r="J45" s="39"/>
      <c r="K45" s="39"/>
      <c r="L45" s="39"/>
      <c r="M45" s="39"/>
      <c r="N45" s="39">
        <f t="shared" si="21"/>
        <v>1300000</v>
      </c>
      <c r="O45" s="39">
        <f>G45*4%</f>
        <v>52000</v>
      </c>
      <c r="P45" s="39">
        <f>O45</f>
        <v>52000</v>
      </c>
      <c r="Q45" s="39"/>
      <c r="R45" s="39"/>
      <c r="S45" s="39"/>
      <c r="T45" s="39">
        <v>0</v>
      </c>
      <c r="U45" s="39"/>
      <c r="V45" s="39"/>
      <c r="W45" s="39">
        <f t="shared" si="0"/>
        <v>104000</v>
      </c>
      <c r="X45" s="40">
        <f t="shared" si="23"/>
        <v>1196000</v>
      </c>
      <c r="Y45" s="40"/>
      <c r="Z45" s="41"/>
      <c r="AA45" s="40">
        <f t="shared" si="8"/>
        <v>1196000</v>
      </c>
    </row>
    <row r="46" spans="1:27" ht="12.75" x14ac:dyDescent="0.25">
      <c r="A46" s="120"/>
      <c r="B46" s="123">
        <v>43</v>
      </c>
      <c r="C46" s="118" t="s">
        <v>135</v>
      </c>
      <c r="D46" s="45" t="s">
        <v>32</v>
      </c>
      <c r="E46" s="39">
        <v>322250</v>
      </c>
      <c r="F46" s="39">
        <v>30</v>
      </c>
      <c r="G46" s="39">
        <f>+E46/30*F46</f>
        <v>322250</v>
      </c>
      <c r="H46" s="39"/>
      <c r="I46" s="39"/>
      <c r="J46" s="39"/>
      <c r="K46" s="39"/>
      <c r="L46" s="39"/>
      <c r="M46" s="39"/>
      <c r="N46" s="39">
        <f t="shared" si="21"/>
        <v>322250</v>
      </c>
      <c r="O46" s="39"/>
      <c r="P46" s="39"/>
      <c r="Q46" s="39"/>
      <c r="R46" s="39"/>
      <c r="S46" s="39"/>
      <c r="T46" s="39"/>
      <c r="U46" s="39"/>
      <c r="V46" s="39"/>
      <c r="W46" s="39">
        <f t="shared" si="0"/>
        <v>0</v>
      </c>
      <c r="X46" s="40">
        <f>N46-W46</f>
        <v>322250</v>
      </c>
      <c r="Y46" s="40"/>
      <c r="Z46" s="41"/>
      <c r="AA46" s="40">
        <f t="shared" si="8"/>
        <v>322250</v>
      </c>
    </row>
    <row r="47" spans="1:27" ht="12.75" x14ac:dyDescent="0.25">
      <c r="A47" s="120"/>
      <c r="B47" s="123">
        <v>44</v>
      </c>
      <c r="C47" s="118" t="s">
        <v>112</v>
      </c>
      <c r="D47" s="45" t="s">
        <v>32</v>
      </c>
      <c r="E47" s="39">
        <v>1500000</v>
      </c>
      <c r="F47" s="39">
        <v>27</v>
      </c>
      <c r="G47" s="39">
        <f>+E47/30*F47+100005</f>
        <v>1450005</v>
      </c>
      <c r="H47" s="39"/>
      <c r="I47" s="39"/>
      <c r="J47" s="39"/>
      <c r="K47" s="39"/>
      <c r="L47" s="39"/>
      <c r="M47" s="39"/>
      <c r="N47" s="39">
        <f t="shared" si="21"/>
        <v>1450005</v>
      </c>
      <c r="O47" s="39">
        <f t="shared" ref="O47:O51" si="25">+G47*4%</f>
        <v>58000.200000000004</v>
      </c>
      <c r="P47" s="39">
        <f>+O47</f>
        <v>58000.200000000004</v>
      </c>
      <c r="Q47" s="39"/>
      <c r="R47" s="39"/>
      <c r="S47" s="39"/>
      <c r="T47" s="39">
        <v>0</v>
      </c>
      <c r="U47" s="39"/>
      <c r="V47" s="39"/>
      <c r="W47" s="39">
        <f t="shared" si="0"/>
        <v>116000.40000000001</v>
      </c>
      <c r="X47" s="40">
        <f>N47-W47</f>
        <v>1334004.6000000001</v>
      </c>
      <c r="Y47" s="40"/>
      <c r="Z47" s="41"/>
      <c r="AA47" s="40">
        <f>X47+Y47-Z47</f>
        <v>1334004.6000000001</v>
      </c>
    </row>
    <row r="48" spans="1:27" ht="12.75" x14ac:dyDescent="0.25">
      <c r="A48" s="120"/>
      <c r="B48" s="123">
        <v>45</v>
      </c>
      <c r="C48" s="37" t="s">
        <v>74</v>
      </c>
      <c r="D48" s="38" t="s">
        <v>32</v>
      </c>
      <c r="E48" s="39">
        <v>1000000</v>
      </c>
      <c r="F48" s="39">
        <v>30</v>
      </c>
      <c r="G48" s="39">
        <f>+E48/30*F48</f>
        <v>1000000.0000000001</v>
      </c>
      <c r="H48" s="39">
        <v>74000</v>
      </c>
      <c r="I48" s="39"/>
      <c r="J48" s="39"/>
      <c r="K48" s="39"/>
      <c r="L48" s="39"/>
      <c r="M48" s="39"/>
      <c r="N48" s="39">
        <f t="shared" si="21"/>
        <v>1074000</v>
      </c>
      <c r="O48" s="39">
        <f t="shared" si="25"/>
        <v>40000.000000000007</v>
      </c>
      <c r="P48" s="39">
        <f t="shared" ref="P48:P58" si="26">+O48</f>
        <v>40000.000000000007</v>
      </c>
      <c r="Q48" s="39"/>
      <c r="R48" s="39"/>
      <c r="S48" s="39"/>
      <c r="T48" s="39">
        <v>0</v>
      </c>
      <c r="U48" s="39"/>
      <c r="V48" s="39"/>
      <c r="W48" s="39">
        <f t="shared" si="0"/>
        <v>80000.000000000015</v>
      </c>
      <c r="X48" s="40">
        <f t="shared" ref="X48:X55" si="27">+N48-W48</f>
        <v>994000</v>
      </c>
      <c r="Y48" s="40"/>
      <c r="Z48" s="41"/>
      <c r="AA48" s="40">
        <f t="shared" si="8"/>
        <v>994000</v>
      </c>
    </row>
    <row r="49" spans="1:28" ht="26.25" customHeight="1" x14ac:dyDescent="0.25">
      <c r="A49" s="120"/>
      <c r="B49" s="123">
        <v>46</v>
      </c>
      <c r="C49" s="37" t="s">
        <v>75</v>
      </c>
      <c r="D49" s="38" t="s">
        <v>32</v>
      </c>
      <c r="E49" s="39">
        <v>3000000</v>
      </c>
      <c r="F49" s="39">
        <v>30</v>
      </c>
      <c r="G49" s="39">
        <f t="shared" ref="G49:G58" si="28">+E49/30*F49</f>
        <v>3000000</v>
      </c>
      <c r="H49" s="39"/>
      <c r="I49" s="39"/>
      <c r="J49" s="39"/>
      <c r="K49" s="39"/>
      <c r="L49" s="39"/>
      <c r="M49" s="39"/>
      <c r="N49" s="39">
        <f t="shared" si="21"/>
        <v>3000000</v>
      </c>
      <c r="O49" s="39">
        <f t="shared" si="25"/>
        <v>120000</v>
      </c>
      <c r="P49" s="39">
        <f t="shared" si="26"/>
        <v>120000</v>
      </c>
      <c r="Q49" s="39"/>
      <c r="R49" s="39"/>
      <c r="S49" s="39">
        <f>N49*1%</f>
        <v>30000</v>
      </c>
      <c r="T49" s="39">
        <v>0</v>
      </c>
      <c r="U49" s="39"/>
      <c r="V49" s="39">
        <v>802634</v>
      </c>
      <c r="W49" s="39">
        <f t="shared" si="0"/>
        <v>1072634</v>
      </c>
      <c r="X49" s="40">
        <f t="shared" si="27"/>
        <v>1927366</v>
      </c>
      <c r="Y49" s="40"/>
      <c r="Z49" s="41"/>
      <c r="AA49" s="40">
        <f t="shared" si="8"/>
        <v>1927366</v>
      </c>
    </row>
    <row r="50" spans="1:28" ht="12.75" x14ac:dyDescent="0.25">
      <c r="A50" s="120"/>
      <c r="B50" s="123">
        <v>47</v>
      </c>
      <c r="C50" s="37" t="s">
        <v>76</v>
      </c>
      <c r="D50" s="38" t="s">
        <v>32</v>
      </c>
      <c r="E50" s="39">
        <v>2500000</v>
      </c>
      <c r="F50" s="39">
        <v>30</v>
      </c>
      <c r="G50" s="39">
        <f t="shared" si="28"/>
        <v>2500000</v>
      </c>
      <c r="H50" s="39"/>
      <c r="I50" s="39"/>
      <c r="J50" s="39"/>
      <c r="K50" s="39"/>
      <c r="L50" s="39">
        <v>90000</v>
      </c>
      <c r="M50" s="39">
        <v>500000</v>
      </c>
      <c r="N50" s="39">
        <f t="shared" si="21"/>
        <v>3090000</v>
      </c>
      <c r="O50" s="39">
        <f t="shared" si="25"/>
        <v>100000</v>
      </c>
      <c r="P50" s="39">
        <f t="shared" si="26"/>
        <v>100000</v>
      </c>
      <c r="Q50" s="39"/>
      <c r="R50" s="39"/>
      <c r="S50" s="39">
        <v>0</v>
      </c>
      <c r="T50" s="39">
        <v>0</v>
      </c>
      <c r="U50" s="39"/>
      <c r="V50" s="39"/>
      <c r="W50" s="39">
        <f t="shared" si="0"/>
        <v>200000</v>
      </c>
      <c r="X50" s="40">
        <f t="shared" si="27"/>
        <v>2890000</v>
      </c>
      <c r="Y50" s="40"/>
      <c r="Z50" s="41"/>
      <c r="AA50" s="40">
        <f t="shared" si="8"/>
        <v>2890000</v>
      </c>
      <c r="AB50" s="43" t="s">
        <v>99</v>
      </c>
    </row>
    <row r="51" spans="1:28" ht="12.75" x14ac:dyDescent="0.25">
      <c r="A51" s="120"/>
      <c r="B51" s="123">
        <v>48</v>
      </c>
      <c r="C51" s="37" t="s">
        <v>77</v>
      </c>
      <c r="D51" s="38" t="s">
        <v>32</v>
      </c>
      <c r="E51" s="39">
        <v>2000000</v>
      </c>
      <c r="F51" s="39">
        <v>30</v>
      </c>
      <c r="G51" s="39">
        <f t="shared" si="28"/>
        <v>2000000.0000000002</v>
      </c>
      <c r="H51" s="39"/>
      <c r="I51" s="39"/>
      <c r="J51" s="39"/>
      <c r="K51" s="39"/>
      <c r="L51" s="39"/>
      <c r="M51" s="39"/>
      <c r="N51" s="39">
        <f t="shared" si="21"/>
        <v>2000000.0000000002</v>
      </c>
      <c r="O51" s="39">
        <f t="shared" si="25"/>
        <v>80000.000000000015</v>
      </c>
      <c r="P51" s="39">
        <f t="shared" si="26"/>
        <v>80000.000000000015</v>
      </c>
      <c r="Q51" s="39"/>
      <c r="R51" s="39"/>
      <c r="S51" s="39"/>
      <c r="T51" s="48">
        <v>0</v>
      </c>
      <c r="U51" s="39"/>
      <c r="V51" s="39"/>
      <c r="W51" s="39">
        <f t="shared" si="0"/>
        <v>160000.00000000003</v>
      </c>
      <c r="X51" s="40">
        <f>N51-W51</f>
        <v>1840000.0000000002</v>
      </c>
      <c r="Y51" s="40"/>
      <c r="Z51" s="41"/>
      <c r="AA51" s="40">
        <f t="shared" si="8"/>
        <v>1840000.0000000002</v>
      </c>
    </row>
    <row r="52" spans="1:28" ht="12.75" x14ac:dyDescent="0.25">
      <c r="A52" s="120"/>
      <c r="B52" s="123">
        <v>49</v>
      </c>
      <c r="C52" s="37" t="s">
        <v>78</v>
      </c>
      <c r="D52" s="38" t="s">
        <v>32</v>
      </c>
      <c r="E52" s="39">
        <v>2500000</v>
      </c>
      <c r="F52" s="39">
        <v>30</v>
      </c>
      <c r="G52" s="39">
        <f t="shared" si="28"/>
        <v>2500000</v>
      </c>
      <c r="H52" s="39"/>
      <c r="I52" s="39"/>
      <c r="J52" s="39"/>
      <c r="K52" s="39"/>
      <c r="L52" s="39"/>
      <c r="M52" s="39"/>
      <c r="N52" s="39">
        <f t="shared" si="21"/>
        <v>2500000</v>
      </c>
      <c r="O52" s="39">
        <f>G52*4%</f>
        <v>100000</v>
      </c>
      <c r="P52" s="39">
        <f t="shared" si="26"/>
        <v>100000</v>
      </c>
      <c r="Q52" s="39"/>
      <c r="R52" s="39"/>
      <c r="S52" s="39"/>
      <c r="T52" s="48">
        <v>0</v>
      </c>
      <c r="U52" s="39"/>
      <c r="V52" s="39"/>
      <c r="W52" s="39">
        <f t="shared" si="0"/>
        <v>200000</v>
      </c>
      <c r="X52" s="40">
        <f t="shared" si="27"/>
        <v>2300000</v>
      </c>
      <c r="Y52" s="40"/>
      <c r="Z52" s="41"/>
      <c r="AA52" s="40">
        <f t="shared" si="8"/>
        <v>2300000</v>
      </c>
    </row>
    <row r="53" spans="1:28" ht="12.75" x14ac:dyDescent="0.25">
      <c r="A53" s="120"/>
      <c r="B53" s="123">
        <v>50</v>
      </c>
      <c r="C53" s="37" t="s">
        <v>122</v>
      </c>
      <c r="D53" s="38" t="s">
        <v>32</v>
      </c>
      <c r="E53" s="39">
        <v>1300000</v>
      </c>
      <c r="F53" s="39">
        <v>30</v>
      </c>
      <c r="G53" s="39">
        <f t="shared" si="28"/>
        <v>1300000</v>
      </c>
      <c r="H53" s="39"/>
      <c r="I53" s="39"/>
      <c r="J53" s="39"/>
      <c r="K53" s="39"/>
      <c r="L53" s="39"/>
      <c r="M53" s="39"/>
      <c r="N53" s="39">
        <f t="shared" si="21"/>
        <v>1300000</v>
      </c>
      <c r="O53" s="39">
        <f>G53*4%</f>
        <v>52000</v>
      </c>
      <c r="P53" s="39">
        <f t="shared" si="26"/>
        <v>52000</v>
      </c>
      <c r="Q53" s="39"/>
      <c r="R53" s="39"/>
      <c r="S53" s="39"/>
      <c r="T53" s="48">
        <v>0</v>
      </c>
      <c r="U53" s="39"/>
      <c r="V53" s="39"/>
      <c r="W53" s="39">
        <f t="shared" si="0"/>
        <v>104000</v>
      </c>
      <c r="X53" s="40">
        <f t="shared" si="27"/>
        <v>1196000</v>
      </c>
      <c r="Y53" s="40"/>
      <c r="Z53" s="41"/>
      <c r="AA53" s="40">
        <f t="shared" si="8"/>
        <v>1196000</v>
      </c>
    </row>
    <row r="54" spans="1:28" ht="12.75" x14ac:dyDescent="0.25">
      <c r="A54" s="120"/>
      <c r="B54" s="123">
        <v>51</v>
      </c>
      <c r="C54" s="37" t="s">
        <v>79</v>
      </c>
      <c r="D54" s="38" t="s">
        <v>32</v>
      </c>
      <c r="E54" s="39">
        <v>1300000</v>
      </c>
      <c r="F54" s="39">
        <v>30</v>
      </c>
      <c r="G54" s="39">
        <f t="shared" si="28"/>
        <v>1300000</v>
      </c>
      <c r="H54" s="39"/>
      <c r="I54" s="39"/>
      <c r="J54" s="39"/>
      <c r="K54" s="39"/>
      <c r="L54" s="39"/>
      <c r="M54" s="39">
        <v>300000</v>
      </c>
      <c r="N54" s="39">
        <f t="shared" si="21"/>
        <v>1600000</v>
      </c>
      <c r="O54" s="39">
        <f>+G54*4%</f>
        <v>52000</v>
      </c>
      <c r="P54" s="39">
        <f t="shared" si="26"/>
        <v>52000</v>
      </c>
      <c r="Q54" s="39"/>
      <c r="R54" s="39"/>
      <c r="S54" s="39"/>
      <c r="T54" s="39">
        <v>0</v>
      </c>
      <c r="U54" s="39"/>
      <c r="V54" s="39">
        <v>257196</v>
      </c>
      <c r="W54" s="39">
        <f t="shared" si="0"/>
        <v>361196</v>
      </c>
      <c r="X54" s="40">
        <f t="shared" si="27"/>
        <v>1238804</v>
      </c>
      <c r="Y54" s="40"/>
      <c r="Z54" s="41"/>
      <c r="AA54" s="40">
        <f t="shared" si="8"/>
        <v>1238804</v>
      </c>
    </row>
    <row r="55" spans="1:28" ht="12.75" x14ac:dyDescent="0.25">
      <c r="A55" s="120"/>
      <c r="B55" s="123">
        <v>52</v>
      </c>
      <c r="C55" s="37" t="s">
        <v>136</v>
      </c>
      <c r="D55" s="38" t="s">
        <v>32</v>
      </c>
      <c r="E55" s="39">
        <v>1300000</v>
      </c>
      <c r="F55" s="39">
        <v>30</v>
      </c>
      <c r="G55" s="39">
        <f t="shared" si="28"/>
        <v>1300000</v>
      </c>
      <c r="H55" s="39"/>
      <c r="I55" s="39"/>
      <c r="J55" s="39"/>
      <c r="K55" s="39"/>
      <c r="L55" s="39"/>
      <c r="M55" s="39"/>
      <c r="N55" s="39">
        <f t="shared" si="21"/>
        <v>1300000</v>
      </c>
      <c r="O55" s="39">
        <f>+G55*4%</f>
        <v>52000</v>
      </c>
      <c r="P55" s="39">
        <f t="shared" si="26"/>
        <v>52000</v>
      </c>
      <c r="Q55" s="39"/>
      <c r="R55" s="39"/>
      <c r="S55" s="39"/>
      <c r="T55" s="39"/>
      <c r="U55" s="39"/>
      <c r="V55" s="39"/>
      <c r="W55" s="39">
        <f t="shared" si="0"/>
        <v>104000</v>
      </c>
      <c r="X55" s="40">
        <f t="shared" si="27"/>
        <v>1196000</v>
      </c>
      <c r="Y55" s="40"/>
      <c r="Z55" s="41"/>
      <c r="AA55" s="40">
        <f t="shared" si="8"/>
        <v>1196000</v>
      </c>
    </row>
    <row r="56" spans="1:28" ht="12.75" x14ac:dyDescent="0.25">
      <c r="A56" s="120"/>
      <c r="B56" s="123">
        <v>53</v>
      </c>
      <c r="C56" s="37" t="s">
        <v>80</v>
      </c>
      <c r="D56" s="38" t="s">
        <v>32</v>
      </c>
      <c r="E56" s="39">
        <v>4500000</v>
      </c>
      <c r="F56" s="39">
        <v>30</v>
      </c>
      <c r="G56" s="39">
        <f t="shared" si="28"/>
        <v>4500000</v>
      </c>
      <c r="H56" s="39"/>
      <c r="I56" s="39"/>
      <c r="J56" s="39"/>
      <c r="K56" s="39"/>
      <c r="L56" s="39"/>
      <c r="M56" s="39"/>
      <c r="N56" s="39">
        <f t="shared" si="21"/>
        <v>4500000</v>
      </c>
      <c r="O56" s="39">
        <f>+G56*4%</f>
        <v>180000</v>
      </c>
      <c r="P56" s="39">
        <f t="shared" si="26"/>
        <v>180000</v>
      </c>
      <c r="Q56" s="39"/>
      <c r="R56" s="39"/>
      <c r="S56" s="39">
        <v>45000</v>
      </c>
      <c r="T56" s="39">
        <v>73073</v>
      </c>
      <c r="U56" s="39"/>
      <c r="V56" s="39"/>
      <c r="W56" s="39">
        <f t="shared" si="0"/>
        <v>478073</v>
      </c>
      <c r="X56" s="40">
        <f>N56-W56</f>
        <v>4021927</v>
      </c>
      <c r="Y56" s="40"/>
      <c r="Z56" s="41"/>
      <c r="AA56" s="40">
        <f t="shared" si="8"/>
        <v>4021927</v>
      </c>
    </row>
    <row r="57" spans="1:28" ht="12.75" x14ac:dyDescent="0.25">
      <c r="A57" s="120"/>
      <c r="B57" s="123">
        <v>54</v>
      </c>
      <c r="C57" s="37" t="s">
        <v>81</v>
      </c>
      <c r="D57" s="38" t="s">
        <v>32</v>
      </c>
      <c r="E57" s="39">
        <v>1500000</v>
      </c>
      <c r="F57" s="39">
        <v>30</v>
      </c>
      <c r="G57" s="39">
        <f t="shared" si="28"/>
        <v>1500000</v>
      </c>
      <c r="H57" s="39"/>
      <c r="I57" s="39"/>
      <c r="J57" s="39"/>
      <c r="K57" s="39"/>
      <c r="L57" s="39"/>
      <c r="M57" s="39"/>
      <c r="N57" s="39">
        <f t="shared" si="21"/>
        <v>1500000</v>
      </c>
      <c r="O57" s="39">
        <f>G57*4%</f>
        <v>60000</v>
      </c>
      <c r="P57" s="39">
        <f t="shared" si="26"/>
        <v>60000</v>
      </c>
      <c r="Q57" s="39"/>
      <c r="R57" s="39"/>
      <c r="S57" s="39"/>
      <c r="T57" s="39">
        <v>0</v>
      </c>
      <c r="U57" s="39"/>
      <c r="V57" s="39"/>
      <c r="W57" s="39">
        <f t="shared" si="0"/>
        <v>120000</v>
      </c>
      <c r="X57" s="40">
        <f>N57-W57</f>
        <v>1380000</v>
      </c>
      <c r="Y57" s="40"/>
      <c r="Z57" s="41"/>
      <c r="AA57" s="40">
        <f t="shared" si="8"/>
        <v>1380000</v>
      </c>
    </row>
    <row r="58" spans="1:28" ht="12.75" x14ac:dyDescent="0.25">
      <c r="A58" s="120"/>
      <c r="B58" s="123">
        <v>55</v>
      </c>
      <c r="C58" s="37" t="s">
        <v>82</v>
      </c>
      <c r="D58" s="38" t="s">
        <v>32</v>
      </c>
      <c r="E58" s="39">
        <v>2000000</v>
      </c>
      <c r="F58" s="39">
        <v>30</v>
      </c>
      <c r="G58" s="39">
        <f t="shared" si="28"/>
        <v>2000000.0000000002</v>
      </c>
      <c r="H58" s="39"/>
      <c r="I58" s="39"/>
      <c r="J58" s="39"/>
      <c r="K58" s="39"/>
      <c r="L58" s="39"/>
      <c r="M58" s="39">
        <v>500000</v>
      </c>
      <c r="N58" s="39">
        <f t="shared" si="21"/>
        <v>2500000</v>
      </c>
      <c r="O58" s="39">
        <f>G58*4%</f>
        <v>80000.000000000015</v>
      </c>
      <c r="P58" s="39">
        <f t="shared" si="26"/>
        <v>80000.000000000015</v>
      </c>
      <c r="Q58" s="39"/>
      <c r="R58" s="39"/>
      <c r="S58" s="39"/>
      <c r="T58" s="39">
        <v>0</v>
      </c>
      <c r="U58" s="39"/>
      <c r="V58" s="39"/>
      <c r="W58" s="39">
        <f t="shared" si="0"/>
        <v>160000.00000000003</v>
      </c>
      <c r="X58" s="40">
        <f>N58-W58</f>
        <v>2340000</v>
      </c>
      <c r="Y58" s="40"/>
      <c r="Z58" s="41"/>
      <c r="AA58" s="40">
        <f t="shared" si="8"/>
        <v>2340000</v>
      </c>
    </row>
    <row r="59" spans="1:28" ht="12.75" x14ac:dyDescent="0.25">
      <c r="A59" s="120"/>
      <c r="B59" s="123">
        <v>56</v>
      </c>
      <c r="C59" s="118" t="s">
        <v>84</v>
      </c>
      <c r="D59" s="45" t="s">
        <v>32</v>
      </c>
      <c r="E59" s="39">
        <v>644350</v>
      </c>
      <c r="F59" s="39">
        <v>30</v>
      </c>
      <c r="G59" s="39">
        <f>+E59/30*F59</f>
        <v>644350</v>
      </c>
      <c r="H59" s="39">
        <v>74000</v>
      </c>
      <c r="I59" s="39"/>
      <c r="J59" s="39"/>
      <c r="K59" s="39"/>
      <c r="L59" s="39"/>
      <c r="M59" s="39">
        <v>100000</v>
      </c>
      <c r="N59" s="39">
        <f t="shared" ref="N59:N70" si="29">SUM(G59:M59)</f>
        <v>818350</v>
      </c>
      <c r="O59" s="39">
        <f>+G59*4%</f>
        <v>25774</v>
      </c>
      <c r="P59" s="39">
        <f>+O59</f>
        <v>25774</v>
      </c>
      <c r="Q59" s="39"/>
      <c r="R59" s="39"/>
      <c r="S59" s="39"/>
      <c r="T59" s="39">
        <v>0</v>
      </c>
      <c r="U59" s="39"/>
      <c r="V59" s="39"/>
      <c r="W59" s="39">
        <f t="shared" si="0"/>
        <v>51548</v>
      </c>
      <c r="X59" s="40">
        <f>N59-W59</f>
        <v>766802</v>
      </c>
      <c r="Y59" s="40"/>
      <c r="Z59" s="41"/>
      <c r="AA59" s="40">
        <f t="shared" si="8"/>
        <v>766802</v>
      </c>
    </row>
    <row r="60" spans="1:28" ht="12.75" x14ac:dyDescent="0.25">
      <c r="A60" s="120"/>
      <c r="B60" s="123">
        <v>57</v>
      </c>
      <c r="C60" s="37" t="s">
        <v>85</v>
      </c>
      <c r="D60" s="38" t="s">
        <v>32</v>
      </c>
      <c r="E60" s="39">
        <v>15400000</v>
      </c>
      <c r="F60" s="39">
        <v>30</v>
      </c>
      <c r="G60" s="39">
        <f t="shared" ref="G60:G65" si="30">+E60/30*F60</f>
        <v>15400000</v>
      </c>
      <c r="H60" s="39"/>
      <c r="I60" s="39"/>
      <c r="J60" s="39"/>
      <c r="K60" s="39"/>
      <c r="L60" s="39"/>
      <c r="M60" s="39">
        <v>600000</v>
      </c>
      <c r="N60" s="39">
        <f t="shared" si="29"/>
        <v>16000000</v>
      </c>
      <c r="O60" s="39">
        <f>G60*4%</f>
        <v>616000</v>
      </c>
      <c r="P60" s="39">
        <f>O60</f>
        <v>616000</v>
      </c>
      <c r="Q60" s="39">
        <v>95900</v>
      </c>
      <c r="R60" s="39"/>
      <c r="S60" s="39">
        <f>G60*2%</f>
        <v>308000</v>
      </c>
      <c r="T60" s="39">
        <v>1014000</v>
      </c>
      <c r="U60" s="39">
        <v>5000000</v>
      </c>
      <c r="V60" s="39"/>
      <c r="W60" s="39">
        <f t="shared" si="0"/>
        <v>7649900</v>
      </c>
      <c r="X60" s="40">
        <f>+N60-W60</f>
        <v>8350100</v>
      </c>
      <c r="Y60" s="40"/>
      <c r="Z60" s="41"/>
      <c r="AA60" s="40">
        <f t="shared" si="8"/>
        <v>8350100</v>
      </c>
    </row>
    <row r="61" spans="1:28" ht="12.75" x14ac:dyDescent="0.25">
      <c r="A61" s="120"/>
      <c r="B61" s="123">
        <v>58</v>
      </c>
      <c r="C61" s="37" t="s">
        <v>86</v>
      </c>
      <c r="D61" s="38" t="s">
        <v>32</v>
      </c>
      <c r="E61" s="39">
        <v>2800000</v>
      </c>
      <c r="F61" s="39">
        <v>30</v>
      </c>
      <c r="G61" s="39">
        <f t="shared" si="30"/>
        <v>2800000</v>
      </c>
      <c r="H61" s="39"/>
      <c r="I61" s="39"/>
      <c r="J61" s="39"/>
      <c r="K61" s="39"/>
      <c r="L61" s="39"/>
      <c r="M61" s="39">
        <v>700000</v>
      </c>
      <c r="N61" s="39">
        <f t="shared" si="29"/>
        <v>3500000</v>
      </c>
      <c r="O61" s="39">
        <f>+G61*4%</f>
        <v>112000</v>
      </c>
      <c r="P61" s="39">
        <f>+O61</f>
        <v>112000</v>
      </c>
      <c r="Q61" s="39"/>
      <c r="R61" s="39"/>
      <c r="S61" s="39">
        <v>28000</v>
      </c>
      <c r="T61" s="39">
        <v>0</v>
      </c>
      <c r="U61" s="39"/>
      <c r="V61" s="39">
        <f>887544+522124</f>
        <v>1409668</v>
      </c>
      <c r="W61" s="39">
        <f t="shared" si="0"/>
        <v>1661668</v>
      </c>
      <c r="X61" s="40">
        <f>+N61-W61</f>
        <v>1838332</v>
      </c>
      <c r="Y61" s="40"/>
      <c r="Z61" s="41"/>
      <c r="AA61" s="40">
        <f t="shared" si="8"/>
        <v>1838332</v>
      </c>
    </row>
    <row r="62" spans="1:28" ht="12.75" x14ac:dyDescent="0.25">
      <c r="A62" s="120"/>
      <c r="B62" s="123">
        <v>59</v>
      </c>
      <c r="C62" s="37" t="s">
        <v>87</v>
      </c>
      <c r="D62" s="38" t="s">
        <v>32</v>
      </c>
      <c r="E62" s="39">
        <v>1000000</v>
      </c>
      <c r="F62" s="39">
        <v>30</v>
      </c>
      <c r="G62" s="39">
        <f t="shared" si="30"/>
        <v>1000000.0000000001</v>
      </c>
      <c r="H62" s="39">
        <v>74000</v>
      </c>
      <c r="I62" s="39"/>
      <c r="J62" s="39"/>
      <c r="K62" s="39"/>
      <c r="L62" s="39"/>
      <c r="M62" s="39"/>
      <c r="N62" s="39">
        <f t="shared" si="29"/>
        <v>1074000</v>
      </c>
      <c r="O62" s="39">
        <f>+G62*4%</f>
        <v>40000.000000000007</v>
      </c>
      <c r="P62" s="39">
        <f>+O62</f>
        <v>40000.000000000007</v>
      </c>
      <c r="Q62" s="39"/>
      <c r="R62" s="39"/>
      <c r="S62" s="39"/>
      <c r="T62" s="39">
        <v>0</v>
      </c>
      <c r="U62" s="39"/>
      <c r="V62" s="39"/>
      <c r="W62" s="39">
        <f t="shared" si="0"/>
        <v>80000.000000000015</v>
      </c>
      <c r="X62" s="40">
        <f>+N62-W62</f>
        <v>994000</v>
      </c>
      <c r="Y62" s="40"/>
      <c r="Z62" s="41"/>
      <c r="AA62" s="40">
        <f t="shared" si="8"/>
        <v>994000</v>
      </c>
    </row>
    <row r="63" spans="1:28" ht="12.75" x14ac:dyDescent="0.25">
      <c r="A63" s="120"/>
      <c r="B63" s="123">
        <v>60</v>
      </c>
      <c r="C63" s="118" t="s">
        <v>88</v>
      </c>
      <c r="D63" s="45" t="s">
        <v>32</v>
      </c>
      <c r="E63" s="39">
        <v>1100000</v>
      </c>
      <c r="F63" s="39">
        <v>30</v>
      </c>
      <c r="G63" s="39">
        <f t="shared" si="30"/>
        <v>1100000</v>
      </c>
      <c r="H63" s="39">
        <v>74000</v>
      </c>
      <c r="I63" s="39"/>
      <c r="J63" s="39"/>
      <c r="K63" s="39"/>
      <c r="L63" s="39"/>
      <c r="M63" s="39"/>
      <c r="N63" s="39">
        <f t="shared" si="29"/>
        <v>1174000</v>
      </c>
      <c r="O63" s="39">
        <f>G63*4%</f>
        <v>44000</v>
      </c>
      <c r="P63" s="39">
        <f>G63*4%</f>
        <v>44000</v>
      </c>
      <c r="Q63" s="39"/>
      <c r="R63" s="39"/>
      <c r="S63" s="39"/>
      <c r="T63" s="39">
        <v>0</v>
      </c>
      <c r="U63" s="39"/>
      <c r="V63" s="39"/>
      <c r="W63" s="39">
        <f t="shared" si="0"/>
        <v>88000</v>
      </c>
      <c r="X63" s="40">
        <f>N63-W63</f>
        <v>1086000</v>
      </c>
      <c r="Y63" s="40"/>
      <c r="Z63" s="41"/>
      <c r="AA63" s="40">
        <f t="shared" si="8"/>
        <v>1086000</v>
      </c>
    </row>
    <row r="64" spans="1:28" ht="12.75" x14ac:dyDescent="0.25">
      <c r="A64" s="120"/>
      <c r="B64" s="123">
        <v>61</v>
      </c>
      <c r="C64" s="37" t="s">
        <v>89</v>
      </c>
      <c r="D64" s="38" t="s">
        <v>32</v>
      </c>
      <c r="E64" s="39">
        <v>1300000</v>
      </c>
      <c r="F64" s="39">
        <v>30</v>
      </c>
      <c r="G64" s="39">
        <f t="shared" si="30"/>
        <v>1300000</v>
      </c>
      <c r="H64" s="39"/>
      <c r="I64" s="39"/>
      <c r="J64" s="39"/>
      <c r="K64" s="39"/>
      <c r="L64" s="39"/>
      <c r="M64" s="39"/>
      <c r="N64" s="39">
        <f t="shared" si="29"/>
        <v>1300000</v>
      </c>
      <c r="O64" s="39">
        <f>G64*4%</f>
        <v>52000</v>
      </c>
      <c r="P64" s="39">
        <f>O64</f>
        <v>52000</v>
      </c>
      <c r="Q64" s="39"/>
      <c r="R64" s="39"/>
      <c r="S64" s="39"/>
      <c r="T64" s="39">
        <v>0</v>
      </c>
      <c r="U64" s="39"/>
      <c r="V64" s="39"/>
      <c r="W64" s="39">
        <f t="shared" si="0"/>
        <v>104000</v>
      </c>
      <c r="X64" s="40">
        <f>+N64-W64</f>
        <v>1196000</v>
      </c>
      <c r="Y64" s="40"/>
      <c r="Z64" s="41"/>
      <c r="AA64" s="40">
        <f t="shared" si="8"/>
        <v>1196000</v>
      </c>
    </row>
    <row r="65" spans="1:31" ht="12.75" x14ac:dyDescent="0.25">
      <c r="A65" s="120"/>
      <c r="B65" s="123">
        <v>62</v>
      </c>
      <c r="C65" s="37" t="s">
        <v>90</v>
      </c>
      <c r="D65" s="38" t="s">
        <v>32</v>
      </c>
      <c r="E65" s="39">
        <v>4000000</v>
      </c>
      <c r="F65" s="39">
        <v>30</v>
      </c>
      <c r="G65" s="39">
        <f t="shared" si="30"/>
        <v>4000000.0000000005</v>
      </c>
      <c r="H65" s="39"/>
      <c r="I65" s="39"/>
      <c r="J65" s="39"/>
      <c r="K65" s="39"/>
      <c r="L65" s="39"/>
      <c r="M65" s="39"/>
      <c r="N65" s="39">
        <f t="shared" si="29"/>
        <v>4000000.0000000005</v>
      </c>
      <c r="O65" s="39">
        <v>160000</v>
      </c>
      <c r="P65" s="39">
        <f>O65</f>
        <v>160000</v>
      </c>
      <c r="Q65" s="39"/>
      <c r="R65" s="39"/>
      <c r="S65" s="39">
        <v>40000</v>
      </c>
      <c r="T65" s="39">
        <v>31064</v>
      </c>
      <c r="U65" s="39"/>
      <c r="V65" s="39"/>
      <c r="W65" s="39">
        <f t="shared" si="0"/>
        <v>391064</v>
      </c>
      <c r="X65" s="40">
        <f>+N65-W65</f>
        <v>3608936.0000000005</v>
      </c>
      <c r="Y65" s="40"/>
      <c r="Z65" s="41"/>
      <c r="AA65" s="40">
        <f t="shared" si="8"/>
        <v>3608936.0000000005</v>
      </c>
    </row>
    <row r="66" spans="1:31" ht="12.75" x14ac:dyDescent="0.25">
      <c r="A66" s="120"/>
      <c r="B66" s="123">
        <v>63</v>
      </c>
      <c r="C66" s="118" t="s">
        <v>93</v>
      </c>
      <c r="D66" s="45" t="s">
        <v>32</v>
      </c>
      <c r="E66" s="39">
        <v>1300000</v>
      </c>
      <c r="F66" s="39">
        <v>30</v>
      </c>
      <c r="G66" s="39">
        <f>+E66/30*F66</f>
        <v>1300000</v>
      </c>
      <c r="H66" s="39"/>
      <c r="I66" s="39"/>
      <c r="J66" s="39"/>
      <c r="K66" s="39"/>
      <c r="L66" s="39"/>
      <c r="M66" s="39"/>
      <c r="N66" s="39">
        <f t="shared" si="29"/>
        <v>1300000</v>
      </c>
      <c r="O66" s="39">
        <f>G66*4%</f>
        <v>52000</v>
      </c>
      <c r="P66" s="39">
        <f>O66</f>
        <v>52000</v>
      </c>
      <c r="Q66" s="39"/>
      <c r="R66" s="39"/>
      <c r="S66" s="39"/>
      <c r="T66" s="39">
        <v>0</v>
      </c>
      <c r="U66" s="39"/>
      <c r="V66" s="39"/>
      <c r="W66" s="39">
        <f t="shared" si="0"/>
        <v>104000</v>
      </c>
      <c r="X66" s="40">
        <f>N66-W66</f>
        <v>1196000</v>
      </c>
      <c r="Y66" s="40"/>
      <c r="Z66" s="41"/>
      <c r="AA66" s="40">
        <f t="shared" si="8"/>
        <v>1196000</v>
      </c>
    </row>
    <row r="67" spans="1:31" ht="12.75" x14ac:dyDescent="0.25">
      <c r="A67" s="120"/>
      <c r="B67" s="123">
        <v>64</v>
      </c>
      <c r="C67" s="37" t="s">
        <v>94</v>
      </c>
      <c r="D67" s="38" t="s">
        <v>32</v>
      </c>
      <c r="E67" s="39">
        <v>644350</v>
      </c>
      <c r="F67" s="39">
        <v>30</v>
      </c>
      <c r="G67" s="39">
        <f>+E67/30*F67</f>
        <v>644350</v>
      </c>
      <c r="H67" s="39">
        <v>74000</v>
      </c>
      <c r="I67" s="39"/>
      <c r="J67" s="39"/>
      <c r="K67" s="39"/>
      <c r="L67" s="39"/>
      <c r="M67" s="39"/>
      <c r="N67" s="39">
        <f t="shared" si="29"/>
        <v>718350</v>
      </c>
      <c r="O67" s="39">
        <f>G67*4%</f>
        <v>25774</v>
      </c>
      <c r="P67" s="39">
        <f>O67</f>
        <v>25774</v>
      </c>
      <c r="Q67" s="39"/>
      <c r="R67" s="39"/>
      <c r="S67" s="39"/>
      <c r="T67" s="39">
        <v>0</v>
      </c>
      <c r="U67" s="39"/>
      <c r="V67" s="39"/>
      <c r="W67" s="39">
        <f>SUM(O67:V67)</f>
        <v>51548</v>
      </c>
      <c r="X67" s="40">
        <f>+N67-W67</f>
        <v>666802</v>
      </c>
      <c r="Y67" s="40"/>
      <c r="Z67" s="41"/>
      <c r="AA67" s="40">
        <f t="shared" si="8"/>
        <v>666802</v>
      </c>
    </row>
    <row r="68" spans="1:31" ht="12.75" x14ac:dyDescent="0.25">
      <c r="A68" s="120"/>
      <c r="B68" s="123">
        <v>65</v>
      </c>
      <c r="C68" s="138" t="s">
        <v>95</v>
      </c>
      <c r="D68" s="38" t="s">
        <v>32</v>
      </c>
      <c r="E68" s="39">
        <v>800000</v>
      </c>
      <c r="F68" s="39">
        <v>30</v>
      </c>
      <c r="G68" s="39">
        <f>E68</f>
        <v>800000</v>
      </c>
      <c r="H68" s="39">
        <v>74000</v>
      </c>
      <c r="I68" s="39"/>
      <c r="J68" s="39"/>
      <c r="K68" s="39"/>
      <c r="L68" s="39"/>
      <c r="M68" s="39"/>
      <c r="N68" s="39">
        <f t="shared" si="29"/>
        <v>874000</v>
      </c>
      <c r="O68" s="39">
        <f>G68*4%</f>
        <v>32000</v>
      </c>
      <c r="P68" s="39">
        <f>O68</f>
        <v>32000</v>
      </c>
      <c r="Q68" s="39"/>
      <c r="R68" s="39"/>
      <c r="S68" s="39"/>
      <c r="T68" s="39">
        <v>0</v>
      </c>
      <c r="U68" s="39"/>
      <c r="V68" s="39"/>
      <c r="W68" s="39">
        <f>SUM(O68:V68)</f>
        <v>64000</v>
      </c>
      <c r="X68" s="40">
        <f>+N68-W68</f>
        <v>810000</v>
      </c>
      <c r="Y68" s="40"/>
      <c r="Z68" s="41"/>
      <c r="AA68" s="40">
        <f t="shared" si="8"/>
        <v>810000</v>
      </c>
    </row>
    <row r="69" spans="1:31" ht="12.75" x14ac:dyDescent="0.25">
      <c r="A69" s="140"/>
      <c r="B69" s="123">
        <v>66</v>
      </c>
      <c r="C69" s="37" t="s">
        <v>137</v>
      </c>
      <c r="D69" s="38" t="s">
        <v>32</v>
      </c>
      <c r="E69" s="39">
        <v>1300000</v>
      </c>
      <c r="F69" s="39">
        <v>30</v>
      </c>
      <c r="G69" s="39">
        <f t="shared" ref="G69" si="31">+E69/30*F69</f>
        <v>1300000</v>
      </c>
      <c r="H69" s="39"/>
      <c r="I69" s="39"/>
      <c r="J69" s="39"/>
      <c r="K69" s="39"/>
      <c r="L69" s="39"/>
      <c r="M69" s="39"/>
      <c r="N69" s="39">
        <f t="shared" ref="N69" si="32">SUM(G69:M69)</f>
        <v>1300000</v>
      </c>
      <c r="O69" s="39">
        <f>+G69*4%</f>
        <v>52000</v>
      </c>
      <c r="P69" s="39">
        <f t="shared" ref="P69" si="33">+O69</f>
        <v>52000</v>
      </c>
      <c r="Q69" s="39"/>
      <c r="R69" s="39"/>
      <c r="S69" s="39"/>
      <c r="T69" s="39"/>
      <c r="U69" s="39"/>
      <c r="V69" s="39"/>
      <c r="W69" s="39">
        <f t="shared" ref="W69" si="34">SUM(O69:V69)</f>
        <v>104000</v>
      </c>
      <c r="X69" s="40">
        <f t="shared" ref="X69" si="35">+N69-W69</f>
        <v>1196000</v>
      </c>
      <c r="Y69" s="40"/>
      <c r="Z69" s="41"/>
      <c r="AA69" s="40">
        <f t="shared" si="8"/>
        <v>1196000</v>
      </c>
    </row>
    <row r="70" spans="1:31" ht="12.75" x14ac:dyDescent="0.25">
      <c r="A70" s="140"/>
      <c r="B70" s="123">
        <v>67</v>
      </c>
      <c r="C70" s="138" t="s">
        <v>116</v>
      </c>
      <c r="D70" s="96" t="s">
        <v>32</v>
      </c>
      <c r="E70" s="39">
        <v>2000000</v>
      </c>
      <c r="F70" s="39">
        <v>30</v>
      </c>
      <c r="G70" s="39">
        <f>E70</f>
        <v>2000000</v>
      </c>
      <c r="H70" s="39"/>
      <c r="I70" s="39"/>
      <c r="J70" s="39"/>
      <c r="K70" s="39"/>
      <c r="L70" s="39"/>
      <c r="M70" s="39">
        <v>500000</v>
      </c>
      <c r="N70" s="39">
        <f t="shared" si="29"/>
        <v>2500000</v>
      </c>
      <c r="O70" s="39">
        <f>G70*4%</f>
        <v>80000</v>
      </c>
      <c r="P70" s="39">
        <f>G70*4%</f>
        <v>80000</v>
      </c>
      <c r="Q70" s="39"/>
      <c r="R70" s="39"/>
      <c r="S70" s="39"/>
      <c r="T70" s="39">
        <v>0</v>
      </c>
      <c r="U70" s="39"/>
      <c r="V70" s="39"/>
      <c r="W70" s="39">
        <f t="shared" ref="W70" si="36">SUM(O70:V70)</f>
        <v>160000</v>
      </c>
      <c r="X70" s="40">
        <f>N70-W70</f>
        <v>2340000</v>
      </c>
      <c r="Y70" s="40"/>
      <c r="Z70" s="41"/>
      <c r="AA70" s="40">
        <f t="shared" si="8"/>
        <v>2340000</v>
      </c>
    </row>
    <row r="71" spans="1:31" ht="12.75" x14ac:dyDescent="0.25">
      <c r="A71" s="45"/>
      <c r="B71" s="123"/>
      <c r="C71" s="37" t="s">
        <v>96</v>
      </c>
      <c r="D71" s="45"/>
      <c r="E71" s="39">
        <f>SUM(E5:E68)</f>
        <v>204149550</v>
      </c>
      <c r="F71" s="39" t="s">
        <v>1</v>
      </c>
      <c r="G71" s="39">
        <f>SUM(G5:G68)</f>
        <v>203952570</v>
      </c>
      <c r="H71" s="39">
        <f>SUM(H5:H68)</f>
        <v>518000</v>
      </c>
      <c r="I71" s="39">
        <f>SUM(I5:I68)</f>
        <v>0</v>
      </c>
      <c r="J71" s="39">
        <f>SUM(J5:J68)</f>
        <v>0</v>
      </c>
      <c r="K71" s="39"/>
      <c r="L71" s="39">
        <f t="shared" ref="L71:Q71" si="37">SUM(L5:L68)</f>
        <v>90000</v>
      </c>
      <c r="M71" s="39">
        <f t="shared" si="37"/>
        <v>11541250</v>
      </c>
      <c r="N71" s="39">
        <f t="shared" si="37"/>
        <v>216101820</v>
      </c>
      <c r="O71" s="39">
        <f t="shared" si="37"/>
        <v>8093658.7999999998</v>
      </c>
      <c r="P71" s="39">
        <f t="shared" si="37"/>
        <v>8093658.7999999998</v>
      </c>
      <c r="Q71" s="39">
        <f t="shared" si="37"/>
        <v>95900</v>
      </c>
      <c r="R71" s="39">
        <f>SUM(R6:R68)</f>
        <v>0</v>
      </c>
      <c r="S71" s="39">
        <f t="shared" ref="S71:AA71" si="38">SUM(S5:S68)</f>
        <v>1827027.65</v>
      </c>
      <c r="T71" s="39">
        <f t="shared" si="38"/>
        <v>2724000</v>
      </c>
      <c r="U71" s="39">
        <f t="shared" si="38"/>
        <v>8760000</v>
      </c>
      <c r="V71" s="39">
        <f t="shared" si="38"/>
        <v>6573277</v>
      </c>
      <c r="W71" s="39">
        <f t="shared" si="38"/>
        <v>36167522.25</v>
      </c>
      <c r="X71" s="40">
        <f t="shared" si="38"/>
        <v>179934297.75</v>
      </c>
      <c r="Y71" s="40">
        <f t="shared" si="38"/>
        <v>0</v>
      </c>
      <c r="Z71" s="41">
        <f t="shared" si="38"/>
        <v>0</v>
      </c>
      <c r="AA71" s="40">
        <f t="shared" si="38"/>
        <v>179934297.75</v>
      </c>
    </row>
    <row r="72" spans="1:31" x14ac:dyDescent="0.25">
      <c r="A72" s="99"/>
      <c r="B72" s="99"/>
      <c r="X72" s="99"/>
      <c r="Y72" s="99"/>
      <c r="Z72" s="102"/>
      <c r="AA72" s="99"/>
    </row>
    <row r="73" spans="1:31" x14ac:dyDescent="0.25">
      <c r="E73" s="107"/>
      <c r="F73" s="107"/>
      <c r="G73" s="107"/>
      <c r="X73" s="124"/>
      <c r="Y73" s="124"/>
      <c r="AA73" s="124"/>
    </row>
    <row r="74" spans="1:31" x14ac:dyDescent="0.25">
      <c r="D74" s="99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99"/>
      <c r="Y74" s="99"/>
      <c r="Z74" s="102"/>
      <c r="AA74" s="99"/>
    </row>
    <row r="75" spans="1:31" x14ac:dyDescent="0.25">
      <c r="D75" s="99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99"/>
      <c r="Y75" s="99"/>
      <c r="Z75" s="102"/>
      <c r="AA75" s="99"/>
    </row>
    <row r="76" spans="1:31" x14ac:dyDescent="0.25">
      <c r="C76" s="109"/>
      <c r="D76" s="99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99"/>
      <c r="Y76" s="99"/>
      <c r="Z76" s="102"/>
      <c r="AA76" s="99"/>
    </row>
    <row r="77" spans="1:31" x14ac:dyDescent="0.25">
      <c r="C77" s="109"/>
      <c r="D77" s="99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99"/>
      <c r="Y77" s="99"/>
      <c r="Z77" s="102"/>
      <c r="AA77" s="99"/>
      <c r="AB77" s="99"/>
      <c r="AC77" s="99"/>
      <c r="AD77" s="99"/>
      <c r="AE77" s="99"/>
    </row>
    <row r="78" spans="1:31" x14ac:dyDescent="0.25">
      <c r="B78" s="99"/>
      <c r="C78" s="10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99"/>
      <c r="AC78" s="99"/>
      <c r="AD78" s="99"/>
      <c r="AE78" s="99"/>
    </row>
    <row r="79" spans="1:31" x14ac:dyDescent="0.25">
      <c r="B79" s="99"/>
      <c r="C79" s="109"/>
      <c r="D79" s="99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99"/>
      <c r="Y79" s="99"/>
      <c r="Z79" s="102"/>
      <c r="AA79" s="99"/>
      <c r="AB79" s="99"/>
      <c r="AC79" s="99"/>
      <c r="AD79" s="99"/>
      <c r="AE79" s="99"/>
    </row>
    <row r="80" spans="1:31" x14ac:dyDescent="0.25">
      <c r="B80" s="99"/>
      <c r="C80" s="109"/>
      <c r="D80" s="99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99"/>
      <c r="Y80" s="99"/>
      <c r="Z80" s="102"/>
      <c r="AA80" s="99"/>
      <c r="AB80" s="99"/>
      <c r="AC80" s="99"/>
      <c r="AD80" s="99"/>
      <c r="AE80" s="99"/>
    </row>
    <row r="81" spans="2:31" x14ac:dyDescent="0.25">
      <c r="B81" s="99"/>
      <c r="C81" s="109"/>
      <c r="D81" s="99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99"/>
      <c r="Y81" s="99"/>
      <c r="Z81" s="102"/>
      <c r="AA81" s="99"/>
      <c r="AB81" s="99"/>
      <c r="AC81" s="99"/>
      <c r="AD81" s="99"/>
      <c r="AE81" s="99"/>
    </row>
    <row r="82" spans="2:31" x14ac:dyDescent="0.25">
      <c r="B82" s="99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05"/>
      <c r="Z82" s="112"/>
      <c r="AA82" s="105"/>
      <c r="AB82" s="99"/>
      <c r="AC82" s="99"/>
      <c r="AD82" s="99"/>
      <c r="AE82" s="99"/>
    </row>
    <row r="83" spans="2:31" x14ac:dyDescent="0.25">
      <c r="B83" s="125"/>
      <c r="C83" s="109"/>
      <c r="D83" s="105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5"/>
      <c r="Y83" s="105"/>
      <c r="Z83" s="112"/>
      <c r="AA83" s="105"/>
      <c r="AB83" s="99"/>
      <c r="AC83" s="99"/>
      <c r="AD83" s="99"/>
      <c r="AE83" s="99"/>
    </row>
    <row r="84" spans="2:31" x14ac:dyDescent="0.25">
      <c r="B84" s="99"/>
      <c r="C84" s="109"/>
      <c r="D84" s="99"/>
      <c r="E84" s="107"/>
      <c r="F84" s="107"/>
      <c r="G84" s="126"/>
      <c r="H84" s="107"/>
      <c r="I84" s="107"/>
      <c r="J84" s="107"/>
      <c r="K84" s="107"/>
      <c r="L84" s="107"/>
      <c r="M84" s="107"/>
      <c r="N84" s="107"/>
      <c r="O84" s="107"/>
      <c r="P84" s="107"/>
      <c r="Q84" s="127"/>
      <c r="R84" s="127"/>
      <c r="S84" s="127"/>
      <c r="T84" s="127"/>
      <c r="U84" s="127"/>
      <c r="V84" s="107"/>
      <c r="W84" s="107"/>
      <c r="X84" s="99"/>
      <c r="Y84" s="99"/>
      <c r="Z84" s="102"/>
      <c r="AA84" s="99"/>
      <c r="AB84" s="99"/>
      <c r="AC84" s="99"/>
      <c r="AD84" s="99"/>
      <c r="AE84" s="99"/>
    </row>
    <row r="85" spans="2:31" x14ac:dyDescent="0.25">
      <c r="B85" s="99"/>
      <c r="C85" s="104"/>
      <c r="D85" s="105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5"/>
      <c r="Y85" s="105"/>
      <c r="Z85" s="112"/>
      <c r="AA85" s="105"/>
      <c r="AB85" s="99"/>
      <c r="AC85" s="99"/>
      <c r="AD85" s="99"/>
      <c r="AE85" s="99"/>
    </row>
    <row r="86" spans="2:31" x14ac:dyDescent="0.25">
      <c r="B86" s="105"/>
      <c r="C86" s="104"/>
      <c r="D86" s="105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5"/>
      <c r="Y86" s="105"/>
      <c r="Z86" s="112"/>
      <c r="AA86" s="105"/>
      <c r="AB86" s="99"/>
      <c r="AC86" s="99"/>
      <c r="AD86" s="99"/>
      <c r="AE86" s="99"/>
    </row>
    <row r="87" spans="2:31" x14ac:dyDescent="0.25">
      <c r="B87" s="99"/>
      <c r="C87" s="104"/>
      <c r="D87" s="105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/>
      <c r="Y87" s="108"/>
      <c r="Z87" s="102"/>
      <c r="AA87" s="108"/>
      <c r="AB87" s="99"/>
      <c r="AC87" s="99"/>
      <c r="AD87" s="99"/>
      <c r="AE87" s="99"/>
    </row>
    <row r="88" spans="2:31" x14ac:dyDescent="0.25">
      <c r="C88" s="104"/>
      <c r="D88" s="105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/>
      <c r="Y88" s="108"/>
      <c r="Z88" s="102"/>
      <c r="AA88" s="108"/>
      <c r="AB88" s="99"/>
      <c r="AC88" s="99"/>
      <c r="AD88" s="99"/>
      <c r="AE88" s="99"/>
    </row>
    <row r="89" spans="2:31" x14ac:dyDescent="0.25">
      <c r="C89" s="104"/>
      <c r="D89" s="105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8"/>
      <c r="Y89" s="108"/>
      <c r="Z89" s="102"/>
      <c r="AA89" s="108"/>
      <c r="AB89" s="99"/>
      <c r="AC89" s="99"/>
      <c r="AD89" s="99"/>
      <c r="AE89" s="99"/>
    </row>
    <row r="90" spans="2:31" x14ac:dyDescent="0.25">
      <c r="C90" s="104"/>
      <c r="D90" s="105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8"/>
      <c r="Y90" s="108"/>
      <c r="Z90" s="102"/>
      <c r="AA90" s="108"/>
      <c r="AB90" s="99"/>
      <c r="AC90" s="99"/>
      <c r="AD90" s="99"/>
      <c r="AE90" s="99"/>
    </row>
    <row r="91" spans="2:31" x14ac:dyDescent="0.25">
      <c r="C91" s="104"/>
      <c r="D91" s="105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8"/>
      <c r="Y91" s="108"/>
      <c r="Z91" s="102"/>
      <c r="AA91" s="108"/>
      <c r="AB91" s="99"/>
      <c r="AC91" s="99"/>
      <c r="AD91" s="99"/>
      <c r="AE91" s="99"/>
    </row>
    <row r="92" spans="2:31" x14ac:dyDescent="0.25">
      <c r="C92" s="104"/>
      <c r="D92" s="105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8"/>
      <c r="Y92" s="108"/>
      <c r="Z92" s="102"/>
      <c r="AA92" s="108"/>
      <c r="AB92" s="99"/>
      <c r="AC92" s="99"/>
      <c r="AD92" s="99"/>
      <c r="AE92" s="99"/>
    </row>
    <row r="93" spans="2:31" x14ac:dyDescent="0.25">
      <c r="C93" s="109"/>
      <c r="D93" s="99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8"/>
      <c r="Y93" s="108"/>
      <c r="Z93" s="102"/>
      <c r="AA93" s="108"/>
      <c r="AB93" s="99"/>
      <c r="AC93" s="99"/>
      <c r="AD93" s="99"/>
      <c r="AE93" s="99"/>
    </row>
    <row r="94" spans="2:31" x14ac:dyDescent="0.25">
      <c r="C94" s="104"/>
      <c r="D94" s="99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8"/>
      <c r="Y94" s="108"/>
      <c r="Z94" s="102"/>
      <c r="AA94" s="108"/>
      <c r="AB94" s="99"/>
      <c r="AC94" s="99"/>
      <c r="AD94" s="99"/>
      <c r="AE94" s="99"/>
    </row>
    <row r="95" spans="2:31" x14ac:dyDescent="0.25">
      <c r="C95" s="104"/>
      <c r="D95" s="99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8"/>
      <c r="Y95" s="108"/>
      <c r="Z95" s="102"/>
      <c r="AA95" s="108"/>
      <c r="AB95" s="99"/>
      <c r="AC95" s="99"/>
      <c r="AD95" s="99"/>
      <c r="AE95" s="99"/>
    </row>
    <row r="96" spans="2:31" x14ac:dyDescent="0.25">
      <c r="C96" s="104"/>
      <c r="D96" s="99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/>
      <c r="Y96" s="108"/>
      <c r="Z96" s="102"/>
      <c r="AA96" s="108"/>
      <c r="AB96" s="99"/>
      <c r="AC96" s="99"/>
      <c r="AD96" s="99"/>
      <c r="AE96" s="99"/>
    </row>
    <row r="97" spans="2:31" x14ac:dyDescent="0.25">
      <c r="C97" s="104"/>
      <c r="D97" s="99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/>
      <c r="Y97" s="108"/>
      <c r="Z97" s="102"/>
      <c r="AA97" s="108"/>
      <c r="AB97" s="99"/>
      <c r="AC97" s="99"/>
      <c r="AD97" s="99"/>
      <c r="AE97" s="99"/>
    </row>
    <row r="98" spans="2:31" x14ac:dyDescent="0.25">
      <c r="C98" s="104"/>
      <c r="D98" s="99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8"/>
      <c r="Y98" s="108"/>
      <c r="Z98" s="102"/>
      <c r="AA98" s="108"/>
      <c r="AB98" s="99"/>
      <c r="AC98" s="99"/>
      <c r="AD98" s="99"/>
      <c r="AE98" s="99"/>
    </row>
    <row r="99" spans="2:31" x14ac:dyDescent="0.25">
      <c r="C99" s="104"/>
      <c r="D99" s="99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8"/>
      <c r="Y99" s="108"/>
      <c r="Z99" s="102"/>
      <c r="AA99" s="108"/>
      <c r="AB99" s="99"/>
      <c r="AC99" s="99"/>
      <c r="AD99" s="99"/>
      <c r="AE99" s="99"/>
    </row>
    <row r="100" spans="2:31" x14ac:dyDescent="0.25">
      <c r="C100" s="104"/>
      <c r="D100" s="99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8"/>
      <c r="Y100" s="108"/>
      <c r="Z100" s="102"/>
      <c r="AA100" s="108"/>
      <c r="AB100" s="99"/>
      <c r="AC100" s="99"/>
      <c r="AD100" s="99"/>
      <c r="AE100" s="99"/>
    </row>
    <row r="101" spans="2:31" x14ac:dyDescent="0.25">
      <c r="C101" s="104"/>
      <c r="D101" s="99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8"/>
      <c r="Y101" s="108"/>
      <c r="Z101" s="102"/>
      <c r="AA101" s="108"/>
      <c r="AB101" s="99"/>
      <c r="AC101" s="99"/>
      <c r="AD101" s="99"/>
      <c r="AE101" s="99"/>
    </row>
    <row r="102" spans="2:31" x14ac:dyDescent="0.25">
      <c r="C102" s="104"/>
      <c r="D102" s="99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8"/>
      <c r="Y102" s="108"/>
      <c r="Z102" s="102"/>
      <c r="AA102" s="108"/>
      <c r="AB102" s="99"/>
      <c r="AC102" s="99"/>
      <c r="AD102" s="99"/>
      <c r="AE102" s="99"/>
    </row>
    <row r="103" spans="2:31" x14ac:dyDescent="0.25">
      <c r="C103" s="104"/>
      <c r="D103" s="99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8"/>
      <c r="Y103" s="108"/>
      <c r="Z103" s="102"/>
      <c r="AA103" s="108"/>
      <c r="AB103" s="99"/>
      <c r="AC103" s="99"/>
      <c r="AD103" s="99"/>
      <c r="AE103" s="99"/>
    </row>
    <row r="104" spans="2:31" x14ac:dyDescent="0.25">
      <c r="C104" s="104"/>
      <c r="D104" s="99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8"/>
      <c r="Y104" s="108"/>
      <c r="Z104" s="102"/>
      <c r="AA104" s="108"/>
      <c r="AB104" s="99"/>
      <c r="AC104" s="99"/>
      <c r="AD104" s="99"/>
      <c r="AE104" s="99"/>
    </row>
    <row r="105" spans="2:31" x14ac:dyDescent="0.25">
      <c r="C105" s="109"/>
      <c r="D105" s="99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99"/>
      <c r="Y105" s="99"/>
      <c r="Z105" s="102"/>
      <c r="AA105" s="99"/>
      <c r="AB105" s="99"/>
      <c r="AC105" s="99"/>
      <c r="AD105" s="99"/>
      <c r="AE105" s="99"/>
    </row>
    <row r="106" spans="2:31" x14ac:dyDescent="0.25">
      <c r="C106" s="109"/>
      <c r="D106" s="99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07"/>
      <c r="W106" s="107"/>
      <c r="X106" s="99"/>
      <c r="Y106" s="99"/>
      <c r="Z106" s="102"/>
      <c r="AA106" s="99"/>
      <c r="AB106" s="99"/>
      <c r="AC106" s="99"/>
      <c r="AD106" s="99"/>
      <c r="AE106" s="99"/>
    </row>
    <row r="107" spans="2:31" x14ac:dyDescent="0.25">
      <c r="B107" s="99"/>
      <c r="C107" s="109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99"/>
      <c r="AC107" s="99"/>
      <c r="AD107" s="99"/>
      <c r="AE107" s="99"/>
    </row>
    <row r="108" spans="2:31" x14ac:dyDescent="0.25">
      <c r="B108" s="99"/>
      <c r="C108" s="109"/>
      <c r="D108" s="99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5"/>
      <c r="Y108" s="105"/>
      <c r="Z108" s="112"/>
      <c r="AA108" s="105"/>
      <c r="AB108" s="99"/>
      <c r="AC108" s="99"/>
      <c r="AD108" s="99"/>
      <c r="AE108" s="99"/>
    </row>
    <row r="109" spans="2:31" x14ac:dyDescent="0.25">
      <c r="B109" s="99"/>
      <c r="C109" s="104"/>
      <c r="D109" s="105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5"/>
      <c r="Y109" s="105"/>
      <c r="Z109" s="112"/>
      <c r="AA109" s="105"/>
    </row>
    <row r="110" spans="2:31" x14ac:dyDescent="0.25">
      <c r="B110" s="113"/>
      <c r="C110" s="104"/>
      <c r="D110" s="105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5"/>
      <c r="Y110" s="105"/>
      <c r="Z110" s="112"/>
      <c r="AA110" s="105"/>
    </row>
    <row r="111" spans="2:31" x14ac:dyDescent="0.25">
      <c r="C111" s="104"/>
      <c r="D111" s="105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8"/>
      <c r="Y111" s="108"/>
      <c r="Z111" s="102"/>
      <c r="AA111" s="108"/>
    </row>
    <row r="112" spans="2:31" x14ac:dyDescent="0.25">
      <c r="C112" s="104"/>
      <c r="D112" s="105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8"/>
      <c r="Y112" s="108"/>
      <c r="Z112" s="102"/>
      <c r="AA112" s="108"/>
    </row>
    <row r="113" spans="2:27" x14ac:dyDescent="0.25">
      <c r="C113" s="104"/>
      <c r="D113" s="105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8"/>
      <c r="Y113" s="108"/>
      <c r="Z113" s="102"/>
      <c r="AA113" s="108"/>
    </row>
    <row r="114" spans="2:27" x14ac:dyDescent="0.25">
      <c r="C114" s="109"/>
      <c r="D114" s="99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8"/>
      <c r="Y114" s="108"/>
      <c r="Z114" s="102"/>
      <c r="AA114" s="108"/>
    </row>
    <row r="115" spans="2:27" x14ac:dyDescent="0.25">
      <c r="C115" s="104"/>
      <c r="D115" s="99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8"/>
      <c r="Y115" s="108"/>
      <c r="Z115" s="102"/>
      <c r="AA115" s="108"/>
    </row>
    <row r="116" spans="2:27" x14ac:dyDescent="0.25">
      <c r="C116" s="109"/>
      <c r="D116" s="99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99"/>
      <c r="Y116" s="99"/>
      <c r="Z116" s="102"/>
      <c r="AA116" s="99"/>
    </row>
    <row r="117" spans="2:27" x14ac:dyDescent="0.25">
      <c r="C117" s="109"/>
      <c r="D117" s="99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8"/>
      <c r="Y117" s="108"/>
      <c r="Z117" s="102"/>
      <c r="AA117" s="108"/>
    </row>
    <row r="118" spans="2:27" x14ac:dyDescent="0.25">
      <c r="B118" s="99"/>
      <c r="C118" s="109"/>
      <c r="D118" s="99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99"/>
      <c r="Y118" s="99"/>
      <c r="Z118" s="102"/>
      <c r="AA118" s="99"/>
    </row>
    <row r="119" spans="2:27" x14ac:dyDescent="0.25">
      <c r="B119" s="99"/>
      <c r="C119" s="109"/>
      <c r="D119" s="99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99"/>
      <c r="Y119" s="99"/>
      <c r="Z119" s="102"/>
      <c r="AA119" s="99"/>
    </row>
    <row r="120" spans="2:27" x14ac:dyDescent="0.25">
      <c r="B120" s="99"/>
      <c r="C120" s="109"/>
      <c r="D120" s="99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14"/>
      <c r="Y120" s="114"/>
      <c r="Z120" s="102"/>
      <c r="AA120" s="114"/>
    </row>
    <row r="121" spans="2:27" x14ac:dyDescent="0.25">
      <c r="B121" s="99"/>
      <c r="C121" s="109"/>
      <c r="D121" s="99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15"/>
      <c r="Y121" s="115"/>
      <c r="Z121" s="102"/>
      <c r="AA121" s="115"/>
    </row>
    <row r="122" spans="2:27" x14ac:dyDescent="0.25">
      <c r="C122" s="109"/>
      <c r="D122" s="99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99"/>
      <c r="Y122" s="99"/>
      <c r="Z122" s="102"/>
      <c r="AA122" s="99"/>
    </row>
    <row r="123" spans="2:27" x14ac:dyDescent="0.25">
      <c r="C123" s="109"/>
      <c r="D123" s="99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99"/>
      <c r="Y123" s="99"/>
      <c r="Z123" s="102"/>
      <c r="AA123" s="99"/>
    </row>
    <row r="124" spans="2:27" x14ac:dyDescent="0.25">
      <c r="C124" s="109"/>
      <c r="D124" s="99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99"/>
      <c r="Y124" s="99"/>
      <c r="Z124" s="102"/>
      <c r="AA124" s="99"/>
    </row>
    <row r="125" spans="2:27" x14ac:dyDescent="0.25">
      <c r="C125" s="109"/>
      <c r="D125" s="99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99"/>
      <c r="Y125" s="99"/>
      <c r="Z125" s="102"/>
      <c r="AA125" s="99"/>
    </row>
    <row r="126" spans="2:27" x14ac:dyDescent="0.25">
      <c r="C126" s="109"/>
      <c r="D126" s="99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99"/>
      <c r="Y126" s="99"/>
      <c r="Z126" s="102"/>
      <c r="AA126" s="99"/>
    </row>
    <row r="127" spans="2:27" x14ac:dyDescent="0.25">
      <c r="C127" s="109"/>
      <c r="D127" s="99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99"/>
      <c r="Y127" s="99"/>
      <c r="Z127" s="102"/>
      <c r="AA127" s="99"/>
    </row>
    <row r="128" spans="2:27" x14ac:dyDescent="0.25">
      <c r="C128" s="109"/>
      <c r="D128" s="99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99"/>
      <c r="Y128" s="99"/>
      <c r="Z128" s="102"/>
      <c r="AA128" s="99"/>
    </row>
    <row r="129" spans="3:27" x14ac:dyDescent="0.25">
      <c r="C129" s="109"/>
      <c r="D129" s="99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>
        <v>3003000</v>
      </c>
      <c r="P129" s="107"/>
      <c r="Q129" s="107"/>
      <c r="R129" s="107"/>
      <c r="S129" s="107"/>
      <c r="T129" s="107"/>
      <c r="U129" s="107"/>
      <c r="V129" s="107"/>
      <c r="W129" s="107"/>
      <c r="X129" s="99"/>
      <c r="Y129" s="99"/>
      <c r="Z129" s="102"/>
      <c r="AA129" s="99"/>
    </row>
    <row r="130" spans="3:27" x14ac:dyDescent="0.25">
      <c r="C130" s="104"/>
      <c r="D130" s="99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99"/>
      <c r="Y130" s="99"/>
      <c r="Z130" s="102"/>
      <c r="AA130" s="99"/>
    </row>
    <row r="131" spans="3:27" x14ac:dyDescent="0.25">
      <c r="C131" s="104"/>
      <c r="D131" s="99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99"/>
      <c r="Y131" s="99"/>
      <c r="Z131" s="102"/>
      <c r="AA131" s="99"/>
    </row>
    <row r="132" spans="3:27" x14ac:dyDescent="0.25">
      <c r="C132" s="104"/>
      <c r="D132" s="99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99"/>
      <c r="Y132" s="99"/>
      <c r="Z132" s="102"/>
      <c r="AA132" s="99"/>
    </row>
    <row r="133" spans="3:27" x14ac:dyDescent="0.25">
      <c r="C133" s="104"/>
      <c r="D133" s="99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99"/>
      <c r="Y133" s="99"/>
      <c r="Z133" s="102"/>
      <c r="AA133" s="99"/>
    </row>
    <row r="134" spans="3:27" x14ac:dyDescent="0.25">
      <c r="C134" s="109">
        <v>42614840</v>
      </c>
      <c r="D134" s="99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>
        <v>412608</v>
      </c>
      <c r="X134" s="99"/>
      <c r="Y134" s="99"/>
      <c r="Z134" s="102"/>
      <c r="AA134" s="99"/>
    </row>
    <row r="135" spans="3:27" x14ac:dyDescent="0.25">
      <c r="C135" s="109">
        <v>9675182</v>
      </c>
      <c r="D135" s="99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>
        <v>1880000</v>
      </c>
      <c r="X135" s="99"/>
      <c r="Y135" s="99"/>
      <c r="Z135" s="102"/>
      <c r="AA135" s="99"/>
    </row>
    <row r="136" spans="3:27" x14ac:dyDescent="0.25">
      <c r="C136" s="109">
        <v>17903600</v>
      </c>
      <c r="D136" s="99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99"/>
      <c r="Y136" s="99"/>
      <c r="Z136" s="102"/>
      <c r="AA136" s="99"/>
    </row>
    <row r="137" spans="3:27" x14ac:dyDescent="0.25">
      <c r="C137" s="109">
        <f>SUM(C134:C136)</f>
        <v>70193622</v>
      </c>
      <c r="D137" s="99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99"/>
      <c r="Y137" s="99"/>
      <c r="Z137" s="102"/>
      <c r="AA137" s="99"/>
    </row>
    <row r="138" spans="3:27" x14ac:dyDescent="0.25">
      <c r="C138" s="109">
        <v>400000</v>
      </c>
      <c r="D138" s="99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99"/>
      <c r="Y138" s="99"/>
      <c r="Z138" s="102"/>
      <c r="AA138" s="99"/>
    </row>
    <row r="139" spans="3:27" x14ac:dyDescent="0.25">
      <c r="C139" s="109">
        <f>+C137+C138</f>
        <v>70593622</v>
      </c>
      <c r="D139" s="99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99"/>
      <c r="Y139" s="99"/>
      <c r="Z139" s="102"/>
      <c r="AA139" s="99"/>
    </row>
    <row r="142" spans="3:27" x14ac:dyDescent="0.25">
      <c r="C142" s="100">
        <v>64000000</v>
      </c>
    </row>
    <row r="143" spans="3:27" x14ac:dyDescent="0.25">
      <c r="C143" s="100">
        <v>11000000</v>
      </c>
    </row>
    <row r="144" spans="3:27" x14ac:dyDescent="0.25">
      <c r="C144" s="100">
        <f>+C142+C143</f>
        <v>75000000</v>
      </c>
    </row>
    <row r="148" spans="3:3" x14ac:dyDescent="0.25">
      <c r="C148" s="100">
        <v>2745000</v>
      </c>
    </row>
    <row r="149" spans="3:3" x14ac:dyDescent="0.25">
      <c r="C149" s="100">
        <v>3185000</v>
      </c>
    </row>
    <row r="150" spans="3:3" x14ac:dyDescent="0.25">
      <c r="C150" s="100">
        <v>1080000</v>
      </c>
    </row>
    <row r="151" spans="3:3" x14ac:dyDescent="0.25">
      <c r="C151" s="100">
        <v>4850100</v>
      </c>
    </row>
    <row r="152" spans="3:3" x14ac:dyDescent="0.25">
      <c r="C152" s="100">
        <v>5027500</v>
      </c>
    </row>
    <row r="153" spans="3:3" x14ac:dyDescent="0.25">
      <c r="C153" s="100">
        <v>4566000</v>
      </c>
    </row>
    <row r="154" spans="3:3" x14ac:dyDescent="0.25">
      <c r="C154" s="100">
        <v>1050000</v>
      </c>
    </row>
    <row r="155" spans="3:3" x14ac:dyDescent="0.25">
      <c r="C155" s="100">
        <v>3877333</v>
      </c>
    </row>
    <row r="156" spans="3:3" x14ac:dyDescent="0.25">
      <c r="C156" s="100">
        <v>6732440</v>
      </c>
    </row>
    <row r="157" spans="3:3" x14ac:dyDescent="0.25">
      <c r="C157" s="100">
        <v>3460000</v>
      </c>
    </row>
    <row r="158" spans="3:3" x14ac:dyDescent="0.25">
      <c r="C158" s="100">
        <v>588800</v>
      </c>
    </row>
    <row r="159" spans="3:3" x14ac:dyDescent="0.25">
      <c r="C159" s="100">
        <v>1868000</v>
      </c>
    </row>
    <row r="160" spans="3:3" x14ac:dyDescent="0.25">
      <c r="C160" s="100">
        <v>10313000</v>
      </c>
    </row>
    <row r="161" spans="3:3" x14ac:dyDescent="0.25">
      <c r="C161" s="100">
        <v>3443800</v>
      </c>
    </row>
    <row r="162" spans="3:3" x14ac:dyDescent="0.25">
      <c r="C162" s="100">
        <v>8136400</v>
      </c>
    </row>
    <row r="163" spans="3:3" x14ac:dyDescent="0.25">
      <c r="C163" s="100">
        <v>9675183</v>
      </c>
    </row>
    <row r="164" spans="3:3" x14ac:dyDescent="0.25">
      <c r="C164" s="100">
        <f>SUM(C148:C163)</f>
        <v>70598556</v>
      </c>
    </row>
  </sheetData>
  <mergeCells count="7">
    <mergeCell ref="D107:AA107"/>
    <mergeCell ref="C1:X1"/>
    <mergeCell ref="E2:N2"/>
    <mergeCell ref="O2:W2"/>
    <mergeCell ref="A3:A36"/>
    <mergeCell ref="A37:A68"/>
    <mergeCell ref="E106:U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 </vt:lpstr>
      <vt:lpstr>MAYO</vt:lpstr>
      <vt:lpstr>JUNIO</vt:lpstr>
      <vt:lpstr>JULIO </vt:lpstr>
      <vt:lpstr>AGOSTO</vt:lpstr>
      <vt:lpstr>SEPTIEMBRE </vt:lpstr>
      <vt:lpstr>OCTUBRE </vt:lpstr>
      <vt:lpstr>NOVIEMBRE 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2019-05-27T14:01:41Z</dcterms:modified>
</cp:coreProperties>
</file>